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SUMMARY" sheetId="2" r:id="rId5"/>
    <sheet state="visible" name="Genetic Apex" sheetId="3" r:id="rId6"/>
    <sheet state="visible" name="Mythical Island" sheetId="4" r:id="rId7"/>
    <sheet state="visible" name="Space-Time Smackdown" sheetId="5" r:id="rId8"/>
    <sheet state="visible" name="PROMO-A" sheetId="6" r:id="rId9"/>
    <sheet state="visible" name="Trades" sheetId="7" r:id="rId10"/>
  </sheets>
  <definedNames>
    <definedName hidden="1" localSheetId="2" name="_xlnm._FilterDatabase">'Genetic Apex'!$A$1:$F$287</definedName>
    <definedName hidden="1" localSheetId="3" name="_xlnm._FilterDatabase">'Mythical Island'!$A$1:$F$87</definedName>
    <definedName hidden="1" localSheetId="4" name="_xlnm._FilterDatabase">'Space-Time Smackdown'!$A$1:$F$208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4">
      <text>
        <t xml:space="preserve">Old Amber is included in both Genetic Apex and Mythical Island, and had to be manually adjusted to not appear twice in this formula.</t>
      </text>
    </comment>
    <comment authorId="0" ref="B5">
      <text>
        <t xml:space="preserve">Cards common to various packs are included in them, even if it doesn't match the total. This is to easily check the numbers with the game filters and track missing cards.</t>
      </text>
    </comment>
    <comment authorId="0" ref="H9">
      <text>
        <t xml:space="preserve">When 0 owned cards, it marks as if you already own one, but works properly onwards. This problem existed since the beginning. If anyone knows how to fix it, it would be very welcomed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You don't need to edit these cells if you fill out the # field in column I! Column I must be filled out for the Trades tab to work.</t>
      </text>
    </comment>
    <comment authorId="0" ref="B1">
      <text>
        <t xml:space="preserve">Track how many copies of the card you own here.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You don't need to edit these cells if you fill out the # field in column I! Column I must be filled out for the Trades tab to work.</t>
      </text>
    </comment>
    <comment authorId="0" ref="B1">
      <text>
        <t xml:space="preserve">Track how many copies of the card you own here.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You don't need to edit these cells if you fill out the # field in column I! Column I must be filled out for the Trades tab to work.</t>
      </text>
    </comment>
    <comment authorId="0" ref="B1">
      <text>
        <t xml:space="preserve">Track how many copies of the card you own here.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Keep track of the number of cards you own</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R3">
      <text>
        <t xml:space="preserve">The number of copies of this card you can trade away before reaching your selected "Trade Down To" count.</t>
      </text>
    </comment>
    <comment authorId="0" ref="W3">
      <text>
        <t xml:space="preserve">The number of copies of this card you need to reach your selected "Trade Up To" count.</t>
      </text>
    </comment>
    <comment authorId="0" ref="AL3">
      <text>
        <t xml:space="preserve">The number of copies of this card you can burn before reaching the game's minimum copies left.</t>
      </text>
    </comment>
    <comment authorId="0" ref="A4">
      <text>
        <t xml:space="preserve">How many copies of a card you want to keep at minimum - any copies you have above this count will appear in your "For Trade" list.</t>
      </text>
    </comment>
    <comment authorId="0" ref="Z4">
      <text>
        <t xml:space="preserve">Total tokens required for obtaining all the cards you are looking for, including how many copies you want (rarity &amp; expansion filters are applied).</t>
      </text>
    </comment>
    <comment authorId="0" ref="A5">
      <text>
        <t xml:space="preserve">How many copies of a card you want to collect - any cards you have at less than this count will appear in your "Looking For" list.</t>
      </text>
    </comment>
    <comment authorId="0" ref="Z5">
      <text>
        <t xml:space="preserve">Rarities under ♢♢♢ won't appear here since they can't be exchanged for tokens.</t>
      </text>
    </comment>
    <comment authorId="0" ref="Z16">
      <text>
        <t xml:space="preserve">Tokens potentially available through burning your cards.</t>
      </text>
    </comment>
  </commentList>
</comments>
</file>

<file path=xl/sharedStrings.xml><?xml version="1.0" encoding="utf-8"?>
<sst xmlns="http://schemas.openxmlformats.org/spreadsheetml/2006/main" count="2989" uniqueCount="1270">
  <si>
    <r>
      <rPr>
        <sz val="16.0"/>
      </rPr>
      <t>In the original version of this sheet?
Don't request edit access, create a copy!
Click File -&gt; Make a Copy to create your own version if you haven't already.</t>
    </r>
    <r>
      <rPr>
        <sz val="20.0"/>
      </rPr>
      <t xml:space="preserve">
Note: the sheet is becoming very hard to maintain with all the expansions so we created a website instead with all the same features and more. See: </t>
    </r>
    <r>
      <rPr>
        <color rgb="FF1155CC"/>
        <sz val="20.0"/>
        <u/>
      </rPr>
      <t>https://tcgpocketcollectiontracker.com/</t>
    </r>
    <r>
      <rPr>
        <sz val="20.0"/>
      </rPr>
      <t xml:space="preserve">
</t>
    </r>
    <r>
      <rPr>
        <sz val="18.0"/>
      </rPr>
      <t>Enjoy!
Current version: v6.0</t>
    </r>
  </si>
  <si>
    <t>CHANGELOG</t>
  </si>
  <si>
    <t>Contributor</t>
  </si>
  <si>
    <t>Notes</t>
  </si>
  <si>
    <t>Marcel</t>
  </si>
  <si>
    <t>Added Space-Time Smackdown expansion</t>
  </si>
  <si>
    <t>Bug fixes</t>
  </si>
  <si>
    <t>Caaethil</t>
  </si>
  <si>
    <t>Added Trades tab and calculations</t>
  </si>
  <si>
    <t>Added changelog, fixed 4th card draw rates on STS, added filters on top row</t>
  </si>
  <si>
    <t>As requested added the 2 star, 3 star and crown rarities to the trades tab as they might become available in the future</t>
  </si>
  <si>
    <t>Added the promo pack-A vol-4 cards, removed checkboxes to make it more clear what to do</t>
  </si>
  <si>
    <t>Isabel</t>
  </si>
  <si>
    <t>Fixed the calculations of the pull rates on Mythical Island and Space-time smackdown. Added sanity checks.</t>
  </si>
  <si>
    <t>Added tokens calculator to the trade tab</t>
  </si>
  <si>
    <t>Small fixes in the pull rate formulas in STS</t>
  </si>
  <si>
    <t>Fixed the pull rate formula of missing cards in STS</t>
  </si>
  <si>
    <t>New SUMMARY tab added. More fixes in the formulas in STS (they didn't add up to 100%). Fixed the Collection Summary formula in MI</t>
  </si>
  <si>
    <t>General Overview</t>
  </si>
  <si>
    <t>Collection Summary</t>
  </si>
  <si>
    <t>Card Count Check</t>
  </si>
  <si>
    <t>A1. Genetic Apex</t>
  </si>
  <si>
    <t>Total number of cards (includes copies)</t>
  </si>
  <si>
    <t>*These totals includes cards found across All packs</t>
  </si>
  <si>
    <t>% Owned</t>
  </si>
  <si>
    <t>% Missing</t>
  </si>
  <si>
    <t>Fraction</t>
  </si>
  <si>
    <t># Missing</t>
  </si>
  <si>
    <t>Genetic Apex</t>
  </si>
  <si>
    <t>A1-Mewtwo</t>
  </si>
  <si>
    <t>Total</t>
  </si>
  <si>
    <t>A1-Pikachu</t>
  </si>
  <si>
    <t>A1-Charizard</t>
  </si>
  <si>
    <t>Mythical Island</t>
  </si>
  <si>
    <t>A1a</t>
  </si>
  <si>
    <t>Space-time Smackdown</t>
  </si>
  <si>
    <t>A2-Dialga</t>
  </si>
  <si>
    <t>Cards to unlock Mew</t>
  </si>
  <si>
    <t>A2-Palkia</t>
  </si>
  <si>
    <t>Most Cards Missing</t>
  </si>
  <si>
    <t>Promo-A</t>
  </si>
  <si>
    <t>Best to Unlock Mew</t>
  </si>
  <si>
    <t>Advanced Filtering</t>
  </si>
  <si>
    <t>A1a. Mythical Island</t>
  </si>
  <si>
    <t>♢</t>
  </si>
  <si>
    <t>☆</t>
  </si>
  <si>
    <t>♢♢</t>
  </si>
  <si>
    <t>☆☆</t>
  </si>
  <si>
    <t>♢♢♢</t>
  </si>
  <si>
    <t>☆☆☆</t>
  </si>
  <si>
    <t>A2. Space-time Smackdown</t>
  </si>
  <si>
    <t>♢♢♢♢</t>
  </si>
  <si>
    <t>♛</t>
  </si>
  <si>
    <t>Collector's Pick</t>
  </si>
  <si>
    <t>1-3 cards</t>
  </si>
  <si>
    <t>4th card</t>
  </si>
  <si>
    <t>5th card</t>
  </si>
  <si>
    <t>Shop</t>
  </si>
  <si>
    <t>Pack with best chance
for a new card</t>
  </si>
  <si>
    <t>Mission</t>
  </si>
  <si>
    <t>Promo pack</t>
  </si>
  <si>
    <t>Wonder Pick</t>
  </si>
  <si>
    <t>#</t>
  </si>
  <si>
    <t>ID</t>
  </si>
  <si>
    <t>Name</t>
  </si>
  <si>
    <t>Pack</t>
  </si>
  <si>
    <t>Rarity</t>
  </si>
  <si>
    <t>First-third cards</t>
  </si>
  <si>
    <t>Fourth card</t>
  </si>
  <si>
    <t>Fifth card</t>
  </si>
  <si>
    <t>Description</t>
  </si>
  <si>
    <t>A1 001</t>
  </si>
  <si>
    <t>Bulbasaur</t>
  </si>
  <si>
    <t>Rate by rarity</t>
  </si>
  <si>
    <t>This is the odds for you to pull a card of a specific rarity across the 1st through 3rd cards, 4th card, and 5th card. The likelihood to pull a specific card in columns G, H, and I pull from these rates, so they can be easily configured for future expansions</t>
  </si>
  <si>
    <t>A1 002</t>
  </si>
  <si>
    <t>Ivysaur</t>
  </si>
  <si>
    <t>A1 003</t>
  </si>
  <si>
    <t>Venusaur</t>
  </si>
  <si>
    <t>A1 004</t>
  </si>
  <si>
    <t>Venusaur ex</t>
  </si>
  <si>
    <t>A1 005</t>
  </si>
  <si>
    <t>Caterpie</t>
  </si>
  <si>
    <r>
      <rPr>
        <rFont val="&quot;Google Sans&quot;, Roboto, sans-serif"/>
        <color rgb="FF1F1F1F"/>
      </rPr>
      <t>♢</t>
    </r>
  </si>
  <si>
    <t>A1 006</t>
  </si>
  <si>
    <t>Metapod</t>
  </si>
  <si>
    <r>
      <rPr>
        <rFont val="&quot;Google Sans&quot;, Roboto, sans-serif"/>
        <color rgb="FF1F1F1F"/>
      </rPr>
      <t>♢</t>
    </r>
  </si>
  <si>
    <t>A1 007</t>
  </si>
  <si>
    <t>Butterfree</t>
  </si>
  <si>
    <t>A1 008</t>
  </si>
  <si>
    <t>Weedle</t>
  </si>
  <si>
    <r>
      <rPr>
        <rFont val="&quot;Google Sans&quot;, Roboto, sans-serif"/>
        <color rgb="FF1F1F1F"/>
      </rPr>
      <t>♢</t>
    </r>
  </si>
  <si>
    <t>A1 009</t>
  </si>
  <si>
    <t>Kakuna</t>
  </si>
  <si>
    <r>
      <rPr>
        <rFont val="&quot;Google Sans&quot;, Roboto, sans-serif"/>
        <color rgb="FF1F1F1F"/>
      </rPr>
      <t>♢</t>
    </r>
  </si>
  <si>
    <t>A1 010</t>
  </si>
  <si>
    <t>Beedrill</t>
  </si>
  <si>
    <r>
      <rPr>
        <rFont val="Arial"/>
        <color theme="1"/>
        <sz val="10.0"/>
      </rPr>
      <t xml:space="preserve">This is a summary for your collection as defined by pack. Basically, this shows you how many of a packs </t>
    </r>
    <r>
      <rPr>
        <rFont val="Arial"/>
        <i/>
        <color theme="1"/>
        <sz val="10.0"/>
      </rPr>
      <t>potential</t>
    </r>
    <r>
      <rPr>
        <rFont val="Arial"/>
        <color theme="1"/>
        <sz val="10.0"/>
      </rPr>
      <t xml:space="preserve"> cards you own. For example, the </t>
    </r>
    <r>
      <rPr>
        <rFont val="Arial"/>
        <b/>
        <color rgb="FFB4A7D6"/>
        <sz val="10.0"/>
      </rPr>
      <t>Mewtwo</t>
    </r>
    <r>
      <rPr>
        <rFont val="Arial"/>
        <b/>
        <color theme="1"/>
        <sz val="10.0"/>
      </rPr>
      <t xml:space="preserve"> </t>
    </r>
    <r>
      <rPr>
        <rFont val="Arial"/>
        <color theme="1"/>
        <sz val="10.0"/>
      </rPr>
      <t>row is taking into account all of the cards that are exc</t>
    </r>
    <r>
      <rPr>
        <rFont val="Arial"/>
        <i/>
        <color theme="1"/>
        <sz val="10.0"/>
      </rPr>
      <t>lusive</t>
    </r>
    <r>
      <rPr>
        <rFont val="Arial"/>
        <color theme="1"/>
        <sz val="10.0"/>
      </rPr>
      <t xml:space="preserve"> to the </t>
    </r>
    <r>
      <rPr>
        <rFont val="Arial"/>
        <b/>
        <color rgb="FFB4A7D6"/>
        <sz val="10.0"/>
      </rPr>
      <t xml:space="preserve">Mewtwo </t>
    </r>
    <r>
      <rPr>
        <rFont val="Arial"/>
        <color theme="1"/>
        <sz val="10.0"/>
      </rPr>
      <t xml:space="preserve">pack, and the cards that can be found in </t>
    </r>
    <r>
      <rPr>
        <rFont val="Arial"/>
        <i/>
        <color theme="1"/>
        <sz val="10.0"/>
      </rPr>
      <t>all</t>
    </r>
    <r>
      <rPr>
        <rFont val="Arial"/>
        <color theme="1"/>
        <sz val="10.0"/>
      </rPr>
      <t xml:space="preserve"> packs. The </t>
    </r>
    <r>
      <rPr>
        <rFont val="Arial"/>
        <i/>
        <color theme="1"/>
        <sz val="10.0"/>
      </rPr>
      <t>Pack with the most missing cards</t>
    </r>
    <r>
      <rPr>
        <rFont val="Arial"/>
        <color theme="1"/>
        <sz val="10.0"/>
      </rPr>
      <t xml:space="preserve"> section can be used to decide what pack to open if you want a quick, simple answer. For a more accurate result, see </t>
    </r>
    <r>
      <rPr>
        <rFont val="Arial"/>
        <b/>
        <color rgb="FF1155CC"/>
        <sz val="10.0"/>
      </rPr>
      <t>Chance to get a new card</t>
    </r>
  </si>
  <si>
    <t>A1 011</t>
  </si>
  <si>
    <t>Oddish</t>
  </si>
  <si>
    <r>
      <rPr>
        <rFont val="&quot;Google Sans&quot;, Roboto, sans-serif"/>
        <color rgb="FF1F1F1F"/>
      </rPr>
      <t>♢</t>
    </r>
  </si>
  <si>
    <t>A1 012</t>
  </si>
  <si>
    <t>Gloom</t>
  </si>
  <si>
    <t>*These totals includes cards found across all packs</t>
  </si>
  <si>
    <t>A1 013</t>
  </si>
  <si>
    <t>Vileplume</t>
  </si>
  <si>
    <t>A1 014</t>
  </si>
  <si>
    <t>Paras</t>
  </si>
  <si>
    <t>A1 015</t>
  </si>
  <si>
    <t>Parasect</t>
  </si>
  <si>
    <t>A1 016</t>
  </si>
  <si>
    <t>Venonat</t>
  </si>
  <si>
    <r>
      <rPr>
        <rFont val="&quot;Google Sans&quot;, Roboto, sans-serif"/>
        <color rgb="FF1F1F1F"/>
      </rPr>
      <t>♢</t>
    </r>
  </si>
  <si>
    <t>A1 017</t>
  </si>
  <si>
    <t>Venomoth</t>
  </si>
  <si>
    <t>Pack with most missing cards</t>
  </si>
  <si>
    <t>A1 018</t>
  </si>
  <si>
    <t>Bellsprout</t>
  </si>
  <si>
    <t>A1 019</t>
  </si>
  <si>
    <t>Weepinbell</t>
  </si>
  <si>
    <r>
      <rPr>
        <rFont val="Arial"/>
        <color theme="1"/>
        <sz val="10.0"/>
      </rPr>
      <t xml:space="preserve">This is the </t>
    </r>
    <r>
      <rPr>
        <rFont val="Arial"/>
        <b/>
        <color rgb="FF1155CC"/>
        <sz val="10.0"/>
      </rPr>
      <t>Advanced Filtering</t>
    </r>
    <r>
      <rPr>
        <rFont val="Arial"/>
        <color theme="1"/>
        <sz val="10.0"/>
      </rPr>
      <t xml:space="preserve"> section. Here you can select what rarities the calculations will take into account. For example, if you only want to hunt rare cards, you can exclude the ♢ cards. Note that this only effects calculations in the </t>
    </r>
    <r>
      <rPr>
        <rFont val="Arial"/>
        <b/>
        <color rgb="FF1155CC"/>
        <sz val="10.0"/>
      </rPr>
      <t>dark blue</t>
    </r>
    <r>
      <rPr>
        <rFont val="Arial"/>
        <color theme="1"/>
        <sz val="10.0"/>
      </rPr>
      <t xml:space="preserve"> box</t>
    </r>
  </si>
  <si>
    <t>A1 020</t>
  </si>
  <si>
    <t>Victreebel</t>
  </si>
  <si>
    <t>A1 021</t>
  </si>
  <si>
    <t>Exeggcute</t>
  </si>
  <si>
    <t>A1 022</t>
  </si>
  <si>
    <t>Exeggutor</t>
  </si>
  <si>
    <t>A1 023</t>
  </si>
  <si>
    <t>Exeggutor ex</t>
  </si>
  <si>
    <t>A1 024</t>
  </si>
  <si>
    <t>Tangela</t>
  </si>
  <si>
    <t>A1 025</t>
  </si>
  <si>
    <t>Scyther</t>
  </si>
  <si>
    <t>Card Count</t>
  </si>
  <si>
    <r>
      <rPr>
        <rFont val="Arial"/>
        <color theme="1"/>
        <sz val="10.0"/>
      </rPr>
      <t xml:space="preserve">This section is very simmilar to the </t>
    </r>
    <r>
      <rPr>
        <rFont val="Arial"/>
        <b/>
        <color theme="1"/>
        <sz val="10.0"/>
      </rPr>
      <t>Collection Summary</t>
    </r>
    <r>
      <rPr>
        <rFont val="Arial"/>
        <color theme="1"/>
        <sz val="10.0"/>
      </rPr>
      <t xml:space="preserve">, with the key difference being that pack calculations do not include cards found acoss all packs, and that it is effected by </t>
    </r>
    <r>
      <rPr>
        <rFont val="Arial"/>
        <b/>
        <color rgb="FF1155CC"/>
        <sz val="10.0"/>
      </rPr>
      <t>Advanced Filtering</t>
    </r>
  </si>
  <si>
    <t>A1 026</t>
  </si>
  <si>
    <t>Pinsir</t>
  </si>
  <si>
    <t>A1</t>
  </si>
  <si>
    <r>
      <rPr>
        <rFont val="Arial"/>
        <color theme="1"/>
        <sz val="5.0"/>
      </rPr>
      <t xml:space="preserve">*These totals </t>
    </r>
    <r>
      <rPr>
        <rFont val="Arial"/>
        <b/>
        <color theme="1"/>
        <sz val="5.0"/>
      </rPr>
      <t xml:space="preserve">DON'T </t>
    </r>
    <r>
      <rPr>
        <rFont val="Arial"/>
        <color theme="1"/>
        <sz val="5.0"/>
      </rPr>
      <t>include cards found across all packs</t>
    </r>
  </si>
  <si>
    <t>A1 027</t>
  </si>
  <si>
    <t>Cottonee</t>
  </si>
  <si>
    <t>A1 028</t>
  </si>
  <si>
    <t>Whimsicott</t>
  </si>
  <si>
    <t>A1 029</t>
  </si>
  <si>
    <t>Petilil</t>
  </si>
  <si>
    <t>A1 030</t>
  </si>
  <si>
    <t>Lilligant</t>
  </si>
  <si>
    <t>A1 031</t>
  </si>
  <si>
    <t>Skiddo</t>
  </si>
  <si>
    <t>A1 032</t>
  </si>
  <si>
    <t>Gogoat</t>
  </si>
  <si>
    <t>A1 033</t>
  </si>
  <si>
    <t>Charmander</t>
  </si>
  <si>
    <t>A1 034</t>
  </si>
  <si>
    <t>Charmeleon</t>
  </si>
  <si>
    <t>Chance to get a new card</t>
  </si>
  <si>
    <r>
      <rPr>
        <rFont val="Arial"/>
        <color theme="1"/>
        <sz val="10.0"/>
      </rPr>
      <t xml:space="preserve">The </t>
    </r>
    <r>
      <rPr>
        <rFont val="Arial"/>
        <b/>
        <color rgb="FF1155CC"/>
        <sz val="10.0"/>
      </rPr>
      <t>Chance to get a new card</t>
    </r>
    <r>
      <rPr>
        <rFont val="Arial"/>
        <color theme="1"/>
        <sz val="10.0"/>
      </rPr>
      <t xml:space="preserve"> section sums the odds of every card you do not own and displays them by card number. For example, if you are missing 3 ♢ cards in the </t>
    </r>
    <r>
      <rPr>
        <rFont val="Arial"/>
        <b/>
        <color rgb="FFB4A7D6"/>
        <sz val="10.0"/>
      </rPr>
      <t>Mewtwo</t>
    </r>
    <r>
      <rPr>
        <rFont val="Arial"/>
        <color rgb="FFB4A7D6"/>
        <sz val="10.0"/>
      </rPr>
      <t xml:space="preserve"> </t>
    </r>
    <r>
      <rPr>
        <rFont val="Arial"/>
        <color theme="1"/>
        <sz val="10.0"/>
      </rPr>
      <t xml:space="preserve">collection, and each one has 2% chance to be pulled, then you would have a 6% chance to get one of them. Like Collection Summary, these calculations include cards found across all packs. </t>
    </r>
  </si>
  <si>
    <t>A1 035</t>
  </si>
  <si>
    <t>Charizard</t>
  </si>
  <si>
    <t>A1 036</t>
  </si>
  <si>
    <t>Charizard ex</t>
  </si>
  <si>
    <t>A1 037</t>
  </si>
  <si>
    <t>Vulpix</t>
  </si>
  <si>
    <t>A1 038</t>
  </si>
  <si>
    <t>Ninetales</t>
  </si>
  <si>
    <t>A1 039</t>
  </si>
  <si>
    <t>Growlithe</t>
  </si>
  <si>
    <t>Best pack to open (% chance)</t>
  </si>
  <si>
    <t>A1 040</t>
  </si>
  <si>
    <t>Arcanine</t>
  </si>
  <si>
    <t>A1 041</t>
  </si>
  <si>
    <t>Arcanine ex</t>
  </si>
  <si>
    <t>Chance to get at least 1 new card across all 5 cards</t>
  </si>
  <si>
    <t>This section calculates the odds for you to get at least 1 new card out of each pack, and tells you which pack has the highest chance to get you new cards. This is probably the pack you should always pick</t>
  </si>
  <si>
    <t>A1 042</t>
  </si>
  <si>
    <t>Ponyta</t>
  </si>
  <si>
    <t>Best pack to open (% chance, all cards)</t>
  </si>
  <si>
    <t>A1 043</t>
  </si>
  <si>
    <t>Rapidash</t>
  </si>
  <si>
    <t>A1 044</t>
  </si>
  <si>
    <t>Magmar</t>
  </si>
  <si>
    <t>A1 045</t>
  </si>
  <si>
    <t>Flareon</t>
  </si>
  <si>
    <t>Mew Tracker</t>
  </si>
  <si>
    <r>
      <rPr>
        <rFont val="Arial"/>
        <color theme="1"/>
      </rPr>
      <t xml:space="preserve">This section is simmilar to </t>
    </r>
    <r>
      <rPr>
        <rFont val="Arial"/>
        <b/>
        <color rgb="FF1155CC"/>
      </rPr>
      <t>Card Count</t>
    </r>
    <r>
      <rPr>
        <rFont val="Arial"/>
        <color theme="1"/>
      </rPr>
      <t xml:space="preserve"> except it only considers cards who's name matches one of the names in the </t>
    </r>
    <r>
      <rPr>
        <rFont val="Arial"/>
        <b/>
        <color theme="1"/>
      </rPr>
      <t>M48</t>
    </r>
    <r>
      <rPr>
        <rFont val="Arial"/>
        <color theme="1"/>
      </rPr>
      <t xml:space="preserve"> cell, so it only considers the first 150 Pokemon. By doing it this way, it can be easily configured into a Celebi tracker or something simmilar for future expansions
The formulas are incredibly scuffed, but they work. I encourage you to try and improve them, but be warned, you should do extensive testing before deciding what you have made works</t>
    </r>
  </si>
  <si>
    <t>A1 046</t>
  </si>
  <si>
    <t>Moltres</t>
  </si>
  <si>
    <t>A1 047</t>
  </si>
  <si>
    <t>Moltres ex</t>
  </si>
  <si>
    <t>Required Cards</t>
  </si>
  <si>
    <t>Bulbasaur Ivysaur Venusaur Charmander Charmeleon Charizard Squirtle Wartortle Blastoise Caterpie Metapod Butterfree Weedle Kakuna Beedrill Pidgey Pidgeotto Pidgeot Rattata Raticate Spearow Fearow Ekans Arbok Pikachu Raichu Sandshrew Sandslash Nidoran♀ Nidorina Nidoqueen Nidoran♂ Nidorino Nidoking Clefairy Clefable Vulpix Ninetales Jigglypuff Wigglytuff Zubat Golbat Oddish Gloom Vileplume Paras Parasect Venonat Venomoth Diglett Dugtrio Meowth Persian Psyduck Golduck Mankey Primeape Growlithe Arcanine Poliwag Poliwhirl Poliwrath Abra Kadabra Alakazam Machop Machoke Machamp Bellsprout Weepinbell Victreebel Tentacool Tentacruel Geodude Graveler Golem Ponyta Rapidash Slowpoke Slowbro Magnemite Magneton Farfetch'd Doduo Dodrio Seel Dewgong Grimer Muk Shellder Cloyster Gastly Haunter Gengar Onix Drowzee Hypno Krabby Kingler Voltorb Electrode Exeggcute Exeggutor Cubone Marowak Hitmonlee Hitmonchan Lickitung Koffing Weezing Rhyhorn Rhydon Chansey Tangela Kangaskhan Horsea Seadra Goldeen Seaking Staryu Starmie Mr. Mime Scyther Jynx Electabuzz Magmar Pinsir Tauros Magikarp Gyarados Lapras Ditto Eevee Vaporeon Jolteon Flareon Porygon Omanyte Omastar Kabuto Kabutops Aerodactyl Snorlax Articuno Zapdos Moltres Dratini Dragonair Dragonite Mewtwo</t>
  </si>
  <si>
    <t>A1 048</t>
  </si>
  <si>
    <t>Heatmor</t>
  </si>
  <si>
    <t>*There are cards in multiple packs. The totals won't add up</t>
  </si>
  <si>
    <t>A1 049</t>
  </si>
  <si>
    <t>Salandit</t>
  </si>
  <si>
    <t>A1 050</t>
  </si>
  <si>
    <t>Salazzle</t>
  </si>
  <si>
    <t>A1 051</t>
  </si>
  <si>
    <t>Sizzlipede</t>
  </si>
  <si>
    <t>A1 052</t>
  </si>
  <si>
    <t>Centiskorch</t>
  </si>
  <si>
    <t>A1 053</t>
  </si>
  <si>
    <t>Squirtle</t>
  </si>
  <si>
    <t>All</t>
  </si>
  <si>
    <t>A1 054</t>
  </si>
  <si>
    <t>Wartortle</t>
  </si>
  <si>
    <t>A1 055</t>
  </si>
  <si>
    <t>Blastoise</t>
  </si>
  <si>
    <t>A1 056</t>
  </si>
  <si>
    <t>Blastoise ex</t>
  </si>
  <si>
    <t>Chance to get a new Mew card</t>
  </si>
  <si>
    <r>
      <rPr>
        <rFont val="Arial"/>
      </rPr>
      <t xml:space="preserve">Simmilar to </t>
    </r>
    <r>
      <rPr>
        <rFont val="Arial"/>
        <b/>
        <color rgb="FF1155CC"/>
      </rPr>
      <t>Chance to get a new card</t>
    </r>
    <r>
      <rPr>
        <rFont val="Arial"/>
      </rPr>
      <t xml:space="preserve">, but only counting Mew cards in the same way that </t>
    </r>
    <r>
      <rPr>
        <rFont val="Arial"/>
        <b/>
        <color rgb="FFFF00FF"/>
      </rPr>
      <t>Mew Tracker</t>
    </r>
    <r>
      <rPr>
        <rFont val="Arial"/>
      </rPr>
      <t xml:space="preserve"> does. Not very helpful, but necessary for the next section
This used to be broken beyond repair, but the incredibly intiligent </t>
    </r>
    <r>
      <rPr>
        <rFont val="Arial"/>
        <color rgb="FF1155CC"/>
        <u/>
      </rPr>
      <t>u/ratufdez</t>
    </r>
    <r>
      <rPr>
        <rFont val="Arial"/>
      </rPr>
      <t xml:space="preserve"> solved it</t>
    </r>
  </si>
  <si>
    <t>A1 057</t>
  </si>
  <si>
    <t>Psyduck</t>
  </si>
  <si>
    <t>A1 058</t>
  </si>
  <si>
    <t>Golduck</t>
  </si>
  <si>
    <t>A1 059</t>
  </si>
  <si>
    <t>Poliwag</t>
  </si>
  <si>
    <t>A1 060</t>
  </si>
  <si>
    <t>Poliwhirl</t>
  </si>
  <si>
    <t>A1 061</t>
  </si>
  <si>
    <t>Poliwrath</t>
  </si>
  <si>
    <t>A1 062</t>
  </si>
  <si>
    <t>Tentacool</t>
  </si>
  <si>
    <t>A1 063</t>
  </si>
  <si>
    <t>Tentacruel</t>
  </si>
  <si>
    <t>Chance to get at least 1 Mew card across all 5 cards</t>
  </si>
  <si>
    <t>If you are going for unlocking Mew, this should be the pack you pick</t>
  </si>
  <si>
    <t>A1 064</t>
  </si>
  <si>
    <t>Seel</t>
  </si>
  <si>
    <t>Best pack to open to unlock Mew</t>
  </si>
  <si>
    <t>A1 065</t>
  </si>
  <si>
    <t>Dewgong</t>
  </si>
  <si>
    <t>A1 066</t>
  </si>
  <si>
    <t>Shellder</t>
  </si>
  <si>
    <t>A1 067</t>
  </si>
  <si>
    <t>Cloyster</t>
  </si>
  <si>
    <t>Instructions for on how to adapt this spreadsheet for future expansions</t>
  </si>
  <si>
    <t>A1 068</t>
  </si>
  <si>
    <t>Krabby</t>
  </si>
  <si>
    <t>A1 069</t>
  </si>
  <si>
    <t>Kingler</t>
  </si>
  <si>
    <t>One of the key points I had when making this spreadsheet was making sure it was as easy as possible to adapt for future expansions. I intend to keep updating this for a while, but there will come a time when my interest in the game has waned and someone else will have to pick up the slack</t>
  </si>
  <si>
    <t>A1 070</t>
  </si>
  <si>
    <t>Horsea</t>
  </si>
  <si>
    <t>A1 071</t>
  </si>
  <si>
    <t>Seadra</t>
  </si>
  <si>
    <t>A1 072</t>
  </si>
  <si>
    <t>Goldeen</t>
  </si>
  <si>
    <t>A1 073</t>
  </si>
  <si>
    <t>Seaking</t>
  </si>
  <si>
    <t>A1 074</t>
  </si>
  <si>
    <t>Staryu</t>
  </si>
  <si>
    <t>A1 075</t>
  </si>
  <si>
    <t>Starmie</t>
  </si>
  <si>
    <r>
      <rPr>
        <rFont val="Arial"/>
        <color theme="1"/>
        <sz val="10.0"/>
      </rPr>
      <t xml:space="preserve">With that in mind, I crafted this spreadsheet so that there is as little manual labor required to update it as possible. Unless I forgot something, there should only be 2 steps: </t>
    </r>
    <r>
      <rPr>
        <rFont val="Arial"/>
        <b/>
        <color theme="1"/>
        <sz val="10.0"/>
      </rPr>
      <t>Conditioanl formatting</t>
    </r>
    <r>
      <rPr>
        <rFont val="Arial"/>
        <color theme="1"/>
        <sz val="10.0"/>
      </rPr>
      <t xml:space="preserve"> and </t>
    </r>
    <r>
      <rPr>
        <rFont val="Arial"/>
        <b/>
        <color theme="1"/>
        <sz val="10.0"/>
      </rPr>
      <t>Data entry</t>
    </r>
  </si>
  <si>
    <t>A1 076</t>
  </si>
  <si>
    <t>Starmie ex</t>
  </si>
  <si>
    <t>A1 077</t>
  </si>
  <si>
    <t>Magikarp</t>
  </si>
  <si>
    <t>A1 078</t>
  </si>
  <si>
    <t>Gyarados</t>
  </si>
  <si>
    <t>A1 079</t>
  </si>
  <si>
    <t>Lapras</t>
  </si>
  <si>
    <t>Step 0: Purging</t>
  </si>
  <si>
    <t>A1 080</t>
  </si>
  <si>
    <t>Vaporeon</t>
  </si>
  <si>
    <t>A1 081</t>
  </si>
  <si>
    <t>Omanyte</t>
  </si>
  <si>
    <t>Right off the bat I've broken my two step rule. Don't worry though, this one is easy. All you have to do is click the little arrow by the expansion name (Genetic Apex) and click duplicate. The we just have to delete everything in columns B, C, D, and E. Now just rename the new sheet with the same arrow as before, and you're done!</t>
  </si>
  <si>
    <t>A1 082</t>
  </si>
  <si>
    <t>Omastar</t>
  </si>
  <si>
    <t>A1 083</t>
  </si>
  <si>
    <t>Articuno</t>
  </si>
  <si>
    <t>A1 084</t>
  </si>
  <si>
    <t>Articuno ex</t>
  </si>
  <si>
    <t>A1 085</t>
  </si>
  <si>
    <t>Ducklett</t>
  </si>
  <si>
    <t>A1 086</t>
  </si>
  <si>
    <t>Swanna</t>
  </si>
  <si>
    <t>A1 087</t>
  </si>
  <si>
    <t>Froakie</t>
  </si>
  <si>
    <t>A1 088</t>
  </si>
  <si>
    <t>Frogadier</t>
  </si>
  <si>
    <t>Step 1: Conditional Formatting</t>
  </si>
  <si>
    <t>A1 089</t>
  </si>
  <si>
    <t>Greninja</t>
  </si>
  <si>
    <t>A1 090</t>
  </si>
  <si>
    <t>Pyukumuku</t>
  </si>
  <si>
    <r>
      <rPr>
        <rFont val="Arial"/>
        <color theme="1"/>
        <sz val="10.0"/>
      </rPr>
      <t xml:space="preserve">You probably noticed that when you deleted the data, all of the rows turned white. This is because of </t>
    </r>
    <r>
      <rPr>
        <rFont val="Arial"/>
        <b/>
        <color theme="1"/>
        <sz val="10.0"/>
      </rPr>
      <t>Conditional Formatting</t>
    </r>
    <r>
      <rPr>
        <rFont val="Arial"/>
        <color theme="1"/>
        <sz val="10.0"/>
      </rPr>
      <t>, and it's the same thing that makes the boxes for number of cards turn green when you have 2 or more. We will be using this to automatically color code our whole spreadsheet</t>
    </r>
  </si>
  <si>
    <t>A1 091</t>
  </si>
  <si>
    <t>Bruxish</t>
  </si>
  <si>
    <t>A1 092</t>
  </si>
  <si>
    <t>Snom</t>
  </si>
  <si>
    <t>A1 093</t>
  </si>
  <si>
    <t>Frosmoth</t>
  </si>
  <si>
    <t>A1 094</t>
  </si>
  <si>
    <t>Pikachu</t>
  </si>
  <si>
    <t>A1 095</t>
  </si>
  <si>
    <t>Raichu</t>
  </si>
  <si>
    <t>A1 096</t>
  </si>
  <si>
    <t>Pikachu ex</t>
  </si>
  <si>
    <r>
      <rPr>
        <rFont val="Arial"/>
        <color theme="1"/>
        <sz val="10.0"/>
      </rPr>
      <t xml:space="preserve">The first thing we have to do is replace the remaining pack names still left on the spreadsheet with whatever the new packs are. For this example let's say the new packs are </t>
    </r>
    <r>
      <rPr>
        <rFont val="Arial"/>
        <b/>
        <color theme="1"/>
        <sz val="10.0"/>
      </rPr>
      <t>Mewthree</t>
    </r>
    <r>
      <rPr>
        <rFont val="Arial"/>
        <color theme="1"/>
        <sz val="10.0"/>
      </rPr>
      <t xml:space="preserve">, </t>
    </r>
    <r>
      <rPr>
        <rFont val="Arial"/>
        <b/>
        <color theme="1"/>
        <sz val="10.0"/>
      </rPr>
      <t>Pikablu</t>
    </r>
    <r>
      <rPr>
        <rFont val="Arial"/>
        <color theme="1"/>
        <sz val="10.0"/>
      </rPr>
      <t xml:space="preserve">, and </t>
    </r>
    <r>
      <rPr>
        <rFont val="Arial"/>
        <b/>
        <color theme="1"/>
        <sz val="10.0"/>
      </rPr>
      <t>MissingNo</t>
    </r>
    <r>
      <rPr>
        <rFont val="Arial"/>
        <color theme="1"/>
        <sz val="10.0"/>
      </rPr>
      <t xml:space="preserve">. All we have to do is press Ctrl + H to bring up the find and replace window. Then we simply replace each old pack with the new pack. In our example, we would </t>
    </r>
    <r>
      <rPr>
        <rFont val="Arial"/>
        <i/>
        <color theme="1"/>
        <sz val="10.0"/>
      </rPr>
      <t>Find</t>
    </r>
    <r>
      <rPr>
        <rFont val="Arial"/>
        <color theme="1"/>
        <sz val="10.0"/>
      </rPr>
      <t xml:space="preserve"> </t>
    </r>
    <r>
      <rPr>
        <rFont val="Arial"/>
        <b/>
        <color theme="1"/>
        <sz val="10.0"/>
      </rPr>
      <t>Mewtwo</t>
    </r>
    <r>
      <rPr>
        <rFont val="Arial"/>
        <color theme="1"/>
        <sz val="10.0"/>
      </rPr>
      <t xml:space="preserve">, </t>
    </r>
    <r>
      <rPr>
        <rFont val="Arial"/>
        <i/>
        <color theme="1"/>
        <sz val="10.0"/>
      </rPr>
      <t>Replace with</t>
    </r>
    <r>
      <rPr>
        <rFont val="Arial"/>
        <color theme="1"/>
        <sz val="10.0"/>
      </rPr>
      <t xml:space="preserve"> </t>
    </r>
    <r>
      <rPr>
        <rFont val="Arial"/>
        <b/>
        <color theme="1"/>
        <sz val="10.0"/>
      </rPr>
      <t xml:space="preserve">Mewthree </t>
    </r>
    <r>
      <rPr>
        <rFont val="Arial"/>
        <color theme="1"/>
        <sz val="10.0"/>
      </rPr>
      <t xml:space="preserve">and press </t>
    </r>
    <r>
      <rPr>
        <rFont val="Arial"/>
        <i/>
        <color theme="1"/>
        <sz val="10.0"/>
      </rPr>
      <t>Replace all</t>
    </r>
    <r>
      <rPr>
        <rFont val="Arial"/>
        <color theme="1"/>
        <sz val="10.0"/>
      </rPr>
      <t>. The we just repeat the process with Pikablu and MissingNo replacing Pikachu and Charizard respectively.</t>
    </r>
  </si>
  <si>
    <t>A1 097</t>
  </si>
  <si>
    <t>Magnemite</t>
  </si>
  <si>
    <t>A1 098</t>
  </si>
  <si>
    <t>Magneton</t>
  </si>
  <si>
    <t>A1 099</t>
  </si>
  <si>
    <t>Voltorb</t>
  </si>
  <si>
    <t>A1 100</t>
  </si>
  <si>
    <t>Electrode</t>
  </si>
  <si>
    <t>A1 101</t>
  </si>
  <si>
    <t>Electabuzz</t>
  </si>
  <si>
    <t>A1 102</t>
  </si>
  <si>
    <t>Jolteon</t>
  </si>
  <si>
    <t>A1 103</t>
  </si>
  <si>
    <t>Zapdos</t>
  </si>
  <si>
    <t>A1 104</t>
  </si>
  <si>
    <t>Zapdos ex</t>
  </si>
  <si>
    <t>A1 105</t>
  </si>
  <si>
    <t>Blitzle</t>
  </si>
  <si>
    <t>A1 106</t>
  </si>
  <si>
    <t>Zebstrika</t>
  </si>
  <si>
    <r>
      <rPr>
        <rFont val="Arial"/>
        <color theme="1"/>
        <sz val="10.0"/>
      </rPr>
      <t xml:space="preserve">Next, we have to change the conditional formatting rules. For now, click on cell </t>
    </r>
    <r>
      <rPr>
        <rFont val="Arial"/>
        <b/>
        <color theme="1"/>
        <sz val="10.0"/>
      </rPr>
      <t>B2</t>
    </r>
    <r>
      <rPr>
        <rFont val="Arial"/>
        <color theme="1"/>
        <sz val="10.0"/>
      </rPr>
      <t xml:space="preserve">  and click Format -&gt; Conditional formatting. That will bring up the rules for coloring that I have set for that chunk of cells. All you have to do is change it ot an appropriate color, and change the name that it's looking for. In our example, we would change the yellow rule that looks for </t>
    </r>
    <r>
      <rPr>
        <rFont val="Arial"/>
        <b/>
        <color theme="1"/>
        <sz val="10.0"/>
      </rPr>
      <t>Pikachu</t>
    </r>
    <r>
      <rPr>
        <rFont val="Arial"/>
        <color theme="1"/>
        <sz val="10.0"/>
      </rPr>
      <t xml:space="preserve"> into a blue rule that looks for </t>
    </r>
    <r>
      <rPr>
        <rFont val="Arial"/>
        <b/>
        <color theme="1"/>
        <sz val="10.0"/>
      </rPr>
      <t>Pikablu</t>
    </r>
    <r>
      <rPr>
        <rFont val="Arial"/>
        <color theme="1"/>
        <sz val="10.0"/>
      </rPr>
      <t>. To do this simply click the rule, change the text to the new name (making sure to keep the "quotation marks") and click the bucket to change the color. Remember that a lighter background color is easier to read!</t>
    </r>
  </si>
  <si>
    <t>A1 107</t>
  </si>
  <si>
    <t>Tynamo</t>
  </si>
  <si>
    <t>A1 108</t>
  </si>
  <si>
    <t>Eelektrik</t>
  </si>
  <si>
    <t>A1 109</t>
  </si>
  <si>
    <t>Eelektross</t>
  </si>
  <si>
    <t>A1 110</t>
  </si>
  <si>
    <t>Helioptile</t>
  </si>
  <si>
    <t>A1 111</t>
  </si>
  <si>
    <t>Heliolisk</t>
  </si>
  <si>
    <t>A1 112</t>
  </si>
  <si>
    <t>Pincurchin</t>
  </si>
  <si>
    <t>A1 113</t>
  </si>
  <si>
    <t>Clefairy</t>
  </si>
  <si>
    <t>A1 114</t>
  </si>
  <si>
    <t>Clefable</t>
  </si>
  <si>
    <t>A1 115</t>
  </si>
  <si>
    <t>Abra</t>
  </si>
  <si>
    <t>A1 116</t>
  </si>
  <si>
    <t>Kadabra</t>
  </si>
  <si>
    <t>A1 117</t>
  </si>
  <si>
    <t>Alakazam</t>
  </si>
  <si>
    <t>A1 118</t>
  </si>
  <si>
    <t>Slowpoke</t>
  </si>
  <si>
    <r>
      <rPr>
        <rFont val="Arial"/>
        <color theme="1"/>
        <sz val="10.0"/>
      </rPr>
      <t xml:space="preserve">You may have notice that some of the colors in the calculations aren't quite right. The reason for that is that they use slightly different rules, but don't worry, it's just as easy to change them! Just do the same thing as the previous step, but instead of cell </t>
    </r>
    <r>
      <rPr>
        <rFont val="Arial"/>
        <b/>
        <color theme="1"/>
        <sz val="10.0"/>
      </rPr>
      <t>B2</t>
    </r>
    <r>
      <rPr>
        <rFont val="Arial"/>
        <color theme="1"/>
        <sz val="10.0"/>
      </rPr>
      <t xml:space="preserve"> click cells </t>
    </r>
    <r>
      <rPr>
        <rFont val="Arial"/>
        <b/>
        <color theme="1"/>
        <sz val="10.0"/>
      </rPr>
      <t xml:space="preserve">K15 </t>
    </r>
    <r>
      <rPr>
        <rFont val="Arial"/>
        <color theme="1"/>
        <sz val="10.0"/>
      </rPr>
      <t xml:space="preserve">and </t>
    </r>
    <r>
      <rPr>
        <rFont val="Arial"/>
        <b/>
        <color theme="1"/>
        <sz val="10.0"/>
      </rPr>
      <t>L18</t>
    </r>
    <r>
      <rPr>
        <rFont val="Arial"/>
        <color theme="1"/>
        <sz val="10.0"/>
      </rPr>
      <t>!</t>
    </r>
  </si>
  <si>
    <t>A1 119</t>
  </si>
  <si>
    <t>Slowbro</t>
  </si>
  <si>
    <t>A1 120</t>
  </si>
  <si>
    <t>Gastly</t>
  </si>
  <si>
    <t>A1 121</t>
  </si>
  <si>
    <t>Haunter</t>
  </si>
  <si>
    <t>A1 122</t>
  </si>
  <si>
    <t>Gengar</t>
  </si>
  <si>
    <t>A1 123</t>
  </si>
  <si>
    <t>Gengar ex</t>
  </si>
  <si>
    <t>A1 124</t>
  </si>
  <si>
    <t>Drowzee</t>
  </si>
  <si>
    <t>Step 2: Data entry</t>
  </si>
  <si>
    <t>A1 125</t>
  </si>
  <si>
    <t>Hypno</t>
  </si>
  <si>
    <t>A1 126</t>
  </si>
  <si>
    <t>Mr. Mime</t>
  </si>
  <si>
    <r>
      <rPr>
        <rFont val="Arial"/>
        <color theme="1"/>
        <sz val="10.0"/>
      </rPr>
      <t xml:space="preserve">Now for the hard part. Until someone else makes a script to automatically rip the cards ID, Name, Pack, and Rarity and inserts it into this sheet, we will have to do that ourselves. I recommend going into the actual app to get your data to save you the headach of finding out that the website you used was blatantly wrong. Go to </t>
    </r>
    <r>
      <rPr>
        <rFont val="Arial"/>
        <b/>
        <color theme="1"/>
        <sz val="10.0"/>
      </rPr>
      <t>My Cards</t>
    </r>
    <r>
      <rPr>
        <rFont val="Arial"/>
        <color theme="1"/>
        <sz val="10.0"/>
      </rPr>
      <t xml:space="preserve">, flip the toggle to show unobtained cards, tap the magnifying glass, scroll to the bottom and flip the toggles for showing </t>
    </r>
    <r>
      <rPr>
        <rFont val="Arial"/>
        <b/>
        <color theme="1"/>
        <sz val="10.0"/>
      </rPr>
      <t>Cards with a rarity of ☆ or higher</t>
    </r>
    <r>
      <rPr>
        <rFont val="Arial"/>
        <color theme="1"/>
        <sz val="10.0"/>
      </rPr>
      <t xml:space="preserve"> and </t>
    </r>
    <r>
      <rPr>
        <rFont val="Arial"/>
        <b/>
        <color theme="1"/>
        <sz val="10.0"/>
      </rPr>
      <t>Promo cards</t>
    </r>
    <r>
      <rPr>
        <rFont val="Arial"/>
        <color theme="1"/>
        <sz val="10.0"/>
      </rPr>
      <t>. You may also find it useful to filter by booster pack or rarity when filling out that data.</t>
    </r>
  </si>
  <si>
    <t>A1 127</t>
  </si>
  <si>
    <t>Jynx</t>
  </si>
  <si>
    <t>A1 128</t>
  </si>
  <si>
    <t>Mewtwo</t>
  </si>
  <si>
    <t>A1 129</t>
  </si>
  <si>
    <t>Mewtwo ex</t>
  </si>
  <si>
    <t>A1 130</t>
  </si>
  <si>
    <t>Ralts</t>
  </si>
  <si>
    <t>A1 131</t>
  </si>
  <si>
    <t>Kirlia</t>
  </si>
  <si>
    <t>A1 132</t>
  </si>
  <si>
    <t>Gardevoir</t>
  </si>
  <si>
    <t>A1 133</t>
  </si>
  <si>
    <t>Woobat</t>
  </si>
  <si>
    <t>A1 134</t>
  </si>
  <si>
    <t>Swoobat</t>
  </si>
  <si>
    <t>A1 135</t>
  </si>
  <si>
    <t>Golett</t>
  </si>
  <si>
    <t>A1 136</t>
  </si>
  <si>
    <t>Golurk</t>
  </si>
  <si>
    <t>A1 137</t>
  </si>
  <si>
    <t>Sandshrew</t>
  </si>
  <si>
    <r>
      <rPr>
        <rFont val="Arial"/>
        <color theme="1"/>
        <sz val="10.0"/>
      </rPr>
      <t xml:space="preserve">That's it! Everything should now be updated for any future expansion! The only thing you have to worry about now is if they changed the rarity of cards (which you can change easily by editing the </t>
    </r>
    <r>
      <rPr>
        <rFont val="Arial"/>
        <b/>
        <color theme="1"/>
        <sz val="10.0"/>
      </rPr>
      <t>Rate by rarity</t>
    </r>
    <r>
      <rPr>
        <rFont val="Arial"/>
        <color theme="1"/>
        <sz val="10.0"/>
      </rPr>
      <t xml:space="preserve"> table) or if they added some new mechanic like a new tier of rarity, in which case, godspeed</t>
    </r>
  </si>
  <si>
    <t>A1 138</t>
  </si>
  <si>
    <t>Sandslash</t>
  </si>
  <si>
    <t>A1 139</t>
  </si>
  <si>
    <t>Diglett</t>
  </si>
  <si>
    <t>A1 140</t>
  </si>
  <si>
    <t>Dugtrio</t>
  </si>
  <si>
    <t>A1 141</t>
  </si>
  <si>
    <t>Mankey</t>
  </si>
  <si>
    <t>A1 142</t>
  </si>
  <si>
    <t>Primeape</t>
  </si>
  <si>
    <t>A1 143</t>
  </si>
  <si>
    <t>Machop</t>
  </si>
  <si>
    <t>A1 144</t>
  </si>
  <si>
    <t>Machoke</t>
  </si>
  <si>
    <t>A1 145</t>
  </si>
  <si>
    <t>Machamp</t>
  </si>
  <si>
    <t>A1 146</t>
  </si>
  <si>
    <t>Machamp ex</t>
  </si>
  <si>
    <t>A1 147</t>
  </si>
  <si>
    <t>Geodude</t>
  </si>
  <si>
    <t>A1 148</t>
  </si>
  <si>
    <t>Graveler</t>
  </si>
  <si>
    <t>A1 149</t>
  </si>
  <si>
    <t>Golem</t>
  </si>
  <si>
    <t>A1 150</t>
  </si>
  <si>
    <t>Onix</t>
  </si>
  <si>
    <t>A1 151</t>
  </si>
  <si>
    <t>Cubone</t>
  </si>
  <si>
    <t>A1 152</t>
  </si>
  <si>
    <t>Marowak</t>
  </si>
  <si>
    <t>A1 153</t>
  </si>
  <si>
    <t>Marowak ex</t>
  </si>
  <si>
    <t>A1 154</t>
  </si>
  <si>
    <t>Hitmonlee</t>
  </si>
  <si>
    <t>A1 155</t>
  </si>
  <si>
    <t>Hitmonchan</t>
  </si>
  <si>
    <t>A1 156</t>
  </si>
  <si>
    <t>Rhyhorn</t>
  </si>
  <si>
    <t>A1 157</t>
  </si>
  <si>
    <t>Rhydon</t>
  </si>
  <si>
    <t>A1 158</t>
  </si>
  <si>
    <t>Kabuto</t>
  </si>
  <si>
    <t>A1 159</t>
  </si>
  <si>
    <t>Kabutops</t>
  </si>
  <si>
    <t>A1 160</t>
  </si>
  <si>
    <t>Mienfoo</t>
  </si>
  <si>
    <t>A1 161</t>
  </si>
  <si>
    <t>Mienshao</t>
  </si>
  <si>
    <t>A1 162</t>
  </si>
  <si>
    <t>Clobbopus</t>
  </si>
  <si>
    <t>A1 163</t>
  </si>
  <si>
    <t>Grapploct</t>
  </si>
  <si>
    <t>A1 164</t>
  </si>
  <si>
    <t>Ekans</t>
  </si>
  <si>
    <t>A1 165</t>
  </si>
  <si>
    <t>Arbok</t>
  </si>
  <si>
    <t>A1 166</t>
  </si>
  <si>
    <t>Nidoran♀</t>
  </si>
  <si>
    <t>A1 167</t>
  </si>
  <si>
    <t>Nidorina</t>
  </si>
  <si>
    <t>A1 168</t>
  </si>
  <si>
    <t>Nidoqueen</t>
  </si>
  <si>
    <t>A1 169</t>
  </si>
  <si>
    <t>Nidoran♂</t>
  </si>
  <si>
    <t>A1 170</t>
  </si>
  <si>
    <t>Nidorino</t>
  </si>
  <si>
    <t>A1 171</t>
  </si>
  <si>
    <t>Nidoking</t>
  </si>
  <si>
    <t>A1 172</t>
  </si>
  <si>
    <t>Zubat</t>
  </si>
  <si>
    <t>A1 173</t>
  </si>
  <si>
    <t>Golbat</t>
  </si>
  <si>
    <t>A1 174</t>
  </si>
  <si>
    <t>Grimer</t>
  </si>
  <si>
    <t>A1 175</t>
  </si>
  <si>
    <t>Muk</t>
  </si>
  <si>
    <t>A1 176</t>
  </si>
  <si>
    <t>Koffing</t>
  </si>
  <si>
    <t>A1 177</t>
  </si>
  <si>
    <t>Weezing</t>
  </si>
  <si>
    <t>A1 178</t>
  </si>
  <si>
    <t>Mawile</t>
  </si>
  <si>
    <t>A1 179</t>
  </si>
  <si>
    <t>Pawniard</t>
  </si>
  <si>
    <t>A1 180</t>
  </si>
  <si>
    <t>Bisharp</t>
  </si>
  <si>
    <t>A1 181</t>
  </si>
  <si>
    <t>Meltan</t>
  </si>
  <si>
    <t>A1 182</t>
  </si>
  <si>
    <t>Melmetal</t>
  </si>
  <si>
    <t>A1 183</t>
  </si>
  <si>
    <t>Dratini</t>
  </si>
  <si>
    <t>A1 184</t>
  </si>
  <si>
    <t>Dragonair</t>
  </si>
  <si>
    <t>A1 185</t>
  </si>
  <si>
    <t>Dragonite</t>
  </si>
  <si>
    <t>A1 186</t>
  </si>
  <si>
    <t>Pidgey</t>
  </si>
  <si>
    <t>A1 187</t>
  </si>
  <si>
    <t>Pidgeotto</t>
  </si>
  <si>
    <t>A1 188</t>
  </si>
  <si>
    <t>Pidgeot</t>
  </si>
  <si>
    <t>A1 189</t>
  </si>
  <si>
    <t>Rattata</t>
  </si>
  <si>
    <t>A1 190</t>
  </si>
  <si>
    <t>Raticate</t>
  </si>
  <si>
    <t>A1 191</t>
  </si>
  <si>
    <t>Spearow</t>
  </si>
  <si>
    <t>A1 192</t>
  </si>
  <si>
    <t>Fearow</t>
  </si>
  <si>
    <t>A1 193</t>
  </si>
  <si>
    <t>Jigglypuff</t>
  </si>
  <si>
    <t>A1 194</t>
  </si>
  <si>
    <t>Wigglytuff</t>
  </si>
  <si>
    <t>A1 195</t>
  </si>
  <si>
    <t>Wigglytuff ex</t>
  </si>
  <si>
    <t>A1 196</t>
  </si>
  <si>
    <t>Meowth</t>
  </si>
  <si>
    <t>A1 197</t>
  </si>
  <si>
    <t>Persian</t>
  </si>
  <si>
    <t>A1 198</t>
  </si>
  <si>
    <t>Farfetch'd</t>
  </si>
  <si>
    <t>A1 199</t>
  </si>
  <si>
    <t>Doduo</t>
  </si>
  <si>
    <t>A1 200</t>
  </si>
  <si>
    <t>Dodrio</t>
  </si>
  <si>
    <t>A1 201</t>
  </si>
  <si>
    <t>Lickitung</t>
  </si>
  <si>
    <t>A1 202</t>
  </si>
  <si>
    <t>Chansey</t>
  </si>
  <si>
    <t>A1 203</t>
  </si>
  <si>
    <t>Kangaskhan</t>
  </si>
  <si>
    <t>A1 204</t>
  </si>
  <si>
    <t>Tauros</t>
  </si>
  <si>
    <t>A1 205</t>
  </si>
  <si>
    <t>Ditto</t>
  </si>
  <si>
    <t>A1 206</t>
  </si>
  <si>
    <t>Eevee</t>
  </si>
  <si>
    <t>A1 207</t>
  </si>
  <si>
    <t>A1 208</t>
  </si>
  <si>
    <t>A1 209</t>
  </si>
  <si>
    <t>Porygon</t>
  </si>
  <si>
    <t>A1 210</t>
  </si>
  <si>
    <t>Aerodactyl</t>
  </si>
  <si>
    <t>A1 211</t>
  </si>
  <si>
    <t>Snorlax</t>
  </si>
  <si>
    <t>A1 212</t>
  </si>
  <si>
    <t>Minccino</t>
  </si>
  <si>
    <t>A1 213</t>
  </si>
  <si>
    <t>Cinccino</t>
  </si>
  <si>
    <t>A1 214</t>
  </si>
  <si>
    <t>Wooloo</t>
  </si>
  <si>
    <t>A1 215</t>
  </si>
  <si>
    <t>Dubwool</t>
  </si>
  <si>
    <t>A1 216</t>
  </si>
  <si>
    <t>Helix Fossil</t>
  </si>
  <si>
    <t>A1 217</t>
  </si>
  <si>
    <t>Dome Fossil</t>
  </si>
  <si>
    <t>A1 218</t>
  </si>
  <si>
    <t>Old Amber</t>
  </si>
  <si>
    <t>A1 219</t>
  </si>
  <si>
    <t>Erika</t>
  </si>
  <si>
    <t>A1 220</t>
  </si>
  <si>
    <t>Misty</t>
  </si>
  <si>
    <t>A1 221</t>
  </si>
  <si>
    <t>Blaine</t>
  </si>
  <si>
    <t>A1 222</t>
  </si>
  <si>
    <t>Koga</t>
  </si>
  <si>
    <t>A1 223</t>
  </si>
  <si>
    <t>Giovanni</t>
  </si>
  <si>
    <t>A1 224</t>
  </si>
  <si>
    <t>Brock</t>
  </si>
  <si>
    <t>A1 225</t>
  </si>
  <si>
    <t>Sabrina</t>
  </si>
  <si>
    <t>A1 226</t>
  </si>
  <si>
    <t>Lt. Surge</t>
  </si>
  <si>
    <t>A1 227</t>
  </si>
  <si>
    <t>A1 228</t>
  </si>
  <si>
    <t>A1 229</t>
  </si>
  <si>
    <t>A1 230</t>
  </si>
  <si>
    <t>A1 231</t>
  </si>
  <si>
    <t>A1 232</t>
  </si>
  <si>
    <t>A1 233</t>
  </si>
  <si>
    <t>A1 234</t>
  </si>
  <si>
    <t>A1 235</t>
  </si>
  <si>
    <t>A1 236</t>
  </si>
  <si>
    <t>A1 237</t>
  </si>
  <si>
    <t>A1 238</t>
  </si>
  <si>
    <t>A1 239</t>
  </si>
  <si>
    <t>A1 240</t>
  </si>
  <si>
    <t>A1 241</t>
  </si>
  <si>
    <t>A1 242</t>
  </si>
  <si>
    <t>A1 243</t>
  </si>
  <si>
    <t>A1 244</t>
  </si>
  <si>
    <t>A1 245</t>
  </si>
  <si>
    <t>A1 246</t>
  </si>
  <si>
    <t>A1 247</t>
  </si>
  <si>
    <t>A1 248</t>
  </si>
  <si>
    <t>A1 249</t>
  </si>
  <si>
    <t>A1 250</t>
  </si>
  <si>
    <t>A1 251</t>
  </si>
  <si>
    <t>A1 252</t>
  </si>
  <si>
    <t>A1 253</t>
  </si>
  <si>
    <t>Sanity checks</t>
  </si>
  <si>
    <t>These are simply fomulas that make sure all the math is working correctly. Unless you are updating this spreadsheet, you don't need to worry about any of these</t>
  </si>
  <si>
    <t>A1 254</t>
  </si>
  <si>
    <t>A1 255</t>
  </si>
  <si>
    <t>A1 256</t>
  </si>
  <si>
    <t>A1 257</t>
  </si>
  <si>
    <t>Totals</t>
  </si>
  <si>
    <t>The total number of cards of each rarity, as calculated by the input data. Cross-reference this with the actual in-game data to make sure you entered everything correctly</t>
  </si>
  <si>
    <t>A1 258</t>
  </si>
  <si>
    <t>Mewtwo ♢</t>
  </si>
  <si>
    <t>A1 259</t>
  </si>
  <si>
    <t>Pikachu ♢</t>
  </si>
  <si>
    <t>A1 260</t>
  </si>
  <si>
    <t>Charizard ♢</t>
  </si>
  <si>
    <t>A1 261</t>
  </si>
  <si>
    <t>All ♢</t>
  </si>
  <si>
    <t>A1 262</t>
  </si>
  <si>
    <t>Mewtwo ♢♢</t>
  </si>
  <si>
    <t>A1 263</t>
  </si>
  <si>
    <t>Pikachu ♢♢</t>
  </si>
  <si>
    <t>A1 264</t>
  </si>
  <si>
    <t>Charizard ♢♢</t>
  </si>
  <si>
    <t>A1 265</t>
  </si>
  <si>
    <t>All ♢♢</t>
  </si>
  <si>
    <t>A1 266</t>
  </si>
  <si>
    <t>Mewtwo ♢♢♢</t>
  </si>
  <si>
    <t>A1 267</t>
  </si>
  <si>
    <t>Pikachu ♢♢♢</t>
  </si>
  <si>
    <t>A1 268</t>
  </si>
  <si>
    <t>Charizard ♢♢♢</t>
  </si>
  <si>
    <t>A1 269</t>
  </si>
  <si>
    <t>All ♢♢♢</t>
  </si>
  <si>
    <t>A1 270</t>
  </si>
  <si>
    <t>Mewtwo ♢♢♢♢</t>
  </si>
  <si>
    <t>A1 271</t>
  </si>
  <si>
    <t>Pikachu ♢♢♢♢</t>
  </si>
  <si>
    <t>A1 272</t>
  </si>
  <si>
    <t>Charizard ♢♢♢♢</t>
  </si>
  <si>
    <t>A1 273</t>
  </si>
  <si>
    <t>All ♢♢♢♢</t>
  </si>
  <si>
    <t>A1 274</t>
  </si>
  <si>
    <t>Mewtwo ☆</t>
  </si>
  <si>
    <t>A1 275</t>
  </si>
  <si>
    <t>Pikachu ☆</t>
  </si>
  <si>
    <t>A1 276</t>
  </si>
  <si>
    <t>Charizard ☆</t>
  </si>
  <si>
    <t>A1 277</t>
  </si>
  <si>
    <t>Percentage Sums</t>
  </si>
  <si>
    <t>All ☆</t>
  </si>
  <si>
    <t>Percentage sums is the total of all the cards that can appear in a speciific pack. If any of them don't add up to 100%, something is wrong on your spreadsheet</t>
  </si>
  <si>
    <t>A1 278</t>
  </si>
  <si>
    <t>Mewtwo 1-3</t>
  </si>
  <si>
    <t>Mewtwo ☆☆</t>
  </si>
  <si>
    <t>A1 279</t>
  </si>
  <si>
    <t>Pikachu 1-3</t>
  </si>
  <si>
    <t>Pikachu ☆☆</t>
  </si>
  <si>
    <t>A1 280</t>
  </si>
  <si>
    <t>Charizard 1-3</t>
  </si>
  <si>
    <t>Charizard ☆☆</t>
  </si>
  <si>
    <t>A1 281</t>
  </si>
  <si>
    <t>Mewtwo 4</t>
  </si>
  <si>
    <t>All ☆☆</t>
  </si>
  <si>
    <t>A1 282</t>
  </si>
  <si>
    <t>Pikachu 4</t>
  </si>
  <si>
    <t>Mewtwo ☆☆☆</t>
  </si>
  <si>
    <t>A1 283</t>
  </si>
  <si>
    <t>Mew</t>
  </si>
  <si>
    <t>Charizard 4</t>
  </si>
  <si>
    <t>Pikachu ☆☆☆</t>
  </si>
  <si>
    <t>A1 284</t>
  </si>
  <si>
    <t>Mewtwo 5</t>
  </si>
  <si>
    <t>Charizard ☆☆☆</t>
  </si>
  <si>
    <t>A1 285</t>
  </si>
  <si>
    <t>Pikachu 5</t>
  </si>
  <si>
    <t>All ☆☆☆</t>
  </si>
  <si>
    <t>A1 286</t>
  </si>
  <si>
    <t>Charizard 5</t>
  </si>
  <si>
    <t>All ♛</t>
  </si>
  <si>
    <t>A1a 001</t>
  </si>
  <si>
    <t>A1a 002</t>
  </si>
  <si>
    <t>A1a 003</t>
  </si>
  <si>
    <t>Celebi ex</t>
  </si>
  <si>
    <t>A1a 004</t>
  </si>
  <si>
    <t>Snivy</t>
  </si>
  <si>
    <t>A1a 005</t>
  </si>
  <si>
    <t>Servine</t>
  </si>
  <si>
    <t>A1a 006</t>
  </si>
  <si>
    <t>Serperior</t>
  </si>
  <si>
    <t>A1a 007</t>
  </si>
  <si>
    <t>Morelull</t>
  </si>
  <si>
    <t>A1a 008</t>
  </si>
  <si>
    <t>Shiinotic</t>
  </si>
  <si>
    <t>A1a 009</t>
  </si>
  <si>
    <t>Dhelmise</t>
  </si>
  <si>
    <t>A1a 010</t>
  </si>
  <si>
    <t>A1a 011</t>
  </si>
  <si>
    <t>A1a 012</t>
  </si>
  <si>
    <t>A1a 013</t>
  </si>
  <si>
    <t>Larvesta</t>
  </si>
  <si>
    <t>A1a 014</t>
  </si>
  <si>
    <t>Volcarona</t>
  </si>
  <si>
    <t>A1a 015</t>
  </si>
  <si>
    <t>A1a 016</t>
  </si>
  <si>
    <t>A1a 017</t>
  </si>
  <si>
    <t>A1a 018</t>
  </si>
  <si>
    <t>Gyarados ex</t>
  </si>
  <si>
    <t>A1a 019</t>
  </si>
  <si>
    <t>A1a 020</t>
  </si>
  <si>
    <t>Finneon</t>
  </si>
  <si>
    <t>A1a 021</t>
  </si>
  <si>
    <t>Lumineon</t>
  </si>
  <si>
    <t>A1a 022</t>
  </si>
  <si>
    <t>Chewtle</t>
  </si>
  <si>
    <r>
      <rPr>
        <rFont val="Arial"/>
        <color theme="1"/>
        <sz val="5.0"/>
      </rPr>
      <t xml:space="preserve">*These totals </t>
    </r>
    <r>
      <rPr>
        <rFont val="Arial"/>
        <b/>
        <color theme="1"/>
        <sz val="5.0"/>
      </rPr>
      <t xml:space="preserve">DON'T </t>
    </r>
    <r>
      <rPr>
        <rFont val="Arial"/>
        <color theme="1"/>
        <sz val="5.0"/>
      </rPr>
      <t>include cards found across all packs</t>
    </r>
  </si>
  <si>
    <t>A1a 023</t>
  </si>
  <si>
    <t>Drednaw</t>
  </si>
  <si>
    <t>A1a 024</t>
  </si>
  <si>
    <t>Cramorant</t>
  </si>
  <si>
    <t>A1a 025</t>
  </si>
  <si>
    <t>A1a 026</t>
  </si>
  <si>
    <t>A1a 027</t>
  </si>
  <si>
    <t>A1a 028</t>
  </si>
  <si>
    <t>Joltik</t>
  </si>
  <si>
    <t>A1a 029</t>
  </si>
  <si>
    <t>Galvantule</t>
  </si>
  <si>
    <t>A1a 030</t>
  </si>
  <si>
    <t>Dedenne</t>
  </si>
  <si>
    <t>A1a 031</t>
  </si>
  <si>
    <t>Chance to get at least 1 new card across all 4 packs</t>
  </si>
  <si>
    <t>A1a 032</t>
  </si>
  <si>
    <t>Mew ex</t>
  </si>
  <si>
    <t>A1a 033</t>
  </si>
  <si>
    <t>Sigilyph</t>
  </si>
  <si>
    <t>A1a 034</t>
  </si>
  <si>
    <t>Elgyem</t>
  </si>
  <si>
    <t>A1a 035</t>
  </si>
  <si>
    <t>Beheeyem</t>
  </si>
  <si>
    <t>A1a 036</t>
  </si>
  <si>
    <t>Flabébé</t>
  </si>
  <si>
    <t>A1a 037</t>
  </si>
  <si>
    <t>Floette</t>
  </si>
  <si>
    <t>A1a 038</t>
  </si>
  <si>
    <t>Florges</t>
  </si>
  <si>
    <t>A1a 039</t>
  </si>
  <si>
    <t>Swirlix</t>
  </si>
  <si>
    <t>A1a 040</t>
  </si>
  <si>
    <t>Slurpuff</t>
  </si>
  <si>
    <t>A1a 041</t>
  </si>
  <si>
    <t>A1a 042</t>
  </si>
  <si>
    <t>A1a 043</t>
  </si>
  <si>
    <t>A1a 044</t>
  </si>
  <si>
    <t>Graveller</t>
  </si>
  <si>
    <t>A1a 045</t>
  </si>
  <si>
    <t>A1a 046</t>
  </si>
  <si>
    <t>Aerodactyl ex</t>
  </si>
  <si>
    <t>A1a 047</t>
  </si>
  <si>
    <t>Marshadow</t>
  </si>
  <si>
    <t>A1a 048</t>
  </si>
  <si>
    <t>Stonejourner</t>
  </si>
  <si>
    <t>A1a 049</t>
  </si>
  <si>
    <t>A1a 050</t>
  </si>
  <si>
    <t>A1a 051</t>
  </si>
  <si>
    <t>Purrloin</t>
  </si>
  <si>
    <t>A1a 052</t>
  </si>
  <si>
    <t>Liepard</t>
  </si>
  <si>
    <t>A1a 053</t>
  </si>
  <si>
    <t>Venipede</t>
  </si>
  <si>
    <t>A1a 054</t>
  </si>
  <si>
    <t>Whirlipede</t>
  </si>
  <si>
    <t>A1a 055</t>
  </si>
  <si>
    <t>Scolipede</t>
  </si>
  <si>
    <t>A1a 056</t>
  </si>
  <si>
    <t>Druddigon</t>
  </si>
  <si>
    <t>A1a 057</t>
  </si>
  <si>
    <t>A1a 058</t>
  </si>
  <si>
    <t>A1a 059</t>
  </si>
  <si>
    <t>Pidgeot ex</t>
  </si>
  <si>
    <t>A1a 060</t>
  </si>
  <si>
    <t>A1a 061</t>
  </si>
  <si>
    <t>A1a 062</t>
  </si>
  <si>
    <t>Chatot</t>
  </si>
  <si>
    <t>A1a 063</t>
  </si>
  <si>
    <t>A1a 064</t>
  </si>
  <si>
    <t>Pokemon Flute</t>
  </si>
  <si>
    <t>A1a 065</t>
  </si>
  <si>
    <t>Mythical Slab</t>
  </si>
  <si>
    <t>A1a 066</t>
  </si>
  <si>
    <t>Budding Expeditioner</t>
  </si>
  <si>
    <t>A1a 067</t>
  </si>
  <si>
    <t>Blue</t>
  </si>
  <si>
    <t>A1a 068</t>
  </si>
  <si>
    <t>Leaf</t>
  </si>
  <si>
    <t>A1a 069</t>
  </si>
  <si>
    <t>A1a 070</t>
  </si>
  <si>
    <t>A1a 071</t>
  </si>
  <si>
    <t>A1a 072</t>
  </si>
  <si>
    <t>A1a 073</t>
  </si>
  <si>
    <t>A1a 074</t>
  </si>
  <si>
    <t>A1a 075</t>
  </si>
  <si>
    <t>A1a 076</t>
  </si>
  <si>
    <t>A1a 077</t>
  </si>
  <si>
    <t>A1a 078</t>
  </si>
  <si>
    <t>A1a 079</t>
  </si>
  <si>
    <t>A1a 080</t>
  </si>
  <si>
    <t>A1a 081</t>
  </si>
  <si>
    <t>A1a 082</t>
  </si>
  <si>
    <t>A1a 083</t>
  </si>
  <si>
    <t>A1a 084</t>
  </si>
  <si>
    <t>A1a 085</t>
  </si>
  <si>
    <t>A1a 086</t>
  </si>
  <si>
    <t>A2 001</t>
  </si>
  <si>
    <t>A2</t>
  </si>
  <si>
    <t>A2 002</t>
  </si>
  <si>
    <t>A2 003</t>
  </si>
  <si>
    <t>Bellossom</t>
  </si>
  <si>
    <t>A2 004</t>
  </si>
  <si>
    <t>A2 005</t>
  </si>
  <si>
    <t>Tangrowth</t>
  </si>
  <si>
    <t>A2 006</t>
  </si>
  <si>
    <t>Yanma</t>
  </si>
  <si>
    <t>A2 007</t>
  </si>
  <si>
    <t>Yanmega ex</t>
  </si>
  <si>
    <t>A2 008</t>
  </si>
  <si>
    <t>Roselia</t>
  </si>
  <si>
    <t>A2 009</t>
  </si>
  <si>
    <t>Roserade</t>
  </si>
  <si>
    <t>A2 010</t>
  </si>
  <si>
    <t>Turtwig</t>
  </si>
  <si>
    <t>A2 011</t>
  </si>
  <si>
    <t>Grotle</t>
  </si>
  <si>
    <t>A2 012</t>
  </si>
  <si>
    <t>Torterra</t>
  </si>
  <si>
    <t>A2 013</t>
  </si>
  <si>
    <t>Kricketot</t>
  </si>
  <si>
    <t>A2 014</t>
  </si>
  <si>
    <t>Kricketune</t>
  </si>
  <si>
    <t>A2 015</t>
  </si>
  <si>
    <t>Burmy</t>
  </si>
  <si>
    <t>A2 016</t>
  </si>
  <si>
    <t>Wormadam</t>
  </si>
  <si>
    <t>A2 017</t>
  </si>
  <si>
    <t>Combee</t>
  </si>
  <si>
    <t>CORRECTED FORMULAS: TECHNICAL NOTES</t>
  </si>
  <si>
    <t>A2 018</t>
  </si>
  <si>
    <t>Vespiquen</t>
  </si>
  <si>
    <t>Why the formulas for Genetic Apex didn't work here.</t>
  </si>
  <si>
    <t>A2 019</t>
  </si>
  <si>
    <t>Carnivine</t>
  </si>
  <si>
    <t>The packs in this expansion don't have the same number of cards of a particular rarity, which means that a card common to both packs will have different pull rates depending on the pack you choose.</t>
  </si>
  <si>
    <t>A2 020</t>
  </si>
  <si>
    <t>Leafeon</t>
  </si>
  <si>
    <t>A2 021</t>
  </si>
  <si>
    <t>Mow Rotom</t>
  </si>
  <si>
    <t>A2 022</t>
  </si>
  <si>
    <t>Shaymin</t>
  </si>
  <si>
    <t>A2 023</t>
  </si>
  <si>
    <t>For example, if you choose a Dialga Pack, you have a 2.174% chance of pulling 001 Oddish (♢). However, that same card can also be pulled from a Palkia Pack, and since there are less ♢ cards in that pack, the chances are sligtly higher (2.273%).</t>
  </si>
  <si>
    <t>A2 024</t>
  </si>
  <si>
    <t>Magmortar</t>
  </si>
  <si>
    <r>
      <rPr>
        <rFont val="Arial"/>
        <color theme="1"/>
        <sz val="5.0"/>
      </rPr>
      <t xml:space="preserve">*These totals </t>
    </r>
    <r>
      <rPr>
        <rFont val="Arial"/>
        <b/>
        <color theme="1"/>
        <sz val="5.0"/>
      </rPr>
      <t xml:space="preserve">DON'T </t>
    </r>
    <r>
      <rPr>
        <rFont val="Arial"/>
        <color theme="1"/>
        <sz val="5.0"/>
      </rPr>
      <t>include cards found across All packs</t>
    </r>
  </si>
  <si>
    <t>A2 025</t>
  </si>
  <si>
    <t>Slugma</t>
  </si>
  <si>
    <t>A2 026</t>
  </si>
  <si>
    <t>Magcargo</t>
  </si>
  <si>
    <t>A2 027</t>
  </si>
  <si>
    <t>Chimchar</t>
  </si>
  <si>
    <t>In Genetic Apex, the Mewtwo Pack had a ☆☆ card less than the others. However, this problem didn't arise because none of the ☆☆ cards are shared between packs. This prevents any card from having different pull rates depending on the chosen pack.</t>
  </si>
  <si>
    <t>A2 028</t>
  </si>
  <si>
    <t>Monferno</t>
  </si>
  <si>
    <t>A2 029</t>
  </si>
  <si>
    <t>Infernape ex</t>
  </si>
  <si>
    <t>A2 030</t>
  </si>
  <si>
    <t>Heat Rotom</t>
  </si>
  <si>
    <t>A2 031</t>
  </si>
  <si>
    <t>Swinub</t>
  </si>
  <si>
    <t>A2 032</t>
  </si>
  <si>
    <t>Piloswine</t>
  </si>
  <si>
    <t>What does the "x" mean.</t>
  </si>
  <si>
    <t>A2 033</t>
  </si>
  <si>
    <t>Mamoswine</t>
  </si>
  <si>
    <t>An pull rate of "x" means that the cell has a different value depending on the pack you are drawing from. Since (as far as I know) a cell cannot contain two values and have each one used for different instances, I've incorporated each "x value" into the corresponding formulas, and left the "x" as a notation.</t>
  </si>
  <si>
    <t>A2 034</t>
  </si>
  <si>
    <t>Regice</t>
  </si>
  <si>
    <t>A2 035</t>
  </si>
  <si>
    <t>Piplup</t>
  </si>
  <si>
    <t>A2 036</t>
  </si>
  <si>
    <t>Prinplup</t>
  </si>
  <si>
    <t>A2 037</t>
  </si>
  <si>
    <t>Empoleon</t>
  </si>
  <si>
    <t>Chance to get at least 1 new card across all 6 packs</t>
  </si>
  <si>
    <t>A2 038</t>
  </si>
  <si>
    <t>Buizel</t>
  </si>
  <si>
    <t>Best pack to open (% chance, All cards)</t>
  </si>
  <si>
    <t>The formulas used in this expansion are very specific and won't directly translate to a new expansion, but they can be used as reference.</t>
  </si>
  <si>
    <t>A2 039</t>
  </si>
  <si>
    <t>Floatzel</t>
  </si>
  <si>
    <t>A2 040</t>
  </si>
  <si>
    <t>Shellos</t>
  </si>
  <si>
    <t>A2 041</t>
  </si>
  <si>
    <t>Gastrodon</t>
  </si>
  <si>
    <t>A2 042</t>
  </si>
  <si>
    <t>A2 043</t>
  </si>
  <si>
    <t>A2 044</t>
  </si>
  <si>
    <t>Snover</t>
  </si>
  <si>
    <t>Variable "x" Pull Rates</t>
  </si>
  <si>
    <t>RECOMMENDATION FOR COLLECTORS</t>
  </si>
  <si>
    <t>A2 045</t>
  </si>
  <si>
    <t>Abomasnow</t>
  </si>
  <si>
    <t>*Only cards with rarities of ♢ and ♢♢ have variable pull rates</t>
  </si>
  <si>
    <r>
      <rPr>
        <rFont val="Arial"/>
        <color theme="1"/>
      </rPr>
      <t xml:space="preserve">If you are looking for a particular </t>
    </r>
    <r>
      <rPr>
        <rFont val="Arial"/>
        <color rgb="FFFF0000"/>
      </rPr>
      <t>♢ or ♢♢ card that can be found in both packs</t>
    </r>
    <r>
      <rPr>
        <rFont val="Arial"/>
        <color theme="1"/>
      </rPr>
      <t>, use the table on the left as reference for choosing the better pack and slightly increassing your odds.</t>
    </r>
  </si>
  <si>
    <t>A2 046</t>
  </si>
  <si>
    <t>Glaceon</t>
  </si>
  <si>
    <t>A2 047</t>
  </si>
  <si>
    <t>Wash Rotom</t>
  </si>
  <si>
    <t>Dialga</t>
  </si>
  <si>
    <t>A2 048</t>
  </si>
  <si>
    <t>Frost Rotom</t>
  </si>
  <si>
    <t>Palkia</t>
  </si>
  <si>
    <t>A2 049</t>
  </si>
  <si>
    <t>Palkia ex</t>
  </si>
  <si>
    <t>A2 050</t>
  </si>
  <si>
    <t>Manaphy</t>
  </si>
  <si>
    <t>A2 051</t>
  </si>
  <si>
    <t>A2 052</t>
  </si>
  <si>
    <t>A2 053</t>
  </si>
  <si>
    <t>Magnezone</t>
  </si>
  <si>
    <t>A2 054</t>
  </si>
  <si>
    <t>A2 055</t>
  </si>
  <si>
    <t>A2 056</t>
  </si>
  <si>
    <t>A2 057</t>
  </si>
  <si>
    <t>Electivire</t>
  </si>
  <si>
    <t>A2 058</t>
  </si>
  <si>
    <t>Shinx</t>
  </si>
  <si>
    <t>A2 059</t>
  </si>
  <si>
    <t>Luxio</t>
  </si>
  <si>
    <t>A2 060</t>
  </si>
  <si>
    <t>Luxray</t>
  </si>
  <si>
    <t>A2 061</t>
  </si>
  <si>
    <t>Pachirisu ex</t>
  </si>
  <si>
    <t>A2 062</t>
  </si>
  <si>
    <t>Rotom</t>
  </si>
  <si>
    <t>A2 063</t>
  </si>
  <si>
    <t>Togepi</t>
  </si>
  <si>
    <t>A2 064</t>
  </si>
  <si>
    <t>Togetic</t>
  </si>
  <si>
    <t>A2 065</t>
  </si>
  <si>
    <t>Togekiss</t>
  </si>
  <si>
    <t>A2 066</t>
  </si>
  <si>
    <t>Misdreavus</t>
  </si>
  <si>
    <t>A2 067</t>
  </si>
  <si>
    <t>Mismagius ex</t>
  </si>
  <si>
    <t>A2 068</t>
  </si>
  <si>
    <t>A2 069</t>
  </si>
  <si>
    <t>A2 070</t>
  </si>
  <si>
    <t>Duskull</t>
  </si>
  <si>
    <t>A2 071</t>
  </si>
  <si>
    <t>Dusclops</t>
  </si>
  <si>
    <t>A2 072</t>
  </si>
  <si>
    <t>Dusknoir</t>
  </si>
  <si>
    <t>A2 073</t>
  </si>
  <si>
    <t>Drifloon</t>
  </si>
  <si>
    <t>A2 074</t>
  </si>
  <si>
    <t>Drifblim</t>
  </si>
  <si>
    <t>A2 075</t>
  </si>
  <si>
    <t>Uxie</t>
  </si>
  <si>
    <t>A2 076</t>
  </si>
  <si>
    <t>Mesprit</t>
  </si>
  <si>
    <t>A2 077</t>
  </si>
  <si>
    <t>Azelf</t>
  </si>
  <si>
    <t>A2 078</t>
  </si>
  <si>
    <t>Giratina</t>
  </si>
  <si>
    <t>A2 079</t>
  </si>
  <si>
    <t>Cresselia</t>
  </si>
  <si>
    <t>A2 080</t>
  </si>
  <si>
    <t>A2 081</t>
  </si>
  <si>
    <t>A2 082</t>
  </si>
  <si>
    <t>Rhyperior</t>
  </si>
  <si>
    <t>A2 083</t>
  </si>
  <si>
    <t>Gligar</t>
  </si>
  <si>
    <t>A2 084</t>
  </si>
  <si>
    <t>Gliscor</t>
  </si>
  <si>
    <t>A2 085</t>
  </si>
  <si>
    <t>Hitmontop</t>
  </si>
  <si>
    <t>A2 086</t>
  </si>
  <si>
    <t>Nosepass</t>
  </si>
  <si>
    <t>A2 087</t>
  </si>
  <si>
    <t>Regirock</t>
  </si>
  <si>
    <t>A2 088</t>
  </si>
  <si>
    <t>Cranidos</t>
  </si>
  <si>
    <t>A2 089</t>
  </si>
  <si>
    <t>Rampardos</t>
  </si>
  <si>
    <t>A2 090</t>
  </si>
  <si>
    <t>A2 091</t>
  </si>
  <si>
    <t>Riolu</t>
  </si>
  <si>
    <t>A2 092</t>
  </si>
  <si>
    <t>Lucario</t>
  </si>
  <si>
    <t>A2 093</t>
  </si>
  <si>
    <t>Hippopotas</t>
  </si>
  <si>
    <t>A2 094</t>
  </si>
  <si>
    <t>Hippowdon</t>
  </si>
  <si>
    <t>A2 095</t>
  </si>
  <si>
    <t>Gallade ex</t>
  </si>
  <si>
    <t>A2 096</t>
  </si>
  <si>
    <t>Murkrow</t>
  </si>
  <si>
    <t>A2 097</t>
  </si>
  <si>
    <t>Honchkrow</t>
  </si>
  <si>
    <t>A2 098</t>
  </si>
  <si>
    <t>Sneasel</t>
  </si>
  <si>
    <t>A2 099</t>
  </si>
  <si>
    <t>Weavile ex</t>
  </si>
  <si>
    <t>A2 100</t>
  </si>
  <si>
    <t>Poochyena</t>
  </si>
  <si>
    <t>A2 101</t>
  </si>
  <si>
    <t>Mightyena</t>
  </si>
  <si>
    <t>A2 102</t>
  </si>
  <si>
    <t>Stunky</t>
  </si>
  <si>
    <t>A2 103</t>
  </si>
  <si>
    <t>Skuntank</t>
  </si>
  <si>
    <t>A2 104</t>
  </si>
  <si>
    <t>Spiritomb</t>
  </si>
  <si>
    <t>A2 105</t>
  </si>
  <si>
    <t>Skorupi</t>
  </si>
  <si>
    <t>A2 106</t>
  </si>
  <si>
    <t>Drapion</t>
  </si>
  <si>
    <t>A2 107</t>
  </si>
  <si>
    <t>Croagunk</t>
  </si>
  <si>
    <t>A2 108</t>
  </si>
  <si>
    <t>Toxicroak</t>
  </si>
  <si>
    <t>A2 109</t>
  </si>
  <si>
    <t>Darkrai</t>
  </si>
  <si>
    <t>A2 110</t>
  </si>
  <si>
    <t>Darkrai ex</t>
  </si>
  <si>
    <t>A2 111</t>
  </si>
  <si>
    <t>Skarmory</t>
  </si>
  <si>
    <t>A2 112</t>
  </si>
  <si>
    <t>Registeel</t>
  </si>
  <si>
    <t>A2 113</t>
  </si>
  <si>
    <t>Shieldon</t>
  </si>
  <si>
    <t>A2 114</t>
  </si>
  <si>
    <t>Bastiodon</t>
  </si>
  <si>
    <t>A2 115</t>
  </si>
  <si>
    <t>A2 116</t>
  </si>
  <si>
    <t>Bronzor</t>
  </si>
  <si>
    <t>A2 117</t>
  </si>
  <si>
    <t>Bronzong</t>
  </si>
  <si>
    <t>A2 118</t>
  </si>
  <si>
    <t>Probopass</t>
  </si>
  <si>
    <t>A2 119</t>
  </si>
  <si>
    <t>Dialga ex</t>
  </si>
  <si>
    <t>A2 120</t>
  </si>
  <si>
    <t>Heatran</t>
  </si>
  <si>
    <t>A2 121</t>
  </si>
  <si>
    <t>Gible</t>
  </si>
  <si>
    <t>A2 122</t>
  </si>
  <si>
    <t>Gabite</t>
  </si>
  <si>
    <t>A2 123</t>
  </si>
  <si>
    <t>Garchomp</t>
  </si>
  <si>
    <t>A2 124</t>
  </si>
  <si>
    <t>A2 125</t>
  </si>
  <si>
    <t>Lickilicky ex</t>
  </si>
  <si>
    <t>A2 126</t>
  </si>
  <si>
    <t>A2 127</t>
  </si>
  <si>
    <t>A2 128</t>
  </si>
  <si>
    <t>Porygon2</t>
  </si>
  <si>
    <t>A2 129</t>
  </si>
  <si>
    <t>Porygon-Z</t>
  </si>
  <si>
    <t>A2 130</t>
  </si>
  <si>
    <t>Aipom</t>
  </si>
  <si>
    <t>A2 131</t>
  </si>
  <si>
    <t>Ambipom</t>
  </si>
  <si>
    <t>A2 132</t>
  </si>
  <si>
    <t>Starly</t>
  </si>
  <si>
    <t>A2 133</t>
  </si>
  <si>
    <t>Staravia</t>
  </si>
  <si>
    <t>A2 134</t>
  </si>
  <si>
    <t>Staraptor</t>
  </si>
  <si>
    <t>A2 135</t>
  </si>
  <si>
    <t>Bidoof</t>
  </si>
  <si>
    <t>A2 136</t>
  </si>
  <si>
    <t>Bibarel</t>
  </si>
  <si>
    <t>A2 137</t>
  </si>
  <si>
    <t>Buneary</t>
  </si>
  <si>
    <t>A2 138</t>
  </si>
  <si>
    <t>Lopunny</t>
  </si>
  <si>
    <t>A2 139</t>
  </si>
  <si>
    <t>Glameow</t>
  </si>
  <si>
    <t>A2 140</t>
  </si>
  <si>
    <t>Purugly</t>
  </si>
  <si>
    <t>A2 141</t>
  </si>
  <si>
    <t>A2 142</t>
  </si>
  <si>
    <t>Fan Rotom</t>
  </si>
  <si>
    <t>A2 143</t>
  </si>
  <si>
    <t>Regigigas</t>
  </si>
  <si>
    <t>A2 144</t>
  </si>
  <si>
    <t>Skull Fossil</t>
  </si>
  <si>
    <t>A2 145</t>
  </si>
  <si>
    <t>Armor Fossil</t>
  </si>
  <si>
    <t>A2 146</t>
  </si>
  <si>
    <t>Pokemon Communication</t>
  </si>
  <si>
    <t>A2 147</t>
  </si>
  <si>
    <t>Giant Cape</t>
  </si>
  <si>
    <t>A2 148</t>
  </si>
  <si>
    <t>Rocky Helmet</t>
  </si>
  <si>
    <t>A2 149</t>
  </si>
  <si>
    <t>Lum Berry</t>
  </si>
  <si>
    <t>A2 150</t>
  </si>
  <si>
    <t>Cyrus</t>
  </si>
  <si>
    <t>A2 151</t>
  </si>
  <si>
    <t>Team Galactic Grunt</t>
  </si>
  <si>
    <t>A2 152</t>
  </si>
  <si>
    <t>Cynthia</t>
  </si>
  <si>
    <t>A2 153</t>
  </si>
  <si>
    <t>Volkner</t>
  </si>
  <si>
    <t>A2 154</t>
  </si>
  <si>
    <t>Dawn</t>
  </si>
  <si>
    <t>A2 155</t>
  </si>
  <si>
    <t>Mars</t>
  </si>
  <si>
    <t>A2 156</t>
  </si>
  <si>
    <t>A2 157</t>
  </si>
  <si>
    <t>A2 158</t>
  </si>
  <si>
    <t>A2 159</t>
  </si>
  <si>
    <t>A2 160</t>
  </si>
  <si>
    <t>A2 161</t>
  </si>
  <si>
    <t>A2 162</t>
  </si>
  <si>
    <t>A2 163</t>
  </si>
  <si>
    <t>A2 164</t>
  </si>
  <si>
    <t>A2 165</t>
  </si>
  <si>
    <t>A2 166</t>
  </si>
  <si>
    <t>A2 167</t>
  </si>
  <si>
    <t>A2 168</t>
  </si>
  <si>
    <t>A2 169</t>
  </si>
  <si>
    <t>A2 170</t>
  </si>
  <si>
    <t>A2 171</t>
  </si>
  <si>
    <t>A2 172</t>
  </si>
  <si>
    <t>A2 173</t>
  </si>
  <si>
    <t>A2 174</t>
  </si>
  <si>
    <t>A2 175</t>
  </si>
  <si>
    <t>A2 176</t>
  </si>
  <si>
    <t>A2 177</t>
  </si>
  <si>
    <t>A2 178</t>
  </si>
  <si>
    <t>A2 179</t>
  </si>
  <si>
    <t>A2 180</t>
  </si>
  <si>
    <t>A2 181</t>
  </si>
  <si>
    <t>A2 182</t>
  </si>
  <si>
    <t>A2 183</t>
  </si>
  <si>
    <t>A2 184</t>
  </si>
  <si>
    <t>A2 185</t>
  </si>
  <si>
    <t>A2 186</t>
  </si>
  <si>
    <t>Dialga ♢</t>
  </si>
  <si>
    <t>A2 187</t>
  </si>
  <si>
    <t>Palkia ♢</t>
  </si>
  <si>
    <t>A2 188</t>
  </si>
  <si>
    <t>A2 189</t>
  </si>
  <si>
    <t>Dialga ♢♢</t>
  </si>
  <si>
    <t>A2 190</t>
  </si>
  <si>
    <t>Palkia ♢♢</t>
  </si>
  <si>
    <t>A2 191</t>
  </si>
  <si>
    <t>A2 192</t>
  </si>
  <si>
    <t>Dialga ♢♢♢</t>
  </si>
  <si>
    <t>A2 193</t>
  </si>
  <si>
    <t>Palkia ♢♢♢</t>
  </si>
  <si>
    <t>A2 194</t>
  </si>
  <si>
    <t>A2 195</t>
  </si>
  <si>
    <t>Dialga ♢♢♢♢</t>
  </si>
  <si>
    <t>A2 196</t>
  </si>
  <si>
    <t>Palkia ♢♢♢♢</t>
  </si>
  <si>
    <t>A2 197</t>
  </si>
  <si>
    <t>A2 198</t>
  </si>
  <si>
    <t>Dialga ☆</t>
  </si>
  <si>
    <t>A2 199</t>
  </si>
  <si>
    <t>Palkia ☆</t>
  </si>
  <si>
    <t>A2 200</t>
  </si>
  <si>
    <t>A2 201</t>
  </si>
  <si>
    <t>Dialga ☆☆</t>
  </si>
  <si>
    <t>A2 202</t>
  </si>
  <si>
    <t>Dialga 1-3</t>
  </si>
  <si>
    <t>Palkia ☆☆</t>
  </si>
  <si>
    <t>A2 203</t>
  </si>
  <si>
    <t>Palkia 1-3</t>
  </si>
  <si>
    <t>A2 204</t>
  </si>
  <si>
    <t>Dialga 4</t>
  </si>
  <si>
    <t>Dialga ☆☆☆</t>
  </si>
  <si>
    <t>A2 205</t>
  </si>
  <si>
    <t>Palkia 4</t>
  </si>
  <si>
    <t>Palkia ☆☆☆</t>
  </si>
  <si>
    <t>A2 206</t>
  </si>
  <si>
    <t>Dialga 5</t>
  </si>
  <si>
    <t>A2 207</t>
  </si>
  <si>
    <t>Palkia 5</t>
  </si>
  <si>
    <t>Card ID</t>
  </si>
  <si>
    <t>Card</t>
  </si>
  <si>
    <t>P-A 001</t>
  </si>
  <si>
    <t>Potion</t>
  </si>
  <si>
    <t>P-A 002</t>
  </si>
  <si>
    <t>X speed</t>
  </si>
  <si>
    <t>P-A 003</t>
  </si>
  <si>
    <t>Hand scope</t>
  </si>
  <si>
    <t>P-A 004</t>
  </si>
  <si>
    <t>Pokedex</t>
  </si>
  <si>
    <t>P-A 005</t>
  </si>
  <si>
    <t>Poke ball</t>
  </si>
  <si>
    <t>P-A 006</t>
  </si>
  <si>
    <t xml:space="preserve">Red card </t>
  </si>
  <si>
    <t>P-A 007</t>
  </si>
  <si>
    <t>Professor's Research</t>
  </si>
  <si>
    <t>P-A 008</t>
  </si>
  <si>
    <t>Pokédex</t>
  </si>
  <si>
    <t>Celebration</t>
  </si>
  <si>
    <t>P-A 009</t>
  </si>
  <si>
    <t>Premium pass</t>
  </si>
  <si>
    <t>P-A 010</t>
  </si>
  <si>
    <t>P-A 011</t>
  </si>
  <si>
    <t>P-A 012</t>
  </si>
  <si>
    <t>P-A 013</t>
  </si>
  <si>
    <t>vol-1</t>
  </si>
  <si>
    <t>P-A 014</t>
  </si>
  <si>
    <t>Lapras ex</t>
  </si>
  <si>
    <t>P-A 015</t>
  </si>
  <si>
    <t>P-A 016</t>
  </si>
  <si>
    <t>P-A 017</t>
  </si>
  <si>
    <t>P-A 018</t>
  </si>
  <si>
    <t>vol-2</t>
  </si>
  <si>
    <t>P-A 019</t>
  </si>
  <si>
    <t>P-A 020</t>
  </si>
  <si>
    <t>P-A 021</t>
  </si>
  <si>
    <t>P-A 022</t>
  </si>
  <si>
    <t>P-A 023</t>
  </si>
  <si>
    <t>P-A 024</t>
  </si>
  <si>
    <t>P-A 025</t>
  </si>
  <si>
    <t>P-A 026</t>
  </si>
  <si>
    <t>New year login</t>
  </si>
  <si>
    <t>P-A 027</t>
  </si>
  <si>
    <t>vol-3</t>
  </si>
  <si>
    <t>P-A 028</t>
  </si>
  <si>
    <t>P-A 029</t>
  </si>
  <si>
    <t>P-A 030</t>
  </si>
  <si>
    <t>P-A 031</t>
  </si>
  <si>
    <t>P-A 032</t>
  </si>
  <si>
    <t>P-A 033</t>
  </si>
  <si>
    <t>P-A 034</t>
  </si>
  <si>
    <t>P-A 035</t>
  </si>
  <si>
    <t>vol-4</t>
  </si>
  <si>
    <t>P-A 036</t>
  </si>
  <si>
    <t>P-A 037</t>
  </si>
  <si>
    <t>Cressilia ex</t>
  </si>
  <si>
    <t>P-A 038</t>
  </si>
  <si>
    <t>P-A 039</t>
  </si>
  <si>
    <t>P-A 040</t>
  </si>
  <si>
    <t>P-A 041</t>
  </si>
  <si>
    <t>Trade Settings</t>
  </si>
  <si>
    <t>My Trades (Unfiltered)</t>
  </si>
  <si>
    <t>My Trades</t>
  </si>
  <si>
    <t>Tokens Settings</t>
  </si>
  <si>
    <t>Buying Tokens (Unfiltered)</t>
  </si>
  <si>
    <t>Buying Tokens</t>
  </si>
  <si>
    <t>For Trade</t>
  </si>
  <si>
    <t>Looking For</t>
  </si>
  <si>
    <t>Duplicates Available</t>
  </si>
  <si>
    <t>Counts To Trade</t>
  </si>
  <si>
    <t>Pack Included?</t>
  </si>
  <si>
    <t>Available</t>
  </si>
  <si>
    <t>Needed</t>
  </si>
  <si>
    <t>Price</t>
  </si>
  <si>
    <t>Only Cards with +2 Duplicates</t>
  </si>
  <si>
    <t>Sets Filter</t>
  </si>
  <si>
    <t>Tokens</t>
  </si>
  <si>
    <t>Trade Down To:</t>
  </si>
  <si>
    <t>Total Tokens Required</t>
  </si>
  <si>
    <t>Trade Up To:</t>
  </si>
  <si>
    <t>Rarities To Spend</t>
  </si>
  <si>
    <t>Rarities To Trade</t>
  </si>
  <si>
    <t>Sets To Spend From</t>
  </si>
  <si>
    <t>Space-Time Smackdown</t>
  </si>
  <si>
    <t>Obtainable Tokens</t>
  </si>
  <si>
    <t>Sets To Trade</t>
  </si>
  <si>
    <t>This total does not include the tokens already obtanied in the game.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</si>
</sst>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
    <numFmt numFmtId="166" formatCode="m-d"/>
  </numFmts>
  <fonts count="54">
    <font>
      <sz val="10.0"/>
      <color rgb="FF000000"/>
      <name val="Arial"/>
      <scheme val="minor"/>
    </font>
    <font>
      <u/>
      <sz val="20.0"/>
      <color rgb="FF0000FF"/>
    </font>
    <font/>
    <font>
      <color theme="1"/>
      <name val="Arial"/>
      <scheme val="minor"/>
    </font>
    <font>
      <b/>
      <color theme="1"/>
      <name val="Arial"/>
      <scheme val="minor"/>
    </font>
    <font>
      <color theme="1"/>
      <name val="Arial"/>
    </font>
    <font>
      <b/>
      <sz val="14.0"/>
      <color theme="1"/>
      <name val="Arial"/>
      <scheme val="minor"/>
    </font>
    <font>
      <sz val="10.0"/>
      <color theme="1"/>
      <name val="Arial"/>
      <scheme val="minor"/>
    </font>
    <font>
      <b/>
      <sz val="10.0"/>
      <color theme="1"/>
      <name val="Arial"/>
      <scheme val="minor"/>
    </font>
    <font>
      <sz val="5.0"/>
      <color theme="1"/>
      <name val="Arial"/>
    </font>
    <font>
      <sz val="10.0"/>
      <color theme="1"/>
      <name val="Roboto"/>
    </font>
    <font>
      <sz val="10.0"/>
      <color rgb="FF666666"/>
      <name val="Arial"/>
      <scheme val="minor"/>
    </font>
    <font>
      <b/>
      <sz val="10.0"/>
      <color rgb="FFFF0000"/>
      <name val="Roboto"/>
    </font>
    <font>
      <sz val="10.0"/>
      <color rgb="FFFF0000"/>
      <name val="Roboto"/>
    </font>
    <font>
      <b/>
      <sz val="10.0"/>
      <color theme="1"/>
      <name val="Roboto"/>
    </font>
    <font>
      <sz val="10.0"/>
      <color theme="1"/>
      <name val="Arial"/>
    </font>
    <font>
      <color theme="1"/>
      <name val="Roboto"/>
    </font>
    <font>
      <b/>
      <color rgb="FFFF0000"/>
      <name val="Roboto"/>
    </font>
    <font>
      <b/>
      <sz val="12.0"/>
      <color theme="1"/>
      <name val="Roboto"/>
    </font>
    <font>
      <sz val="6.0"/>
      <color theme="1"/>
      <name val="Arial"/>
    </font>
    <font>
      <sz val="20.0"/>
      <color theme="1"/>
      <name val="Arial"/>
    </font>
    <font>
      <color rgb="FF1F1F1F"/>
      <name val="Arial"/>
    </font>
    <font>
      <sz val="15.0"/>
      <color theme="1"/>
      <name val="Arial"/>
    </font>
    <font>
      <sz val="20.0"/>
      <color rgb="FF1155CC"/>
      <name val="Arial"/>
    </font>
    <font>
      <b/>
      <sz val="12.0"/>
      <color rgb="FF1155CC"/>
      <name val="Arial"/>
    </font>
    <font>
      <sz val="5.0"/>
      <color theme="1"/>
      <name val="Arial"/>
      <scheme val="minor"/>
    </font>
    <font>
      <sz val="9.0"/>
      <color theme="1"/>
      <name val="Arial"/>
    </font>
    <font>
      <sz val="13.0"/>
      <color theme="1"/>
      <name val="Arial"/>
    </font>
    <font>
      <sz val="8.0"/>
      <color theme="1"/>
      <name val="Arial"/>
    </font>
    <font>
      <b/>
      <sz val="12.0"/>
      <color theme="1"/>
      <name val="Arial"/>
    </font>
    <font>
      <u/>
      <color rgb="FF0000FF"/>
      <name val="Arial"/>
    </font>
    <font>
      <b/>
      <sz val="11.0"/>
      <color theme="1"/>
      <name val="Arial"/>
      <scheme val="minor"/>
    </font>
    <font>
      <b/>
      <sz val="12.0"/>
      <color theme="1"/>
      <name val="Arial"/>
      <scheme val="minor"/>
    </font>
    <font>
      <b/>
      <sz val="14.0"/>
      <color theme="1"/>
      <name val="Arial"/>
    </font>
    <font>
      <b/>
      <color theme="1"/>
      <name val="Arial"/>
    </font>
    <font>
      <sz val="6.0"/>
      <color theme="1"/>
      <name val="Arial"/>
      <scheme val="minor"/>
    </font>
    <font>
      <sz val="20.0"/>
      <color theme="1"/>
      <name val="Arial"/>
      <scheme val="minor"/>
    </font>
    <font>
      <color rgb="FF1F1F1F"/>
      <name val="Arial"/>
      <scheme val="minor"/>
    </font>
    <font>
      <sz val="20.0"/>
      <color rgb="FF1155CC"/>
      <name val="Arial"/>
      <scheme val="minor"/>
    </font>
    <font>
      <b/>
      <sz val="12.0"/>
      <color rgb="FF1155CC"/>
      <name val="Arial"/>
      <scheme val="minor"/>
    </font>
    <font>
      <sz val="15.0"/>
      <color theme="1"/>
      <name val="Arial"/>
      <scheme val="minor"/>
    </font>
    <font>
      <sz val="9.0"/>
      <color theme="1"/>
      <name val="Arial"/>
      <scheme val="minor"/>
    </font>
    <font>
      <sz val="13.0"/>
      <color theme="1"/>
      <name val="Arial"/>
      <scheme val="minor"/>
    </font>
    <font>
      <sz val="8.0"/>
      <color theme="1"/>
      <name val="Arial"/>
      <scheme val="minor"/>
    </font>
    <font>
      <color rgb="FF000000"/>
      <name val="Arial"/>
      <scheme val="minor"/>
    </font>
    <font>
      <color rgb="FF080808"/>
      <name val="Arial"/>
      <scheme val="minor"/>
    </font>
    <font>
      <sz val="7.0"/>
      <color theme="1"/>
      <name val="Arial"/>
      <scheme val="minor"/>
    </font>
    <font>
      <b/>
      <sz val="12.0"/>
      <color rgb="FFFF0000"/>
      <name val="Arial"/>
      <scheme val="minor"/>
    </font>
    <font>
      <b/>
      <sz val="14.0"/>
      <color theme="1"/>
      <name val="Roboto"/>
    </font>
    <font>
      <b/>
      <color theme="1"/>
      <name val="Roboto"/>
    </font>
    <font>
      <color rgb="FF000000"/>
      <name val="Arial"/>
    </font>
    <font>
      <b/>
      <color rgb="FFFF0000"/>
      <name val="Arial"/>
      <scheme val="minor"/>
    </font>
    <font>
      <b/>
      <sz val="8.0"/>
      <color rgb="FFFF0000"/>
      <name val="Arial"/>
      <scheme val="minor"/>
    </font>
    <font>
      <i/>
      <color theme="1"/>
      <name val="Arial"/>
      <scheme val="minor"/>
    </font>
  </fonts>
  <fills count="19">
    <fill>
      <patternFill patternType="none"/>
    </fill>
    <fill>
      <patternFill patternType="lightGray"/>
    </fill>
    <fill>
      <patternFill patternType="solid">
        <fgColor rgb="FFEFEFEF"/>
        <bgColor rgb="FFEFEFEF"/>
      </patternFill>
    </fill>
    <fill>
      <patternFill patternType="solid">
        <fgColor rgb="FFEA9999"/>
        <bgColor rgb="FFEA9999"/>
      </patternFill>
    </fill>
    <fill>
      <patternFill patternType="solid">
        <fgColor rgb="FFFFFFFF"/>
        <bgColor rgb="FFFFFFFF"/>
      </patternFill>
    </fill>
    <fill>
      <patternFill patternType="solid">
        <fgColor rgb="FFD9D2E9"/>
        <bgColor rgb="FFD9D2E9"/>
      </patternFill>
    </fill>
    <fill>
      <patternFill patternType="solid">
        <fgColor rgb="FFFFF2CC"/>
        <bgColor rgb="FFFFF2CC"/>
      </patternFill>
    </fill>
    <fill>
      <patternFill patternType="solid">
        <fgColor rgb="FFFCE5CD"/>
        <bgColor rgb="FFFCE5CD"/>
      </patternFill>
    </fill>
    <fill>
      <patternFill patternType="solid">
        <fgColor rgb="FFFFC1EA"/>
        <bgColor rgb="FFFFC1EA"/>
      </patternFill>
    </fill>
    <fill>
      <patternFill patternType="solid">
        <fgColor rgb="FF9FC5E8"/>
        <bgColor rgb="FF9FC5E8"/>
      </patternFill>
    </fill>
    <fill>
      <patternFill patternType="solid">
        <fgColor rgb="FFD5A6BD"/>
        <bgColor rgb="FFD5A6BD"/>
      </patternFill>
    </fill>
    <fill>
      <patternFill patternType="solid">
        <fgColor rgb="FFC9DAF8"/>
        <bgColor rgb="FFC9DAF8"/>
      </patternFill>
    </fill>
    <fill>
      <patternFill patternType="solid">
        <fgColor rgb="FFD9D9D9"/>
        <bgColor rgb="FFD9D9D9"/>
      </patternFill>
    </fill>
    <fill>
      <patternFill patternType="solid">
        <fgColor rgb="FFB4A7D6"/>
        <bgColor rgb="FFB4A7D6"/>
      </patternFill>
    </fill>
    <fill>
      <patternFill patternType="solid">
        <fgColor rgb="FFF9CB9C"/>
        <bgColor rgb="FFF9CB9C"/>
      </patternFill>
    </fill>
    <fill>
      <patternFill patternType="solid">
        <fgColor rgb="FFF3F3F3"/>
        <bgColor rgb="FFF3F3F3"/>
      </patternFill>
    </fill>
    <fill>
      <patternFill patternType="solid">
        <fgColor rgb="FFCCCCCC"/>
        <bgColor rgb="FFCCCCCC"/>
      </patternFill>
    </fill>
    <fill>
      <patternFill patternType="solid">
        <fgColor rgb="FFEAD1DC"/>
        <bgColor rgb="FFEAD1DC"/>
      </patternFill>
    </fill>
    <fill>
      <patternFill patternType="solid">
        <fgColor rgb="FFA2EE8E"/>
        <bgColor rgb="FFA2EE8E"/>
      </patternFill>
    </fill>
  </fills>
  <borders count="6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rder>
    <border>
      <right style="medium">
        <color rgb="FF000000"/>
      </right>
      <top style="thin">
        <color rgb="FF000000"/>
      </top>
    </border>
    <border>
      <bottom style="thick">
        <color rgb="FF000000"/>
      </bottom>
    </border>
    <border>
      <left style="thin">
        <color rgb="FF000000"/>
      </left>
      <right style="thin">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left style="thick">
        <color rgb="FF000000"/>
      </left>
      <bottom style="thick">
        <color rgb="FF1155CC"/>
      </bottom>
    </border>
    <border>
      <bottom style="thick">
        <color rgb="FF1155CC"/>
      </bottom>
    </border>
    <border>
      <right style="thick">
        <color rgb="FF000000"/>
      </right>
      <bottom style="thick">
        <color rgb="FF1155CC"/>
      </bottom>
    </border>
    <border>
      <left style="thick">
        <color rgb="FF1155CC"/>
      </left>
      <top style="thick">
        <color rgb="FF1155CC"/>
      </top>
    </border>
    <border>
      <top style="thick">
        <color rgb="FF1155CC"/>
      </top>
    </border>
    <border>
      <right style="thick">
        <color rgb="FF1155CC"/>
      </right>
      <top style="thick">
        <color rgb="FF1155CC"/>
      </top>
    </border>
    <border>
      <left style="thick">
        <color rgb="FF1155CC"/>
      </left>
    </border>
    <border>
      <right style="thick">
        <color rgb="FF1155CC"/>
      </right>
    </border>
    <border>
      <left style="thick">
        <color rgb="FF1155CC"/>
      </left>
      <top style="thin">
        <color rgb="FF000000"/>
      </top>
    </border>
    <border>
      <right style="thick">
        <color rgb="FF1155CC"/>
      </right>
      <top style="thin">
        <color rgb="FF000000"/>
      </top>
    </border>
    <border>
      <left style="thick">
        <color rgb="FF1155CC"/>
      </left>
      <bottom style="thin">
        <color rgb="FF000000"/>
      </bottom>
    </border>
    <border>
      <right style="thick">
        <color rgb="FF1155CC"/>
      </right>
      <bottom style="thin">
        <color rgb="FF000000"/>
      </bottom>
    </border>
    <border>
      <left style="thick">
        <color rgb="FF1155CC"/>
      </left>
      <bottom style="thick">
        <color rgb="FF1155CC"/>
      </bottom>
    </border>
    <border>
      <right style="thick">
        <color rgb="FF1155CC"/>
      </right>
      <bottom style="thick">
        <color rgb="FF1155CC"/>
      </bottom>
    </border>
    <border>
      <left style="thin">
        <color rgb="FF000000"/>
      </left>
      <right style="thick">
        <color rgb="FF000000"/>
      </right>
    </border>
    <border>
      <right style="thick">
        <color rgb="FFFFC1EA"/>
      </right>
    </border>
    <border>
      <right style="thick">
        <color rgb="FFFFC1EA"/>
      </right>
      <bottom style="thin">
        <color rgb="FF000000"/>
      </bottom>
    </border>
    <border>
      <bottom style="thick">
        <color rgb="FFFFC1EA"/>
      </bottom>
    </border>
    <border>
      <right style="thick">
        <color rgb="FFFFC1EA"/>
      </right>
      <bottom style="thick">
        <color rgb="FFFFC1EA"/>
      </bottom>
    </border>
    <border>
      <right style="thick">
        <color rgb="FF4A86E8"/>
      </right>
    </border>
    <border>
      <left style="thick">
        <color rgb="FFFF0000"/>
      </left>
      <top style="thick">
        <color rgb="FFFF0000"/>
      </top>
      <bottom style="thin">
        <color rgb="FF000000"/>
      </bottom>
    </border>
    <border>
      <top style="thick">
        <color rgb="FFFF0000"/>
      </top>
      <bottom style="thin">
        <color rgb="FF000000"/>
      </bottom>
    </border>
    <border>
      <right style="thick">
        <color rgb="FFFF0000"/>
      </right>
      <top style="thick">
        <color rgb="FFFF0000"/>
      </top>
      <bottom style="thin">
        <color rgb="FF000000"/>
      </bottom>
    </border>
    <border>
      <left style="thick">
        <color rgb="FFFF0000"/>
      </left>
    </border>
    <border>
      <left style="dotted">
        <color rgb="FF000000"/>
      </left>
    </border>
    <border>
      <right style="thick">
        <color rgb="FFFF0000"/>
      </right>
    </border>
    <border>
      <left style="thick">
        <color rgb="FFFF0000"/>
      </left>
      <bottom style="thick">
        <color rgb="FFFF0000"/>
      </bottom>
    </border>
    <border>
      <bottom style="thick">
        <color rgb="FFFF0000"/>
      </bottom>
    </border>
    <border>
      <left style="dotted">
        <color rgb="FF000000"/>
      </left>
      <bottom style="thick">
        <color rgb="FFFF0000"/>
      </bottom>
    </border>
    <border>
      <right style="thick">
        <color rgb="FFFF0000"/>
      </right>
      <bottom style="thick">
        <color rgb="FFFF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ttom style="thin">
        <color rgb="FF000000"/>
      </bottom>
    </border>
  </borders>
  <cellStyleXfs count="1">
    <xf borderId="0" fillId="0" fontId="0" numFmtId="0" applyAlignment="1" applyFont="1"/>
  </cellStyleXfs>
  <cellXfs count="47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readingOrder="0" vertical="center"/>
    </xf>
    <xf borderId="4" fillId="0" fontId="2" numFmtId="0" xfId="0" applyBorder="1" applyFont="1"/>
    <xf borderId="5" fillId="0" fontId="2" numFmtId="0" xfId="0" applyBorder="1" applyFont="1"/>
    <xf borderId="0" fillId="0" fontId="3" numFmtId="0" xfId="0" applyFont="1"/>
    <xf borderId="0" fillId="0" fontId="3" numFmtId="0" xfId="0" applyAlignment="1" applyFont="1">
      <alignment readingOrder="0"/>
    </xf>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readingOrder="0" vertical="center"/>
    </xf>
    <xf borderId="9" fillId="0" fontId="3" numFmtId="0" xfId="0" applyAlignment="1" applyBorder="1" applyFont="1">
      <alignment horizontal="center" readingOrder="0" vertical="center"/>
    </xf>
    <xf borderId="9" fillId="0" fontId="3" numFmtId="0" xfId="0" applyBorder="1" applyFont="1"/>
    <xf borderId="0" fillId="0" fontId="3" numFmtId="164" xfId="0" applyAlignment="1" applyFont="1" applyNumberFormat="1">
      <alignment horizontal="center" readingOrder="0" vertical="center"/>
    </xf>
    <xf borderId="0" fillId="0" fontId="3" numFmtId="0" xfId="0" applyAlignment="1" applyFont="1">
      <alignment horizontal="left" readingOrder="0" vertical="center"/>
    </xf>
    <xf borderId="0" fillId="0" fontId="3" numFmtId="0" xfId="0" applyAlignment="1" applyFont="1">
      <alignment horizontal="left" readingOrder="0"/>
    </xf>
    <xf borderId="0" fillId="0" fontId="5" numFmtId="164" xfId="0" applyAlignment="1" applyFont="1" applyNumberFormat="1">
      <alignment horizontal="center"/>
    </xf>
    <xf borderId="0" fillId="0" fontId="5" numFmtId="0" xfId="0" applyFont="1"/>
    <xf borderId="0" fillId="0" fontId="5" numFmtId="0" xfId="0" applyAlignment="1" applyFont="1">
      <alignment vertical="bottom"/>
    </xf>
    <xf borderId="0" fillId="0" fontId="3" numFmtId="164" xfId="0" applyFont="1" applyNumberFormat="1"/>
    <xf borderId="0" fillId="0" fontId="3" numFmtId="0" xfId="0" applyAlignment="1" applyFont="1">
      <alignment horizontal="left"/>
    </xf>
    <xf borderId="0" fillId="0" fontId="3" numFmtId="0" xfId="0" applyAlignment="1" applyFont="1">
      <alignment vertical="center"/>
    </xf>
    <xf borderId="10" fillId="0" fontId="6" numFmtId="0" xfId="0" applyAlignment="1" applyBorder="1" applyFont="1">
      <alignment horizontal="center" readingOrder="0" vertical="center"/>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0" fillId="0" fontId="7" numFmtId="0" xfId="0" applyAlignment="1" applyFont="1">
      <alignment vertical="center"/>
    </xf>
    <xf borderId="16" fillId="0" fontId="8" numFmtId="0" xfId="0" applyAlignment="1" applyBorder="1" applyFont="1">
      <alignment horizontal="center" readingOrder="0" vertical="center"/>
    </xf>
    <xf borderId="17" fillId="0" fontId="2" numFmtId="0" xfId="0" applyBorder="1" applyFont="1"/>
    <xf borderId="18" fillId="0" fontId="2" numFmtId="0" xfId="0" applyBorder="1" applyFont="1"/>
    <xf borderId="16" fillId="0" fontId="8" numFmtId="0" xfId="0" applyAlignment="1" applyBorder="1" applyFont="1">
      <alignment horizontal="center" vertical="center"/>
    </xf>
    <xf borderId="19" fillId="2" fontId="7" numFmtId="0" xfId="0" applyAlignment="1" applyBorder="1" applyFill="1" applyFont="1">
      <alignment vertical="center"/>
    </xf>
    <xf borderId="20" fillId="2" fontId="8" numFmtId="3" xfId="0" applyAlignment="1" applyBorder="1" applyFont="1" applyNumberFormat="1">
      <alignment horizontal="center" vertical="center"/>
    </xf>
    <xf borderId="19" fillId="3" fontId="9" numFmtId="0" xfId="0" applyAlignment="1" applyBorder="1" applyFill="1" applyFont="1">
      <alignment readingOrder="0" shrinkToFit="0" vertical="center" wrapText="1"/>
    </xf>
    <xf borderId="0" fillId="4" fontId="10" numFmtId="0" xfId="0" applyAlignment="1" applyFill="1" applyFont="1">
      <alignment horizontal="center" readingOrder="0" vertical="center"/>
    </xf>
    <xf borderId="0" fillId="4" fontId="10" numFmtId="0" xfId="0" applyAlignment="1" applyFont="1">
      <alignment horizontal="center" vertical="center"/>
    </xf>
    <xf borderId="20" fillId="4" fontId="10" numFmtId="0" xfId="0" applyAlignment="1" applyBorder="1" applyFont="1">
      <alignment horizontal="center" readingOrder="0" vertical="center"/>
    </xf>
    <xf borderId="19" fillId="0" fontId="7" numFmtId="0" xfId="0" applyAlignment="1" applyBorder="1" applyFont="1">
      <alignment vertical="center"/>
    </xf>
    <xf borderId="0" fillId="5" fontId="11" numFmtId="0" xfId="0" applyAlignment="1" applyFill="1" applyFont="1">
      <alignment readingOrder="0" vertical="center"/>
    </xf>
    <xf borderId="0" fillId="5" fontId="11" numFmtId="0" xfId="0" applyAlignment="1" applyFont="1">
      <alignment horizontal="right" vertical="center"/>
    </xf>
    <xf borderId="20" fillId="0" fontId="8" numFmtId="3" xfId="0" applyAlignment="1" applyBorder="1" applyFont="1" applyNumberFormat="1">
      <alignment horizontal="center" vertical="center"/>
    </xf>
    <xf borderId="19" fillId="4" fontId="10" numFmtId="0" xfId="0" applyAlignment="1" applyBorder="1" applyFont="1">
      <alignment vertical="center"/>
    </xf>
    <xf borderId="0" fillId="4" fontId="10" numFmtId="10" xfId="0" applyAlignment="1" applyFont="1" applyNumberFormat="1">
      <alignment horizontal="right" vertical="center"/>
    </xf>
    <xf borderId="20" fillId="4" fontId="12" numFmtId="0" xfId="0" applyAlignment="1" applyBorder="1" applyFont="1">
      <alignment horizontal="right" vertical="center"/>
    </xf>
    <xf borderId="19" fillId="0" fontId="2" numFmtId="0" xfId="0" applyBorder="1" applyFont="1"/>
    <xf borderId="0" fillId="6" fontId="11" numFmtId="0" xfId="0" applyAlignment="1" applyFill="1" applyFont="1">
      <alignment readingOrder="0" vertical="center"/>
    </xf>
    <xf borderId="0" fillId="6" fontId="11" numFmtId="0" xfId="0" applyAlignment="1" applyFont="1">
      <alignment horizontal="right" vertical="center"/>
    </xf>
    <xf borderId="20" fillId="0" fontId="2" numFmtId="0" xfId="0" applyBorder="1" applyFont="1"/>
    <xf borderId="19" fillId="5" fontId="10" numFmtId="0" xfId="0" applyAlignment="1" applyBorder="1" applyFont="1">
      <alignment readingOrder="0" vertical="center"/>
    </xf>
    <xf borderId="0" fillId="5" fontId="10" numFmtId="10" xfId="0" applyAlignment="1" applyFont="1" applyNumberFormat="1">
      <alignment horizontal="right" vertical="center"/>
    </xf>
    <xf borderId="20" fillId="5" fontId="12" numFmtId="0" xfId="0" applyAlignment="1" applyBorder="1" applyFont="1">
      <alignment horizontal="right" vertical="center"/>
    </xf>
    <xf borderId="0" fillId="7" fontId="11" numFmtId="0" xfId="0" applyAlignment="1" applyFill="1" applyFont="1">
      <alignment readingOrder="0" vertical="center"/>
    </xf>
    <xf borderId="0" fillId="7" fontId="11" numFmtId="0" xfId="0" applyAlignment="1" applyFont="1">
      <alignment horizontal="right" vertical="center"/>
    </xf>
    <xf borderId="19" fillId="6" fontId="10" numFmtId="0" xfId="0" applyAlignment="1" applyBorder="1" applyFont="1">
      <alignment readingOrder="0" vertical="center"/>
    </xf>
    <xf borderId="0" fillId="6" fontId="10" numFmtId="10" xfId="0" applyAlignment="1" applyFont="1" applyNumberFormat="1">
      <alignment horizontal="right" vertical="center"/>
    </xf>
    <xf borderId="20" fillId="6" fontId="12" numFmtId="0" xfId="0" applyAlignment="1" applyBorder="1" applyFont="1">
      <alignment horizontal="right" vertical="center"/>
    </xf>
    <xf borderId="0" fillId="8" fontId="11" numFmtId="0" xfId="0" applyAlignment="1" applyFill="1" applyFont="1">
      <alignment readingOrder="0" vertical="center"/>
    </xf>
    <xf borderId="19" fillId="7" fontId="10" numFmtId="0" xfId="0" applyAlignment="1" applyBorder="1" applyFont="1">
      <alignment readingOrder="0" vertical="center"/>
    </xf>
    <xf borderId="0" fillId="7" fontId="10" numFmtId="10" xfId="0" applyAlignment="1" applyFont="1" applyNumberFormat="1">
      <alignment horizontal="right" vertical="center"/>
    </xf>
    <xf borderId="20" fillId="7" fontId="12" numFmtId="0" xfId="0" applyAlignment="1" applyBorder="1" applyFont="1">
      <alignment horizontal="right" vertical="center"/>
    </xf>
    <xf borderId="19" fillId="0" fontId="7" numFmtId="0" xfId="0" applyAlignment="1" applyBorder="1" applyFont="1">
      <alignment shrinkToFit="0" vertical="center" wrapText="1"/>
    </xf>
    <xf borderId="0" fillId="9" fontId="11" numFmtId="0" xfId="0" applyAlignment="1" applyFill="1" applyFont="1">
      <alignment readingOrder="0" vertical="center"/>
    </xf>
    <xf borderId="0" fillId="9" fontId="11" numFmtId="0" xfId="0" applyAlignment="1" applyFont="1">
      <alignment horizontal="right" vertical="center"/>
    </xf>
    <xf borderId="21" fillId="8" fontId="13" numFmtId="0" xfId="0" applyAlignment="1" applyBorder="1" applyFont="1">
      <alignment vertical="center"/>
    </xf>
    <xf borderId="9" fillId="8" fontId="10" numFmtId="10" xfId="0" applyAlignment="1" applyBorder="1" applyFont="1" applyNumberFormat="1">
      <alignment horizontal="right" vertical="center"/>
    </xf>
    <xf borderId="22" fillId="8" fontId="12" numFmtId="0" xfId="0" applyAlignment="1" applyBorder="1" applyFont="1">
      <alignment horizontal="right" vertical="center"/>
    </xf>
    <xf borderId="0" fillId="10" fontId="11" numFmtId="0" xfId="0" applyAlignment="1" applyFill="1" applyFont="1">
      <alignment readingOrder="0" vertical="center"/>
    </xf>
    <xf borderId="0" fillId="10" fontId="11" numFmtId="0" xfId="0" applyAlignment="1" applyFont="1">
      <alignment horizontal="right" vertical="center"/>
    </xf>
    <xf borderId="19" fillId="4" fontId="10" numFmtId="0" xfId="0" applyAlignment="1" applyBorder="1" applyFont="1">
      <alignment readingOrder="0" shrinkToFit="0" vertical="center" wrapText="1"/>
    </xf>
    <xf borderId="0" fillId="0" fontId="14" numFmtId="0" xfId="0" applyAlignment="1" applyFont="1">
      <alignment horizontal="center" vertical="center"/>
    </xf>
    <xf borderId="13" fillId="4" fontId="10" numFmtId="0" xfId="0" applyAlignment="1" applyBorder="1" applyFont="1">
      <alignment readingOrder="0" shrinkToFit="0" vertical="center" wrapText="1"/>
    </xf>
    <xf borderId="14" fillId="0" fontId="14" numFmtId="0" xfId="0" applyAlignment="1" applyBorder="1" applyFont="1">
      <alignment horizontal="center" vertical="center"/>
    </xf>
    <xf borderId="0" fillId="4" fontId="7" numFmtId="0" xfId="0" applyAlignment="1" applyFont="1">
      <alignment horizontal="center" readingOrder="0" vertical="center"/>
    </xf>
    <xf borderId="0" fillId="4" fontId="7" numFmtId="0" xfId="0" applyAlignment="1" applyFont="1">
      <alignment vertical="center"/>
    </xf>
    <xf borderId="20" fillId="4" fontId="7" numFmtId="0" xfId="0" applyAlignment="1" applyBorder="1" applyFont="1">
      <alignment vertical="center"/>
    </xf>
    <xf borderId="19" fillId="0" fontId="15" numFmtId="0" xfId="0" applyAlignment="1" applyBorder="1" applyFont="1">
      <alignment vertical="center"/>
    </xf>
    <xf borderId="19" fillId="8" fontId="10" numFmtId="0" xfId="0" applyAlignment="1" applyBorder="1" applyFont="1">
      <alignment readingOrder="0" vertical="center"/>
    </xf>
    <xf borderId="0" fillId="8" fontId="10" numFmtId="10" xfId="0" applyAlignment="1" applyFont="1" applyNumberFormat="1">
      <alignment horizontal="right" vertical="center"/>
    </xf>
    <xf borderId="20" fillId="8" fontId="12" numFmtId="0" xfId="0" applyAlignment="1" applyBorder="1" applyFont="1">
      <alignment horizontal="right" vertical="center"/>
    </xf>
    <xf borderId="0" fillId="0" fontId="10" numFmtId="0" xfId="0" applyAlignment="1" applyFont="1">
      <alignment horizontal="center" vertical="center"/>
    </xf>
    <xf borderId="23" fillId="0" fontId="8" numFmtId="0" xfId="0" applyAlignment="1" applyBorder="1" applyFont="1">
      <alignment horizontal="center" vertical="center"/>
    </xf>
    <xf borderId="24" fillId="0" fontId="2" numFmtId="0" xfId="0" applyBorder="1" applyFont="1"/>
    <xf borderId="19" fillId="0" fontId="15" numFmtId="0" xfId="0" applyAlignment="1" applyBorder="1" applyFont="1">
      <alignment vertical="center"/>
    </xf>
    <xf borderId="0" fillId="0" fontId="10" numFmtId="0" xfId="0" applyAlignment="1" applyFont="1">
      <alignment horizontal="center" vertical="center"/>
    </xf>
    <xf borderId="0" fillId="0" fontId="10" numFmtId="49" xfId="0" applyAlignment="1" applyFont="1" applyNumberFormat="1">
      <alignment horizontal="center" readingOrder="0" vertical="center"/>
    </xf>
    <xf borderId="20" fillId="0" fontId="10" numFmtId="0" xfId="0" applyAlignment="1" applyBorder="1" applyFont="1">
      <alignment horizontal="center" vertical="center"/>
    </xf>
    <xf borderId="19" fillId="9" fontId="10" numFmtId="0" xfId="0" applyAlignment="1" applyBorder="1" applyFont="1">
      <alignment readingOrder="0" vertical="center"/>
    </xf>
    <xf borderId="0" fillId="9" fontId="10" numFmtId="10" xfId="0" applyAlignment="1" applyFont="1" applyNumberFormat="1">
      <alignment horizontal="right" vertical="center"/>
    </xf>
    <xf borderId="20" fillId="9" fontId="12" numFmtId="0" xfId="0" applyAlignment="1" applyBorder="1" applyFont="1">
      <alignment horizontal="right" vertical="center"/>
    </xf>
    <xf borderId="20" fillId="5" fontId="14" numFmtId="10" xfId="0" applyAlignment="1" applyBorder="1" applyFont="1" applyNumberFormat="1">
      <alignment horizontal="right" vertical="center"/>
    </xf>
    <xf borderId="19" fillId="10" fontId="10" numFmtId="0" xfId="0" applyAlignment="1" applyBorder="1" applyFont="1">
      <alignment readingOrder="0" vertical="center"/>
    </xf>
    <xf borderId="0" fillId="10" fontId="10" numFmtId="10" xfId="0" applyAlignment="1" applyFont="1" applyNumberFormat="1">
      <alignment horizontal="right" vertical="center"/>
    </xf>
    <xf borderId="20" fillId="10" fontId="12" numFmtId="0" xfId="0" applyAlignment="1" applyBorder="1" applyFont="1">
      <alignment horizontal="right" vertical="center"/>
    </xf>
    <xf borderId="20" fillId="6" fontId="14" numFmtId="10" xfId="0" applyAlignment="1" applyBorder="1" applyFont="1" applyNumberFormat="1">
      <alignment horizontal="right" vertical="center"/>
    </xf>
    <xf borderId="20" fillId="7" fontId="14" numFmtId="10" xfId="0" applyAlignment="1" applyBorder="1" applyFont="1" applyNumberFormat="1">
      <alignment horizontal="right" vertical="center"/>
    </xf>
    <xf borderId="20" fillId="8" fontId="14" numFmtId="10" xfId="0" applyAlignment="1" applyBorder="1" applyFont="1" applyNumberFormat="1">
      <alignment horizontal="right" vertical="center"/>
    </xf>
    <xf borderId="19" fillId="0" fontId="5" numFmtId="0" xfId="0" applyAlignment="1" applyBorder="1" applyFont="1">
      <alignment vertical="center"/>
    </xf>
    <xf borderId="0" fillId="4" fontId="16" numFmtId="0" xfId="0" applyAlignment="1" applyFont="1">
      <alignment horizontal="center" readingOrder="0" vertical="center"/>
    </xf>
    <xf borderId="0" fillId="4" fontId="16" numFmtId="0" xfId="0" applyAlignment="1" applyFont="1">
      <alignment horizontal="center" vertical="center"/>
    </xf>
    <xf borderId="20" fillId="4" fontId="16" numFmtId="0" xfId="0" applyAlignment="1" applyBorder="1" applyFont="1">
      <alignment horizontal="center" readingOrder="0" vertical="center"/>
    </xf>
    <xf borderId="20" fillId="9" fontId="14" numFmtId="10" xfId="0" applyAlignment="1" applyBorder="1" applyFont="1" applyNumberFormat="1">
      <alignment horizontal="right" vertical="center"/>
    </xf>
    <xf borderId="19" fillId="0" fontId="5" numFmtId="0" xfId="0" applyAlignment="1" applyBorder="1" applyFont="1">
      <alignment vertical="center"/>
    </xf>
    <xf borderId="0" fillId="4" fontId="16" numFmtId="10" xfId="0" applyAlignment="1" applyFont="1" applyNumberFormat="1">
      <alignment horizontal="right" vertical="center"/>
    </xf>
    <xf borderId="20" fillId="4" fontId="17" numFmtId="0" xfId="0" applyAlignment="1" applyBorder="1" applyFont="1">
      <alignment horizontal="right" vertical="center"/>
    </xf>
    <xf borderId="20" fillId="10" fontId="14" numFmtId="10" xfId="0" applyAlignment="1" applyBorder="1" applyFont="1" applyNumberFormat="1">
      <alignment horizontal="right" vertical="center"/>
    </xf>
    <xf borderId="19" fillId="11" fontId="3" numFmtId="0" xfId="0" applyAlignment="1" applyBorder="1" applyFill="1" applyFont="1">
      <alignment readingOrder="0" vertical="center"/>
    </xf>
    <xf borderId="0" fillId="11" fontId="16" numFmtId="10" xfId="0" applyAlignment="1" applyFont="1" applyNumberFormat="1">
      <alignment horizontal="right" vertical="center"/>
    </xf>
    <xf borderId="20" fillId="11" fontId="17" numFmtId="0" xfId="0" applyAlignment="1" applyBorder="1" applyFont="1">
      <alignment horizontal="right" vertical="center"/>
    </xf>
    <xf borderId="19" fillId="4" fontId="16" numFmtId="0" xfId="0" applyAlignment="1" applyBorder="1" applyFont="1">
      <alignment shrinkToFit="0" vertical="center" wrapText="1"/>
    </xf>
    <xf borderId="0" fillId="0" fontId="18" numFmtId="0" xfId="0" applyAlignment="1" applyFont="1">
      <alignment horizontal="center" vertical="center"/>
    </xf>
    <xf borderId="19" fillId="12" fontId="5" numFmtId="0" xfId="0" applyAlignment="1" applyBorder="1" applyFill="1" applyFont="1">
      <alignment readingOrder="0" vertical="center"/>
    </xf>
    <xf borderId="0" fillId="12" fontId="16" numFmtId="10" xfId="0" applyAlignment="1" applyFont="1" applyNumberFormat="1">
      <alignment horizontal="right" vertical="center"/>
    </xf>
    <xf borderId="20" fillId="12" fontId="17" numFmtId="0" xfId="0" applyAlignment="1" applyBorder="1" applyFont="1">
      <alignment horizontal="right" vertical="center"/>
    </xf>
    <xf borderId="19" fillId="0" fontId="5" numFmtId="0" xfId="0" applyAlignment="1" applyBorder="1" applyFont="1">
      <alignment readingOrder="0" vertical="center"/>
    </xf>
    <xf borderId="0" fillId="13" fontId="16" numFmtId="10" xfId="0" applyAlignment="1" applyFill="1" applyFont="1" applyNumberFormat="1">
      <alignment horizontal="right" vertical="center"/>
    </xf>
    <xf borderId="20" fillId="13" fontId="17" numFmtId="0" xfId="0" applyAlignment="1" applyBorder="1" applyFont="1">
      <alignment horizontal="right" vertical="center"/>
    </xf>
    <xf borderId="13" fillId="0" fontId="3" numFmtId="0" xfId="0" applyAlignment="1" applyBorder="1" applyFont="1">
      <alignment readingOrder="0" vertical="center"/>
    </xf>
    <xf borderId="14" fillId="14" fontId="16" numFmtId="10" xfId="0" applyAlignment="1" applyBorder="1" applyFill="1" applyFont="1" applyNumberFormat="1">
      <alignment horizontal="right" vertical="center"/>
    </xf>
    <xf borderId="15" fillId="14" fontId="17" numFmtId="0" xfId="0" applyAlignment="1" applyBorder="1" applyFont="1">
      <alignment horizontal="right" vertical="center"/>
    </xf>
    <xf borderId="25" fillId="4" fontId="7" numFmtId="0" xfId="0" applyAlignment="1" applyBorder="1" applyFont="1">
      <alignment readingOrder="0"/>
    </xf>
    <xf borderId="0" fillId="4" fontId="7" numFmtId="0" xfId="0" applyAlignment="1" applyFont="1">
      <alignment horizontal="left" readingOrder="0" shrinkToFit="0" vertical="top" wrapText="1"/>
    </xf>
    <xf borderId="0" fillId="4" fontId="7" numFmtId="0" xfId="0" applyAlignment="1" applyFont="1">
      <alignment readingOrder="0"/>
    </xf>
    <xf borderId="26" fillId="2" fontId="5" numFmtId="3" xfId="0" applyAlignment="1" applyBorder="1" applyFont="1" applyNumberFormat="1">
      <alignment horizontal="center" readingOrder="0" vertical="bottom"/>
    </xf>
    <xf borderId="0" fillId="4" fontId="5" numFmtId="0" xfId="0" applyAlignment="1" applyFont="1">
      <alignment vertical="bottom"/>
    </xf>
    <xf borderId="0" fillId="4" fontId="5" numFmtId="0" xfId="0" applyAlignment="1" applyFont="1">
      <alignment readingOrder="0" vertical="bottom"/>
    </xf>
    <xf borderId="0" fillId="4" fontId="5" numFmtId="165" xfId="0" applyAlignment="1" applyFont="1" applyNumberFormat="1">
      <alignment horizontal="right" vertical="bottom"/>
    </xf>
    <xf borderId="0" fillId="4" fontId="5" numFmtId="165" xfId="0" applyAlignment="1" applyFont="1" applyNumberFormat="1">
      <alignment vertical="bottom"/>
    </xf>
    <xf borderId="4" fillId="15" fontId="19" numFmtId="0" xfId="0" applyAlignment="1" applyBorder="1" applyFill="1" applyFont="1">
      <alignment vertical="bottom"/>
    </xf>
    <xf borderId="27" fillId="4" fontId="5" numFmtId="0" xfId="0" applyAlignment="1" applyBorder="1" applyFont="1">
      <alignment vertical="bottom"/>
    </xf>
    <xf borderId="28" fillId="4" fontId="5" numFmtId="166" xfId="0" applyAlignment="1" applyBorder="1" applyFont="1" applyNumberFormat="1">
      <alignment horizontal="right" vertical="bottom"/>
    </xf>
    <xf borderId="28" fillId="4" fontId="5" numFmtId="0" xfId="0" applyAlignment="1" applyBorder="1" applyFont="1">
      <alignment horizontal="right" vertical="bottom"/>
    </xf>
    <xf borderId="29" fillId="4" fontId="5" numFmtId="0" xfId="0" applyAlignment="1" applyBorder="1" applyFont="1">
      <alignment horizontal="right" vertical="bottom"/>
    </xf>
    <xf borderId="30" fillId="4" fontId="5" numFmtId="0" xfId="0" applyAlignment="1" applyBorder="1" applyFont="1">
      <alignment vertical="bottom"/>
    </xf>
    <xf borderId="0" fillId="4" fontId="5" numFmtId="165" xfId="0" applyAlignment="1" applyFont="1" applyNumberFormat="1">
      <alignment horizontal="right" readingOrder="0" vertical="bottom"/>
    </xf>
    <xf borderId="31" fillId="4" fontId="5" numFmtId="165" xfId="0" applyAlignment="1" applyBorder="1" applyFont="1" applyNumberFormat="1">
      <alignment horizontal="right" vertical="bottom"/>
    </xf>
    <xf borderId="31" fillId="4" fontId="5" numFmtId="165" xfId="0" applyAlignment="1" applyBorder="1" applyFont="1" applyNumberFormat="1">
      <alignment horizontal="right" readingOrder="0" vertical="bottom"/>
    </xf>
    <xf borderId="32" fillId="4" fontId="5" numFmtId="0" xfId="0" applyAlignment="1" applyBorder="1" applyFont="1">
      <alignment vertical="bottom"/>
    </xf>
    <xf borderId="25" fillId="4" fontId="5" numFmtId="165" xfId="0" applyAlignment="1" applyBorder="1" applyFont="1" applyNumberFormat="1">
      <alignment horizontal="right" vertical="bottom"/>
    </xf>
    <xf borderId="25" fillId="4" fontId="5" numFmtId="165" xfId="0" applyAlignment="1" applyBorder="1" applyFont="1" applyNumberFormat="1">
      <alignment horizontal="right" readingOrder="0" vertical="bottom"/>
    </xf>
    <xf borderId="33" fillId="4" fontId="5" numFmtId="165" xfId="0" applyAlignment="1" applyBorder="1" applyFont="1" applyNumberFormat="1">
      <alignment horizontal="right" readingOrder="0" vertical="bottom"/>
    </xf>
    <xf borderId="30" fillId="0" fontId="20" numFmtId="0" xfId="0" applyAlignment="1" applyBorder="1" applyFont="1">
      <alignment horizontal="center" vertical="center"/>
    </xf>
    <xf borderId="31" fillId="0" fontId="2" numFmtId="0" xfId="0" applyBorder="1" applyFont="1"/>
    <xf borderId="30" fillId="0" fontId="2" numFmtId="0" xfId="0" applyBorder="1" applyFont="1"/>
    <xf borderId="30" fillId="3" fontId="9" numFmtId="0" xfId="0" applyAlignment="1" applyBorder="1" applyFont="1">
      <alignment readingOrder="0" shrinkToFit="0" vertical="bottom" wrapText="1"/>
    </xf>
    <xf borderId="0" fillId="0" fontId="5" numFmtId="0" xfId="0" applyAlignment="1" applyFont="1">
      <alignment vertical="bottom"/>
    </xf>
    <xf borderId="31" fillId="0" fontId="5" numFmtId="0" xfId="0" applyAlignment="1" applyBorder="1" applyFont="1">
      <alignment vertical="bottom"/>
    </xf>
    <xf borderId="30" fillId="0" fontId="5" numFmtId="0" xfId="0" applyAlignment="1" applyBorder="1" applyFont="1">
      <alignment vertical="bottom"/>
    </xf>
    <xf borderId="0" fillId="0" fontId="5" numFmtId="10" xfId="0" applyAlignment="1" applyFont="1" applyNumberFormat="1">
      <alignment horizontal="right" vertical="bottom"/>
    </xf>
    <xf borderId="31" fillId="0" fontId="5" numFmtId="0" xfId="0" applyAlignment="1" applyBorder="1" applyFont="1">
      <alignment vertical="bottom"/>
    </xf>
    <xf borderId="0" fillId="4" fontId="21" numFmtId="0" xfId="0" applyAlignment="1" applyFont="1">
      <alignment vertical="bottom"/>
    </xf>
    <xf borderId="30" fillId="5" fontId="5" numFmtId="0" xfId="0" applyAlignment="1" applyBorder="1" applyFont="1">
      <alignment readingOrder="0" vertical="bottom"/>
    </xf>
    <xf borderId="0" fillId="5" fontId="5" numFmtId="10" xfId="0" applyAlignment="1" applyFont="1" applyNumberFormat="1">
      <alignment horizontal="right" vertical="bottom"/>
    </xf>
    <xf borderId="31" fillId="5" fontId="5" numFmtId="0" xfId="0" applyAlignment="1" applyBorder="1" applyFont="1">
      <alignment vertical="bottom"/>
    </xf>
    <xf borderId="30" fillId="6" fontId="5" numFmtId="0" xfId="0" applyAlignment="1" applyBorder="1" applyFont="1">
      <alignment readingOrder="0" vertical="bottom"/>
    </xf>
    <xf borderId="0" fillId="6" fontId="5" numFmtId="10" xfId="0" applyAlignment="1" applyFont="1" applyNumberFormat="1">
      <alignment horizontal="right" vertical="bottom"/>
    </xf>
    <xf borderId="31" fillId="6" fontId="5" numFmtId="0" xfId="0" applyAlignment="1" applyBorder="1" applyFont="1">
      <alignment vertical="bottom"/>
    </xf>
    <xf borderId="30" fillId="7" fontId="5" numFmtId="0" xfId="0" applyAlignment="1" applyBorder="1" applyFont="1">
      <alignment readingOrder="0" vertical="bottom"/>
    </xf>
    <xf borderId="0" fillId="7" fontId="5" numFmtId="10" xfId="0" applyAlignment="1" applyFont="1" applyNumberFormat="1">
      <alignment horizontal="right" vertical="bottom"/>
    </xf>
    <xf borderId="31" fillId="7" fontId="5" numFmtId="0" xfId="0" applyAlignment="1" applyBorder="1" applyFont="1">
      <alignment vertical="bottom"/>
    </xf>
    <xf borderId="30" fillId="0" fontId="5" numFmtId="0" xfId="0" applyAlignment="1" applyBorder="1" applyFont="1">
      <alignment shrinkToFit="0" vertical="center" wrapText="1"/>
    </xf>
    <xf borderId="0" fillId="0" fontId="22" numFmtId="0" xfId="0" applyAlignment="1" applyFont="1">
      <alignment horizontal="center" vertical="center"/>
    </xf>
    <xf borderId="34" fillId="0" fontId="2" numFmtId="0" xfId="0" applyBorder="1" applyFont="1"/>
    <xf borderId="35" fillId="0" fontId="2" numFmtId="0" xfId="0" applyBorder="1" applyFont="1"/>
    <xf borderId="36" fillId="0" fontId="2" numFmtId="0" xfId="0" applyBorder="1" applyFont="1"/>
    <xf borderId="37" fillId="4" fontId="23" numFmtId="0" xfId="0" applyAlignment="1" applyBorder="1" applyFont="1">
      <alignment horizontal="center" vertical="center"/>
    </xf>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0" fillId="4" fontId="5" numFmtId="0" xfId="0" applyAlignment="1" applyBorder="1" applyFont="1">
      <alignment horizontal="center" readingOrder="0"/>
    </xf>
    <xf borderId="0" fillId="4" fontId="5" numFmtId="0" xfId="0" applyAlignment="1" applyFont="1">
      <alignment horizontal="center" readingOrder="0"/>
    </xf>
    <xf borderId="41" fillId="4" fontId="5" numFmtId="0" xfId="0" applyAlignment="1" applyBorder="1" applyFont="1">
      <alignment vertical="bottom"/>
    </xf>
    <xf borderId="42" fillId="4" fontId="24" numFmtId="0" xfId="0" applyAlignment="1" applyBorder="1" applyFont="1">
      <alignment horizontal="center" vertical="bottom"/>
    </xf>
    <xf borderId="43" fillId="0" fontId="2" numFmtId="0" xfId="0" applyBorder="1" applyFont="1"/>
    <xf borderId="40" fillId="3" fontId="9" numFmtId="0" xfId="0" applyAlignment="1" applyBorder="1" applyFont="1">
      <alignment shrinkToFit="0" vertical="bottom" wrapText="1"/>
    </xf>
    <xf borderId="0" fillId="4" fontId="5" numFmtId="0" xfId="0" applyAlignment="1" applyFont="1">
      <alignment vertical="bottom"/>
    </xf>
    <xf borderId="41" fillId="4" fontId="5" numFmtId="0" xfId="0" applyAlignment="1" applyBorder="1" applyFont="1">
      <alignment vertical="bottom"/>
    </xf>
    <xf borderId="40" fillId="4" fontId="5" numFmtId="0" xfId="0" applyAlignment="1" applyBorder="1" applyFont="1">
      <alignment vertical="bottom"/>
    </xf>
    <xf borderId="0" fillId="4" fontId="5" numFmtId="10" xfId="0" applyAlignment="1" applyFont="1" applyNumberFormat="1">
      <alignment horizontal="right" vertical="bottom"/>
    </xf>
    <xf borderId="40" fillId="5" fontId="5" numFmtId="0" xfId="0" applyAlignment="1" applyBorder="1" applyFont="1">
      <alignment readingOrder="0" vertical="bottom"/>
    </xf>
    <xf borderId="41" fillId="5" fontId="5" numFmtId="0" xfId="0" applyAlignment="1" applyBorder="1" applyFont="1">
      <alignment vertical="bottom"/>
    </xf>
    <xf borderId="40" fillId="6" fontId="5" numFmtId="0" xfId="0" applyAlignment="1" applyBorder="1" applyFont="1">
      <alignment readingOrder="0" vertical="bottom"/>
    </xf>
    <xf borderId="41" fillId="6" fontId="5" numFmtId="0" xfId="0" applyAlignment="1" applyBorder="1" applyFont="1">
      <alignment vertical="bottom"/>
    </xf>
    <xf borderId="40" fillId="7" fontId="5" numFmtId="0" xfId="0" applyAlignment="1" applyBorder="1" applyFont="1">
      <alignment readingOrder="0" vertical="bottom"/>
    </xf>
    <xf borderId="41" fillId="7" fontId="5" numFmtId="0" xfId="0" applyAlignment="1" applyBorder="1" applyFont="1">
      <alignment vertical="bottom"/>
    </xf>
    <xf borderId="40" fillId="15" fontId="5" numFmtId="0" xfId="0" applyAlignment="1" applyBorder="1" applyFont="1">
      <alignment readingOrder="0" vertical="bottom"/>
    </xf>
    <xf borderId="0" fillId="15" fontId="5" numFmtId="10" xfId="0" applyAlignment="1" applyFont="1" applyNumberFormat="1">
      <alignment horizontal="right" vertical="bottom"/>
    </xf>
    <xf borderId="41" fillId="15" fontId="5" numFmtId="0" xfId="0" applyAlignment="1" applyBorder="1" applyFont="1">
      <alignment vertical="bottom"/>
    </xf>
    <xf borderId="40" fillId="4" fontId="5" numFmtId="0" xfId="0" applyAlignment="1" applyBorder="1" applyFont="1">
      <alignment shrinkToFit="0" vertical="center" wrapText="1"/>
    </xf>
    <xf borderId="0" fillId="4" fontId="22" numFmtId="0" xfId="0" applyAlignment="1" applyFont="1">
      <alignment horizontal="center" vertical="center"/>
    </xf>
    <xf borderId="44" fillId="0" fontId="2" numFmtId="0" xfId="0" applyBorder="1" applyFont="1"/>
    <xf borderId="45" fillId="0" fontId="2" numFmtId="0" xfId="0" applyBorder="1" applyFont="1"/>
    <xf borderId="40" fillId="4" fontId="24" numFmtId="0" xfId="0" applyAlignment="1" applyBorder="1" applyFont="1">
      <alignment horizontal="center" vertical="bottom"/>
    </xf>
    <xf borderId="40" fillId="3" fontId="25" numFmtId="0" xfId="0" applyAlignment="1" applyBorder="1" applyFont="1">
      <alignment readingOrder="0" shrinkToFit="0" wrapText="1"/>
    </xf>
    <xf borderId="0" fillId="5" fontId="5" numFmtId="165" xfId="0" applyAlignment="1" applyFont="1" applyNumberFormat="1">
      <alignment horizontal="right" vertical="bottom"/>
    </xf>
    <xf borderId="41" fillId="5" fontId="5" numFmtId="165" xfId="0" applyAlignment="1" applyBorder="1" applyFont="1" applyNumberFormat="1">
      <alignment horizontal="right" vertical="bottom"/>
    </xf>
    <xf borderId="0" fillId="6" fontId="5" numFmtId="165" xfId="0" applyAlignment="1" applyFont="1" applyNumberFormat="1">
      <alignment horizontal="right" vertical="bottom"/>
    </xf>
    <xf borderId="41" fillId="6" fontId="5" numFmtId="165" xfId="0" applyAlignment="1" applyBorder="1" applyFont="1" applyNumberFormat="1">
      <alignment horizontal="right" vertical="bottom"/>
    </xf>
    <xf borderId="0" fillId="7" fontId="5" numFmtId="165" xfId="0" applyAlignment="1" applyFont="1" applyNumberFormat="1">
      <alignment horizontal="right" vertical="bottom"/>
    </xf>
    <xf borderId="41" fillId="7" fontId="5" numFmtId="165" xfId="0" applyAlignment="1" applyBorder="1" applyFont="1" applyNumberFormat="1">
      <alignment horizontal="right" vertical="bottom"/>
    </xf>
    <xf borderId="40" fillId="4" fontId="26" numFmtId="0" xfId="0" applyAlignment="1" applyBorder="1" applyFont="1">
      <alignment shrinkToFit="0" vertical="center" wrapText="1"/>
    </xf>
    <xf borderId="0" fillId="4" fontId="27" numFmtId="0" xfId="0" applyAlignment="1" applyFont="1">
      <alignment horizontal="center" vertical="center"/>
    </xf>
    <xf borderId="41" fillId="4" fontId="27" numFmtId="0" xfId="0" applyAlignment="1" applyBorder="1" applyFont="1">
      <alignment horizontal="center" vertical="center"/>
    </xf>
    <xf borderId="40" fillId="4" fontId="24" numFmtId="0" xfId="0" applyAlignment="1" applyBorder="1" applyFont="1">
      <alignment horizontal="center" readingOrder="0" vertical="bottom"/>
    </xf>
    <xf borderId="0" fillId="5" fontId="5" numFmtId="165" xfId="0" applyAlignment="1" applyFont="1" applyNumberFormat="1">
      <alignment vertical="bottom"/>
    </xf>
    <xf borderId="0" fillId="4" fontId="28" numFmtId="0" xfId="0" applyAlignment="1" applyFont="1">
      <alignment horizontal="center" readingOrder="0" vertical="center"/>
    </xf>
    <xf borderId="0" fillId="6" fontId="5" numFmtId="165" xfId="0" applyAlignment="1" applyFont="1" applyNumberFormat="1">
      <alignment vertical="bottom"/>
    </xf>
    <xf borderId="46" fillId="7" fontId="5" numFmtId="0" xfId="0" applyAlignment="1" applyBorder="1" applyFont="1">
      <alignment readingOrder="0" vertical="bottom"/>
    </xf>
    <xf borderId="35" fillId="7" fontId="5" numFmtId="165" xfId="0" applyAlignment="1" applyBorder="1" applyFont="1" applyNumberFormat="1">
      <alignment vertical="bottom"/>
    </xf>
    <xf borderId="47" fillId="0" fontId="2" numFmtId="0" xfId="0" applyBorder="1" applyFont="1"/>
    <xf borderId="48" fillId="15" fontId="19" numFmtId="0" xfId="0" applyAlignment="1" applyBorder="1" applyFont="1">
      <alignment vertical="bottom"/>
    </xf>
    <xf borderId="0" fillId="8" fontId="20" numFmtId="0" xfId="0" applyAlignment="1" applyFont="1">
      <alignment horizontal="center" readingOrder="0" vertical="center"/>
    </xf>
    <xf borderId="49" fillId="0" fontId="2" numFmtId="0" xfId="0" applyBorder="1" applyFont="1"/>
    <xf borderId="0" fillId="4" fontId="5" numFmtId="0" xfId="0" applyAlignment="1" applyFont="1">
      <alignment readingOrder="0" shrinkToFit="0" vertical="top" wrapText="1"/>
    </xf>
    <xf borderId="0" fillId="4" fontId="5" numFmtId="0" xfId="0" applyAlignment="1" applyFont="1">
      <alignment readingOrder="0" shrinkToFit="0" vertical="bottom" wrapText="0"/>
    </xf>
    <xf borderId="0" fillId="3" fontId="25" numFmtId="0" xfId="0" applyAlignment="1" applyFont="1">
      <alignment readingOrder="0" shrinkToFit="0" wrapText="1"/>
    </xf>
    <xf borderId="49" fillId="0" fontId="5" numFmtId="0" xfId="0" applyAlignment="1" applyBorder="1" applyFont="1">
      <alignment vertical="bottom"/>
    </xf>
    <xf borderId="0" fillId="0" fontId="5" numFmtId="0" xfId="0" applyAlignment="1" applyFont="1">
      <alignment readingOrder="0" vertical="bottom"/>
    </xf>
    <xf borderId="0" fillId="0" fontId="5" numFmtId="10" xfId="0" applyAlignment="1" applyFont="1" applyNumberFormat="1">
      <alignment vertical="bottom"/>
    </xf>
    <xf borderId="0" fillId="5" fontId="5" numFmtId="0" xfId="0" applyAlignment="1" applyFont="1">
      <alignment readingOrder="0" vertical="bottom"/>
    </xf>
    <xf borderId="49" fillId="5" fontId="5" numFmtId="0" xfId="0" applyAlignment="1" applyBorder="1" applyFont="1">
      <alignment vertical="bottom"/>
    </xf>
    <xf borderId="0" fillId="6" fontId="5" numFmtId="0" xfId="0" applyAlignment="1" applyFont="1">
      <alignment readingOrder="0" vertical="bottom"/>
    </xf>
    <xf borderId="49" fillId="0" fontId="5" numFmtId="10" xfId="0" applyBorder="1" applyFont="1" applyNumberFormat="1"/>
    <xf borderId="0" fillId="7" fontId="5" numFmtId="0" xfId="0" applyAlignment="1" applyFont="1">
      <alignment readingOrder="0" vertical="bottom"/>
    </xf>
    <xf borderId="0" fillId="15" fontId="5" numFmtId="0" xfId="0" applyAlignment="1" applyFont="1">
      <alignment vertical="bottom"/>
    </xf>
    <xf borderId="0" fillId="0" fontId="5" numFmtId="0" xfId="0" applyAlignment="1" applyFont="1">
      <alignment shrinkToFit="0" vertical="center" wrapText="1"/>
    </xf>
    <xf borderId="50" fillId="0" fontId="2" numFmtId="0" xfId="0" applyBorder="1" applyFont="1"/>
    <xf borderId="0" fillId="4" fontId="29" numFmtId="0" xfId="0" applyAlignment="1" applyFont="1">
      <alignment horizontal="center" readingOrder="0" vertical="bottom"/>
    </xf>
    <xf borderId="0" fillId="4" fontId="30" numFmtId="0" xfId="0" applyAlignment="1" applyFont="1">
      <alignment readingOrder="0" shrinkToFit="0" vertical="top" wrapText="1"/>
    </xf>
    <xf borderId="49" fillId="0" fontId="5" numFmtId="0" xfId="0" applyAlignment="1" applyBorder="1" applyFont="1">
      <alignment vertical="bottom"/>
    </xf>
    <xf borderId="0" fillId="5" fontId="5" numFmtId="10" xfId="0" applyAlignment="1" applyFont="1" applyNumberFormat="1">
      <alignment horizontal="right" readingOrder="0" vertical="bottom"/>
    </xf>
    <xf borderId="49" fillId="5" fontId="5" numFmtId="10" xfId="0" applyAlignment="1" applyBorder="1" applyFont="1" applyNumberFormat="1">
      <alignment horizontal="right" readingOrder="0" vertical="bottom"/>
    </xf>
    <xf borderId="49" fillId="6" fontId="5" numFmtId="10" xfId="0" applyAlignment="1" applyBorder="1" applyFont="1" applyNumberFormat="1">
      <alignment horizontal="right" vertical="bottom"/>
    </xf>
    <xf borderId="49" fillId="7" fontId="5" numFmtId="10" xfId="0" applyAlignment="1" applyBorder="1" applyFont="1" applyNumberFormat="1">
      <alignment horizontal="right" vertical="bottom"/>
    </xf>
    <xf borderId="0" fillId="0" fontId="26" numFmtId="0" xfId="0" applyAlignment="1" applyFont="1">
      <alignment shrinkToFit="0" vertical="center" wrapText="1"/>
    </xf>
    <xf borderId="0" fillId="0" fontId="27" numFmtId="0" xfId="0" applyAlignment="1" applyFont="1">
      <alignment horizontal="center" vertical="center"/>
    </xf>
    <xf borderId="49" fillId="0" fontId="27" numFmtId="0" xfId="0" applyAlignment="1" applyBorder="1" applyFont="1">
      <alignment horizontal="center" vertical="center"/>
    </xf>
    <xf borderId="0" fillId="0" fontId="28" numFmtId="0" xfId="0" applyAlignment="1" applyFont="1">
      <alignment horizontal="center" readingOrder="0" vertical="center"/>
    </xf>
    <xf borderId="51" fillId="7" fontId="5" numFmtId="0" xfId="0" applyAlignment="1" applyBorder="1" applyFont="1">
      <alignment readingOrder="0" vertical="bottom"/>
    </xf>
    <xf borderId="51" fillId="7" fontId="5" numFmtId="165" xfId="0" applyAlignment="1" applyBorder="1" applyFont="1" applyNumberFormat="1">
      <alignment vertical="bottom"/>
    </xf>
    <xf borderId="51" fillId="0" fontId="2" numFmtId="0" xfId="0" applyBorder="1" applyFont="1"/>
    <xf borderId="52" fillId="0" fontId="2" numFmtId="0" xfId="0" applyBorder="1" applyFont="1"/>
    <xf borderId="0" fillId="4" fontId="31" numFmtId="0" xfId="0" applyAlignment="1" applyFont="1">
      <alignment horizontal="center" readingOrder="0" shrinkToFit="0" vertical="top" wrapText="1"/>
    </xf>
    <xf borderId="30" fillId="0" fontId="5" numFmtId="0" xfId="0" applyAlignment="1" applyBorder="1" applyFont="1">
      <alignment vertical="bottom"/>
    </xf>
    <xf borderId="0" fillId="4" fontId="32" numFmtId="0" xfId="0" applyAlignment="1" applyFont="1">
      <alignment horizontal="center" readingOrder="0" shrinkToFit="0" vertical="center" wrapText="1"/>
    </xf>
    <xf borderId="0" fillId="4" fontId="7" numFmtId="0" xfId="0" applyAlignment="1" applyFont="1">
      <alignment horizontal="left" shrinkToFit="0" vertical="top" wrapText="1"/>
    </xf>
    <xf borderId="27" fillId="0" fontId="33" numFmtId="0" xfId="0" applyAlignment="1" applyBorder="1" applyFont="1">
      <alignment horizontal="center"/>
    </xf>
    <xf borderId="28" fillId="0" fontId="2" numFmtId="0" xfId="0" applyBorder="1" applyFont="1"/>
    <xf borderId="29" fillId="0" fontId="2" numFmtId="0" xfId="0" applyBorder="1" applyFont="1"/>
    <xf borderId="32" fillId="0" fontId="2" numFmtId="0" xfId="0" applyBorder="1" applyFont="1"/>
    <xf borderId="25" fillId="0" fontId="2" numFmtId="0" xfId="0" applyBorder="1" applyFont="1"/>
    <xf borderId="33" fillId="0" fontId="2" numFmtId="0" xfId="0" applyBorder="1" applyFont="1"/>
    <xf borderId="30" fillId="0" fontId="3" numFmtId="0" xfId="0" applyBorder="1" applyFont="1"/>
    <xf borderId="31" fillId="0" fontId="3" numFmtId="0" xfId="0" applyBorder="1" applyFont="1"/>
    <xf borderId="27" fillId="0" fontId="34" numFmtId="0" xfId="0" applyAlignment="1" applyBorder="1" applyFont="1">
      <alignment horizontal="center" vertical="bottom"/>
    </xf>
    <xf borderId="31" fillId="0" fontId="5" numFmtId="0" xfId="0" applyAlignment="1" applyBorder="1" applyFont="1">
      <alignment horizontal="right" vertical="bottom"/>
    </xf>
    <xf borderId="0" fillId="4" fontId="8" numFmtId="0" xfId="0" applyAlignment="1" applyFont="1">
      <alignment horizontal="left" shrinkToFit="0" vertical="top" wrapText="1"/>
    </xf>
    <xf borderId="31" fillId="0" fontId="5" numFmtId="10" xfId="0" applyAlignment="1" applyBorder="1" applyFont="1" applyNumberFormat="1">
      <alignment horizontal="right" vertical="bottom"/>
    </xf>
    <xf borderId="7" fillId="4" fontId="5" numFmtId="0" xfId="0" applyAlignment="1" applyBorder="1" applyFont="1">
      <alignment vertical="bottom"/>
    </xf>
    <xf borderId="7" fillId="4" fontId="5" numFmtId="0" xfId="0" applyAlignment="1" applyBorder="1" applyFont="1">
      <alignment readingOrder="0" vertical="bottom"/>
    </xf>
    <xf borderId="7" fillId="4" fontId="5" numFmtId="0" xfId="0" applyAlignment="1" applyBorder="1" applyFont="1">
      <alignment vertical="bottom"/>
    </xf>
    <xf borderId="7" fillId="4" fontId="5" numFmtId="165" xfId="0" applyAlignment="1" applyBorder="1" applyFont="1" applyNumberFormat="1">
      <alignment vertical="bottom"/>
    </xf>
    <xf borderId="7" fillId="4" fontId="5" numFmtId="165" xfId="0" applyAlignment="1" applyBorder="1" applyFont="1" applyNumberFormat="1">
      <alignment horizontal="right" vertical="bottom"/>
    </xf>
    <xf borderId="6" fillId="15" fontId="19" numFmtId="0" xfId="0" applyAlignment="1" applyBorder="1" applyFont="1">
      <alignment vertical="bottom"/>
    </xf>
    <xf borderId="32" fillId="0" fontId="5" numFmtId="0" xfId="0" applyAlignment="1" applyBorder="1" applyFont="1">
      <alignment vertical="bottom"/>
    </xf>
    <xf borderId="33" fillId="0" fontId="5" numFmtId="10" xfId="0" applyAlignment="1" applyBorder="1" applyFont="1" applyNumberFormat="1">
      <alignment horizontal="right" vertical="bottom"/>
    </xf>
    <xf borderId="33" fillId="0" fontId="5" numFmtId="0" xfId="0" applyAlignment="1" applyBorder="1" applyFont="1">
      <alignment horizontal="right" vertical="bottom"/>
    </xf>
    <xf borderId="0" fillId="4" fontId="5" numFmtId="3" xfId="0" applyAlignment="1" applyFont="1" applyNumberFormat="1">
      <alignment horizontal="center" vertical="bottom"/>
    </xf>
    <xf borderId="0" fillId="4" fontId="19" numFmtId="0" xfId="0" applyAlignment="1" applyFont="1">
      <alignment vertical="bottom"/>
    </xf>
    <xf borderId="0" fillId="0" fontId="5" numFmtId="0" xfId="0" applyAlignment="1" applyFont="1">
      <alignment horizontal="right" vertical="bottom"/>
    </xf>
    <xf borderId="25" fillId="4" fontId="7" numFmtId="0" xfId="0" applyAlignment="1" applyBorder="1" applyFont="1">
      <alignment readingOrder="0" vertical="center"/>
    </xf>
    <xf borderId="0" fillId="4" fontId="7" numFmtId="0" xfId="0" applyAlignment="1" applyFont="1">
      <alignment readingOrder="0" vertical="center"/>
    </xf>
    <xf borderId="26" fillId="2" fontId="3" numFmtId="3" xfId="0" applyAlignment="1" applyBorder="1" applyFont="1" applyNumberFormat="1">
      <alignment horizontal="center" readingOrder="0" vertical="center"/>
    </xf>
    <xf borderId="0" fillId="4" fontId="3" numFmtId="0" xfId="0" applyAlignment="1" applyFont="1">
      <alignment readingOrder="0" vertical="center"/>
    </xf>
    <xf borderId="0" fillId="4" fontId="3" numFmtId="0" xfId="0" applyAlignment="1" applyFont="1">
      <alignment vertical="center"/>
    </xf>
    <xf borderId="0" fillId="4" fontId="3" numFmtId="10" xfId="0" applyAlignment="1" applyFont="1" applyNumberFormat="1">
      <alignment vertical="center"/>
    </xf>
    <xf borderId="0" fillId="4" fontId="3" numFmtId="10" xfId="0" applyAlignment="1" applyFont="1" applyNumberFormat="1">
      <alignment horizontal="right" vertical="center"/>
    </xf>
    <xf borderId="5" fillId="4" fontId="3" numFmtId="10" xfId="0" applyAlignment="1" applyBorder="1" applyFont="1" applyNumberFormat="1">
      <alignment vertical="center"/>
    </xf>
    <xf borderId="5" fillId="15" fontId="35" numFmtId="10" xfId="0" applyAlignment="1" applyBorder="1" applyFont="1" applyNumberFormat="1">
      <alignment vertical="center"/>
    </xf>
    <xf borderId="28" fillId="4" fontId="3" numFmtId="0" xfId="0" applyAlignment="1" applyBorder="1" applyFont="1">
      <alignment vertical="center"/>
    </xf>
    <xf borderId="28" fillId="4" fontId="3" numFmtId="166" xfId="0" applyAlignment="1" applyBorder="1" applyFont="1" applyNumberFormat="1">
      <alignment horizontal="right" vertical="center"/>
    </xf>
    <xf borderId="28" fillId="4" fontId="3" numFmtId="0" xfId="0" applyAlignment="1" applyBorder="1" applyFont="1">
      <alignment horizontal="right" vertical="center"/>
    </xf>
    <xf borderId="29" fillId="4" fontId="3" numFmtId="0" xfId="0" applyAlignment="1" applyBorder="1" applyFont="1">
      <alignment horizontal="right" vertical="center"/>
    </xf>
    <xf borderId="0" fillId="4" fontId="3" numFmtId="165" xfId="0" applyAlignment="1" applyFont="1" applyNumberFormat="1">
      <alignment horizontal="right" readingOrder="0" vertical="center"/>
    </xf>
    <xf borderId="31" fillId="4" fontId="3" numFmtId="165" xfId="0" applyAlignment="1" applyBorder="1" applyFont="1" applyNumberFormat="1">
      <alignment horizontal="right" readingOrder="0" vertical="center"/>
    </xf>
    <xf borderId="25" fillId="4" fontId="3" numFmtId="0" xfId="0" applyAlignment="1" applyBorder="1" applyFont="1">
      <alignment readingOrder="0" vertical="center"/>
    </xf>
    <xf borderId="25" fillId="4" fontId="3" numFmtId="165" xfId="0" applyAlignment="1" applyBorder="1" applyFont="1" applyNumberFormat="1">
      <alignment horizontal="right" readingOrder="0" vertical="center"/>
    </xf>
    <xf borderId="33" fillId="4" fontId="3" numFmtId="165" xfId="0" applyAlignment="1" applyBorder="1" applyFont="1" applyNumberFormat="1">
      <alignment horizontal="right" readingOrder="0" vertical="center"/>
    </xf>
    <xf borderId="0" fillId="0" fontId="36" numFmtId="0" xfId="0" applyAlignment="1" applyFont="1">
      <alignment horizontal="center" vertical="center"/>
    </xf>
    <xf borderId="0" fillId="3" fontId="25" numFmtId="0" xfId="0" applyAlignment="1" applyFont="1">
      <alignment readingOrder="0" shrinkToFit="0" vertical="center" wrapText="1"/>
    </xf>
    <xf borderId="0" fillId="0" fontId="3" numFmtId="0" xfId="0" applyAlignment="1" applyFont="1">
      <alignment vertical="center"/>
    </xf>
    <xf borderId="31" fillId="0" fontId="3" numFmtId="0" xfId="0" applyAlignment="1" applyBorder="1" applyFont="1">
      <alignment vertical="center"/>
    </xf>
    <xf borderId="0" fillId="0" fontId="3" numFmtId="10" xfId="0" applyAlignment="1" applyFont="1" applyNumberFormat="1">
      <alignment horizontal="right" vertical="center"/>
    </xf>
    <xf borderId="31" fillId="0" fontId="3" numFmtId="0" xfId="0" applyAlignment="1" applyBorder="1" applyFont="1">
      <alignment vertical="center"/>
    </xf>
    <xf borderId="0" fillId="4" fontId="37" numFmtId="0" xfId="0" applyAlignment="1" applyFont="1">
      <alignment readingOrder="0" vertical="center"/>
    </xf>
    <xf borderId="0" fillId="5" fontId="3" numFmtId="0" xfId="0" applyAlignment="1" applyFont="1">
      <alignment readingOrder="0" vertical="center"/>
    </xf>
    <xf borderId="0" fillId="5" fontId="3" numFmtId="10" xfId="0" applyAlignment="1" applyFont="1" applyNumberFormat="1">
      <alignment horizontal="right" vertical="center"/>
    </xf>
    <xf borderId="31" fillId="5" fontId="3" numFmtId="0" xfId="0" applyAlignment="1" applyBorder="1" applyFont="1">
      <alignment vertical="center"/>
    </xf>
    <xf borderId="38" fillId="4" fontId="38" numFmtId="0" xfId="0" applyAlignment="1" applyBorder="1" applyFont="1">
      <alignment horizontal="center" vertical="center"/>
    </xf>
    <xf borderId="0" fillId="4" fontId="37" numFmtId="0" xfId="0" applyAlignment="1" applyFont="1">
      <alignment vertical="center"/>
    </xf>
    <xf borderId="0" fillId="4" fontId="3" numFmtId="0" xfId="0" applyAlignment="1" applyFont="1">
      <alignment horizontal="center" readingOrder="0" vertical="center"/>
    </xf>
    <xf borderId="41" fillId="4" fontId="3" numFmtId="0" xfId="0" applyAlignment="1" applyBorder="1" applyFont="1">
      <alignment vertical="center"/>
    </xf>
    <xf borderId="2" fillId="4" fontId="39" numFmtId="0" xfId="0" applyAlignment="1" applyBorder="1" applyFont="1">
      <alignment horizontal="center" vertical="center"/>
    </xf>
    <xf borderId="0" fillId="3" fontId="25" numFmtId="0" xfId="0" applyAlignment="1" applyFont="1">
      <alignment shrinkToFit="0" vertical="center" wrapText="1"/>
    </xf>
    <xf borderId="0" fillId="4" fontId="3" numFmtId="0" xfId="0" applyAlignment="1" applyFont="1">
      <alignment vertical="center"/>
    </xf>
    <xf borderId="41" fillId="4" fontId="3" numFmtId="0" xfId="0" applyAlignment="1" applyBorder="1" applyFont="1">
      <alignment vertical="center"/>
    </xf>
    <xf borderId="41" fillId="5" fontId="3" numFmtId="0" xfId="0" applyAlignment="1" applyBorder="1" applyFont="1">
      <alignment vertical="center"/>
    </xf>
    <xf borderId="0" fillId="4" fontId="3" numFmtId="0" xfId="0" applyAlignment="1" applyFont="1">
      <alignment shrinkToFit="0" vertical="center" wrapText="1"/>
    </xf>
    <xf borderId="0" fillId="4" fontId="40" numFmtId="0" xfId="0" applyAlignment="1" applyFont="1">
      <alignment horizontal="center" vertical="center"/>
    </xf>
    <xf borderId="0" fillId="4" fontId="39" numFmtId="0" xfId="0" applyAlignment="1" applyFont="1">
      <alignment horizontal="center" vertical="center"/>
    </xf>
    <xf borderId="0" fillId="8" fontId="21" numFmtId="165" xfId="0" applyAlignment="1" applyFont="1" applyNumberFormat="1">
      <alignment horizontal="right" vertical="bottom"/>
    </xf>
    <xf borderId="41" fillId="8" fontId="21" numFmtId="165" xfId="0" applyAlignment="1" applyBorder="1" applyFont="1" applyNumberFormat="1">
      <alignment horizontal="right" vertical="bottom"/>
    </xf>
    <xf borderId="0" fillId="4" fontId="41" numFmtId="0" xfId="0" applyAlignment="1" applyFont="1">
      <alignment shrinkToFit="0" vertical="center" wrapText="1"/>
    </xf>
    <xf borderId="0" fillId="4" fontId="42" numFmtId="0" xfId="0" applyAlignment="1" applyFont="1">
      <alignment horizontal="center" vertical="center"/>
    </xf>
    <xf borderId="41" fillId="4" fontId="42" numFmtId="0" xfId="0" applyAlignment="1" applyBorder="1" applyFont="1">
      <alignment horizontal="center" vertical="center"/>
    </xf>
    <xf borderId="0" fillId="4" fontId="39" numFmtId="0" xfId="0" applyAlignment="1" applyFont="1">
      <alignment horizontal="center" readingOrder="0" vertical="center"/>
    </xf>
    <xf borderId="0" fillId="8" fontId="3" numFmtId="0" xfId="0" applyAlignment="1" applyFont="1">
      <alignment readingOrder="0" vertical="center"/>
    </xf>
    <xf borderId="0" fillId="8" fontId="3" numFmtId="165" xfId="0" applyAlignment="1" applyFont="1" applyNumberFormat="1">
      <alignment vertical="center"/>
    </xf>
    <xf borderId="0" fillId="4" fontId="43" numFmtId="0" xfId="0" applyAlignment="1" applyFont="1">
      <alignment horizontal="center" readingOrder="0" vertical="center"/>
    </xf>
    <xf borderId="0" fillId="5" fontId="3" numFmtId="165" xfId="0" applyAlignment="1" applyFont="1" applyNumberFormat="1">
      <alignment vertical="center"/>
    </xf>
    <xf borderId="0" fillId="6" fontId="3" numFmtId="0" xfId="0" applyAlignment="1" applyFont="1">
      <alignment readingOrder="0" vertical="center"/>
    </xf>
    <xf borderId="0" fillId="6" fontId="3" numFmtId="165" xfId="0" applyAlignment="1" applyFont="1" applyNumberFormat="1">
      <alignment vertical="center"/>
    </xf>
    <xf borderId="35" fillId="7" fontId="3" numFmtId="0" xfId="0" applyAlignment="1" applyBorder="1" applyFont="1">
      <alignment readingOrder="0" vertical="center"/>
    </xf>
    <xf borderId="35" fillId="7" fontId="3" numFmtId="165" xfId="0" applyAlignment="1" applyBorder="1" applyFont="1" applyNumberFormat="1">
      <alignment vertical="center"/>
    </xf>
    <xf borderId="0" fillId="0" fontId="44" numFmtId="0" xfId="0" applyAlignment="1" applyFont="1">
      <alignment readingOrder="0" vertical="center"/>
    </xf>
    <xf borderId="27" fillId="0" fontId="6" numFmtId="0" xfId="0" applyAlignment="1" applyBorder="1" applyFont="1">
      <alignment horizontal="center" vertical="center"/>
    </xf>
    <xf borderId="30" fillId="0" fontId="3" numFmtId="0" xfId="0" applyAlignment="1" applyBorder="1" applyFont="1">
      <alignment vertical="center"/>
    </xf>
    <xf borderId="27" fillId="0" fontId="4" numFmtId="0" xfId="0" applyAlignment="1" applyBorder="1" applyFont="1">
      <alignment horizontal="center" vertical="center"/>
    </xf>
    <xf borderId="31" fillId="0" fontId="3" numFmtId="0" xfId="0" applyAlignment="1" applyBorder="1" applyFont="1">
      <alignment horizontal="right" vertical="center"/>
    </xf>
    <xf borderId="30" fillId="0" fontId="3" numFmtId="166" xfId="0" applyAlignment="1" applyBorder="1" applyFont="1" applyNumberFormat="1">
      <alignment vertical="center"/>
    </xf>
    <xf borderId="31" fillId="0" fontId="3" numFmtId="10" xfId="0" applyAlignment="1" applyBorder="1" applyFont="1" applyNumberFormat="1">
      <alignment horizontal="right" vertical="center"/>
    </xf>
    <xf borderId="7" fillId="4" fontId="3" numFmtId="0" xfId="0" applyAlignment="1" applyBorder="1" applyFont="1">
      <alignment readingOrder="0" vertical="center"/>
    </xf>
    <xf borderId="7" fillId="4" fontId="3" numFmtId="10" xfId="0" applyAlignment="1" applyBorder="1" applyFont="1" applyNumberFormat="1">
      <alignment vertical="center"/>
    </xf>
    <xf borderId="7" fillId="4" fontId="3" numFmtId="10" xfId="0" applyAlignment="1" applyBorder="1" applyFont="1" applyNumberFormat="1">
      <alignment horizontal="right" vertical="center"/>
    </xf>
    <xf borderId="8" fillId="4" fontId="3" numFmtId="10" xfId="0" applyAlignment="1" applyBorder="1" applyFont="1" applyNumberFormat="1">
      <alignment vertical="center"/>
    </xf>
    <xf borderId="8" fillId="15" fontId="35" numFmtId="10" xfId="0" applyAlignment="1" applyBorder="1" applyFont="1" applyNumberFormat="1">
      <alignment vertical="center"/>
    </xf>
    <xf borderId="32" fillId="0" fontId="3" numFmtId="0" xfId="0" applyAlignment="1" applyBorder="1" applyFont="1">
      <alignment vertical="center"/>
    </xf>
    <xf borderId="33" fillId="0" fontId="3" numFmtId="10" xfId="0" applyAlignment="1" applyBorder="1" applyFont="1" applyNumberFormat="1">
      <alignment horizontal="right" vertical="center"/>
    </xf>
    <xf borderId="33" fillId="0" fontId="3" numFmtId="0" xfId="0" applyAlignment="1" applyBorder="1" applyFont="1">
      <alignment horizontal="right" vertical="center"/>
    </xf>
    <xf borderId="0" fillId="4" fontId="3" numFmtId="3" xfId="0" applyAlignment="1" applyFont="1" applyNumberFormat="1">
      <alignment horizontal="center" vertical="center"/>
    </xf>
    <xf borderId="0" fillId="4" fontId="35" numFmtId="10" xfId="0" applyAlignment="1" applyFont="1" applyNumberFormat="1">
      <alignment vertical="center"/>
    </xf>
    <xf borderId="25" fillId="4" fontId="3" numFmtId="0" xfId="0" applyAlignment="1" applyBorder="1" applyFont="1">
      <alignment vertical="center"/>
    </xf>
    <xf borderId="0" fillId="0" fontId="3" numFmtId="0" xfId="0" applyAlignment="1" applyFont="1">
      <alignment readingOrder="0" vertical="center"/>
    </xf>
    <xf borderId="0" fillId="4" fontId="3" numFmtId="165" xfId="0" applyAlignment="1" applyFont="1" applyNumberFormat="1">
      <alignment horizontal="right" vertical="center"/>
    </xf>
    <xf borderId="5" fillId="4" fontId="3" numFmtId="165" xfId="0" applyAlignment="1" applyBorder="1" applyFont="1" applyNumberFormat="1">
      <alignment horizontal="right" vertical="center"/>
    </xf>
    <xf borderId="0" fillId="4" fontId="45" numFmtId="0" xfId="0" applyAlignment="1" applyFont="1">
      <alignment readingOrder="0" vertical="center"/>
    </xf>
    <xf borderId="31" fillId="4" fontId="3" numFmtId="165" xfId="0" applyAlignment="1" applyBorder="1" applyFont="1" applyNumberFormat="1">
      <alignment horizontal="right" vertical="center"/>
    </xf>
    <xf borderId="25" fillId="4" fontId="3" numFmtId="165" xfId="0" applyAlignment="1" applyBorder="1" applyFont="1" applyNumberFormat="1">
      <alignment horizontal="right" vertical="center"/>
    </xf>
    <xf borderId="0" fillId="4" fontId="4" numFmtId="0" xfId="0" applyAlignment="1" applyFont="1">
      <alignment shrinkToFit="0" vertical="top" wrapText="1"/>
    </xf>
    <xf borderId="0" fillId="4" fontId="3" numFmtId="0" xfId="0" applyAlignment="1" applyFont="1">
      <alignment shrinkToFit="0" vertical="top" wrapText="1"/>
    </xf>
    <xf borderId="0" fillId="6" fontId="3" numFmtId="10" xfId="0" applyAlignment="1" applyFont="1" applyNumberFormat="1">
      <alignment horizontal="right" vertical="center"/>
    </xf>
    <xf borderId="41" fillId="6" fontId="3" numFmtId="0" xfId="0" applyAlignment="1" applyBorder="1" applyFont="1">
      <alignment vertical="center"/>
    </xf>
    <xf borderId="0" fillId="16" fontId="3" numFmtId="10" xfId="0" applyAlignment="1" applyFill="1" applyFont="1" applyNumberFormat="1">
      <alignment horizontal="right" vertical="center"/>
    </xf>
    <xf borderId="41" fillId="16" fontId="3" numFmtId="0" xfId="0" applyAlignment="1" applyBorder="1" applyFont="1">
      <alignment vertical="center"/>
    </xf>
    <xf borderId="0" fillId="0" fontId="40" numFmtId="0" xfId="0" applyAlignment="1" applyFont="1">
      <alignment horizontal="center" vertical="center"/>
    </xf>
    <xf borderId="5" fillId="15" fontId="46" numFmtId="0" xfId="0" applyAlignment="1" applyBorder="1" applyFont="1">
      <alignment readingOrder="0" shrinkToFit="0" vertical="center" wrapText="1"/>
    </xf>
    <xf borderId="0" fillId="0" fontId="4" numFmtId="0" xfId="0" applyAlignment="1" applyFont="1">
      <alignment vertical="bottom"/>
    </xf>
    <xf borderId="0" fillId="11" fontId="3" numFmtId="165" xfId="0" applyAlignment="1" applyFont="1" applyNumberFormat="1">
      <alignment horizontal="right" vertical="center"/>
    </xf>
    <xf borderId="41" fillId="11" fontId="3" numFmtId="165" xfId="0" applyAlignment="1" applyBorder="1" applyFont="1" applyNumberFormat="1">
      <alignment horizontal="right" vertical="center"/>
    </xf>
    <xf borderId="0" fillId="17" fontId="3" numFmtId="165" xfId="0" applyAlignment="1" applyFill="1" applyFont="1" applyNumberFormat="1">
      <alignment horizontal="right" vertical="center"/>
    </xf>
    <xf borderId="41" fillId="17" fontId="3" numFmtId="165" xfId="0" applyAlignment="1" applyBorder="1" applyFont="1" applyNumberFormat="1">
      <alignment horizontal="right" vertical="center"/>
    </xf>
    <xf borderId="0" fillId="5" fontId="3" numFmtId="165" xfId="0" applyAlignment="1" applyFont="1" applyNumberFormat="1">
      <alignment horizontal="right" vertical="center"/>
    </xf>
    <xf borderId="53" fillId="0" fontId="3" numFmtId="0" xfId="0" applyAlignment="1" applyBorder="1" applyFont="1">
      <alignment vertical="center"/>
    </xf>
    <xf borderId="0" fillId="4" fontId="3" numFmtId="0" xfId="0" applyAlignment="1" applyFont="1">
      <alignment vertical="top"/>
    </xf>
    <xf borderId="54" fillId="0" fontId="47" numFmtId="0" xfId="0" applyAlignment="1" applyBorder="1" applyFont="1">
      <alignment horizontal="center" vertical="center"/>
    </xf>
    <xf borderId="55" fillId="0" fontId="2" numFmtId="0" xfId="0" applyBorder="1" applyFont="1"/>
    <xf borderId="56" fillId="0" fontId="2" numFmtId="0" xfId="0" applyBorder="1" applyFont="1"/>
    <xf borderId="57" fillId="3" fontId="35" numFmtId="0" xfId="0" applyAlignment="1" applyBorder="1" applyFont="1">
      <alignment readingOrder="0" shrinkToFit="0" vertical="center" wrapText="1"/>
    </xf>
    <xf borderId="0" fillId="0" fontId="3" numFmtId="0" xfId="0" applyAlignment="1" applyFont="1">
      <alignment horizontal="center" vertical="center"/>
    </xf>
    <xf borderId="58" fillId="0" fontId="3" numFmtId="0" xfId="0" applyAlignment="1" applyBorder="1" applyFont="1">
      <alignment horizontal="center" vertical="center"/>
    </xf>
    <xf borderId="59" fillId="0" fontId="2" numFmtId="0" xfId="0" applyBorder="1" applyFont="1"/>
    <xf borderId="57" fillId="0" fontId="2" numFmtId="0" xfId="0" applyBorder="1" applyFont="1"/>
    <xf borderId="59" fillId="4" fontId="3" numFmtId="0" xfId="0" applyAlignment="1" applyBorder="1" applyFont="1">
      <alignment horizontal="center" shrinkToFit="0" vertical="center" wrapText="1"/>
    </xf>
    <xf borderId="57" fillId="11" fontId="3" numFmtId="0" xfId="0" applyAlignment="1" applyBorder="1" applyFont="1">
      <alignment vertical="center"/>
    </xf>
    <xf borderId="0" fillId="11" fontId="3" numFmtId="10" xfId="0" applyAlignment="1" applyFont="1" applyNumberFormat="1">
      <alignment horizontal="right" vertical="center"/>
    </xf>
    <xf borderId="58" fillId="11" fontId="4" numFmtId="10" xfId="0" applyAlignment="1" applyBorder="1" applyFont="1" applyNumberFormat="1">
      <alignment horizontal="right" vertical="center"/>
    </xf>
    <xf borderId="59" fillId="11" fontId="4" numFmtId="10" xfId="0" applyAlignment="1" applyBorder="1" applyFont="1" applyNumberFormat="1">
      <alignment horizontal="right" vertical="center"/>
    </xf>
    <xf borderId="60" fillId="17" fontId="3" numFmtId="0" xfId="0" applyAlignment="1" applyBorder="1" applyFont="1">
      <alignment vertical="center"/>
    </xf>
    <xf borderId="61" fillId="17" fontId="4" numFmtId="10" xfId="0" applyAlignment="1" applyBorder="1" applyFont="1" applyNumberFormat="1">
      <alignment horizontal="right" vertical="center"/>
    </xf>
    <xf borderId="62" fillId="17" fontId="3" numFmtId="10" xfId="0" applyAlignment="1" applyBorder="1" applyFont="1" applyNumberFormat="1">
      <alignment horizontal="right" vertical="center"/>
    </xf>
    <xf borderId="63" fillId="17" fontId="3" numFmtId="10" xfId="0" applyAlignment="1" applyBorder="1" applyFont="1" applyNumberFormat="1">
      <alignment horizontal="right" vertical="center"/>
    </xf>
    <xf borderId="0" fillId="0" fontId="3" numFmtId="165" xfId="0" applyAlignment="1" applyFont="1" applyNumberFormat="1">
      <alignment horizontal="right" vertical="center"/>
    </xf>
    <xf borderId="27" fillId="0" fontId="48" numFmtId="0" xfId="0" applyAlignment="1" applyBorder="1" applyFont="1">
      <alignment horizontal="center" vertical="center"/>
    </xf>
    <xf borderId="30" fillId="0" fontId="5" numFmtId="0" xfId="0" applyAlignment="1" applyBorder="1" applyFont="1">
      <alignment vertical="center"/>
    </xf>
    <xf borderId="0" fillId="0" fontId="5" numFmtId="0" xfId="0" applyAlignment="1" applyFont="1">
      <alignment vertical="center"/>
    </xf>
    <xf borderId="31" fillId="0" fontId="5" numFmtId="0" xfId="0" applyAlignment="1" applyBorder="1" applyFont="1">
      <alignment vertical="center"/>
    </xf>
    <xf borderId="27" fillId="0" fontId="49" numFmtId="0" xfId="0" applyAlignment="1" applyBorder="1" applyFont="1">
      <alignment horizontal="center" vertical="center"/>
    </xf>
    <xf borderId="30" fillId="0" fontId="16" numFmtId="0" xfId="0" applyAlignment="1" applyBorder="1" applyFont="1">
      <alignment vertical="center"/>
    </xf>
    <xf borderId="31" fillId="0" fontId="16" numFmtId="0" xfId="0" applyAlignment="1" applyBorder="1" applyFont="1">
      <alignment horizontal="right" vertical="center"/>
    </xf>
    <xf borderId="31" fillId="0" fontId="16" numFmtId="10" xfId="0" applyAlignment="1" applyBorder="1" applyFont="1" applyNumberFormat="1">
      <alignment horizontal="right" vertical="center"/>
    </xf>
    <xf borderId="7" fillId="0" fontId="3" numFmtId="0" xfId="0" applyAlignment="1" applyBorder="1" applyFont="1">
      <alignment vertical="center"/>
    </xf>
    <xf borderId="7" fillId="4" fontId="3" numFmtId="165" xfId="0" applyAlignment="1" applyBorder="1" applyFont="1" applyNumberFormat="1">
      <alignment horizontal="right" vertical="center"/>
    </xf>
    <xf borderId="8" fillId="4" fontId="3" numFmtId="165" xfId="0" applyAlignment="1" applyBorder="1" applyFont="1" applyNumberFormat="1">
      <alignment horizontal="right" vertical="center"/>
    </xf>
    <xf borderId="32" fillId="0" fontId="16" numFmtId="0" xfId="0" applyAlignment="1" applyBorder="1" applyFont="1">
      <alignment vertical="center"/>
    </xf>
    <xf borderId="33" fillId="0" fontId="16" numFmtId="10" xfId="0" applyAlignment="1" applyBorder="1" applyFont="1" applyNumberFormat="1">
      <alignment horizontal="right" vertical="center"/>
    </xf>
    <xf borderId="33" fillId="0" fontId="16" numFmtId="0" xfId="0" applyAlignment="1" applyBorder="1" applyFont="1">
      <alignment horizontal="right" vertical="center"/>
    </xf>
    <xf borderId="25" fillId="4" fontId="7" numFmtId="0" xfId="0" applyAlignment="1" applyBorder="1" applyFont="1">
      <alignment readingOrder="0" shrinkToFit="0" wrapText="1"/>
    </xf>
    <xf borderId="5" fillId="15" fontId="19" numFmtId="0" xfId="0" applyAlignment="1" applyBorder="1" applyFont="1">
      <alignment shrinkToFit="0" vertical="bottom" wrapText="1"/>
    </xf>
    <xf borderId="28" fillId="0" fontId="20" numFmtId="0" xfId="0" applyAlignment="1" applyBorder="1" applyFont="1">
      <alignment horizontal="center" vertical="center"/>
    </xf>
    <xf borderId="0" fillId="3" fontId="9" numFmtId="0" xfId="0" applyAlignment="1" applyFont="1">
      <alignment readingOrder="0" shrinkToFit="0" vertical="bottom" wrapText="1"/>
    </xf>
    <xf borderId="0" fillId="4" fontId="0" numFmtId="10" xfId="0" applyFont="1" applyNumberFormat="1"/>
    <xf borderId="0" fillId="0" fontId="3" numFmtId="10" xfId="0" applyFont="1" applyNumberFormat="1"/>
    <xf borderId="0" fillId="4" fontId="5" numFmtId="0" xfId="0" applyAlignment="1" applyFont="1">
      <alignment shrinkToFit="0" vertical="bottom" wrapText="0"/>
    </xf>
    <xf borderId="5" fillId="15" fontId="19" numFmtId="0" xfId="0" applyAlignment="1" applyBorder="1" applyFont="1">
      <alignment readingOrder="0" shrinkToFit="0" vertical="bottom" wrapText="1"/>
    </xf>
    <xf borderId="25" fillId="0" fontId="3" numFmtId="0" xfId="0" applyAlignment="1" applyBorder="1" applyFont="1">
      <alignment readingOrder="0"/>
    </xf>
    <xf borderId="25" fillId="4" fontId="0" numFmtId="10" xfId="0" applyBorder="1" applyFont="1" applyNumberFormat="1"/>
    <xf borderId="25" fillId="0" fontId="3" numFmtId="10" xfId="0" applyBorder="1" applyFont="1" applyNumberFormat="1"/>
    <xf borderId="33" fillId="0" fontId="3" numFmtId="0" xfId="0" applyBorder="1" applyFont="1"/>
    <xf borderId="0" fillId="4" fontId="50" numFmtId="0" xfId="0" applyAlignment="1" applyFont="1">
      <alignment horizontal="left" readingOrder="0"/>
    </xf>
    <xf borderId="0" fillId="0" fontId="3" numFmtId="3" xfId="0" applyAlignment="1" applyFont="1" applyNumberFormat="1">
      <alignment horizontal="center"/>
    </xf>
    <xf borderId="10" fillId="4" fontId="6" numFmtId="0" xfId="0" applyAlignment="1" applyBorder="1" applyFont="1">
      <alignment horizontal="center" readingOrder="0" vertical="center"/>
    </xf>
    <xf borderId="11" fillId="4" fontId="4" numFmtId="0" xfId="0" applyAlignment="1" applyBorder="1" applyFont="1">
      <alignment horizontal="center" readingOrder="0" vertical="center"/>
    </xf>
    <xf borderId="12" fillId="4" fontId="3" numFmtId="0" xfId="0" applyAlignment="1" applyBorder="1" applyFont="1">
      <alignment horizontal="center" readingOrder="0" vertical="center"/>
    </xf>
    <xf borderId="0" fillId="4" fontId="4" numFmtId="0" xfId="0" applyAlignment="1" applyFont="1">
      <alignment horizontal="center" readingOrder="0" vertical="center"/>
    </xf>
    <xf borderId="13" fillId="0" fontId="6" numFmtId="0" xfId="0" applyAlignment="1" applyBorder="1" applyFont="1">
      <alignment horizontal="center" readingOrder="0" vertical="center"/>
    </xf>
    <xf borderId="19" fillId="4" fontId="6" numFmtId="0" xfId="0" applyAlignment="1" applyBorder="1" applyFont="1">
      <alignment horizontal="center" readingOrder="0" vertical="center"/>
    </xf>
    <xf borderId="64" fillId="4" fontId="6" numFmtId="0" xfId="0" applyAlignment="1" applyBorder="1" applyFont="1">
      <alignment horizontal="center" readingOrder="0" vertical="center"/>
    </xf>
    <xf borderId="65" fillId="0" fontId="2" numFmtId="0" xfId="0" applyBorder="1" applyFont="1"/>
    <xf borderId="66" fillId="0" fontId="2" numFmtId="0" xfId="0" applyBorder="1" applyFont="1"/>
    <xf borderId="11" fillId="4" fontId="6" numFmtId="0" xfId="0" applyAlignment="1" applyBorder="1" applyFont="1">
      <alignment horizontal="center" readingOrder="0" vertical="center"/>
    </xf>
    <xf borderId="0" fillId="4" fontId="3" numFmtId="0" xfId="0" applyAlignment="1" applyFont="1">
      <alignment horizontal="center" vertical="center"/>
    </xf>
    <xf borderId="64" fillId="0" fontId="4" numFmtId="0" xfId="0" applyAlignment="1" applyBorder="1" applyFont="1">
      <alignment horizontal="center" vertical="center"/>
    </xf>
    <xf borderId="7" fillId="0" fontId="4" numFmtId="0" xfId="0" applyAlignment="1" applyBorder="1" applyFont="1">
      <alignment readingOrder="0" vertical="center"/>
    </xf>
    <xf borderId="13" fillId="4" fontId="8" numFmtId="0" xfId="0" applyAlignment="1" applyBorder="1" applyFont="1">
      <alignment readingOrder="0" vertical="center"/>
    </xf>
    <xf borderId="14" fillId="4" fontId="8" numFmtId="0" xfId="0" applyAlignment="1" applyBorder="1" applyFont="1">
      <alignment readingOrder="0" vertical="center"/>
    </xf>
    <xf borderId="20" fillId="4" fontId="8" numFmtId="0" xfId="0" applyAlignment="1" applyBorder="1" applyFont="1">
      <alignment horizontal="left" readingOrder="0" vertical="center"/>
    </xf>
    <xf borderId="64" fillId="4" fontId="8" numFmtId="0" xfId="0" applyAlignment="1" applyBorder="1" applyFont="1">
      <alignment readingOrder="0" vertical="center"/>
    </xf>
    <xf borderId="65" fillId="4" fontId="8" numFmtId="0" xfId="0" applyAlignment="1" applyBorder="1" applyFont="1">
      <alignment readingOrder="0" vertical="center"/>
    </xf>
    <xf borderId="65" fillId="4" fontId="8" numFmtId="0" xfId="0" applyAlignment="1" applyBorder="1" applyFont="1">
      <alignment horizontal="center" readingOrder="0" vertical="center"/>
    </xf>
    <xf borderId="65" fillId="4" fontId="4" numFmtId="0" xfId="0" applyAlignment="1" applyBorder="1" applyFont="1">
      <alignment horizontal="center" vertical="center"/>
    </xf>
    <xf borderId="66" fillId="0" fontId="4" numFmtId="0" xfId="0" applyAlignment="1" applyBorder="1" applyFont="1">
      <alignment horizontal="center" vertical="center"/>
    </xf>
    <xf borderId="14" fillId="0" fontId="4" numFmtId="0" xfId="0" applyAlignment="1" applyBorder="1" applyFont="1">
      <alignment horizontal="center" vertical="center"/>
    </xf>
    <xf borderId="64" fillId="0" fontId="4" numFmtId="0" xfId="0" applyAlignment="1" applyBorder="1" applyFont="1">
      <alignment vertical="center"/>
    </xf>
    <xf borderId="65" fillId="0" fontId="4" numFmtId="0" xfId="0" applyAlignment="1" applyBorder="1" applyFont="1">
      <alignment vertical="center"/>
    </xf>
    <xf borderId="65" fillId="0" fontId="4" numFmtId="0" xfId="0" applyAlignment="1" applyBorder="1" applyFont="1">
      <alignment horizontal="center" vertical="center"/>
    </xf>
    <xf borderId="19" fillId="0" fontId="3" numFmtId="0" xfId="0" applyAlignment="1" applyBorder="1" applyFont="1">
      <alignment vertical="center"/>
    </xf>
    <xf borderId="20" fillId="4" fontId="3" numFmtId="0" xfId="0" applyAlignment="1" applyBorder="1" applyFont="1">
      <alignment readingOrder="0" vertical="center"/>
    </xf>
    <xf borderId="19" fillId="4" fontId="3" numFmtId="0" xfId="0" applyAlignment="1" applyBorder="1" applyFont="1">
      <alignment readingOrder="0" vertical="center"/>
    </xf>
    <xf borderId="12" fillId="0" fontId="7" numFmtId="0" xfId="0" applyAlignment="1" applyBorder="1" applyFont="1">
      <alignment horizontal="left" readingOrder="0" vertical="center"/>
    </xf>
    <xf borderId="0" fillId="0" fontId="7" numFmtId="0" xfId="0" applyAlignment="1" applyFont="1">
      <alignment horizontal="center" readingOrder="0" vertical="center"/>
    </xf>
    <xf borderId="0" fillId="0" fontId="3" numFmtId="0" xfId="0" applyAlignment="1" applyFont="1">
      <alignment horizontal="center" vertical="center"/>
    </xf>
    <xf borderId="20" fillId="0" fontId="51" numFmtId="0" xfId="0" applyAlignment="1" applyBorder="1" applyFont="1">
      <alignment horizontal="center" vertical="center"/>
    </xf>
    <xf borderId="20" fillId="18" fontId="51" numFmtId="0" xfId="0" applyAlignment="1" applyBorder="1" applyFill="1" applyFont="1">
      <alignment horizontal="center" vertical="center"/>
    </xf>
    <xf borderId="19" fillId="0" fontId="3" numFmtId="0" xfId="0" applyAlignment="1" applyBorder="1" applyFont="1">
      <alignment vertical="center"/>
    </xf>
    <xf borderId="0" fillId="0" fontId="4" numFmtId="0" xfId="0" applyAlignment="1" applyFont="1">
      <alignment horizontal="center" vertical="center"/>
    </xf>
    <xf borderId="20" fillId="0" fontId="7" numFmtId="0" xfId="0" applyAlignment="1" applyBorder="1" applyFont="1">
      <alignment horizontal="left" readingOrder="0" vertical="center"/>
    </xf>
    <xf borderId="17" fillId="0" fontId="4" numFmtId="0" xfId="0" applyAlignment="1" applyBorder="1" applyFont="1">
      <alignment horizontal="center" vertical="center"/>
    </xf>
    <xf borderId="0" fillId="4" fontId="4" numFmtId="0" xfId="0" applyAlignment="1" applyFont="1">
      <alignment shrinkToFit="0" vertical="center" wrapText="1"/>
    </xf>
    <xf borderId="20" fillId="0" fontId="3" numFmtId="0" xfId="0" applyAlignment="1" applyBorder="1" applyFont="1">
      <alignment horizontal="center" vertical="center"/>
    </xf>
    <xf borderId="17" fillId="4" fontId="4" numFmtId="0" xfId="0" applyAlignment="1" applyBorder="1" applyFont="1">
      <alignment readingOrder="0" vertical="center"/>
    </xf>
    <xf borderId="19" fillId="4" fontId="3" numFmtId="0" xfId="0" applyAlignment="1" applyBorder="1" applyFont="1">
      <alignment vertical="center"/>
    </xf>
    <xf borderId="16" fillId="0" fontId="4" numFmtId="0" xfId="0" applyAlignment="1" applyBorder="1" applyFont="1">
      <alignment horizontal="center" vertical="center"/>
    </xf>
    <xf borderId="0" fillId="0" fontId="3" numFmtId="0" xfId="0" applyAlignment="1" applyFont="1">
      <alignment shrinkToFit="0" vertical="center" wrapText="0"/>
    </xf>
    <xf borderId="20" fillId="0" fontId="3" numFmtId="0" xfId="0" applyAlignment="1" applyBorder="1" applyFont="1">
      <alignment horizontal="center" vertical="center"/>
    </xf>
    <xf borderId="20" fillId="0" fontId="51" numFmtId="0" xfId="0" applyAlignment="1" applyBorder="1" applyFont="1">
      <alignment horizontal="center" vertical="center"/>
    </xf>
    <xf borderId="11" fillId="0" fontId="4" numFmtId="0" xfId="0" applyAlignment="1" applyBorder="1" applyFont="1">
      <alignment horizontal="center" vertical="center"/>
    </xf>
    <xf borderId="12" fillId="18" fontId="4" numFmtId="0" xfId="0" applyAlignment="1" applyBorder="1" applyFont="1">
      <alignment horizontal="center" vertical="center"/>
    </xf>
    <xf borderId="19" fillId="4" fontId="3" numFmtId="0" xfId="0" applyAlignment="1" applyBorder="1" applyFont="1">
      <alignment vertical="center"/>
    </xf>
    <xf borderId="67" fillId="0" fontId="2" numFmtId="0" xfId="0" applyBorder="1" applyFont="1"/>
    <xf borderId="0" fillId="4" fontId="52" numFmtId="0" xfId="0" applyAlignment="1" applyFont="1">
      <alignment horizontal="center" shrinkToFit="0" vertical="center" wrapText="1"/>
    </xf>
    <xf borderId="0" fillId="4" fontId="43" numFmtId="0" xfId="0" applyAlignment="1" applyFont="1">
      <alignment horizontal="center" shrinkToFit="0" vertical="center" wrapText="1"/>
    </xf>
    <xf borderId="0" fillId="4" fontId="53" numFmtId="0" xfId="0" applyAlignment="1" applyFont="1">
      <alignment readingOrder="0" vertical="center"/>
    </xf>
    <xf borderId="20" fillId="4" fontId="3" numFmtId="0" xfId="0" applyAlignment="1" applyBorder="1" applyFont="1">
      <alignment vertical="center"/>
    </xf>
    <xf borderId="20" fillId="0" fontId="3" numFmtId="0" xfId="0" applyAlignment="1" applyBorder="1" applyFont="1">
      <alignment vertical="center"/>
    </xf>
    <xf borderId="0" fillId="0" fontId="7" numFmtId="0" xfId="0" applyAlignment="1" applyFont="1">
      <alignment horizontal="left" readingOrder="0" vertical="center"/>
    </xf>
    <xf borderId="20" fillId="0" fontId="3" numFmtId="0" xfId="0" applyAlignment="1" applyBorder="1" applyFont="1">
      <alignment vertical="center"/>
    </xf>
  </cellXfs>
  <cellStyles count="1">
    <cellStyle xfId="0" name="Normal" builtinId="0"/>
  </cellStyles>
  <dxfs count="21">
    <dxf>
      <font/>
      <fill>
        <patternFill patternType="solid">
          <fgColor rgb="FFC9DAF8"/>
          <bgColor rgb="FFC9DAF8"/>
        </patternFill>
      </fill>
      <border/>
    </dxf>
    <dxf>
      <font/>
      <fill>
        <patternFill patternType="solid">
          <fgColor rgb="FFF9CB9C"/>
          <bgColor rgb="FFF9CB9C"/>
        </patternFill>
      </fill>
      <border/>
    </dxf>
    <dxf>
      <font/>
      <fill>
        <patternFill patternType="solid">
          <fgColor rgb="FFB4A7D6"/>
          <bgColor rgb="FFB4A7D6"/>
        </patternFill>
      </fill>
      <border/>
    </dxf>
    <dxf>
      <font/>
      <fill>
        <patternFill patternType="solid">
          <fgColor rgb="FFD9D9D9"/>
          <bgColor rgb="FFD9D9D9"/>
        </patternFill>
      </fill>
      <border/>
    </dxf>
    <dxf>
      <font/>
      <fill>
        <patternFill patternType="solid">
          <fgColor rgb="FFD9D2E9"/>
          <bgColor rgb="FFD9D2E9"/>
        </patternFill>
      </fill>
      <border/>
    </dxf>
    <dxf>
      <font/>
      <fill>
        <patternFill patternType="solid">
          <fgColor rgb="FFFFF2CC"/>
          <bgColor rgb="FFFFF2CC"/>
        </patternFill>
      </fill>
      <border/>
    </dxf>
    <dxf>
      <font/>
      <fill>
        <patternFill patternType="solid">
          <fgColor rgb="FFFCE5CD"/>
          <bgColor rgb="FFFCE5CD"/>
        </patternFill>
      </fill>
      <border/>
    </dxf>
    <dxf>
      <font/>
      <fill>
        <patternFill patternType="solid">
          <fgColor rgb="FFFFC1EA"/>
          <bgColor rgb="FFFFC1EA"/>
        </patternFill>
      </fill>
      <border/>
    </dxf>
    <dxf>
      <font/>
      <fill>
        <patternFill patternType="solid">
          <fgColor rgb="FF9FC5E8"/>
          <bgColor rgb="FF9FC5E8"/>
        </patternFill>
      </fill>
      <border/>
    </dxf>
    <dxf>
      <font/>
      <fill>
        <patternFill patternType="solid">
          <fgColor rgb="FFD5A6BD"/>
          <bgColor rgb="FFD5A6BD"/>
        </patternFill>
      </fill>
      <border/>
    </dxf>
    <dxf>
      <font/>
      <fill>
        <patternFill patternType="solid">
          <fgColor rgb="FFF3F3F3"/>
          <bgColor rgb="FFF3F3F3"/>
        </patternFill>
      </fill>
      <border/>
    </dxf>
    <dxf>
      <font>
        <color rgb="FFB7E1CD"/>
      </font>
      <fill>
        <patternFill patternType="solid">
          <fgColor rgb="FFB7E1CD"/>
          <bgColor rgb="FFB7E1CD"/>
        </patternFill>
      </fill>
      <border/>
    </dxf>
    <dxf>
      <font>
        <color rgb="FFF4C7C3"/>
      </font>
      <fill>
        <patternFill patternType="solid">
          <fgColor rgb="FFF4C7C3"/>
          <bgColor rgb="FFF4C7C3"/>
        </patternFill>
      </fill>
      <border/>
    </dxf>
    <dxf>
      <font>
        <color rgb="FF1F1F1F"/>
      </font>
      <fill>
        <patternFill patternType="solid">
          <fgColor rgb="FFFFC1EA"/>
          <bgColor rgb="FFFFC1EA"/>
        </patternFill>
      </fill>
      <border/>
    </dxf>
    <dxf>
      <font>
        <color rgb="FF1F1F1F"/>
      </font>
      <fill>
        <patternFill patternType="solid">
          <fgColor rgb="FF9FC5E8"/>
          <bgColor rgb="FF9FC5E8"/>
        </patternFill>
      </fill>
      <border/>
    </dxf>
    <dxf>
      <font>
        <color rgb="FF1F1F1F"/>
      </font>
      <fill>
        <patternFill patternType="solid">
          <fgColor rgb="FFD5A6BD"/>
          <bgColor rgb="FFD5A6BD"/>
        </patternFill>
      </fill>
      <border/>
    </dxf>
    <dxf>
      <font/>
      <fill>
        <patternFill patternType="solid">
          <fgColor rgb="FFFFF3CC"/>
          <bgColor rgb="FFFFF3CC"/>
        </patternFill>
      </fill>
      <border/>
    </dxf>
    <dxf>
      <font>
        <color rgb="FF000000"/>
      </font>
      <fill>
        <patternFill patternType="solid">
          <fgColor rgb="FFCCCCCC"/>
          <bgColor rgb="FFCCCCCC"/>
        </patternFill>
      </fill>
      <border/>
    </dxf>
    <dxf>
      <font>
        <color rgb="FF1F1F1F"/>
      </font>
      <fill>
        <patternFill patternType="solid">
          <fgColor rgb="FFCCCCCC"/>
          <bgColor rgb="FFCCCCCC"/>
        </patternFill>
      </fill>
      <border/>
    </dxf>
    <dxf>
      <font/>
      <fill>
        <patternFill patternType="solid">
          <fgColor rgb="FFCCCCCC"/>
          <bgColor rgb="FFCCCCCC"/>
        </patternFill>
      </fill>
      <border/>
    </dxf>
    <dxf>
      <font/>
      <fill>
        <patternFill patternType="solid">
          <fgColor rgb="FFA2EE8E"/>
          <bgColor rgb="FFA2EE8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gpocketcollectiontracker.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reddit.com/user/tatufdez/"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3"/>
      <c r="H1" s="4"/>
    </row>
    <row r="2">
      <c r="A2" s="5"/>
      <c r="G2" s="6"/>
      <c r="H2" s="4"/>
      <c r="I2" s="7"/>
      <c r="J2" s="7"/>
      <c r="K2" s="7"/>
      <c r="L2" s="7"/>
      <c r="M2" s="7"/>
    </row>
    <row r="3">
      <c r="A3" s="5"/>
      <c r="G3" s="6"/>
      <c r="H3" s="4"/>
      <c r="I3" s="7"/>
      <c r="J3" s="7"/>
      <c r="K3" s="7"/>
      <c r="L3" s="7"/>
      <c r="M3" s="7"/>
    </row>
    <row r="4">
      <c r="A4" s="5"/>
      <c r="G4" s="6"/>
      <c r="H4" s="4"/>
      <c r="I4" s="7"/>
      <c r="J4" s="7"/>
      <c r="K4" s="7"/>
      <c r="L4" s="7"/>
      <c r="M4" s="7"/>
    </row>
    <row r="5">
      <c r="A5" s="5"/>
      <c r="G5" s="6"/>
      <c r="H5" s="4"/>
      <c r="I5" s="7"/>
      <c r="J5" s="7"/>
      <c r="K5" s="7"/>
      <c r="L5" s="7"/>
      <c r="M5" s="7"/>
    </row>
    <row r="6">
      <c r="A6" s="5"/>
      <c r="G6" s="6"/>
      <c r="H6" s="4"/>
      <c r="I6" s="7"/>
      <c r="J6" s="7"/>
      <c r="K6" s="7"/>
      <c r="L6" s="7"/>
      <c r="M6" s="7"/>
    </row>
    <row r="7">
      <c r="A7" s="5"/>
      <c r="G7" s="6"/>
      <c r="H7" s="4"/>
      <c r="I7" s="8"/>
      <c r="J7" s="8"/>
      <c r="K7" s="8"/>
      <c r="L7" s="8"/>
    </row>
    <row r="8">
      <c r="A8" s="5"/>
      <c r="G8" s="6"/>
      <c r="H8" s="4"/>
      <c r="I8" s="8"/>
      <c r="J8" s="8"/>
      <c r="K8" s="8"/>
      <c r="L8" s="8"/>
    </row>
    <row r="9">
      <c r="A9" s="5"/>
      <c r="G9" s="6"/>
      <c r="H9" s="4"/>
      <c r="I9" s="8"/>
      <c r="J9" s="8"/>
      <c r="K9" s="8"/>
      <c r="L9" s="8"/>
    </row>
    <row r="10">
      <c r="A10" s="5"/>
      <c r="G10" s="6"/>
      <c r="H10" s="4"/>
      <c r="I10" s="8"/>
      <c r="J10" s="8"/>
      <c r="K10" s="8"/>
      <c r="L10" s="8"/>
    </row>
    <row r="11">
      <c r="A11" s="5"/>
      <c r="G11" s="6"/>
      <c r="H11" s="4"/>
      <c r="I11" s="8"/>
      <c r="J11" s="8"/>
      <c r="K11" s="8"/>
      <c r="L11" s="8"/>
    </row>
    <row r="12">
      <c r="A12" s="5"/>
      <c r="G12" s="6"/>
      <c r="H12" s="4"/>
      <c r="I12" s="8"/>
      <c r="J12" s="8"/>
      <c r="K12" s="8"/>
      <c r="L12" s="8"/>
    </row>
    <row r="13">
      <c r="A13" s="5"/>
      <c r="G13" s="6"/>
      <c r="H13" s="4"/>
      <c r="I13" s="8"/>
      <c r="J13" s="8"/>
      <c r="K13" s="8"/>
      <c r="L13" s="8"/>
    </row>
    <row r="14">
      <c r="A14" s="5"/>
      <c r="G14" s="6"/>
      <c r="H14" s="4"/>
      <c r="I14" s="8"/>
      <c r="J14" s="8"/>
      <c r="K14" s="8"/>
      <c r="L14" s="8"/>
    </row>
    <row r="15">
      <c r="A15" s="5"/>
      <c r="G15" s="6"/>
      <c r="H15" s="4"/>
      <c r="I15" s="8"/>
      <c r="J15" s="8"/>
      <c r="K15" s="8"/>
      <c r="L15" s="8"/>
    </row>
    <row r="16">
      <c r="A16" s="5"/>
      <c r="G16" s="6"/>
      <c r="H16" s="4"/>
      <c r="I16" s="8"/>
      <c r="J16" s="8"/>
      <c r="K16" s="8"/>
      <c r="L16" s="8"/>
    </row>
    <row r="17">
      <c r="A17" s="5"/>
      <c r="G17" s="6"/>
      <c r="H17" s="4"/>
      <c r="I17" s="8"/>
      <c r="J17" s="8"/>
      <c r="K17" s="8"/>
      <c r="L17" s="8"/>
    </row>
    <row r="18">
      <c r="A18" s="5"/>
      <c r="G18" s="6"/>
      <c r="H18" s="4"/>
      <c r="I18" s="8"/>
      <c r="J18" s="8"/>
      <c r="K18" s="8"/>
      <c r="L18" s="8"/>
    </row>
    <row r="19">
      <c r="A19" s="5"/>
      <c r="G19" s="6"/>
      <c r="H19" s="4"/>
      <c r="I19" s="8"/>
      <c r="J19" s="8"/>
      <c r="K19" s="8"/>
      <c r="L19" s="8"/>
    </row>
    <row r="20">
      <c r="A20" s="5"/>
      <c r="G20" s="6"/>
      <c r="H20" s="4"/>
    </row>
    <row r="21">
      <c r="A21" s="9"/>
      <c r="B21" s="10"/>
      <c r="C21" s="10"/>
      <c r="D21" s="10"/>
      <c r="E21" s="10"/>
      <c r="F21" s="10"/>
      <c r="G21" s="11"/>
      <c r="H21" s="4"/>
    </row>
    <row r="22">
      <c r="A22" s="4"/>
      <c r="B22" s="4"/>
      <c r="C22" s="4"/>
      <c r="D22" s="4"/>
      <c r="E22" s="4"/>
      <c r="F22" s="4"/>
      <c r="G22" s="4"/>
      <c r="H22" s="4"/>
    </row>
    <row r="23">
      <c r="A23" s="12" t="s">
        <v>1</v>
      </c>
      <c r="B23" s="12" t="s">
        <v>2</v>
      </c>
      <c r="C23" s="12" t="s">
        <v>3</v>
      </c>
      <c r="D23" s="13"/>
      <c r="E23" s="13"/>
      <c r="F23" s="13"/>
      <c r="G23" s="13"/>
      <c r="H23" s="13"/>
      <c r="I23" s="14"/>
      <c r="J23" s="14"/>
      <c r="K23" s="14"/>
      <c r="L23" s="14"/>
      <c r="M23" s="14"/>
      <c r="N23" s="14"/>
      <c r="O23" s="14"/>
      <c r="P23" s="14"/>
      <c r="Q23" s="14"/>
      <c r="R23" s="14"/>
      <c r="S23" s="14"/>
      <c r="T23" s="14"/>
      <c r="U23" s="14"/>
      <c r="V23" s="14"/>
      <c r="W23" s="14"/>
      <c r="X23" s="14"/>
      <c r="Y23" s="14"/>
      <c r="Z23" s="14"/>
    </row>
    <row r="24">
      <c r="A24" s="15">
        <v>5.0</v>
      </c>
      <c r="B24" s="16" t="s">
        <v>4</v>
      </c>
      <c r="C24" s="16" t="s">
        <v>5</v>
      </c>
      <c r="D24" s="4"/>
      <c r="E24" s="4"/>
      <c r="F24" s="4"/>
      <c r="G24" s="4"/>
      <c r="H24" s="4"/>
    </row>
    <row r="25">
      <c r="A25" s="15">
        <v>5.1</v>
      </c>
      <c r="B25" s="16" t="s">
        <v>4</v>
      </c>
      <c r="C25" s="16" t="s">
        <v>6</v>
      </c>
      <c r="D25" s="4"/>
      <c r="E25" s="4"/>
      <c r="F25" s="4"/>
      <c r="G25" s="4"/>
      <c r="H25" s="4"/>
    </row>
    <row r="26">
      <c r="A26" s="15">
        <v>5.2</v>
      </c>
      <c r="B26" s="16" t="s">
        <v>7</v>
      </c>
      <c r="C26" s="16" t="s">
        <v>8</v>
      </c>
      <c r="D26" s="4"/>
      <c r="E26" s="4"/>
      <c r="F26" s="4"/>
      <c r="G26" s="4"/>
      <c r="H26" s="4"/>
    </row>
    <row r="27">
      <c r="A27" s="15">
        <v>5.3</v>
      </c>
      <c r="B27" s="16" t="s">
        <v>4</v>
      </c>
      <c r="C27" s="16" t="s">
        <v>9</v>
      </c>
      <c r="D27" s="4"/>
      <c r="E27" s="4"/>
      <c r="F27" s="4"/>
      <c r="G27" s="4"/>
      <c r="H27" s="4"/>
    </row>
    <row r="28">
      <c r="A28" s="15">
        <v>5.4</v>
      </c>
      <c r="B28" s="16" t="s">
        <v>4</v>
      </c>
      <c r="C28" s="16" t="s">
        <v>10</v>
      </c>
      <c r="D28" s="4"/>
      <c r="E28" s="4"/>
      <c r="F28" s="4"/>
      <c r="G28" s="4"/>
      <c r="H28" s="4"/>
    </row>
    <row r="29">
      <c r="A29" s="15">
        <v>5.5</v>
      </c>
      <c r="B29" s="16" t="s">
        <v>4</v>
      </c>
      <c r="C29" s="16" t="s">
        <v>11</v>
      </c>
      <c r="D29" s="4"/>
      <c r="E29" s="4"/>
      <c r="F29" s="4"/>
      <c r="G29" s="4"/>
      <c r="H29" s="4"/>
    </row>
    <row r="30">
      <c r="A30" s="15">
        <v>5.6</v>
      </c>
      <c r="B30" s="16" t="s">
        <v>12</v>
      </c>
      <c r="C30" s="16" t="s">
        <v>13</v>
      </c>
      <c r="D30" s="4"/>
      <c r="E30" s="4"/>
      <c r="F30" s="4"/>
      <c r="G30" s="4"/>
      <c r="H30" s="4"/>
    </row>
    <row r="31">
      <c r="A31" s="15">
        <v>5.7</v>
      </c>
      <c r="B31" s="16" t="s">
        <v>12</v>
      </c>
      <c r="C31" s="17" t="s">
        <v>14</v>
      </c>
    </row>
    <row r="32">
      <c r="A32" s="15">
        <v>5.8</v>
      </c>
      <c r="B32" s="16" t="s">
        <v>12</v>
      </c>
      <c r="C32" s="17" t="s">
        <v>15</v>
      </c>
    </row>
    <row r="33">
      <c r="A33" s="15">
        <v>5.9</v>
      </c>
      <c r="B33" s="17" t="s">
        <v>4</v>
      </c>
      <c r="C33" s="17" t="s">
        <v>16</v>
      </c>
    </row>
    <row r="34">
      <c r="A34" s="18">
        <v>6.0</v>
      </c>
      <c r="B34" s="19" t="s">
        <v>12</v>
      </c>
      <c r="C34" s="20" t="s">
        <v>17</v>
      </c>
    </row>
    <row r="35">
      <c r="A35" s="21"/>
      <c r="B35" s="22"/>
      <c r="C35" s="22"/>
    </row>
    <row r="36">
      <c r="A36" s="21"/>
      <c r="B36" s="22"/>
      <c r="C36" s="22"/>
    </row>
    <row r="37">
      <c r="A37" s="21"/>
      <c r="B37" s="22"/>
      <c r="C37" s="22"/>
    </row>
    <row r="38">
      <c r="A38" s="21"/>
      <c r="B38" s="22"/>
      <c r="C38" s="22"/>
    </row>
    <row r="39">
      <c r="A39" s="21"/>
      <c r="B39" s="22"/>
      <c r="C39" s="22"/>
    </row>
    <row r="40">
      <c r="A40" s="21"/>
      <c r="B40" s="22"/>
      <c r="C40" s="22"/>
    </row>
    <row r="41">
      <c r="A41" s="21"/>
      <c r="B41" s="22"/>
      <c r="C41" s="22"/>
    </row>
    <row r="42">
      <c r="A42" s="21"/>
      <c r="B42" s="22"/>
      <c r="C42" s="22"/>
    </row>
    <row r="43">
      <c r="A43" s="21"/>
      <c r="B43" s="22"/>
      <c r="C43" s="22"/>
    </row>
    <row r="44">
      <c r="A44" s="21"/>
      <c r="B44" s="22"/>
      <c r="C44" s="22"/>
    </row>
    <row r="45">
      <c r="A45" s="21"/>
      <c r="B45" s="22"/>
      <c r="C45" s="22"/>
    </row>
    <row r="46">
      <c r="A46" s="21"/>
      <c r="B46" s="22"/>
      <c r="C46" s="22"/>
    </row>
    <row r="47">
      <c r="A47" s="21"/>
      <c r="B47" s="22"/>
      <c r="C47" s="22"/>
    </row>
    <row r="48">
      <c r="A48" s="21"/>
      <c r="B48" s="22"/>
      <c r="C48" s="22"/>
    </row>
    <row r="49">
      <c r="A49" s="21"/>
      <c r="B49" s="22"/>
      <c r="C49" s="22"/>
    </row>
    <row r="50">
      <c r="A50" s="21"/>
      <c r="B50" s="22"/>
      <c r="C50" s="22"/>
    </row>
    <row r="51">
      <c r="B51" s="22"/>
      <c r="C51" s="22"/>
    </row>
    <row r="52">
      <c r="B52" s="22"/>
      <c r="C52" s="22"/>
    </row>
    <row r="53">
      <c r="B53" s="22"/>
      <c r="C53" s="22"/>
    </row>
    <row r="54">
      <c r="B54" s="22"/>
      <c r="C54" s="22"/>
    </row>
    <row r="55">
      <c r="B55" s="22"/>
      <c r="C55" s="22"/>
    </row>
    <row r="56">
      <c r="B56" s="22"/>
      <c r="C56" s="22"/>
    </row>
    <row r="57">
      <c r="B57" s="22"/>
      <c r="C57" s="22"/>
    </row>
    <row r="58">
      <c r="B58" s="22"/>
      <c r="C58" s="22"/>
    </row>
    <row r="59">
      <c r="B59" s="22"/>
      <c r="C59" s="22"/>
    </row>
    <row r="60">
      <c r="C60" s="22"/>
    </row>
    <row r="61">
      <c r="C61" s="22"/>
    </row>
    <row r="62">
      <c r="C62" s="22"/>
    </row>
    <row r="63">
      <c r="C63" s="22"/>
    </row>
    <row r="64">
      <c r="C64" s="22"/>
    </row>
    <row r="65">
      <c r="C65" s="22"/>
    </row>
    <row r="66">
      <c r="C66" s="22"/>
    </row>
    <row r="67">
      <c r="C67" s="22"/>
    </row>
    <row r="68">
      <c r="C68" s="22"/>
    </row>
  </sheetData>
  <mergeCells count="1">
    <mergeCell ref="A1:G21"/>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5.13"/>
    <col customWidth="1" min="3" max="6" width="8.88"/>
    <col customWidth="1" min="7" max="7" width="3.25"/>
    <col customWidth="1" min="8" max="8" width="18.88"/>
    <col customWidth="1" min="9" max="12" width="12.63"/>
    <col customWidth="1" min="13" max="13" width="3.25"/>
  </cols>
  <sheetData>
    <row r="1">
      <c r="A1" s="23"/>
      <c r="B1" s="24" t="s">
        <v>18</v>
      </c>
      <c r="C1" s="25"/>
      <c r="D1" s="25"/>
      <c r="E1" s="25"/>
      <c r="F1" s="26"/>
      <c r="G1" s="23"/>
      <c r="H1" s="24" t="s">
        <v>19</v>
      </c>
      <c r="I1" s="25"/>
      <c r="J1" s="25"/>
      <c r="K1" s="25"/>
      <c r="L1" s="26"/>
      <c r="M1" s="23"/>
    </row>
    <row r="2">
      <c r="A2" s="23"/>
      <c r="B2" s="27"/>
      <c r="C2" s="28"/>
      <c r="D2" s="28"/>
      <c r="E2" s="28"/>
      <c r="F2" s="29"/>
      <c r="G2" s="23"/>
      <c r="H2" s="27"/>
      <c r="I2" s="28"/>
      <c r="J2" s="28"/>
      <c r="K2" s="28"/>
      <c r="L2" s="29"/>
      <c r="M2" s="23"/>
    </row>
    <row r="3">
      <c r="A3" s="30"/>
      <c r="B3" s="31" t="s">
        <v>20</v>
      </c>
      <c r="C3" s="32"/>
      <c r="D3" s="32"/>
      <c r="E3" s="32"/>
      <c r="F3" s="33"/>
      <c r="G3" s="30"/>
      <c r="H3" s="34" t="s">
        <v>21</v>
      </c>
      <c r="I3" s="32"/>
      <c r="J3" s="32"/>
      <c r="K3" s="32"/>
      <c r="L3" s="33"/>
      <c r="M3" s="30"/>
    </row>
    <row r="4">
      <c r="A4" s="30"/>
      <c r="B4" s="35" t="s">
        <v>22</v>
      </c>
      <c r="F4" s="36">
        <f>SUM(F5:F11)-'Mythical Island'!B64</f>
        <v>0</v>
      </c>
      <c r="G4" s="30"/>
      <c r="H4" s="37" t="s">
        <v>23</v>
      </c>
      <c r="I4" s="38" t="s">
        <v>24</v>
      </c>
      <c r="J4" s="38" t="s">
        <v>25</v>
      </c>
      <c r="K4" s="39" t="s">
        <v>26</v>
      </c>
      <c r="L4" s="40" t="s">
        <v>27</v>
      </c>
      <c r="M4" s="30"/>
    </row>
    <row r="5">
      <c r="A5" s="30"/>
      <c r="B5" s="41" t="s">
        <v>28</v>
      </c>
      <c r="C5" s="42" t="s">
        <v>29</v>
      </c>
      <c r="E5" s="43">
        <f>SUMIF('Genetic Apex'!E2:E287, "A1-Mewtwo", 'Genetic Apex'!B2:B287) + SUMIF('Genetic Apex'!E2:E287, "A1", 'Genetic Apex'!B2:B287)</f>
        <v>0</v>
      </c>
      <c r="F5" s="44">
        <f>'Genetic Apex'!B288</f>
        <v>0</v>
      </c>
      <c r="G5" s="30"/>
      <c r="H5" s="45" t="s">
        <v>30</v>
      </c>
      <c r="I5" s="46">
        <f>'Genetic Apex'!L14</f>
        <v>0</v>
      </c>
      <c r="J5" s="46">
        <f>'Genetic Apex'!M14</f>
        <v>1</v>
      </c>
      <c r="K5" s="46" t="str">
        <f>'Genetic Apex'!N14</f>
        <v>0/286</v>
      </c>
      <c r="L5" s="47">
        <f>COUNTIF('Genetic Apex'!A:A,"FALSE")</f>
        <v>286</v>
      </c>
      <c r="M5" s="30"/>
    </row>
    <row r="6">
      <c r="A6" s="30"/>
      <c r="B6" s="48"/>
      <c r="C6" s="49" t="s">
        <v>31</v>
      </c>
      <c r="E6" s="50">
        <f>SUMIF('Genetic Apex'!E2:E287, "A1-Pikachu", 'Genetic Apex'!B2:B287) + SUMIF('Genetic Apex'!E2:E287, "A1", 'Genetic Apex'!B2:B287)</f>
        <v>0</v>
      </c>
      <c r="F6" s="51"/>
      <c r="G6" s="30"/>
      <c r="H6" s="52" t="s">
        <v>29</v>
      </c>
      <c r="I6" s="53">
        <f>'Genetic Apex'!L15</f>
        <v>0</v>
      </c>
      <c r="J6" s="53">
        <f>'Genetic Apex'!M15</f>
        <v>1</v>
      </c>
      <c r="K6" s="53" t="str">
        <f>'Genetic Apex'!N15</f>
        <v>0/125</v>
      </c>
      <c r="L6" s="54">
        <f>COUNTIFS('Genetic Apex'!A:A, FALSE, 'Genetic Apex'!E:E, H6)+COUNTIFS('Genetic Apex'!A:A, FALSE, 'Genetic Apex'!E:E, "A1")</f>
        <v>125</v>
      </c>
      <c r="M6" s="30"/>
    </row>
    <row r="7">
      <c r="A7" s="30"/>
      <c r="B7" s="48"/>
      <c r="C7" s="55" t="s">
        <v>32</v>
      </c>
      <c r="E7" s="56">
        <f>SUMIF('Genetic Apex'!E2:E287, "A1-Charizard", 'Genetic Apex'!B2:B287) + SUMIF('Genetic Apex'!E2:E287, "A1", 'Genetic Apex'!B2:B287)</f>
        <v>0</v>
      </c>
      <c r="F7" s="51"/>
      <c r="G7" s="30"/>
      <c r="H7" s="57" t="s">
        <v>31</v>
      </c>
      <c r="I7" s="58">
        <f>'Genetic Apex'!L16</f>
        <v>0</v>
      </c>
      <c r="J7" s="58">
        <f>'Genetic Apex'!M16</f>
        <v>1</v>
      </c>
      <c r="K7" s="58" t="str">
        <f>'Genetic Apex'!N16</f>
        <v>0/126</v>
      </c>
      <c r="L7" s="59">
        <f>COUNTIFS('Genetic Apex'!A:A, FALSE, 'Genetic Apex'!E:E, H7)+COUNTIFS('Genetic Apex'!A:A, FALSE, 'Genetic Apex'!E:E, "A1")</f>
        <v>126</v>
      </c>
      <c r="M7" s="30"/>
    </row>
    <row r="8">
      <c r="A8" s="30"/>
      <c r="B8" s="41" t="s">
        <v>33</v>
      </c>
      <c r="C8" s="60" t="s">
        <v>34</v>
      </c>
      <c r="F8" s="44">
        <f>'Mythical Island'!B88</f>
        <v>0</v>
      </c>
      <c r="G8" s="30"/>
      <c r="H8" s="61" t="s">
        <v>32</v>
      </c>
      <c r="I8" s="62">
        <f>'Genetic Apex'!L17</f>
        <v>0</v>
      </c>
      <c r="J8" s="62">
        <f>'Genetic Apex'!M17</f>
        <v>1</v>
      </c>
      <c r="K8" s="62" t="str">
        <f>'Genetic Apex'!N17</f>
        <v>0/126</v>
      </c>
      <c r="L8" s="63">
        <f>COUNTIFS('Genetic Apex'!A:A, FALSE, 'Genetic Apex'!E:E, H8)+COUNTIFS('Genetic Apex'!A:A, FALSE, 'Genetic Apex'!E:E, "A1")</f>
        <v>126</v>
      </c>
      <c r="M8" s="30"/>
    </row>
    <row r="9">
      <c r="A9" s="30"/>
      <c r="B9" s="64" t="s">
        <v>35</v>
      </c>
      <c r="C9" s="65" t="s">
        <v>36</v>
      </c>
      <c r="E9" s="66">
        <f>SUMIF('Space-Time Smackdown'!E2:E208, "A2-Dialga", 'Space-Time Smackdown'!B2:B208) + SUMIF('Space-Time Smackdown'!E2:E208, "A2", 'Space-Time Smackdown'!B2:B208)</f>
        <v>0</v>
      </c>
      <c r="F9" s="44">
        <f>'Space-Time Smackdown'!B209</f>
        <v>0</v>
      </c>
      <c r="G9" s="30"/>
      <c r="H9" s="67" t="s">
        <v>37</v>
      </c>
      <c r="I9" s="68">
        <f>'Genetic Apex'!L50</f>
        <v>0.006666666667</v>
      </c>
      <c r="J9" s="68">
        <f>'Genetic Apex'!M50</f>
        <v>0.9933333333</v>
      </c>
      <c r="K9" s="68" t="str">
        <f>'Genetic Apex'!N50</f>
        <v>1/150</v>
      </c>
      <c r="L9" s="69">
        <f>150*J9</f>
        <v>149</v>
      </c>
      <c r="M9" s="30"/>
    </row>
    <row r="10">
      <c r="A10" s="30"/>
      <c r="B10" s="48"/>
      <c r="C10" s="70" t="s">
        <v>38</v>
      </c>
      <c r="E10" s="71">
        <f>SUMIF('Space-Time Smackdown'!E2:E208, "A2-Palkia", 'Space-Time Smackdown'!B2:B208) + SUMIF('Space-Time Smackdown'!E2:E208, "A2", 'Space-Time Smackdown'!B2:B208)</f>
        <v>0</v>
      </c>
      <c r="F10" s="51"/>
      <c r="G10" s="30"/>
      <c r="H10" s="72" t="s">
        <v>39</v>
      </c>
      <c r="I10" s="73" t="str">
        <f>'Genetic Apex'!L18</f>
        <v>A1-Mewtwo</v>
      </c>
      <c r="L10" s="51"/>
      <c r="M10" s="30"/>
    </row>
    <row r="11">
      <c r="A11" s="30"/>
      <c r="B11" s="41" t="s">
        <v>40</v>
      </c>
      <c r="F11" s="44">
        <f>'PROMO-A'!B43</f>
        <v>0</v>
      </c>
      <c r="G11" s="30"/>
      <c r="H11" s="74" t="s">
        <v>41</v>
      </c>
      <c r="I11" s="75" t="str">
        <f>'Genetic Apex'!M66</f>
        <v>A1-Pikachu</v>
      </c>
      <c r="J11" s="28"/>
      <c r="K11" s="28"/>
      <c r="L11" s="29"/>
      <c r="M11" s="30"/>
    </row>
    <row r="12">
      <c r="A12" s="30"/>
      <c r="B12" s="34" t="s">
        <v>42</v>
      </c>
      <c r="C12" s="32"/>
      <c r="D12" s="32"/>
      <c r="E12" s="32"/>
      <c r="F12" s="33"/>
      <c r="G12" s="30"/>
      <c r="H12" s="34" t="s">
        <v>43</v>
      </c>
      <c r="I12" s="32"/>
      <c r="J12" s="32"/>
      <c r="K12" s="32"/>
      <c r="L12" s="33"/>
      <c r="M12" s="30"/>
    </row>
    <row r="13">
      <c r="A13" s="30"/>
      <c r="B13" s="41"/>
      <c r="C13" s="76" t="b">
        <v>1</v>
      </c>
      <c r="D13" s="77" t="s">
        <v>44</v>
      </c>
      <c r="E13" s="76" t="b">
        <v>1</v>
      </c>
      <c r="F13" s="78" t="s">
        <v>45</v>
      </c>
      <c r="G13" s="30"/>
      <c r="H13" s="79"/>
      <c r="I13" s="38" t="s">
        <v>24</v>
      </c>
      <c r="J13" s="38" t="s">
        <v>25</v>
      </c>
      <c r="K13" s="39" t="s">
        <v>26</v>
      </c>
      <c r="L13" s="40" t="s">
        <v>27</v>
      </c>
      <c r="M13" s="30"/>
    </row>
    <row r="14">
      <c r="A14" s="30"/>
      <c r="B14" s="41"/>
      <c r="C14" s="76" t="b">
        <v>1</v>
      </c>
      <c r="D14" s="77" t="s">
        <v>46</v>
      </c>
      <c r="E14" s="76" t="b">
        <v>1</v>
      </c>
      <c r="F14" s="78" t="s">
        <v>47</v>
      </c>
      <c r="G14" s="30"/>
      <c r="H14" s="80" t="s">
        <v>34</v>
      </c>
      <c r="I14" s="81">
        <f>'Mythical Island'!L14</f>
        <v>0</v>
      </c>
      <c r="J14" s="81">
        <f>'Mythical Island'!M14</f>
        <v>1</v>
      </c>
      <c r="K14" s="81" t="str">
        <f>'Mythical Island'!N14</f>
        <v>0/86</v>
      </c>
      <c r="L14" s="82">
        <f>COUNTIF('Mythical Island'!A:A,"FALSE")</f>
        <v>86</v>
      </c>
      <c r="M14" s="30"/>
    </row>
    <row r="15">
      <c r="A15" s="30"/>
      <c r="B15" s="41"/>
      <c r="C15" s="76" t="b">
        <v>1</v>
      </c>
      <c r="D15" s="77" t="s">
        <v>48</v>
      </c>
      <c r="E15" s="76" t="b">
        <v>1</v>
      </c>
      <c r="F15" s="78" t="s">
        <v>49</v>
      </c>
      <c r="G15" s="30"/>
      <c r="H15" s="34" t="s">
        <v>50</v>
      </c>
      <c r="I15" s="32"/>
      <c r="J15" s="32"/>
      <c r="K15" s="32"/>
      <c r="L15" s="33"/>
      <c r="M15" s="30"/>
    </row>
    <row r="16">
      <c r="A16" s="83"/>
      <c r="B16" s="41"/>
      <c r="C16" s="76" t="b">
        <v>1</v>
      </c>
      <c r="D16" s="77" t="s">
        <v>51</v>
      </c>
      <c r="E16" s="76" t="b">
        <v>1</v>
      </c>
      <c r="F16" s="78" t="s">
        <v>52</v>
      </c>
      <c r="G16" s="83"/>
      <c r="H16" s="37" t="s">
        <v>23</v>
      </c>
      <c r="I16" s="38" t="s">
        <v>24</v>
      </c>
      <c r="J16" s="38" t="s">
        <v>25</v>
      </c>
      <c r="K16" s="39" t="s">
        <v>26</v>
      </c>
      <c r="L16" s="40" t="s">
        <v>27</v>
      </c>
      <c r="M16" s="83"/>
    </row>
    <row r="17">
      <c r="A17" s="83"/>
      <c r="B17" s="84" t="s">
        <v>53</v>
      </c>
      <c r="C17" s="2"/>
      <c r="D17" s="2"/>
      <c r="E17" s="2"/>
      <c r="F17" s="85"/>
      <c r="G17" s="83"/>
      <c r="H17" s="45" t="s">
        <v>30</v>
      </c>
      <c r="I17" s="46">
        <f>'Space-Time Smackdown'!L14</f>
        <v>0</v>
      </c>
      <c r="J17" s="46">
        <f>'Space-Time Smackdown'!M14</f>
        <v>1</v>
      </c>
      <c r="K17" s="46" t="str">
        <f>'Space-Time Smackdown'!N14</f>
        <v>0/207</v>
      </c>
      <c r="L17" s="47">
        <f>COUNTIF('Space-Time Smackdown'!A:A,"FALSE")</f>
        <v>207</v>
      </c>
      <c r="M17" s="83"/>
    </row>
    <row r="18">
      <c r="A18" s="30"/>
      <c r="B18" s="86"/>
      <c r="C18" s="87" t="s">
        <v>54</v>
      </c>
      <c r="D18" s="88" t="s">
        <v>55</v>
      </c>
      <c r="E18" s="87" t="s">
        <v>56</v>
      </c>
      <c r="F18" s="89" t="s">
        <v>30</v>
      </c>
      <c r="G18" s="30"/>
      <c r="H18" s="90" t="s">
        <v>36</v>
      </c>
      <c r="I18" s="91">
        <f>'Space-Time Smackdown'!L15</f>
        <v>0</v>
      </c>
      <c r="J18" s="91">
        <f>'Space-Time Smackdown'!M15</f>
        <v>1</v>
      </c>
      <c r="K18" s="91" t="str">
        <f>'Space-Time Smackdown'!N15</f>
        <v>0/126</v>
      </c>
      <c r="L18" s="92">
        <f>COUNTIFS('Space-Time Smackdown'!A:A, FALSE, 'Space-Time Smackdown'!E:E, H18)+COUNTIFS('Space-Time Smackdown'!A:A, FALSE, 'Space-Time Smackdown'!E:E, "A2")</f>
        <v>126</v>
      </c>
      <c r="M18" s="30"/>
    </row>
    <row r="19">
      <c r="A19" s="30"/>
      <c r="B19" s="52" t="s">
        <v>29</v>
      </c>
      <c r="C19" s="53">
        <f>IFERROR(
  (
    SUMIFS('Genetic Apex'!G:G, 'Genetic Apex'!A:A, FALSE, 'Genetic Apex'!F:F, "♢", 'Genetic Apex'!E:E, "A1-Mewtwo") *C13+
    SUMIFS('Genetic Apex'!G:G, 'Genetic Apex'!A:A, FALSE, 'Genetic Apex'!F:F, "♢♢", 'Genetic Apex'!E:E, "A1-Mewtwo") *C14+
    SUMIFS('Genetic Apex'!G:G, 'Genetic Apex'!A:A, FALSE, 'Genetic Apex'!F:F, "♢♢♢", 'Genetic Apex'!E:E, "A1-Mewtwo") *C15+
    SUMIFS('Genetic Apex'!G:G, 'Genetic Apex'!A:A, FALSE, 'Genetic Apex'!F:F, "♢♢♢♢", 'Genetic Apex'!E:E, "A1-Mewtwo") *C16+
    SUMIFS('Genetic Apex'!G:G, 'Genetic Apex'!A:A, FALSE, 'Genetic Apex'!F:F, "☆", 'Genetic Apex'!E:E, "A1-Mewtwo") *E13+
    SUMIFS('Genetic Apex'!G:G, 'Genetic Apex'!A:A, FALSE, 'Genetic Apex'!F:F, "☆☆", 'Genetic Apex'!E:E, "A1-Mewtwo") *E14+
    SUMIFS('Genetic Apex'!G:G, 'Genetic Apex'!A:A, FALSE, 'Genetic Apex'!F:F, "☆☆☆", 'Genetic Apex'!E:E, "A1-Mewtwo") *E15+
    SUMIFS('Genetic Apex'!G:G, 'Genetic Apex'!A:A, FALSE, 'Genetic Apex'!F:F, "♛", 'Genetic Apex'!E:E, "A1-Mewtwo") *E16
  ) +
  (
    SUMIFS('Genetic Apex'!G:G, 'Genetic Apex'!A:A, FALSE, 'Genetic Apex'!F:F, "♢", 'Genetic Apex'!E:E, "A1")  *C13+
    SUMIFS('Genetic Apex'!G:G, 'Genetic Apex'!A:A, FALSE, 'Genetic Apex'!F:F, "♢♢", 'Genetic Apex'!E:E, "A1")  *C14+
    SUMIFS('Genetic Apex'!G:G, 'Genetic Apex'!A:A, FALSE, 'Genetic Apex'!F:F, "♢♢♢", 'Genetic Apex'!E:E, "A1")  *C15+
    SUMIFS('Genetic Apex'!G:G, 'Genetic Apex'!A:A, FALSE, 'Genetic Apex'!F:F, "♢♢♢♢", 'Genetic Apex'!E:E, "A1")  *C16+
    SUMIFS('Genetic Apex'!G:G, 'Genetic Apex'!A:A, FALSE, 'Genetic Apex'!F:F, "☆", 'Genetic Apex'!E:E, "A1") *E13+
    SUMIFS('Genetic Apex'!G:G, 'Genetic Apex'!A:A, FALSE, 'Genetic Apex'!F:F, "☆☆", 'Genetic Apex'!E:E, "A1") *E14+
    SUMIFS('Genetic Apex'!G:G, 'Genetic Apex'!A:A, FALSE, 'Genetic Apex'!F:F, "☆☆☆", 'Genetic Apex'!E:E, "A1") *E15+
    SUMIFS('Genetic Apex'!G:G, 'Genetic Apex'!A:A, FALSE, 'Genetic Apex'!F:F, "♛", 'Genetic Apex'!E:E, "A1") *E16
  ),
  0
)
</f>
        <v>1</v>
      </c>
      <c r="D19" s="53">
        <f>IFERROR(
  (
    SUMIFS('Genetic Apex'!H:H, 'Genetic Apex'!A:A, FALSE, 'Genetic Apex'!F:F, "♢", 'Genetic Apex'!E:E, "A1-Mewtwo") *C13+
    SUMIFS('Genetic Apex'!H:H, 'Genetic Apex'!A:A, FALSE, 'Genetic Apex'!F:F, "♢♢", 'Genetic Apex'!E:E, "A1-Mewtwo") *C14+
    SUMIFS('Genetic Apex'!H:H, 'Genetic Apex'!A:A, FALSE, 'Genetic Apex'!F:F, "♢♢♢", 'Genetic Apex'!E:E, "A1-Mewtwo") *C15+
    SUMIFS('Genetic Apex'!H:H, 'Genetic Apex'!A:A, FALSE, 'Genetic Apex'!F:F, "♢♢♢♢", 'Genetic Apex'!E:E, "A1-Mewtwo") *C16+
    SUMIFS('Genetic Apex'!H:H, 'Genetic Apex'!A:A, FALSE, 'Genetic Apex'!F:F, "☆", 'Genetic Apex'!E:E, "A1-Mewtwo") *E13+
    SUMIFS('Genetic Apex'!H:H, 'Genetic Apex'!A:A, FALSE, 'Genetic Apex'!F:F, "☆☆", 'Genetic Apex'!E:E, "A1-Mewtwo") *E14+
    SUMIFS('Genetic Apex'!H:H, 'Genetic Apex'!A:A, FALSE, 'Genetic Apex'!F:F, "☆☆☆", 'Genetic Apex'!E:E, "A1-Mewtwo") *E15+
    SUMIFS('Genetic Apex'!H:H, 'Genetic Apex'!A:A, FALSE, 'Genetic Apex'!F:F, "♛", 'Genetic Apex'!E:E, "A1-Mewtwo") *E16
  ) +
  (
    SUMIFS('Genetic Apex'!H:H, 'Genetic Apex'!A:A, FALSE, 'Genetic Apex'!F:F, "♢", 'Genetic Apex'!E:E, "A1")  *C13+
    SUMIFS('Genetic Apex'!H:H, 'Genetic Apex'!A:A, FALSE, 'Genetic Apex'!F:F, "♢♢", 'Genetic Apex'!E:E, "A1")  *C14+
    SUMIFS('Genetic Apex'!H:H, 'Genetic Apex'!A:A, FALSE, 'Genetic Apex'!F:F, "♢♢♢", 'Genetic Apex'!E:E, "A1")  *C15+
    SUMIFS('Genetic Apex'!H:H, 'Genetic Apex'!A:A, FALSE, 'Genetic Apex'!F:F, "♢♢♢♢", 'Genetic Apex'!E:E, "A1")  *C16+
    SUMIFS('Genetic Apex'!H:H, 'Genetic Apex'!A:A, FALSE, 'Genetic Apex'!F:F, "☆", 'Genetic Apex'!E:E, "A1") *E13+
    SUMIFS('Genetic Apex'!H:H, 'Genetic Apex'!A:A, FALSE, 'Genetic Apex'!F:F, "☆☆", 'Genetic Apex'!E:E, "A1") *E14+
    SUMIFS('Genetic Apex'!H:H, 'Genetic Apex'!A:A, FALSE, 'Genetic Apex'!F:F, "☆☆☆", 'Genetic Apex'!E:E, "A1") *E15+
    SUMIFS('Genetic Apex'!H:H, 'Genetic Apex'!A:A, FALSE, 'Genetic Apex'!F:F, "♛", 'Genetic Apex'!E:E, "A1") *E16
  ),
  0
)
</f>
        <v>1</v>
      </c>
      <c r="E19" s="53">
        <f>IFERROR(
  (
    SUMIFS('Genetic Apex'!I:I, 'Genetic Apex'!A:A, FALSE, 'Genetic Apex'!F:F, "♢", 'Genetic Apex'!E:E, "A1-Mewtwo") *C13+
    SUMIFS('Genetic Apex'!I:I, 'Genetic Apex'!A:A, FALSE, 'Genetic Apex'!F:F, "♢♢", 'Genetic Apex'!E:E, "A1-Mewtwo") *C14+
    SUMIFS('Genetic Apex'!I:I, 'Genetic Apex'!A:A, FALSE, 'Genetic Apex'!F:F, "♢♢♢", 'Genetic Apex'!E:E, "A1-Mewtwo") *C15+
    SUMIFS('Genetic Apex'!I:I, 'Genetic Apex'!A:A, FALSE, 'Genetic Apex'!F:F, "♢♢♢♢", 'Genetic Apex'!E:E, "A1-Mewtwo") *C16+
    SUMIFS('Genetic Apex'!I:I, 'Genetic Apex'!A:A, FALSE, 'Genetic Apex'!F:F, "☆", 'Genetic Apex'!E:E, "A1-Mewtwo") *E13+
    SUMIFS('Genetic Apex'!I:I, 'Genetic Apex'!A:A, FALSE, 'Genetic Apex'!F:F, "☆☆", 'Genetic Apex'!E:E, "A1-Mewtwo") *E14+
    SUMIFS('Genetic Apex'!I:I, 'Genetic Apex'!A:A, FALSE, 'Genetic Apex'!F:F, "☆☆☆", 'Genetic Apex'!E:E, "A1-Mewtwo") *E15+
    SUMIFS('Genetic Apex'!I:I, 'Genetic Apex'!A:A, FALSE, 'Genetic Apex'!F:F, "♛", 'Genetic Apex'!E:E, "A1-Mewtwo") *E16
  ) +
  (
    SUMIFS('Genetic Apex'!I:I, 'Genetic Apex'!A:A, FALSE, 'Genetic Apex'!F:F, "♢", 'Genetic Apex'!E:E, "A1")  *C13+
    SUMIFS('Genetic Apex'!I:I, 'Genetic Apex'!A:A, FALSE, 'Genetic Apex'!F:F, "♢♢", 'Genetic Apex'!E:E, "A1")  *C14+
    SUMIFS('Genetic Apex'!I:I, 'Genetic Apex'!A:A, FALSE, 'Genetic Apex'!F:F, "♢♢♢", 'Genetic Apex'!E:E, "A1")  *C15+
    SUMIFS('Genetic Apex'!I:I, 'Genetic Apex'!A:A, FALSE, 'Genetic Apex'!F:F, "♢♢♢♢", 'Genetic Apex'!E:E, "A1")  *C16+
    SUMIFS('Genetic Apex'!I:I, 'Genetic Apex'!A:A, FALSE, 'Genetic Apex'!F:F, "☆", 'Genetic Apex'!E:E, "A1") *E13+
    SUMIFS('Genetic Apex'!I:I, 'Genetic Apex'!A:A, FALSE, 'Genetic Apex'!F:F, "☆☆", 'Genetic Apex'!E:E, "A1") *E14+
    SUMIFS('Genetic Apex'!I:I, 'Genetic Apex'!A:A, FALSE, 'Genetic Apex'!F:F, "☆☆☆", 'Genetic Apex'!E:E, "A1") *E15+
    SUMIFS('Genetic Apex'!I:I, 'Genetic Apex'!A:A, FALSE, 'Genetic Apex'!F:F, "♛", 'Genetic Apex'!E:E, "A1") *E16
  ),
  0
)
</f>
        <v>1</v>
      </c>
      <c r="F19" s="93">
        <f t="shared" ref="F19:F24" si="1">1-((1-C19)^3*(1-D19)*(1-E19))</f>
        <v>1</v>
      </c>
      <c r="G19" s="30"/>
      <c r="H19" s="94" t="s">
        <v>38</v>
      </c>
      <c r="I19" s="95">
        <f>'Space-Time Smackdown'!L16</f>
        <v>0</v>
      </c>
      <c r="J19" s="95">
        <f>'Space-Time Smackdown'!M16</f>
        <v>1</v>
      </c>
      <c r="K19" s="95" t="str">
        <f>'Space-Time Smackdown'!N16</f>
        <v>0/126</v>
      </c>
      <c r="L19" s="96">
        <f>COUNTIFS('Space-Time Smackdown'!A:A, FALSE, 'Space-Time Smackdown'!E:E, H19)+COUNTIFS('Space-Time Smackdown'!A:A, FALSE, 'Space-Time Smackdown'!E:E, "A2")</f>
        <v>126</v>
      </c>
      <c r="M19" s="30"/>
    </row>
    <row r="20">
      <c r="A20" s="30"/>
      <c r="B20" s="57" t="s">
        <v>31</v>
      </c>
      <c r="C20" s="58">
        <f>IFERROR(
  (
    SUMIFS('Genetic Apex'!G:G, 'Genetic Apex'!A:A, FALSE, 'Genetic Apex'!F:F, "♢", 'Genetic Apex'!E:E, "A1-Pikachu") *C13+
    SUMIFS('Genetic Apex'!G:G, 'Genetic Apex'!A:A, FALSE, 'Genetic Apex'!F:F, "♢♢", 'Genetic Apex'!E:E, "A1-Pikachu") *C14+
    SUMIFS('Genetic Apex'!G:G, 'Genetic Apex'!A:A, FALSE, 'Genetic Apex'!F:F, "♢♢♢", 'Genetic Apex'!E:E, "A1-Pikachu") *C15+
    SUMIFS('Genetic Apex'!G:G, 'Genetic Apex'!A:A, FALSE, 'Genetic Apex'!F:F, "♢♢♢♢", 'Genetic Apex'!E:E, "A1-Pikachu") *C16+
    SUMIFS('Genetic Apex'!G:G, 'Genetic Apex'!A:A, FALSE, 'Genetic Apex'!F:F, "☆", 'Genetic Apex'!E:E, "A1-Pikachu") *E13+
    SUMIFS('Genetic Apex'!G:G, 'Genetic Apex'!A:A, FALSE, 'Genetic Apex'!F:F, "☆☆", 'Genetic Apex'!E:E, "A1-Pikachu") *E14+
    SUMIFS('Genetic Apex'!G:G, 'Genetic Apex'!A:A, FALSE, 'Genetic Apex'!F:F, "☆☆☆", 'Genetic Apex'!E:E, "A1-Pikachu") *E15+
    SUMIFS('Genetic Apex'!G:G, 'Genetic Apex'!A:A, FALSE, 'Genetic Apex'!F:F, "♛", 'Genetic Apex'!E:E, "A1-Pikachu") *E16
  ) +
  (
    SUMIFS('Genetic Apex'!G:G, 'Genetic Apex'!A:A, FALSE, 'Genetic Apex'!F:F, "♢", 'Genetic Apex'!E:E, "A1")  *C13+
    SUMIFS('Genetic Apex'!G:G, 'Genetic Apex'!A:A, FALSE, 'Genetic Apex'!F:F, "♢♢", 'Genetic Apex'!E:E, "A1")  *C14+
    SUMIFS('Genetic Apex'!G:G, 'Genetic Apex'!A:A, FALSE, 'Genetic Apex'!F:F, "♢♢♢", 'Genetic Apex'!E:E, "A1")  *C15+
    SUMIFS('Genetic Apex'!G:G, 'Genetic Apex'!A:A, FALSE, 'Genetic Apex'!F:F, "♢♢♢♢", 'Genetic Apex'!E:E, "A1")  *C16+
    SUMIFS('Genetic Apex'!G:G, 'Genetic Apex'!A:A, FALSE, 'Genetic Apex'!F:F, "☆", 'Genetic Apex'!E:E, "A1") *E13+
    SUMIFS('Genetic Apex'!G:G, 'Genetic Apex'!A:A, FALSE, 'Genetic Apex'!F:F, "☆☆", 'Genetic Apex'!E:E, "A1") *E14+
    SUMIFS('Genetic Apex'!G:G, 'Genetic Apex'!A:A, FALSE, 'Genetic Apex'!F:F, "☆☆☆", 'Genetic Apex'!E:E, "A1") *E15+
    SUMIFS('Genetic Apex'!G:G, 'Genetic Apex'!A:A, FALSE, 'Genetic Apex'!F:F, "♛", 'Genetic Apex'!E:E, "A1") *E16
  ),
  0
)
</f>
        <v>1</v>
      </c>
      <c r="D20" s="58">
        <f>IFERROR(
  (
    SUMIFS('Genetic Apex'!H:H, 'Genetic Apex'!A:A, FALSE, 'Genetic Apex'!F:F, "♢", 'Genetic Apex'!E:E, "A1-Pikachu") *C13+
    SUMIFS('Genetic Apex'!H:H, 'Genetic Apex'!A:A, FALSE, 'Genetic Apex'!F:F, "♢♢", 'Genetic Apex'!E:E, "A1-Pikachu") *C14+
    SUMIFS('Genetic Apex'!H:H, 'Genetic Apex'!A:A, FALSE, 'Genetic Apex'!F:F, "♢♢♢", 'Genetic Apex'!E:E, "A1-Pikachu") *C15+
    SUMIFS('Genetic Apex'!H:H, 'Genetic Apex'!A:A, FALSE, 'Genetic Apex'!F:F, "♢♢♢♢", 'Genetic Apex'!E:E, "A1-Pikachu") *C16+
    SUMIFS('Genetic Apex'!H:H, 'Genetic Apex'!A:A, FALSE, 'Genetic Apex'!F:F, "☆", 'Genetic Apex'!E:E, "A1-Pikachu") *E13+
    SUMIFS('Genetic Apex'!H:H, 'Genetic Apex'!A:A, FALSE, 'Genetic Apex'!F:F, "☆☆", 'Genetic Apex'!E:E, "A1-Pikachu") *E14+
    SUMIFS('Genetic Apex'!H:H, 'Genetic Apex'!A:A, FALSE, 'Genetic Apex'!F:F, "☆☆☆", 'Genetic Apex'!E:E, "A1-Pikachu") *E15+
    SUMIFS('Genetic Apex'!H:H, 'Genetic Apex'!A:A, FALSE, 'Genetic Apex'!F:F, "♛", 'Genetic Apex'!E:E, "A1-Pikachu") *E16
  ) +
  (
    SUMIFS('Genetic Apex'!H:H, 'Genetic Apex'!A:A, FALSE, 'Genetic Apex'!F:F, "♢", 'Genetic Apex'!E:E, "A1")  *C13+
    SUMIFS('Genetic Apex'!H:H, 'Genetic Apex'!A:A, FALSE, 'Genetic Apex'!F:F, "♢♢", 'Genetic Apex'!E:E, "A1")  *C14+
    SUMIFS('Genetic Apex'!H:H, 'Genetic Apex'!A:A, FALSE, 'Genetic Apex'!F:F, "♢♢♢", 'Genetic Apex'!E:E, "A1")  *C15+
    SUMIFS('Genetic Apex'!H:H, 'Genetic Apex'!A:A, FALSE, 'Genetic Apex'!F:F, "♢♢♢♢", 'Genetic Apex'!E:E, "A1")  *C16+
    SUMIFS('Genetic Apex'!H:H, 'Genetic Apex'!A:A, FALSE, 'Genetic Apex'!F:F, "☆", 'Genetic Apex'!E:E, "A1") *E13+
    SUMIFS('Genetic Apex'!H:H, 'Genetic Apex'!A:A, FALSE, 'Genetic Apex'!F:F, "☆☆", 'Genetic Apex'!E:E, "A1") *E14+
    SUMIFS('Genetic Apex'!H:H, 'Genetic Apex'!A:A, FALSE, 'Genetic Apex'!F:F, "☆☆☆", 'Genetic Apex'!E:E, "A1") *E15+
    SUMIFS('Genetic Apex'!H:H, 'Genetic Apex'!A:A, FALSE, 'Genetic Apex'!F:F, "♛", 'Genetic Apex'!E:E, "A1") *E16
  ),
  0
)
</f>
        <v>1</v>
      </c>
      <c r="E20" s="58">
        <f>IFERROR(
  (
    SUMIFS('Genetic Apex'!I:I, 'Genetic Apex'!A:A, FALSE, 'Genetic Apex'!F:F, "♢", 'Genetic Apex'!E:E, "A1-Pikachu") *C13+
    SUMIFS('Genetic Apex'!I:I, 'Genetic Apex'!A:A, FALSE, 'Genetic Apex'!F:F, "♢♢", 'Genetic Apex'!E:E, "A1-Pikachu") *C14+
    SUMIFS('Genetic Apex'!I:I, 'Genetic Apex'!A:A, FALSE, 'Genetic Apex'!F:F, "♢♢♢", 'Genetic Apex'!E:E, "A1-Pikachu") *C15+
    SUMIFS('Genetic Apex'!I:I, 'Genetic Apex'!A:A, FALSE, 'Genetic Apex'!F:F, "♢♢♢♢", 'Genetic Apex'!E:E, "A1-Pikachu") *C16+
    SUMIFS('Genetic Apex'!I:I, 'Genetic Apex'!A:A, FALSE, 'Genetic Apex'!F:F, "☆", 'Genetic Apex'!E:E, "A1-Pikachu") *E13+
    SUMIFS('Genetic Apex'!I:I, 'Genetic Apex'!A:A, FALSE, 'Genetic Apex'!F:F, "☆☆", 'Genetic Apex'!E:E, "A1-Pikachu") *E14+
    SUMIFS('Genetic Apex'!I:I, 'Genetic Apex'!A:A, FALSE, 'Genetic Apex'!F:F, "☆☆☆", 'Genetic Apex'!E:E, "A1-Pikachu") *E15+
    SUMIFS('Genetic Apex'!I:I, 'Genetic Apex'!A:A, FALSE, 'Genetic Apex'!F:F, "♛", 'Genetic Apex'!E:E, "A1-Pikachu") *E16
  ) +
  (
    SUMIFS('Genetic Apex'!I:I, 'Genetic Apex'!A:A, FALSE, 'Genetic Apex'!F:F, "♢", 'Genetic Apex'!E:E, "A1")  *C13+
    SUMIFS('Genetic Apex'!I:I, 'Genetic Apex'!A:A, FALSE, 'Genetic Apex'!F:F, "♢♢", 'Genetic Apex'!E:E, "A1")  *C14+
    SUMIFS('Genetic Apex'!I:I, 'Genetic Apex'!A:A, FALSE, 'Genetic Apex'!F:F, "♢♢♢", 'Genetic Apex'!E:E, "A1")  *C15+
    SUMIFS('Genetic Apex'!I:I, 'Genetic Apex'!A:A, FALSE, 'Genetic Apex'!F:F, "♢♢♢♢", 'Genetic Apex'!E:E, "A1")  *C16+
    SUMIFS('Genetic Apex'!I:I, 'Genetic Apex'!A:A, FALSE, 'Genetic Apex'!F:F, "☆", 'Genetic Apex'!E:E, "A1") *E13+
    SUMIFS('Genetic Apex'!I:I, 'Genetic Apex'!A:A, FALSE, 'Genetic Apex'!F:F, "☆☆", 'Genetic Apex'!E:E, "A1") *E14+
    SUMIFS('Genetic Apex'!I:I, 'Genetic Apex'!A:A, FALSE, 'Genetic Apex'!F:F, "☆☆☆", 'Genetic Apex'!E:E, "A1") *E15+
    SUMIFS('Genetic Apex'!I:I, 'Genetic Apex'!A:A, FALSE, 'Genetic Apex'!F:F, "♛", 'Genetic Apex'!E:E, "A1") *E16
  ),
  0
)
</f>
        <v>1</v>
      </c>
      <c r="F20" s="97">
        <f t="shared" si="1"/>
        <v>1</v>
      </c>
      <c r="G20" s="30"/>
      <c r="H20" s="74" t="s">
        <v>39</v>
      </c>
      <c r="I20" s="75" t="str">
        <f>IF(J18 = MAX(J18:J19), H18, H19)</f>
        <v>A2-Dialga</v>
      </c>
      <c r="J20" s="28"/>
      <c r="K20" s="28"/>
      <c r="L20" s="29"/>
      <c r="M20" s="30"/>
    </row>
    <row r="21">
      <c r="A21" s="30"/>
      <c r="B21" s="61" t="s">
        <v>32</v>
      </c>
      <c r="C21" s="62">
        <f>IFERROR(
  (
    SUMIFS('Genetic Apex'!G:G, 'Genetic Apex'!A:A, FALSE, 'Genetic Apex'!F:F, "♢", 'Genetic Apex'!E:E, "A1-Charizard") *C13+
    SUMIFS('Genetic Apex'!G:G, 'Genetic Apex'!A:A, FALSE, 'Genetic Apex'!F:F, "♢♢", 'Genetic Apex'!E:E, "A1-Charizard") *C14+
    SUMIFS('Genetic Apex'!G:G, 'Genetic Apex'!A:A, FALSE, 'Genetic Apex'!F:F, "♢♢♢", 'Genetic Apex'!E:E, "A1-Charizard") *C15+
    SUMIFS('Genetic Apex'!G:G, 'Genetic Apex'!A:A, FALSE, 'Genetic Apex'!F:F, "♢♢♢♢", 'Genetic Apex'!E:E, "A1-Charizard") *C16+
    SUMIFS('Genetic Apex'!G:G, 'Genetic Apex'!A:A, FALSE, 'Genetic Apex'!F:F, "☆", 'Genetic Apex'!E:E, "A1-Charizard") *E13+
    SUMIFS('Genetic Apex'!G:G, 'Genetic Apex'!A:A, FALSE, 'Genetic Apex'!F:F, "☆☆", 'Genetic Apex'!E:E, "A1-Charizard") *E14+
    SUMIFS('Genetic Apex'!G:G, 'Genetic Apex'!A:A, FALSE, 'Genetic Apex'!F:F, "☆☆☆", 'Genetic Apex'!E:E, "A1-Charizard") *E15+
    SUMIFS('Genetic Apex'!G:G, 'Genetic Apex'!A:A, FALSE, 'Genetic Apex'!F:F, "♛", 'Genetic Apex'!E:E, "A1-Charizard") *E16
  ) +
  (
    SUMIFS('Genetic Apex'!G:G, 'Genetic Apex'!A:A, FALSE, 'Genetic Apex'!F:F, "♢", 'Genetic Apex'!E:E, "A1")  *C13+
    SUMIFS('Genetic Apex'!G:G, 'Genetic Apex'!A:A, FALSE, 'Genetic Apex'!F:F, "♢♢", 'Genetic Apex'!E:E, "A1")  *C14+
    SUMIFS('Genetic Apex'!G:G, 'Genetic Apex'!A:A, FALSE, 'Genetic Apex'!F:F, "♢♢♢", 'Genetic Apex'!E:E, "A1")  *C15+
    SUMIFS('Genetic Apex'!G:G, 'Genetic Apex'!A:A, FALSE, 'Genetic Apex'!F:F, "♢♢♢♢", 'Genetic Apex'!E:E, "A1")  *C16+
    SUMIFS('Genetic Apex'!G:G, 'Genetic Apex'!A:A, FALSE, 'Genetic Apex'!F:F, "☆", 'Genetic Apex'!E:E, "A1") *E13+
    SUMIFS('Genetic Apex'!G:G, 'Genetic Apex'!A:A, FALSE, 'Genetic Apex'!F:F, "☆☆", 'Genetic Apex'!E:E, "A1") *E14+
    SUMIFS('Genetic Apex'!G:G, 'Genetic Apex'!A:A, FALSE, 'Genetic Apex'!F:F, "☆☆☆", 'Genetic Apex'!E:E, "A1") *E15+
    SUMIFS('Genetic Apex'!G:G, 'Genetic Apex'!A:A, FALSE, 'Genetic Apex'!F:F, "♛", 'Genetic Apex'!E:E, "A1") *E16
  ),
  0
)
</f>
        <v>1</v>
      </c>
      <c r="D21" s="62">
        <f>IFERROR(
  (
    SUMIFS('Genetic Apex'!H:H, 'Genetic Apex'!A:A, FALSE, 'Genetic Apex'!F:F, "♢", 'Genetic Apex'!E:E, "A1-Charizard") *C13+
    SUMIFS('Genetic Apex'!H:H, 'Genetic Apex'!A:A, FALSE, 'Genetic Apex'!F:F, "♢♢", 'Genetic Apex'!E:E, "A1-Charizard") *C14+
    SUMIFS('Genetic Apex'!H:H, 'Genetic Apex'!A:A, FALSE, 'Genetic Apex'!F:F, "♢♢♢", 'Genetic Apex'!E:E, "A1-Charizard") *C15+
    SUMIFS('Genetic Apex'!H:H, 'Genetic Apex'!A:A, FALSE, 'Genetic Apex'!F:F, "♢♢♢♢", 'Genetic Apex'!E:E, "A1-Charizard") *C16+
    SUMIFS('Genetic Apex'!H:H, 'Genetic Apex'!A:A, FALSE, 'Genetic Apex'!F:F, "☆", 'Genetic Apex'!E:E, "A1-Charizard") *E13+
    SUMIFS('Genetic Apex'!H:H, 'Genetic Apex'!A:A, FALSE, 'Genetic Apex'!F:F, "☆☆", 'Genetic Apex'!E:E, "A1-Charizard") *E14+
    SUMIFS('Genetic Apex'!H:H, 'Genetic Apex'!A:A, FALSE, 'Genetic Apex'!F:F, "☆☆☆", 'Genetic Apex'!E:E, "A1-Charizard") *E15+
    SUMIFS('Genetic Apex'!H:H, 'Genetic Apex'!A:A, FALSE, 'Genetic Apex'!F:F, "♛", 'Genetic Apex'!E:E, "A1-Charizard") *E16
  ) +
  (
    SUMIFS('Genetic Apex'!H:H, 'Genetic Apex'!A:A, FALSE, 'Genetic Apex'!F:F, "♢", 'Genetic Apex'!E:E, "A1")  *C13+
    SUMIFS('Genetic Apex'!H:H, 'Genetic Apex'!A:A, FALSE, 'Genetic Apex'!F:F, "♢♢", 'Genetic Apex'!E:E, "A1")  *C14+
    SUMIFS('Genetic Apex'!H:H, 'Genetic Apex'!A:A, FALSE, 'Genetic Apex'!F:F, "♢♢♢", 'Genetic Apex'!E:E, "A1")  *C15+
    SUMIFS('Genetic Apex'!H:H, 'Genetic Apex'!A:A, FALSE, 'Genetic Apex'!F:F, "♢♢♢♢", 'Genetic Apex'!E:E, "A1")  *C16+
    SUMIFS('Genetic Apex'!H:H, 'Genetic Apex'!A:A, FALSE, 'Genetic Apex'!F:F, "☆", 'Genetic Apex'!E:E, "A1") *E13+
    SUMIFS('Genetic Apex'!H:H, 'Genetic Apex'!A:A, FALSE, 'Genetic Apex'!F:F, "☆☆", 'Genetic Apex'!E:E, "A1") *E14+
    SUMIFS('Genetic Apex'!H:H, 'Genetic Apex'!A:A, FALSE, 'Genetic Apex'!F:F, "☆☆☆", 'Genetic Apex'!E:E, "A1") *E15+
    SUMIFS('Genetic Apex'!H:H, 'Genetic Apex'!A:A, FALSE, 'Genetic Apex'!F:F, "♛", 'Genetic Apex'!E:E, "A1") *E16
  ),
  0
)
</f>
        <v>1</v>
      </c>
      <c r="E21" s="62">
        <f>IFERROR(
  (
    SUMIFS('Genetic Apex'!I:I, 'Genetic Apex'!A:A, FALSE, 'Genetic Apex'!F:F, "♢", 'Genetic Apex'!E:E, "A1-Charizard") *C13+
    SUMIFS('Genetic Apex'!I:I, 'Genetic Apex'!A:A, FALSE, 'Genetic Apex'!F:F, "♢♢", 'Genetic Apex'!E:E, "A1-Charizard") *C14+
    SUMIFS('Genetic Apex'!I:I, 'Genetic Apex'!A:A, FALSE, 'Genetic Apex'!F:F, "♢♢♢", 'Genetic Apex'!E:E, "A1-Charizard") *C15+
    SUMIFS('Genetic Apex'!I:I, 'Genetic Apex'!A:A, FALSE, 'Genetic Apex'!F:F, "♢♢♢♢", 'Genetic Apex'!E:E, "A1-Charizard") *C16+
    SUMIFS('Genetic Apex'!I:I, 'Genetic Apex'!A:A, FALSE, 'Genetic Apex'!F:F, "☆", 'Genetic Apex'!E:E, "A1-Charizard") *E13+
    SUMIFS('Genetic Apex'!I:I, 'Genetic Apex'!A:A, FALSE, 'Genetic Apex'!F:F, "☆☆", 'Genetic Apex'!E:E, "A1-Charizard") *E14+
    SUMIFS('Genetic Apex'!I:I, 'Genetic Apex'!A:A, FALSE, 'Genetic Apex'!F:F, "☆☆☆", 'Genetic Apex'!E:E, "A1-Charizard") *E15+
    SUMIFS('Genetic Apex'!I:I, 'Genetic Apex'!A:A, FALSE, 'Genetic Apex'!F:F, "♛", 'Genetic Apex'!E:E, "A1-Charizard") *E16
  ) +
  (
    SUMIFS('Genetic Apex'!I:I, 'Genetic Apex'!A:A, FALSE, 'Genetic Apex'!F:F, "♢", 'Genetic Apex'!E:E, "A1")  *C13+
    SUMIFS('Genetic Apex'!I:I, 'Genetic Apex'!A:A, FALSE, 'Genetic Apex'!F:F, "♢♢", 'Genetic Apex'!E:E, "A1")  *C14+
    SUMIFS('Genetic Apex'!I:I, 'Genetic Apex'!A:A, FALSE, 'Genetic Apex'!F:F, "♢♢♢", 'Genetic Apex'!E:E, "A1")  *C15+
    SUMIFS('Genetic Apex'!I:I, 'Genetic Apex'!A:A, FALSE, 'Genetic Apex'!F:F, "♢♢♢♢", 'Genetic Apex'!E:E, "A1")  *C16+
    SUMIFS('Genetic Apex'!I:I, 'Genetic Apex'!A:A, FALSE, 'Genetic Apex'!F:F, "☆", 'Genetic Apex'!E:E, "A1") *E13+
    SUMIFS('Genetic Apex'!I:I, 'Genetic Apex'!A:A, FALSE, 'Genetic Apex'!F:F, "☆☆", 'Genetic Apex'!E:E, "A1") *E14+
    SUMIFS('Genetic Apex'!I:I, 'Genetic Apex'!A:A, FALSE, 'Genetic Apex'!F:F, "☆☆☆", 'Genetic Apex'!E:E, "A1") *E15+
    SUMIFS('Genetic Apex'!I:I, 'Genetic Apex'!A:A, FALSE, 'Genetic Apex'!F:F, "♛", 'Genetic Apex'!E:E, "A1") *E16
  ),
  0
)
</f>
        <v>1</v>
      </c>
      <c r="F21" s="98">
        <f t="shared" si="1"/>
        <v>1</v>
      </c>
      <c r="G21" s="30"/>
      <c r="H21" s="34" t="s">
        <v>40</v>
      </c>
      <c r="I21" s="32"/>
      <c r="J21" s="32"/>
      <c r="K21" s="32"/>
      <c r="L21" s="33"/>
      <c r="M21" s="30"/>
    </row>
    <row r="22">
      <c r="A22" s="30"/>
      <c r="B22" s="80" t="s">
        <v>34</v>
      </c>
      <c r="C22" s="81">
        <f>IFERROR(
  (
    SUMIFS('Mythical Island'!G:G, 'Mythical Island'!A:A, FALSE, 'Mythical Island'!F:F, "♢", 'Mythical Island'!E:E, "A1a") *C13+
    SUMIFS('Mythical Island'!G:G, 'Mythical Island'!A:A, FALSE, 'Mythical Island'!F:F, "♢♢", 'Mythical Island'!E:E, "A1a") *C14+
    SUMIFS('Mythical Island'!G:G, 'Mythical Island'!A:A, FALSE, 'Mythical Island'!F:F, "♢♢♢", 'Mythical Island'!E:E, "A1a") *C15+
    SUMIFS('Mythical Island'!G:G, 'Mythical Island'!A:A, FALSE, 'Mythical Island'!F:F, "♢♢♢♢", 'Mythical Island'!E:E, "A1a") *C16+
    SUMIFS('Mythical Island'!G:G, 'Mythical Island'!A:A, FALSE, 'Mythical Island'!F:F, "☆", 'Mythical Island'!E:E, "A1a") *E13+
    SUMIFS('Mythical Island'!G:G, 'Mythical Island'!A:A, FALSE, 'Mythical Island'!F:F, "☆☆", 'Mythical Island'!E:E, "A1a") *E14+
    SUMIFS('Mythical Island'!G:G, 'Mythical Island'!A:A, FALSE, 'Mythical Island'!F:F, "☆☆☆", 'Mythical Island'!E:E, "A1a") *E15+
    SUMIFS('Mythical Island'!G:G, 'Mythical Island'!A:A, FALSE, 'Mythical Island'!F:F, "♛", 'Mythical Island'!E:E, "A1a") *E16
  ),
  0
)
</f>
        <v>1</v>
      </c>
      <c r="D22" s="81">
        <f>IFERROR(
  (
    SUMIFS('Mythical Island'!H:H, 'Mythical Island'!A:A, FALSE, 'Mythical Island'!F:F, "♢", 'Mythical Island'!E:E, "A1a") *C13+
    SUMIFS('Mythical Island'!H:H, 'Mythical Island'!A:A, FALSE, 'Mythical Island'!F:F, "♢♢", 'Mythical Island'!E:E, "A1a") *C14+
    SUMIFS('Mythical Island'!H:H, 'Mythical Island'!A:A, FALSE, 'Mythical Island'!F:F, "♢♢♢", 'Mythical Island'!E:E, "A1a") *C15+
    SUMIFS('Mythical Island'!H:H, 'Mythical Island'!A:A, FALSE, 'Mythical Island'!F:F, "♢♢♢♢", 'Mythical Island'!E:E, "A1a") *C16+
    SUMIFS('Mythical Island'!H:H, 'Mythical Island'!A:A, FALSE, 'Mythical Island'!F:F, "☆", 'Mythical Island'!E:E, "A1a") *E13+
    SUMIFS('Mythical Island'!H:H, 'Mythical Island'!A:A, FALSE, 'Mythical Island'!F:F, "☆☆", 'Mythical Island'!E:E, "A1a") *E14+
    SUMIFS('Mythical Island'!H:H, 'Mythical Island'!A:A, FALSE, 'Mythical Island'!F:F, "☆☆☆", 'Mythical Island'!E:E, "A1a") *E15+
    SUMIFS('Mythical Island'!H:H, 'Mythical Island'!A:A, FALSE, 'Mythical Island'!F:F, "♛", 'Mythical Island'!E:E, "A1a") *E16
  ),
  0
)
</f>
        <v>1</v>
      </c>
      <c r="E22" s="81">
        <f>IFERROR(
  (
    SUMIFS('Mythical Island'!I:I, 'Mythical Island'!A:A, FALSE, 'Mythical Island'!F:F, "♢", 'Mythical Island'!E:E, "A1a") *C13+
    SUMIFS('Mythical Island'!I:I, 'Mythical Island'!A:A, FALSE, 'Mythical Island'!F:F, "♢♢", 'Mythical Island'!E:E, "A1a") *C14+
    SUMIFS('Mythical Island'!I:I, 'Mythical Island'!A:A, FALSE, 'Mythical Island'!F:F, "♢♢♢", 'Mythical Island'!E:E, "A1a") *C15+
    SUMIFS('Mythical Island'!I:I, 'Mythical Island'!A:A, FALSE, 'Mythical Island'!F:F, "♢♢♢♢", 'Mythical Island'!E:E, "A1a") *C16+
    SUMIFS('Mythical Island'!I:I, 'Mythical Island'!A:A, FALSE, 'Mythical Island'!F:F, "☆", 'Mythical Island'!E:E, "A1a") *E13+
    SUMIFS('Mythical Island'!I:I, 'Mythical Island'!A:A, FALSE, 'Mythical Island'!F:F, "☆☆", 'Mythical Island'!E:E, "A1a") *E14+
    SUMIFS('Mythical Island'!I:I, 'Mythical Island'!A:A, FALSE, 'Mythical Island'!F:F, "☆☆☆", 'Mythical Island'!E:E, "A1a") *E15+
    SUMIFS('Mythical Island'!I:I, 'Mythical Island'!A:A, FALSE, 'Mythical Island'!F:F, "♛", 'Mythical Island'!E:E, "A1a") *E16
  ),
  0
)
</f>
        <v>1</v>
      </c>
      <c r="F22" s="99">
        <f t="shared" si="1"/>
        <v>1</v>
      </c>
      <c r="G22" s="30"/>
      <c r="H22" s="100"/>
      <c r="I22" s="101" t="s">
        <v>24</v>
      </c>
      <c r="J22" s="101" t="s">
        <v>25</v>
      </c>
      <c r="K22" s="102" t="s">
        <v>26</v>
      </c>
      <c r="L22" s="103" t="s">
        <v>27</v>
      </c>
      <c r="M22" s="30"/>
    </row>
    <row r="23">
      <c r="A23" s="30"/>
      <c r="B23" s="90" t="s">
        <v>36</v>
      </c>
      <c r="C23" s="91">
        <f>IFERROR(
  (
    SUMIFS('Space-Time Smackdown'!G:G, 'Space-Time Smackdown'!A:A, FALSE, 'Space-Time Smackdown'!F:F, "♢", 'Space-Time Smackdown'!E:E, "A2-Dialga") *C13+
    SUMIFS('Space-Time Smackdown'!G:G, 'Space-Time Smackdown'!A:A, FALSE, 'Space-Time Smackdown'!F:F, "♢♢", 'Space-Time Smackdown'!E:E, "A2-Dialga") *C14+
    SUMIFS('Space-Time Smackdown'!G:G, 'Space-Time Smackdown'!A:A, FALSE, 'Space-Time Smackdown'!F:F, "♢♢♢", 'Space-Time Smackdown'!E:E, "A2-Dialga") *C15+
    SUMIFS('Space-Time Smackdown'!G:G, 'Space-Time Smackdown'!A:A, FALSE, 'Space-Time Smackdown'!F:F, "♢♢♢♢", 'Space-Time Smackdown'!E:E, "A2-Dialga") *C16+
    SUMIFS('Space-Time Smackdown'!G:G, 'Space-Time Smackdown'!A:A, FALSE, 'Space-Time Smackdown'!F:F, "☆", 'Space-Time Smackdown'!E:E, "A2-Dialga") *E13+
    SUMIFS('Space-Time Smackdown'!G:G, 'Space-Time Smackdown'!A:A, FALSE, 'Space-Time Smackdown'!F:F, "☆☆", 'Space-Time Smackdown'!E:E, "A2-Dialga") *E14+
    SUMIFS('Space-Time Smackdown'!G:G, 'Space-Time Smackdown'!A:A, FALSE, 'Space-Time Smackdown'!F:F, "☆☆☆", 'Space-Time Smackdown'!E:E, "A2-Dialga") *E15+
    SUMIFS('Space-Time Smackdown'!G:G, 'Space-Time Smackdown'!A:A, FALSE, 'Space-Time Smackdown'!F:F, "♛", 'Space-Time Smackdown'!E:E, "A2-Dialga") *E16
  ) +
  (
    SUMIFS('Space-Time Smackdown'!G:G, 'Space-Time Smackdown'!A:A, FALSE, 'Space-Time Smackdown'!F:F, "♢", 'Space-Time Smackdown'!E:E, "A2") *C13+
    SUMIFS('Space-Time Smackdown'!G:G, 'Space-Time Smackdown'!A:A, FALSE, 'Space-Time Smackdown'!F:F, "♢♢", 'Space-Time Smackdown'!E:E, "A2") *C14+
    SUMIFS('Space-Time Smackdown'!G:G, 'Space-Time Smackdown'!A:A, FALSE, 'Space-Time Smackdown'!F:F, "♢♢♢", 'Space-Time Smackdown'!E:E, "A2") *C15+
    SUMIFS('Space-Time Smackdown'!G:G, 'Space-Time Smackdown'!A:A, FALSE, 'Space-Time Smackdown'!F:F, "♢♢♢♢", 'Space-Time Smackdown'!E:E, "A2") *C16+
    SUMIFS('Space-Time Smackdown'!G:G, 'Space-Time Smackdown'!A:A, FALSE, 'Space-Time Smackdown'!F:F, "☆", 'Space-Time Smackdown'!E:E, "A2") *E13+
    SUMIFS('Space-Time Smackdown'!G:G, 'Space-Time Smackdown'!A:A, FALSE, 'Space-Time Smackdown'!F:F, "☆☆", 'Space-Time Smackdown'!E:E, "A2") *E14+
    SUMIFS('Space-Time Smackdown'!G:G, 'Space-Time Smackdown'!A:A, FALSE, 'Space-Time Smackdown'!F:F, "☆☆☆", 'Space-Time Smackdown'!E:E, "A2") *E15+
    SUMIFS('Space-Time Smackdown'!G:G, 'Space-Time Smackdown'!A:A, FALSE, 'Space-Time Smackdown'!F:F, "♛", 'Space-Time Smackdown'!E:E, "A2") *E16+
    (COUNTIFS('Space-Time Smackdown'!G:G, "x", 'Space-Time Smackdown'!A:A, FALSE) * 'Space-Time Smackdown'!L48) *C13 
  ),
  0
)
</f>
        <v>1</v>
      </c>
      <c r="D23" s="91">
        <f>IFERROR(
  (
    SUMIFS('Space-Time Smackdown'!H:H, 'Space-Time Smackdown'!A:A, FALSE, 'Space-Time Smackdown'!F:F, "♢", 'Space-Time Smackdown'!E:E, "A2-Dialga") *C13+
    SUMIFS('Space-Time Smackdown'!H:H, 'Space-Time Smackdown'!A:A, FALSE, 'Space-Time Smackdown'!F:F, "♢♢", 'Space-Time Smackdown'!E:E, "A2-Dialga") *C14+
    SUMIFS('Space-Time Smackdown'!H:H, 'Space-Time Smackdown'!A:A, FALSE, 'Space-Time Smackdown'!F:F, "♢♢♢", 'Space-Time Smackdown'!E:E, "A2-Dialga") *C15+
    SUMIFS('Space-Time Smackdown'!H:H, 'Space-Time Smackdown'!A:A, FALSE, 'Space-Time Smackdown'!F:F, "♢♢♢♢", 'Space-Time Smackdown'!E:E, "A2-Dialga") *C16+
    SUMIFS('Space-Time Smackdown'!H:H, 'Space-Time Smackdown'!A:A, FALSE, 'Space-Time Smackdown'!F:F, "☆", 'Space-Time Smackdown'!E:E, "A2-Dialga") *E13+
    SUMIFS('Space-Time Smackdown'!H:H, 'Space-Time Smackdown'!A:A, FALSE, 'Space-Time Smackdown'!F:F, "☆☆", 'Space-Time Smackdown'!E:E, "A2-Dialga") *E14+
    SUMIFS('Space-Time Smackdown'!H:H, 'Space-Time Smackdown'!A:A, FALSE, 'Space-Time Smackdown'!F:F, "☆☆☆", 'Space-Time Smackdown'!E:E, "A2-Dialga") *E15+
    SUMIFS('Space-Time Smackdown'!H:H, 'Space-Time Smackdown'!A:A, FALSE, 'Space-Time Smackdown'!F:F, "♛", 'Space-Time Smackdown'!E:E, "A2-Dialga") *E16
  ) +
  (
    SUMIFS('Space-Time Smackdown'!H:H, 'Space-Time Smackdown'!A:A, FALSE, 'Space-Time Smackdown'!F:F, "♢", 'Space-Time Smackdown'!E:E, "A2") *C13+
    SUMIFS('Space-Time Smackdown'!H:H, 'Space-Time Smackdown'!A:A, FALSE, 'Space-Time Smackdown'!F:F, "♢♢", 'Space-Time Smackdown'!E:E, "A2") *C14+
    SUMIFS('Space-Time Smackdown'!H:H, 'Space-Time Smackdown'!A:A, FALSE, 'Space-Time Smackdown'!F:F, "♢♢♢", 'Space-Time Smackdown'!E:E, "A2") *C15+
    SUMIFS('Space-Time Smackdown'!H:H, 'Space-Time Smackdown'!A:A, FALSE, 'Space-Time Smackdown'!F:F, "♢♢♢♢", 'Space-Time Smackdown'!E:E, "A2") *C16+
    SUMIFS('Space-Time Smackdown'!H:H, 'Space-Time Smackdown'!A:A, FALSE, 'Space-Time Smackdown'!F:F, "☆", 'Space-Time Smackdown'!E:E, "A2") *E13+
    SUMIFS('Space-Time Smackdown'!H:H, 'Space-Time Smackdown'!A:A, FALSE, 'Space-Time Smackdown'!F:F, "☆☆", 'Space-Time Smackdown'!E:E, "A2") *E14+
    SUMIFS('Space-Time Smackdown'!H:H, 'Space-Time Smackdown'!A:A, FALSE, 'Space-Time Smackdown'!F:F, "☆☆☆", 'Space-Time Smackdown'!E:E, "A2") *E15+
    SUMIFS('Space-Time Smackdown'!H:H, 'Space-Time Smackdown'!A:A, FALSE, 'Space-Time Smackdown'!F:F, "♛", 'Space-Time Smackdown'!E:E, "A2") *E16+
    (COUNTIFS('Space-Time Smackdown'!H:H, "x", 'Space-Time Smackdown'!A:A, FALSE) * 'Space-Time Smackdown'!M48) *C14 
  ),
  0
)
</f>
        <v>1</v>
      </c>
      <c r="E23" s="91">
        <f>IFERROR(
  (
    SUMIFS('Space-Time Smackdown'!I:I, 'Space-Time Smackdown'!A:A, FALSE, 'Space-Time Smackdown'!F:F, "♢", 'Space-Time Smackdown'!E:E, "A2-Dialga") *C13+
    SUMIFS('Space-Time Smackdown'!I:I, 'Space-Time Smackdown'!A:A, FALSE, 'Space-Time Smackdown'!F:F, "♢♢", 'Space-Time Smackdown'!E:E, "A2-Dialga") *C14+
    SUMIFS('Space-Time Smackdown'!I:I, 'Space-Time Smackdown'!A:A, FALSE, 'Space-Time Smackdown'!F:F, "♢♢♢", 'Space-Time Smackdown'!E:E, "A2-Dialga") *C15+
    SUMIFS('Space-Time Smackdown'!I:I, 'Space-Time Smackdown'!A:A, FALSE, 'Space-Time Smackdown'!F:F, "♢♢♢♢", 'Space-Time Smackdown'!E:E, "A2-Dialga") *C16+
    SUMIFS('Space-Time Smackdown'!I:I, 'Space-Time Smackdown'!A:A, FALSE, 'Space-Time Smackdown'!F:F, "☆", 'Space-Time Smackdown'!E:E, "A2-Dialga") *E13+
    SUMIFS('Space-Time Smackdown'!I:I, 'Space-Time Smackdown'!A:A, FALSE, 'Space-Time Smackdown'!F:F, "☆☆", 'Space-Time Smackdown'!E:E, "A2-Dialga") *E14+
    SUMIFS('Space-Time Smackdown'!I:I, 'Space-Time Smackdown'!A:A, FALSE, 'Space-Time Smackdown'!F:F, "☆☆☆", 'Space-Time Smackdown'!E:E, "A2-Dialga") *E15+
    SUMIFS('Space-Time Smackdown'!I:I, 'Space-Time Smackdown'!A:A, FALSE, 'Space-Time Smackdown'!F:F, "♛", 'Space-Time Smackdown'!E:E, "A2-Dialga") *E16
  ) +
  (
    SUMIFS('Space-Time Smackdown'!I:I, 'Space-Time Smackdown'!A:A, FALSE, 'Space-Time Smackdown'!F:F, "♢", 'Space-Time Smackdown'!E:E, "A2") *C13+
    SUMIFS('Space-Time Smackdown'!I:I, 'Space-Time Smackdown'!A:A, FALSE, 'Space-Time Smackdown'!F:F, "♢♢", 'Space-Time Smackdown'!E:E, "A2") *C14+
    SUMIFS('Space-Time Smackdown'!I:I, 'Space-Time Smackdown'!A:A, FALSE, 'Space-Time Smackdown'!F:F, "♢♢♢", 'Space-Time Smackdown'!E:E, "A2") *C15+
    SUMIFS('Space-Time Smackdown'!I:I, 'Space-Time Smackdown'!A:A, FALSE, 'Space-Time Smackdown'!F:F, "♢♢♢♢", 'Space-Time Smackdown'!E:E, "A2") *C16+
    SUMIFS('Space-Time Smackdown'!I:I, 'Space-Time Smackdown'!A:A, FALSE, 'Space-Time Smackdown'!F:F, "☆", 'Space-Time Smackdown'!E:E, "A2") *E13+
    SUMIFS('Space-Time Smackdown'!I:I, 'Space-Time Smackdown'!A:A, FALSE, 'Space-Time Smackdown'!F:F, "☆☆", 'Space-Time Smackdown'!E:E, "A2") *E14+
    SUMIFS('Space-Time Smackdown'!I:I, 'Space-Time Smackdown'!A:A, FALSE, 'Space-Time Smackdown'!F:F, "☆☆☆", 'Space-Time Smackdown'!E:E, "A2") *E15+
    SUMIFS('Space-Time Smackdown'!I:I, 'Space-Time Smackdown'!A:A, FALSE, 'Space-Time Smackdown'!F:F, "♛", 'Space-Time Smackdown'!E:E, "A2") *E16+
    (COUNTIFS('Space-Time Smackdown'!I:I, "x", 'Space-Time Smackdown'!A:A, FALSE) * 'Space-Time Smackdown'!N48) *C14 
  ),
  0
)
</f>
        <v>1</v>
      </c>
      <c r="F23" s="104">
        <f t="shared" si="1"/>
        <v>1</v>
      </c>
      <c r="G23" s="30"/>
      <c r="H23" s="105" t="s">
        <v>30</v>
      </c>
      <c r="I23" s="106">
        <f>'PROMO-A'!H5</f>
        <v>0</v>
      </c>
      <c r="J23" s="106">
        <f>'PROMO-A'!I5</f>
        <v>1</v>
      </c>
      <c r="K23" s="106" t="str">
        <f>'PROMO-A'!J5</f>
        <v>0/41</v>
      </c>
      <c r="L23" s="107">
        <f>COUNTIF('PROMO-A'!A:A,"FALSE")</f>
        <v>41</v>
      </c>
      <c r="M23" s="30"/>
    </row>
    <row r="24">
      <c r="A24" s="30"/>
      <c r="B24" s="94" t="s">
        <v>38</v>
      </c>
      <c r="C24" s="95">
        <f>IFERROR(
  (
    SUMIFS('Space-Time Smackdown'!G:G, 'Space-Time Smackdown'!A:A, FALSE, 'Space-Time Smackdown'!F:F, "♢", 'Space-Time Smackdown'!E:E, "A2-Palkia") *C13+
    SUMIFS('Space-Time Smackdown'!G:G, 'Space-Time Smackdown'!A:A, FALSE, 'Space-Time Smackdown'!F:F, "♢♢", 'Space-Time Smackdown'!E:E, "A2-Palkia") *C14+
    SUMIFS('Space-Time Smackdown'!G:G, 'Space-Time Smackdown'!A:A, FALSE, 'Space-Time Smackdown'!F:F, "♢♢♢", 'Space-Time Smackdown'!E:E, "A2-Palkia") *C15+
    SUMIFS('Space-Time Smackdown'!G:G, 'Space-Time Smackdown'!A:A, FALSE, 'Space-Time Smackdown'!F:F, "♢♢♢♢", 'Space-Time Smackdown'!E:E, "A2-Palkia") *C16+
    SUMIFS('Space-Time Smackdown'!G:G, 'Space-Time Smackdown'!A:A, FALSE, 'Space-Time Smackdown'!F:F, "☆", 'Space-Time Smackdown'!E:E, "A2-Palkia") *E13+
    SUMIFS('Space-Time Smackdown'!G:G, 'Space-Time Smackdown'!A:A, FALSE, 'Space-Time Smackdown'!F:F, "☆☆", 'Space-Time Smackdown'!E:E, "A2-Palkia") *E14+
    SUMIFS('Space-Time Smackdown'!G:G, 'Space-Time Smackdown'!A:A, FALSE, 'Space-Time Smackdown'!F:F, "☆☆☆", 'Space-Time Smackdown'!E:E, "A2-Palkia") *E15+
    SUMIFS('Space-Time Smackdown'!G:G, 'Space-Time Smackdown'!A:A, FALSE, 'Space-Time Smackdown'!F:F, "♛", 'Space-Time Smackdown'!E:E, "A2-Palkia") *E16
  ) +
  (
    SUMIFS('Space-Time Smackdown'!G:G, 'Space-Time Smackdown'!A:A, FALSE, 'Space-Time Smackdown'!F:F, "♢", 'Space-Time Smackdown'!E:E, "A2") *C13+
    SUMIFS('Space-Time Smackdown'!G:G, 'Space-Time Smackdown'!A:A, FALSE, 'Space-Time Smackdown'!F:F, "♢♢", 'Space-Time Smackdown'!E:E, "A2") *C14+
    SUMIFS('Space-Time Smackdown'!G:G, 'Space-Time Smackdown'!A:A, FALSE, 'Space-Time Smackdown'!F:F, "♢♢♢", 'Space-Time Smackdown'!E:E, "A2") *C15+
    SUMIFS('Space-Time Smackdown'!G:G, 'Space-Time Smackdown'!A:A, FALSE, 'Space-Time Smackdown'!F:F, "♢♢♢♢", 'Space-Time Smackdown'!E:E, "A2") *C16+
    SUMIFS('Space-Time Smackdown'!G:G, 'Space-Time Smackdown'!A:A, FALSE, 'Space-Time Smackdown'!F:F, "☆", 'Space-Time Smackdown'!E:E, "A2") *E13+
    SUMIFS('Space-Time Smackdown'!G:G, 'Space-Time Smackdown'!A:A, FALSE, 'Space-Time Smackdown'!F:F, "☆☆", 'Space-Time Smackdown'!E:E, "A2") *E14+
    SUMIFS('Space-Time Smackdown'!G:G, 'Space-Time Smackdown'!A:A, FALSE, 'Space-Time Smackdown'!F:F, "☆☆☆", 'Space-Time Smackdown'!E:E, "A2") *E15+
    SUMIFS('Space-Time Smackdown'!G:G, 'Space-Time Smackdown'!A:A, FALSE, 'Space-Time Smackdown'!F:F, "♛", 'Space-Time Smackdown'!E:E, "A2") *E16+
    (COUNTIFS('Space-Time Smackdown'!G:G, "x", 'Space-Time Smackdown'!A:A, FALSE) * 'Space-Time Smackdown'!L49) *C13 
  ),
  0
)
</f>
        <v>1</v>
      </c>
      <c r="D24" s="95">
        <f>IFERROR(
  (
    SUMIFS('Space-Time Smackdown'!H:H, 'Space-Time Smackdown'!A:A, FALSE, 'Space-Time Smackdown'!F:F, "♢", 'Space-Time Smackdown'!E:E, "A2-Palkia") *C13+
    SUMIFS('Space-Time Smackdown'!H:H, 'Space-Time Smackdown'!A:A, FALSE, 'Space-Time Smackdown'!F:F, "♢♢", 'Space-Time Smackdown'!E:E, "A2-Palkia") *C14+
    SUMIFS('Space-Time Smackdown'!H:H, 'Space-Time Smackdown'!A:A, FALSE, 'Space-Time Smackdown'!F:F, "♢♢♢", 'Space-Time Smackdown'!E:E, "A2-Palkia") *C15+
    SUMIFS('Space-Time Smackdown'!H:H, 'Space-Time Smackdown'!A:A, FALSE, 'Space-Time Smackdown'!F:F, "♢♢♢♢", 'Space-Time Smackdown'!E:E, "A2-Palkia") *C16+
    SUMIFS('Space-Time Smackdown'!H:H, 'Space-Time Smackdown'!A:A, FALSE, 'Space-Time Smackdown'!F:F, "☆", 'Space-Time Smackdown'!E:E, "A2-Palkia") *E13+
    SUMIFS('Space-Time Smackdown'!H:H, 'Space-Time Smackdown'!A:A, FALSE, 'Space-Time Smackdown'!F:F, "☆☆", 'Space-Time Smackdown'!E:E, "A2-Palkia") *E14+
    SUMIFS('Space-Time Smackdown'!H:H, 'Space-Time Smackdown'!A:A, FALSE, 'Space-Time Smackdown'!F:F, "☆☆☆", 'Space-Time Smackdown'!E:E, "A2-Palkia") *E15+
    SUMIFS('Space-Time Smackdown'!H:H, 'Space-Time Smackdown'!A:A, FALSE, 'Space-Time Smackdown'!F:F, "♛", 'Space-Time Smackdown'!E:E, "A2-Palkia") *E16
  ) +
  (
    SUMIFS('Space-Time Smackdown'!H:H, 'Space-Time Smackdown'!A:A, FALSE, 'Space-Time Smackdown'!F:F, "♢", 'Space-Time Smackdown'!E:E, "A2") *C13+
    SUMIFS('Space-Time Smackdown'!H:H, 'Space-Time Smackdown'!A:A, FALSE, 'Space-Time Smackdown'!F:F, "♢♢", 'Space-Time Smackdown'!E:E, "A2") *C14+
    SUMIFS('Space-Time Smackdown'!H:H, 'Space-Time Smackdown'!A:A, FALSE, 'Space-Time Smackdown'!F:F, "♢♢♢", 'Space-Time Smackdown'!E:E, "A2") *C15+
    SUMIFS('Space-Time Smackdown'!H:H, 'Space-Time Smackdown'!A:A, FALSE, 'Space-Time Smackdown'!F:F, "♢♢♢♢", 'Space-Time Smackdown'!E:E, "A2") *C16+
    SUMIFS('Space-Time Smackdown'!H:H, 'Space-Time Smackdown'!A:A, FALSE, 'Space-Time Smackdown'!F:F, "☆", 'Space-Time Smackdown'!E:E, "A2") *E13+
    SUMIFS('Space-Time Smackdown'!H:H, 'Space-Time Smackdown'!A:A, FALSE, 'Space-Time Smackdown'!F:F, "☆☆", 'Space-Time Smackdown'!E:E, "A2") *E14+
    SUMIFS('Space-Time Smackdown'!H:H, 'Space-Time Smackdown'!A:A, FALSE, 'Space-Time Smackdown'!F:F, "☆☆☆", 'Space-Time Smackdown'!E:E, "A2") *E15+
    SUMIFS('Space-Time Smackdown'!H:H, 'Space-Time Smackdown'!A:A, FALSE, 'Space-Time Smackdown'!F:F, "♛", 'Space-Time Smackdown'!E:E, "A2") *E16+
    (COUNTIFS('Space-Time Smackdown'!H:H, "x", 'Space-Time Smackdown'!A:A, FALSE) * 'Space-Time Smackdown'!M49) *C14 
  ),
  0
)
</f>
        <v>1</v>
      </c>
      <c r="E24" s="95">
        <f>IFERROR(
  (
    SUMIFS('Space-Time Smackdown'!I:I, 'Space-Time Smackdown'!A:A, FALSE, 'Space-Time Smackdown'!F:F, "♢", 'Space-Time Smackdown'!E:E, "A2-Palkia") *C13+
    SUMIFS('Space-Time Smackdown'!I:I, 'Space-Time Smackdown'!A:A, FALSE, 'Space-Time Smackdown'!F:F, "♢♢", 'Space-Time Smackdown'!E:E, "A2-Palkia") *C14+
    SUMIFS('Space-Time Smackdown'!I:I, 'Space-Time Smackdown'!A:A, FALSE, 'Space-Time Smackdown'!F:F, "♢♢♢", 'Space-Time Smackdown'!E:E, "A2-Palkia") *C15+
    SUMIFS('Space-Time Smackdown'!I:I, 'Space-Time Smackdown'!A:A, FALSE, 'Space-Time Smackdown'!F:F, "♢♢♢♢", 'Space-Time Smackdown'!E:E, "A2-Palkia") *C16+
    SUMIFS('Space-Time Smackdown'!I:I, 'Space-Time Smackdown'!A:A, FALSE, 'Space-Time Smackdown'!F:F, "☆", 'Space-Time Smackdown'!E:E, "A2-Palkia") *E13+
    SUMIFS('Space-Time Smackdown'!I:I, 'Space-Time Smackdown'!A:A, FALSE, 'Space-Time Smackdown'!F:F, "☆☆", 'Space-Time Smackdown'!E:E, "A2-Palkia") *E14+
    SUMIFS('Space-Time Smackdown'!I:I, 'Space-Time Smackdown'!A:A, FALSE, 'Space-Time Smackdown'!F:F, "☆☆☆", 'Space-Time Smackdown'!E:E, "A2-Palkia") *E15+
    SUMIFS('Space-Time Smackdown'!I:I, 'Space-Time Smackdown'!A:A, FALSE, 'Space-Time Smackdown'!F:F, "♛", 'Space-Time Smackdown'!E:E, "A2-Palkia") *E16
  ) +
  (
    SUMIFS('Space-Time Smackdown'!I:I, 'Space-Time Smackdown'!A:A, FALSE, 'Space-Time Smackdown'!F:F, "♢", 'Space-Time Smackdown'!E:E, "A2") *C13+
    SUMIFS('Space-Time Smackdown'!I:I, 'Space-Time Smackdown'!A:A, FALSE, 'Space-Time Smackdown'!F:F, "♢♢", 'Space-Time Smackdown'!E:E, "A2") *C14+
    SUMIFS('Space-Time Smackdown'!I:I, 'Space-Time Smackdown'!A:A, FALSE, 'Space-Time Smackdown'!F:F, "♢♢♢", 'Space-Time Smackdown'!E:E, "A2") *C15+
    SUMIFS('Space-Time Smackdown'!I:I, 'Space-Time Smackdown'!A:A, FALSE, 'Space-Time Smackdown'!F:F, "♢♢♢♢", 'Space-Time Smackdown'!E:E, "A2") *C16+
    SUMIFS('Space-Time Smackdown'!I:I, 'Space-Time Smackdown'!A:A, FALSE, 'Space-Time Smackdown'!F:F, "☆", 'Space-Time Smackdown'!E:E, "A2") *E13+
    SUMIFS('Space-Time Smackdown'!I:I, 'Space-Time Smackdown'!A:A, FALSE, 'Space-Time Smackdown'!F:F, "☆☆", 'Space-Time Smackdown'!E:E, "A2") *E14+
    SUMIFS('Space-Time Smackdown'!I:I, 'Space-Time Smackdown'!A:A, FALSE, 'Space-Time Smackdown'!F:F, "☆☆☆", 'Space-Time Smackdown'!E:E, "A2") *E15+
    SUMIFS('Space-Time Smackdown'!I:I, 'Space-Time Smackdown'!A:A, FALSE, 'Space-Time Smackdown'!F:F, "♛", 'Space-Time Smackdown'!E:E, "A2") *E16+
    (COUNTIFS('Space-Time Smackdown'!I:I, "x", 'Space-Time Smackdown'!A:A, FALSE) * 'Space-Time Smackdown'!N49) *C14 
  ),
  0
)
</f>
        <v>1</v>
      </c>
      <c r="F24" s="108">
        <f t="shared" si="1"/>
        <v>1</v>
      </c>
      <c r="G24" s="30"/>
      <c r="H24" s="109" t="s">
        <v>57</v>
      </c>
      <c r="I24" s="110">
        <f>'PROMO-A'!H6</f>
        <v>0</v>
      </c>
      <c r="J24" s="110">
        <f>'PROMO-A'!I6</f>
        <v>1</v>
      </c>
      <c r="K24" s="110" t="str">
        <f>'PROMO-A'!J6</f>
        <v>0/8</v>
      </c>
      <c r="L24" s="111">
        <f>COUNTIFS('PROMO-A'!A:A, FALSE, 'PROMO-A'!E:E, 'PROMO-A'!G6)</f>
        <v>8</v>
      </c>
      <c r="M24" s="30"/>
    </row>
    <row r="25">
      <c r="A25" s="23"/>
      <c r="B25" s="112" t="s">
        <v>58</v>
      </c>
      <c r="D25" s="113" t="str">
        <f>IFS( F19=MAX(F19:F24), B19, F20= MAX(F19:F24), B20, F21=MAX(F19:F24), B21, F22=MAX(F19:F24), B22, F23=MAX(F19:F24), B23, F24=MAX(F19:F24), B24)</f>
        <v>A1-Mewtwo</v>
      </c>
      <c r="F25" s="51"/>
      <c r="G25" s="23"/>
      <c r="H25" s="114" t="s">
        <v>59</v>
      </c>
      <c r="I25" s="115">
        <f>'PROMO-A'!H7</f>
        <v>0</v>
      </c>
      <c r="J25" s="115">
        <f>'PROMO-A'!I7</f>
        <v>1</v>
      </c>
      <c r="K25" s="115" t="str">
        <f>'PROMO-A'!J7</f>
        <v>0/5</v>
      </c>
      <c r="L25" s="116">
        <f>COUNTIFS('PROMO-A'!A:A, FALSE, 'PROMO-A'!E:E, 'PROMO-A'!G7)</f>
        <v>5</v>
      </c>
      <c r="M25" s="23"/>
    </row>
    <row r="26">
      <c r="A26" s="23"/>
      <c r="B26" s="27"/>
      <c r="C26" s="28"/>
      <c r="D26" s="28"/>
      <c r="E26" s="28"/>
      <c r="F26" s="29"/>
      <c r="G26" s="23"/>
      <c r="H26" s="117" t="s">
        <v>60</v>
      </c>
      <c r="I26" s="118">
        <f>'PROMO-A'!H8</f>
        <v>0</v>
      </c>
      <c r="J26" s="118">
        <f>'PROMO-A'!I8</f>
        <v>1</v>
      </c>
      <c r="K26" s="118" t="str">
        <f>'PROMO-A'!J8</f>
        <v>0/20</v>
      </c>
      <c r="L26" s="119">
        <f>COUNTIFS('PROMO-A'!A:A, FALSE, 'PROMO-A'!E:E, 'PROMO-A'!G8)</f>
        <v>20</v>
      </c>
      <c r="M26" s="23"/>
    </row>
    <row r="27">
      <c r="A27" s="23"/>
      <c r="B27" s="23"/>
      <c r="C27" s="23"/>
      <c r="D27" s="23"/>
      <c r="E27" s="23"/>
      <c r="F27" s="23"/>
      <c r="G27" s="23"/>
      <c r="H27" s="120" t="s">
        <v>61</v>
      </c>
      <c r="I27" s="121">
        <f>'PROMO-A'!H9</f>
        <v>0</v>
      </c>
      <c r="J27" s="121">
        <f>'PROMO-A'!I9</f>
        <v>1</v>
      </c>
      <c r="K27" s="121" t="str">
        <f>'PROMO-A'!J9</f>
        <v>0/8</v>
      </c>
      <c r="L27" s="122">
        <f>COUNTIFS('PROMO-A'!A:A, FALSE, 'PROMO-A'!E:E, 'PROMO-A'!G9)</f>
        <v>8</v>
      </c>
      <c r="M27" s="23"/>
    </row>
    <row r="28">
      <c r="A28" s="23"/>
      <c r="B28" s="23"/>
      <c r="C28" s="23"/>
      <c r="D28" s="23"/>
      <c r="E28" s="23"/>
      <c r="F28" s="23"/>
      <c r="G28" s="23"/>
      <c r="H28" s="23"/>
      <c r="I28" s="23"/>
      <c r="J28" s="23"/>
      <c r="K28" s="23"/>
      <c r="L28" s="23"/>
      <c r="M28" s="23"/>
    </row>
  </sheetData>
  <mergeCells count="26">
    <mergeCell ref="H3:L3"/>
    <mergeCell ref="I10:L10"/>
    <mergeCell ref="I11:L11"/>
    <mergeCell ref="H12:L12"/>
    <mergeCell ref="H15:L15"/>
    <mergeCell ref="I20:L20"/>
    <mergeCell ref="H21:L21"/>
    <mergeCell ref="B1:F2"/>
    <mergeCell ref="H1:L2"/>
    <mergeCell ref="B3:F3"/>
    <mergeCell ref="B4:E4"/>
    <mergeCell ref="B5:B7"/>
    <mergeCell ref="F5:F7"/>
    <mergeCell ref="C7:D7"/>
    <mergeCell ref="B11:E11"/>
    <mergeCell ref="B12:F12"/>
    <mergeCell ref="B17:F17"/>
    <mergeCell ref="B25:C26"/>
    <mergeCell ref="D25:F26"/>
    <mergeCell ref="C5:D5"/>
    <mergeCell ref="C6:D6"/>
    <mergeCell ref="C8:E8"/>
    <mergeCell ref="B9:B10"/>
    <mergeCell ref="C9:D9"/>
    <mergeCell ref="F9:F10"/>
    <mergeCell ref="C10:D10"/>
  </mergeCells>
  <conditionalFormatting sqref="H24:H28">
    <cfRule type="expression" dxfId="0" priority="1">
      <formula>$H24="Shop"</formula>
    </cfRule>
  </conditionalFormatting>
  <conditionalFormatting sqref="H24:H28">
    <cfRule type="expression" dxfId="1" priority="2">
      <formula>$H24="Wonder Pick"</formula>
    </cfRule>
  </conditionalFormatting>
  <conditionalFormatting sqref="H24:H28">
    <cfRule type="expression" dxfId="2" priority="3">
      <formula>$H24="Promo Pack"</formula>
    </cfRule>
  </conditionalFormatting>
  <conditionalFormatting sqref="H24:H28">
    <cfRule type="expression" dxfId="3" priority="4">
      <formula>$H24="Mission"</formula>
    </cfRule>
  </conditionalFormatting>
  <conditionalFormatting sqref="D25:F26 I10:L11">
    <cfRule type="containsText" dxfId="4" priority="5" operator="containsText" text="A1-Mewtwo">
      <formula>NOT(ISERROR(SEARCH(("A1-Mewtwo"),(D25))))</formula>
    </cfRule>
  </conditionalFormatting>
  <conditionalFormatting sqref="D25:F26 I10:L11">
    <cfRule type="containsText" dxfId="5" priority="6" operator="containsText" text="A1-Pikachu">
      <formula>NOT(ISERROR(SEARCH(("A1-Pikachu"),(D25))))</formula>
    </cfRule>
  </conditionalFormatting>
  <conditionalFormatting sqref="D25:F26 I10:L11">
    <cfRule type="containsText" dxfId="6" priority="7" operator="containsText" text="A1-Charizard">
      <formula>NOT(ISERROR(SEARCH(("A1-Charizard"),(D25))))</formula>
    </cfRule>
  </conditionalFormatting>
  <conditionalFormatting sqref="D25:F26">
    <cfRule type="containsText" dxfId="7" priority="8" operator="containsText" text="A1a">
      <formula>NOT(ISERROR(SEARCH(("A1a"),(D25))))</formula>
    </cfRule>
  </conditionalFormatting>
  <conditionalFormatting sqref="D25:F26 I20:L20">
    <cfRule type="containsText" dxfId="8" priority="9" operator="containsText" text="A2-Dialga">
      <formula>NOT(ISERROR(SEARCH(("A2-Dialga"),(D25))))</formula>
    </cfRule>
  </conditionalFormatting>
  <conditionalFormatting sqref="D25:F26 I20:L20">
    <cfRule type="containsText" dxfId="9" priority="10" operator="containsText" text="A2-Palkia">
      <formula>NOT(ISERROR(SEARCH(("A2-Palkia"),(D25))))</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
    <col customWidth="1" min="2" max="2" width="4.0"/>
    <col customWidth="1" min="3" max="3" width="7.13"/>
    <col customWidth="1" min="4" max="9" width="12.63"/>
    <col customWidth="1" min="15" max="15" width="34.75"/>
  </cols>
  <sheetData>
    <row r="1">
      <c r="A1" s="123"/>
      <c r="B1" s="123" t="s">
        <v>62</v>
      </c>
      <c r="C1" s="123" t="s">
        <v>63</v>
      </c>
      <c r="D1" s="123" t="s">
        <v>64</v>
      </c>
      <c r="E1" s="123" t="s">
        <v>65</v>
      </c>
      <c r="F1" s="123" t="s">
        <v>66</v>
      </c>
      <c r="G1" s="123" t="s">
        <v>67</v>
      </c>
      <c r="H1" s="123" t="s">
        <v>68</v>
      </c>
      <c r="I1" s="123" t="s">
        <v>69</v>
      </c>
      <c r="J1" s="123" t="s">
        <v>3</v>
      </c>
      <c r="K1" s="123"/>
      <c r="O1" s="124" t="s">
        <v>70</v>
      </c>
    </row>
    <row r="2">
      <c r="A2" s="125" t="b">
        <f t="shared" ref="A2:A287" si="1">B2&gt;0</f>
        <v>0</v>
      </c>
      <c r="B2" s="126">
        <v>0.0</v>
      </c>
      <c r="C2" s="127" t="s">
        <v>71</v>
      </c>
      <c r="D2" s="127" t="s">
        <v>72</v>
      </c>
      <c r="E2" s="128" t="s">
        <v>29</v>
      </c>
      <c r="F2" s="127" t="s">
        <v>44</v>
      </c>
      <c r="G2" s="129">
        <f>IF(F2="♢", ((L3 * 100) / (COUNTIFS(F:F, "♢", E:E, E2) + COUNTIFS(F:F, "♢", E:E, "A1") + IF(E2="A1", COUNTIFS(F:F, "♢", E:E, E2), 0) - IF(E2="A1", COUNTIFS(F:F, "♢", E:E, "A1"), 0)))/100, "")
</f>
        <v>0.02</v>
      </c>
      <c r="H2" s="130" t="str">
        <f>IF(F2="♢♢", ((M4 * 100) / (COUNTIFS(F:F, "♢♢", E:E, E2) + COUNTIFS(F:F, "♢♢", E:E, "A1") + IF(E2="A1", COUNTIFS(F:F, "♢♢", E:E, E2), 0) - IF(E2="A1", COUNTIFS(F:F, "♢♢", E:E, "A1"), 0)))/100,
 IF(F2="♢♢", ((M4 * 100) / (COUNTIFS(F:F, "♢♢", E:E, E2) + COUNTIFS(F:F, "♢♢", E:E, "A1") + IF(E2="A1", COUNTIFS(F:F, "♢♢", E:E, E2), 0) - IF(E2="A1", COUNTIFS(F:F, "♢♢", E:E, "A1"), 0)))/100, 
   IF(F2="♢♢♢", ((M5 * 100) / (COUNTIFS(F:F, "♢♢♢", E:E, E2) + COUNTIFS(F:F, "♢♢♢", E:E, "A1") + IF(E2="A1", COUNTIFS(F:F, "♢♢♢", E:E, E2), 0) - IF(E2="A1", COUNTIFS(F:F, "♢♢♢", E:E, "A1"), 0)))/100, 
   IF(F2="♢♢♢♢", ((M6 * 100) / (COUNTIFS(F:F, "♢♢♢♢", E:E, E2) + COUNTIFS(F:F, "♢♢♢♢", E:E, "A1") + IF(E2="A1", COUNTIFS(F:F, "♢♢♢♢", E:E, E2), 0) - IF(E2="A1", COUNTIFS(F:F, "♢♢♢♢", E:E, "A1"), 0)))/100, 
   IF(F2="☆", ((M7 * 100) / (COUNTIFS(F:F, "☆", E:E, E2) + COUNTIFS(F:F, "☆", E:E, "A1") + IF(E2="A1", COUNTIFS(F:F, "☆", E:E, E2), 0) - IF(E2="A1", COUNTIFS(F:F, "☆", E:E, "A1"), 0)))/100, 
   IF(F2="☆☆", ((M8 * 100) / (COUNTIFS(F:F, "☆☆", E:E, E2) + COUNTIFS(F:F, "☆☆", E:E, "A1") + IF(E2="A1", COUNTIFS(F:F, "☆☆", E:E, E2), 0) - IF(E2="A1", COUNTIFS(F:F, "☆☆", E:E, "A1"), 0)))/100, 
   IF(F2="☆☆☆", ((M9 * 100) / (COUNTIFS(F:F, "☆☆☆", E:E, E2) + COUNTIFS(F:F, "☆☆☆", E:E, "A1") + IF(E2="A1", COUNTIFS(F:F, "☆☆☆", E:E, E2), 0) - IF(E2="A1", COUNTIFS(F:F, "☆☆☆", E:E, "A1"), 0)))/100, 
   IF(F2="♛", ((M10 * 100) / (COUNTIFS(F:F, "♛", E:E, E2) + COUNTIFS(F:F, "♛", E:E, "A1") + IF(E2="A1", COUNTIFS(F:F, "♛", E:E, E2), 0) - IF(E2="A1", COUNTIFS(F:F, "♛", E:E, "A1"), 0)))/100, "")))))))
)</f>
        <v/>
      </c>
      <c r="I2" s="130" t="str">
        <f>IF(F2="♢♢", ((N4 * 100) / (COUNTIFS(F:F, "♢♢", E:E, E2) + COUNTIFS(F:F, "♢♢", E:E, "A1") + IF(E2="A1", COUNTIFS(F:F, "♢♢", E:E, E2), 0) - IF(E2="A1", COUNTIFS(F:F, "♢♢", E:E, "A1"), 0)))/100, 
   IF(F2="♢♢♢", ((N5 * 100) / (COUNTIFS(F:F, "♢♢♢", E:E, E2) + COUNTIFS(F:F, "♢♢♢", E:E, "A1") + IF(E2="A1", COUNTIFS(F:F, "♢♢♢", E:E, E2), 0) - IF(E2="A1", COUNTIFS(F:F, "♢♢♢", E:E, "A1"), 0)))/100, 
   IF(F2="♢♢♢♢", ((N6 * 100) / (COUNTIFS(F:F, "♢♢♢♢", E:E, E2) + COUNTIFS(F:F, "♢♢♢♢", E:E, "A1") + IF(E2="A1", COUNTIFS(F:F, "♢♢♢♢", E:E, E2), 0) - IF(E2="A1", COUNTIFS(F:F, "♢♢♢♢", E:E, "A1"), 0)))/100, 
   IF(F2="☆", ((N7 * 100) / (COUNTIFS(F:F, "☆", E:E, E2) + COUNTIFS(F:F, "☆", E:E, "A1") + IF(E2="A1", COUNTIFS(F:F, "☆", E:E, E2), 0) - IF(E2="A1", COUNTIFS(F:F, "☆", E:E, "A1"), 0)))/100, 
   IF(F2="☆☆", ((N8 * 100) / (COUNTIFS(F:F, "☆☆", E:E, E2) + COUNTIFS(F:F, "☆☆", E:E, "A1") + IF(E2="A1", COUNTIFS(F:F, "☆☆", E:E, E2), 0) - IF(E2="A1", COUNTIFS(F:F, "☆☆", E:E, "A1"), 0)))/100, 
   IF(F2="☆☆☆", ((N9 * 100) / (COUNTIFS(F:F, "☆☆☆", E:E, E2) + COUNTIFS(F:F, "☆☆☆", E:E, "A1") + IF(E2="A1", COUNTIFS(F:F, "☆☆☆", E:E, E2), 0) - IF(E2="A1", COUNTIFS(F:F, "☆☆☆", E:E, "A1"), 0)))/100, 
   IF(F2="♛", ((N10 * 100) / (COUNTIFS(F:F, "♛", E:E, E2) + COUNTIFS(F:F, "♛", E:E, "A1") + IF(E2="A1", COUNTIFS(F:F, "♛", E:E, E2), 0) - IF(E2="A1", COUNTIFS(F:F, "♛", E:E, "A1"), 0)))/100, "")))))))
</f>
        <v/>
      </c>
      <c r="J2" s="131"/>
      <c r="K2" s="132" t="s">
        <v>73</v>
      </c>
      <c r="L2" s="133">
        <v>45294.0</v>
      </c>
      <c r="M2" s="134">
        <v>4.0</v>
      </c>
      <c r="N2" s="135">
        <v>5.0</v>
      </c>
      <c r="O2" s="124" t="s">
        <v>74</v>
      </c>
    </row>
    <row r="3">
      <c r="A3" s="125" t="b">
        <f t="shared" si="1"/>
        <v>0</v>
      </c>
      <c r="B3" s="126">
        <v>0.0</v>
      </c>
      <c r="C3" s="127" t="s">
        <v>75</v>
      </c>
      <c r="D3" s="127" t="s">
        <v>76</v>
      </c>
      <c r="E3" s="128" t="s">
        <v>29</v>
      </c>
      <c r="F3" s="127" t="s">
        <v>46</v>
      </c>
      <c r="G3" s="130" t="str">
        <f>IF(F3="♢", ((L3 * 100) / (COUNTIFS(F:F, "♢", E:E, E3) + COUNTIFS(F:F, "♢", E:E, "A1") + IF(E3="A1", COUNTIFS(F:F, "♢", E:E, E2), 0) - IF(E3="A1", COUNTIFS(F:F, "♢", E:E, "A1"), 0)))/100, "")
</f>
        <v/>
      </c>
      <c r="H3" s="129">
        <f>IF(F3="♢♢", ((M4 * 100) / (COUNTIFS(F:F, "♢♢", E:E, E3) + COUNTIFS(F:F, "♢♢", E:E, "A1") + IF(E3="A1", COUNTIFS(F:F, "♢♢", E:E, E2), 0) - IF(E3="A1", COUNTIFS(F:F, "♢♢", E:E, "A1"), 0)))/100, 
   IF(F3="♢♢♢", ((M5 * 100) / (COUNTIFS(F:F, "♢♢♢", E:E, E3) + COUNTIFS(F:F, "♢♢♢", E:E, "A1") + IF(E3="A1", COUNTIFS(F:F, "♢♢♢", E:E, E2), 0) - IF(E3="A1", COUNTIFS(F:F, "♢♢♢", E:E, "A1"), 0)))/100, 
   IF(F3="♢♢♢♢", ((M6 * 100) / (COUNTIFS(F:F, "♢♢♢♢", E:E, E3) + COUNTIFS(F:F, "♢♢♢♢", E:E, "A1") + IF(E3="A1", COUNTIFS(F:F, "♢♢♢♢", E:E, E2), 0) - IF(E3="A1", COUNTIFS(F:F, "♢♢♢♢", E:E, "A1"), 0)))/100, 
   IF(F3="☆", ((M7 * 100) / (COUNTIFS(F:F, "☆", E:E, E3) + COUNTIFS(F:F, "☆", E:E, "A1") + IF(E3="A1", COUNTIFS(F:F, "☆", E:E, E2), 0) - IF(E3="A1", COUNTIFS(F:F, "☆", E:E, "A1"), 0)))/100, 
   IF(F3="☆☆", ((M8 * 100) / (COUNTIFS(F:F, "☆☆", E:E, E3) + COUNTIFS(F:F, "☆☆", E:E, "A1") + IF(E3="A1", COUNTIFS(F:F, "☆☆", E:E, E2), 0) - IF(E3="A1", COUNTIFS(F:F, "☆☆", E:E, "A1"), 0)))/100, 
   IF(F3="☆☆☆", ((M9 * 100) / (COUNTIFS(F:F, "☆☆☆", E:E, E3) + COUNTIFS(F:F, "☆☆☆", E:E, "A1") + IF(E3="A1", COUNTIFS(F:F, "☆☆☆", E:E, E2), 0) - IF(E3="A1", COUNTIFS(F:F, "☆☆☆", E:E, "A1"), 0)))/100, 
   IF(F3="♛", ((M10 * 100) / (COUNTIFS(F:F, "♛", E:E, E3) + COUNTIFS(F:F, "♛", E:E, "A1") + IF(E3="A1", COUNTIFS(F:F, "♛", E:E, E2), 0) - IF(E3="A1", COUNTIFS(F:F, "♛", E:E, "A1"), 0)))/100, "")))))))
</f>
        <v>0.02571428571</v>
      </c>
      <c r="I3" s="129">
        <f>IF(F3="♢♢", ((N4 * 100) / (COUNTIFS(F:F, "♢♢", E:E, E3) + COUNTIFS(F:F, "♢♢", E:E, "A1") + IF(E3="A1", COUNTIFS(F:F, "♢♢", E:E, E2), 0) - IF(E3="A1", COUNTIFS(F:F, "♢♢", E:E, "A1"), 0)))/100, 
   IF(F3="♢♢♢", ((N5 * 100) / (COUNTIFS(F:F, "♢♢♢", E:E, E3) + COUNTIFS(F:F, "♢♢♢", E:E, "A1") + IF(E3="A1", COUNTIFS(F:F, "♢♢♢", E:E, E2), 0) - IF(E3="A1", COUNTIFS(F:F, "♢♢♢", E:E, "A1"), 0)))/100, 
   IF(F3="♢♢♢♢", ((N6 * 100) / (COUNTIFS(F:F, "♢♢♢♢", E:E, E3) + COUNTIFS(F:F, "♢♢♢♢", E:E, "A1") + IF(E3="A1", COUNTIFS(F:F, "♢♢♢♢", E:E, E2), 0) - IF(E3="A1", COUNTIFS(F:F, "♢♢♢♢", E:E, "A1"), 0)))/100, 
   IF(F3="☆", ((N7 * 100) / (COUNTIFS(F:F, "☆", E:E, E3) + COUNTIFS(F:F, "☆", E:E, "A1") + IF(E3="A1", COUNTIFS(F:F, "☆", E:E, E2), 0) - IF(E3="A1", COUNTIFS(F:F, "☆", E:E, "A1"), 0)))/100, 
   IF(F3="☆☆", ((N8 * 100) / (COUNTIFS(F:F, "☆☆", E:E, E3) + COUNTIFS(F:F, "☆☆", E:E, "A1") + IF(E3="A1", COUNTIFS(F:F, "☆☆", E:E, E2), 0) - IF(E3="A1", COUNTIFS(F:F, "☆☆", E:E, "A1"), 0)))/100, 
   IF(F3="☆☆☆", ((N9 * 100) / (COUNTIFS(F:F, "☆☆☆", E:E, E3) + COUNTIFS(F:F, "☆☆☆", E:E, "A1") + IF(E3="A1", COUNTIFS(F:F, "☆☆☆", E:E, E2), 0) - IF(E3="A1", COUNTIFS(F:F, "☆☆☆", E:E, "A1"), 0)))/100, 
   IF(F3="♛", ((N10 * 100) / (COUNTIFS(F:F, "♛", E:E, E3) + COUNTIFS(F:F, "♛", E:E, "A1") + IF(E3="A1", COUNTIFS(F:F, "♛", E:E, E2), 0) - IF(E3="A1", COUNTIFS(F:F, "♛", E:E, "A1"), 0)))/100, "")))))))
</f>
        <v>0.01714285714</v>
      </c>
      <c r="J3" s="131"/>
      <c r="K3" s="136" t="s">
        <v>44</v>
      </c>
      <c r="L3" s="137">
        <v>1.0</v>
      </c>
      <c r="M3" s="129">
        <v>0.0</v>
      </c>
      <c r="N3" s="138">
        <v>0.0</v>
      </c>
    </row>
    <row r="4">
      <c r="A4" s="125" t="b">
        <f t="shared" si="1"/>
        <v>0</v>
      </c>
      <c r="B4" s="126">
        <v>0.0</v>
      </c>
      <c r="C4" s="127" t="s">
        <v>77</v>
      </c>
      <c r="D4" s="127" t="s">
        <v>78</v>
      </c>
      <c r="E4" s="128" t="s">
        <v>29</v>
      </c>
      <c r="F4" s="127" t="s">
        <v>48</v>
      </c>
      <c r="G4" s="130" t="str">
        <f>IF(F4="♢", ((L3 * 100) / (COUNTIFS(F:F, "♢", E:E, E4) + COUNTIFS(F:F, "♢", E:E, "A1") + IF(E4="A1", COUNTIFS(F:F, "♢", E:E, E2), 0) - IF(E4="A1", COUNTIFS(F:F, "♢", E:E, "A1"), 0)))/100, "")
</f>
        <v/>
      </c>
      <c r="H4" s="129">
        <f>IF(F4="♢♢", ((M4 * 100) / (COUNTIFS(F:F, "♢♢", E:E, E4) + COUNTIFS(F:F, "♢♢", E:E, "A1") + IF(E4="A1", COUNTIFS(F:F, "♢♢", E:E, E2), 0) - IF(E4="A1", COUNTIFS(F:F, "♢♢", E:E, "A1"), 0)))/100, 
   IF(F4="♢♢♢", ((M5 * 100) / (COUNTIFS(F:F, "♢♢♢", E:E, E4) + COUNTIFS(F:F, "♢♢♢", E:E, "A1") + IF(E4="A1", COUNTIFS(F:F, "♢♢♢", E:E, E2), 0) - IF(E4="A1", COUNTIFS(F:F, "♢♢♢", E:E, "A1"), 0)))/100, 
   IF(F4="♢♢♢♢", ((M6 * 100) / (COUNTIFS(F:F, "♢♢♢♢", E:E, E4) + COUNTIFS(F:F, "♢♢♢♢", E:E, "A1") + IF(E4="A1", COUNTIFS(F:F, "♢♢♢♢", E:E, E2), 0) - IF(E4="A1", COUNTIFS(F:F, "♢♢♢♢", E:E, "A1"), 0)))/100, 
   IF(F4="☆", ((M7 * 100) / (COUNTIFS(F:F, "☆", E:E, E4) + COUNTIFS(F:F, "☆", E:E, "A1") + IF(E4="A1", COUNTIFS(F:F, "☆", E:E, E2), 0) - IF(E4="A1", COUNTIFS(F:F, "☆", E:E, "A1"), 0)))/100, 
   IF(F4="☆☆", ((M8 * 100) / (COUNTIFS(F:F, "☆☆", E:E, E4) + COUNTIFS(F:F, "☆☆", E:E, "A1") + IF(E4="A1", COUNTIFS(F:F, "☆☆", E:E, E2), 0) - IF(E4="A1", COUNTIFS(F:F, "☆☆", E:E, "A1"), 0)))/100, 
   IF(F4="☆☆☆", ((M9 * 100) / (COUNTIFS(F:F, "☆☆☆", E:E, E4) + COUNTIFS(F:F, "☆☆☆", E:E, "A1") + IF(E4="A1", COUNTIFS(F:F, "☆☆☆", E:E, E2), 0) - IF(E4="A1", COUNTIFS(F:F, "☆☆☆", E:E, "A1"), 0)))/100, 
   IF(F4="♛", ((M10 * 100) / (COUNTIFS(F:F, "♛", E:E, E4) + COUNTIFS(F:F, "♛", E:E, "A1") + IF(E4="A1", COUNTIFS(F:F, "♛", E:E, E2), 0) - IF(E4="A1", COUNTIFS(F:F, "♛", E:E, "A1"), 0)))/100, "")))))))
</f>
        <v>0.003571428571</v>
      </c>
      <c r="I4" s="129">
        <f>IF(F4="♢♢", ((N4 * 100) / (COUNTIFS(F:F, "♢♢", E:E, E4) + COUNTIFS(F:F, "♢♢", E:E, "A1") + IF(E4="A1", COUNTIFS(F:F, "♢♢", E:E, E2), 0) - IF(E4="A1", COUNTIFS(F:F, "♢♢", E:E, "A1"), 0)))/100, 
   IF(F4="♢♢♢", ((N5 * 100) / (COUNTIFS(F:F, "♢♢♢", E:E, E4) + COUNTIFS(F:F, "♢♢♢", E:E, "A1") + IF(E4="A1", COUNTIFS(F:F, "♢♢♢", E:E, E2), 0) - IF(E4="A1", COUNTIFS(F:F, "♢♢♢", E:E, "A1"), 0)))/100, 
   IF(F4="♢♢♢♢", ((N6 * 100) / (COUNTIFS(F:F, "♢♢♢♢", E:E, E4) + COUNTIFS(F:F, "♢♢♢♢", E:E, "A1") + IF(E4="A1", COUNTIFS(F:F, "♢♢♢♢", E:E, E2), 0) - IF(E4="A1", COUNTIFS(F:F, "♢♢♢♢", E:E, "A1"), 0)))/100, 
   IF(F4="☆", ((N7 * 100) / (COUNTIFS(F:F, "☆", E:E, E4) + COUNTIFS(F:F, "☆", E:E, "A1") + IF(E4="A1", COUNTIFS(F:F, "☆", E:E, E2), 0) - IF(E4="A1", COUNTIFS(F:F, "☆", E:E, "A1"), 0)))/100, 
   IF(F4="☆☆", ((N8 * 100) / (COUNTIFS(F:F, "☆☆", E:E, E4) + COUNTIFS(F:F, "☆☆", E:E, "A1") + IF(E4="A1", COUNTIFS(F:F, "☆☆", E:E, E2), 0) - IF(E4="A1", COUNTIFS(F:F, "☆☆", E:E, "A1"), 0)))/100, 
   IF(F4="☆☆☆", ((N9 * 100) / (COUNTIFS(F:F, "☆☆☆", E:E, E4) + COUNTIFS(F:F, "☆☆☆", E:E, "A1") + IF(E4="A1", COUNTIFS(F:F, "☆☆☆", E:E, E2), 0) - IF(E4="A1", COUNTIFS(F:F, "☆☆☆", E:E, "A1"), 0)))/100, 
   IF(F4="♛", ((N10 * 100) / (COUNTIFS(F:F, "♛", E:E, E4) + COUNTIFS(F:F, "♛", E:E, "A1") + IF(E4="A1", COUNTIFS(F:F, "♛", E:E, E2), 0) - IF(E4="A1", COUNTIFS(F:F, "♛", E:E, "A1"), 0)))/100, "")))))))
</f>
        <v>0.01428571429</v>
      </c>
      <c r="J4" s="131"/>
      <c r="K4" s="136" t="s">
        <v>46</v>
      </c>
      <c r="L4" s="129">
        <v>0.0</v>
      </c>
      <c r="M4" s="137">
        <v>0.9</v>
      </c>
      <c r="N4" s="139">
        <v>0.6</v>
      </c>
    </row>
    <row r="5">
      <c r="A5" s="125" t="b">
        <f t="shared" si="1"/>
        <v>0</v>
      </c>
      <c r="B5" s="126">
        <v>0.0</v>
      </c>
      <c r="C5" s="127" t="s">
        <v>79</v>
      </c>
      <c r="D5" s="128" t="s">
        <v>80</v>
      </c>
      <c r="E5" s="128" t="s">
        <v>29</v>
      </c>
      <c r="F5" s="127" t="s">
        <v>51</v>
      </c>
      <c r="G5" s="130" t="str">
        <f>IF(F5="♢", ((L3 * 100) / (COUNTIFS(F:F, "♢", E:E, E5) + COUNTIFS(F:F, "♢", E:E, "A1") + IF(E5="A1", COUNTIFS(F:F, "♢", E:E, E2), 0) - IF(E5="A1", COUNTIFS(F:F, "♢", E:E, "A1"), 0)))/100, "")
</f>
        <v/>
      </c>
      <c r="H5" s="129">
        <f>IF(F5="♢♢", ((M4 * 100) / (COUNTIFS(F:F, "♢♢", E:E, E5) + COUNTIFS(F:F, "♢♢", E:E, "A1") + IF(E5="A1", COUNTIFS(F:F, "♢♢", E:E, E2), 0) - IF(E5="A1", COUNTIFS(F:F, "♢♢", E:E, "A1"), 0)))/100, 
   IF(F5="♢♢♢", ((M5 * 100) / (COUNTIFS(F:F, "♢♢♢", E:E, E5) + COUNTIFS(F:F, "♢♢♢", E:E, "A1") + IF(E5="A1", COUNTIFS(F:F, "♢♢♢", E:E, E2), 0) - IF(E5="A1", COUNTIFS(F:F, "♢♢♢", E:E, "A1"), 0)))/100, 
   IF(F5="♢♢♢♢", ((M6 * 100) / (COUNTIFS(F:F, "♢♢♢♢", E:E, E5) + COUNTIFS(F:F, "♢♢♢♢", E:E, "A1") + IF(E5="A1", COUNTIFS(F:F, "♢♢♢♢", E:E, E2), 0) - IF(E5="A1", COUNTIFS(F:F, "♢♢♢♢", E:E, "A1"), 0)))/100, 
   IF(F5="☆", ((M7 * 100) / (COUNTIFS(F:F, "☆", E:E, E5) + COUNTIFS(F:F, "☆", E:E, "A1") + IF(E5="A1", COUNTIFS(F:F, "☆", E:E, E2), 0) - IF(E5="A1", COUNTIFS(F:F, "☆", E:E, "A1"), 0)))/100, 
   IF(F5="☆☆", ((M8 * 100) / (COUNTIFS(F:F, "☆☆", E:E, E5) + COUNTIFS(F:F, "☆☆", E:E, "A1") + IF(E5="A1", COUNTIFS(F:F, "☆☆", E:E, E2), 0) - IF(E5="A1", COUNTIFS(F:F, "☆☆", E:E, "A1"), 0)))/100, 
   IF(F5="☆☆☆", ((M9 * 100) / (COUNTIFS(F:F, "☆☆☆", E:E, E5) + COUNTIFS(F:F, "☆☆☆", E:E, "A1") + IF(E5="A1", COUNTIFS(F:F, "☆☆☆", E:E, E2), 0) - IF(E5="A1", COUNTIFS(F:F, "☆☆☆", E:E, "A1"), 0)))/100, 
   IF(F5="♛", ((M10 * 100) / (COUNTIFS(F:F, "♛", E:E, E5) + COUNTIFS(F:F, "♛", E:E, "A1") + IF(E5="A1", COUNTIFS(F:F, "♛", E:E, E2), 0) - IF(E5="A1", COUNTIFS(F:F, "♛", E:E, "A1"), 0)))/100, "")))))))
</f>
        <v>0.003332</v>
      </c>
      <c r="I5" s="129">
        <f>IF(F5="♢♢", ((N4 * 100) / (COUNTIFS(F:F, "♢♢", E:E, E5) + COUNTIFS(F:F, "♢♢", E:E, "A1") + IF(E5="A1", COUNTIFS(F:F, "♢♢", E:E, E2), 0) - IF(E5="A1", COUNTIFS(F:F, "♢♢", E:E, "A1"), 0)))/100, 
   IF(F5="♢♢♢", ((N5 * 100) / (COUNTIFS(F:F, "♢♢♢", E:E, E5) + COUNTIFS(F:F, "♢♢♢", E:E, "A1") + IF(E5="A1", COUNTIFS(F:F, "♢♢♢", E:E, E2), 0) - IF(E5="A1", COUNTIFS(F:F, "♢♢♢", E:E, "A1"), 0)))/100, 
   IF(F5="♢♢♢♢", ((N6 * 100) / (COUNTIFS(F:F, "♢♢♢♢", E:E, E5) + COUNTIFS(F:F, "♢♢♢♢", E:E, "A1") + IF(E5="A1", COUNTIFS(F:F, "♢♢♢♢", E:E, E2), 0) - IF(E5="A1", COUNTIFS(F:F, "♢♢♢♢", E:E, "A1"), 0)))/100, 
   IF(F5="☆", ((N7 * 100) / (COUNTIFS(F:F, "☆", E:E, E5) + COUNTIFS(F:F, "☆", E:E, "A1") + IF(E5="A1", COUNTIFS(F:F, "☆", E:E, E2), 0) - IF(E5="A1", COUNTIFS(F:F, "☆", E:E, "A1"), 0)))/100, 
   IF(F5="☆☆", ((N8 * 100) / (COUNTIFS(F:F, "☆☆", E:E, E5) + COUNTIFS(F:F, "☆☆", E:E, "A1") + IF(E5="A1", COUNTIFS(F:F, "☆☆", E:E, E2), 0) - IF(E5="A1", COUNTIFS(F:F, "☆☆", E:E, "A1"), 0)))/100, 
   IF(F5="☆☆☆", ((N9 * 100) / (COUNTIFS(F:F, "☆☆☆", E:E, E5) + COUNTIFS(F:F, "☆☆☆", E:E, "A1") + IF(E5="A1", COUNTIFS(F:F, "☆☆☆", E:E, E2), 0) - IF(E5="A1", COUNTIFS(F:F, "☆☆☆", E:E, "A1"), 0)))/100, 
   IF(F5="♛", ((N10 * 100) / (COUNTIFS(F:F, "♛", E:E, E5) + COUNTIFS(F:F, "♛", E:E, "A1") + IF(E5="A1", COUNTIFS(F:F, "♛", E:E, E2), 0) - IF(E5="A1", COUNTIFS(F:F, "♛", E:E, "A1"), 0)))/100, "")))))))
</f>
        <v>0.013328</v>
      </c>
      <c r="J5" s="131"/>
      <c r="K5" s="136" t="s">
        <v>48</v>
      </c>
      <c r="L5" s="129">
        <v>0.0</v>
      </c>
      <c r="M5" s="137">
        <v>0.05</v>
      </c>
      <c r="N5" s="139">
        <v>0.2</v>
      </c>
    </row>
    <row r="6">
      <c r="A6" s="125" t="b">
        <f t="shared" si="1"/>
        <v>0</v>
      </c>
      <c r="B6" s="126">
        <v>0.0</v>
      </c>
      <c r="C6" s="127" t="s">
        <v>81</v>
      </c>
      <c r="D6" s="127" t="s">
        <v>82</v>
      </c>
      <c r="E6" s="128" t="s">
        <v>31</v>
      </c>
      <c r="F6" s="127" t="s">
        <v>83</v>
      </c>
      <c r="G6" s="129">
        <f>IF(F6="♢", ((L3 * 100) / (COUNTIFS(F:F, "♢", E:E, E6) + COUNTIFS(F:F, "♢", E:E, "A1") + IF(E6="A1", COUNTIFS(F:F, "♢", E:E, E2), 0) - IF(E6="A1", COUNTIFS(F:F, "♢", E:E, "A1"), 0)))/100, "")
</f>
        <v>0.02</v>
      </c>
      <c r="H6" s="130" t="str">
        <f>IF(F6="♢♢", ((M4 * 100) / (COUNTIFS(F:F, "♢♢", E:E, E6) + COUNTIFS(F:F, "♢♢", E:E, "A1") + IF(E6="A1", COUNTIFS(F:F, "♢♢", E:E, E2), 0) - IF(E6="A1", COUNTIFS(F:F, "♢♢", E:E, "A1"), 0)))/100, 
   IF(F6="♢♢♢", ((M5 * 100) / (COUNTIFS(F:F, "♢♢♢", E:E, E6) + COUNTIFS(F:F, "♢♢♢", E:E, "A1") + IF(E6="A1", COUNTIFS(F:F, "♢♢♢", E:E, E2), 0) - IF(E6="A1", COUNTIFS(F:F, "♢♢♢", E:E, "A1"), 0)))/100, 
   IF(F6="♢♢♢♢", ((M6 * 100) / (COUNTIFS(F:F, "♢♢♢♢", E:E, E6) + COUNTIFS(F:F, "♢♢♢♢", E:E, "A1") + IF(E6="A1", COUNTIFS(F:F, "♢♢♢♢", E:E, E2), 0) - IF(E6="A1", COUNTIFS(F:F, "♢♢♢♢", E:E, "A1"), 0)))/100, 
   IF(F6="☆", ((M7 * 100) / (COUNTIFS(F:F, "☆", E:E, E6) + COUNTIFS(F:F, "☆", E:E, "A1") + IF(E6="A1", COUNTIFS(F:F, "☆", E:E, E2), 0) - IF(E6="A1", COUNTIFS(F:F, "☆", E:E, "A1"), 0)))/100, 
   IF(F6="☆☆", ((M8 * 100) / (COUNTIFS(F:F, "☆☆", E:E, E6) + COUNTIFS(F:F, "☆☆", E:E, "A1") + IF(E6="A1", COUNTIFS(F:F, "☆☆", E:E, E2), 0) - IF(E6="A1", COUNTIFS(F:F, "☆☆", E:E, "A1"), 0)))/100, 
   IF(F6="☆☆☆", ((M9 * 100) / (COUNTIFS(F:F, "☆☆☆", E:E, E6) + COUNTIFS(F:F, "☆☆☆", E:E, "A1") + IF(E6="A1", COUNTIFS(F:F, "☆☆☆", E:E, E2), 0) - IF(E6="A1", COUNTIFS(F:F, "☆☆☆", E:E, "A1"), 0)))/100, 
   IF(F6="♛", ((M10 * 100) / (COUNTIFS(F:F, "♛", E:E, E6) + COUNTIFS(F:F, "♛", E:E, "A1") + IF(E6="A1", COUNTIFS(F:F, "♛", E:E, E2), 0) - IF(E6="A1", COUNTIFS(F:F, "♛", E:E, "A1"), 0)))/100, "")))))))
</f>
        <v/>
      </c>
      <c r="I6" s="130" t="str">
        <f>IF(F6="♢♢", ((N4 * 100) / (COUNTIFS(F:F, "♢♢", E:E, E6) + COUNTIFS(F:F, "♢♢", E:E, "A1") + IF(E6="A1", COUNTIFS(F:F, "♢♢", E:E, E2), 0) - IF(E6="A1", COUNTIFS(F:F, "♢♢", E:E, "A1"), 0)))/100, 
   IF(F6="♢♢♢", ((N5 * 100) / (COUNTIFS(F:F, "♢♢♢", E:E, E6) + COUNTIFS(F:F, "♢♢♢", E:E, "A1") + IF(E6="A1", COUNTIFS(F:F, "♢♢♢", E:E, E2), 0) - IF(E6="A1", COUNTIFS(F:F, "♢♢♢", E:E, "A1"), 0)))/100, 
   IF(F6="♢♢♢♢", ((N6 * 100) / (COUNTIFS(F:F, "♢♢♢♢", E:E, E6) + COUNTIFS(F:F, "♢♢♢♢", E:E, "A1") + IF(E6="A1", COUNTIFS(F:F, "♢♢♢♢", E:E, E2), 0) - IF(E6="A1", COUNTIFS(F:F, "♢♢♢♢", E:E, "A1"), 0)))/100, 
   IF(F6="☆", ((N7 * 100) / (COUNTIFS(F:F, "☆", E:E, E6) + COUNTIFS(F:F, "☆", E:E, "A1") + IF(E6="A1", COUNTIFS(F:F, "☆", E:E, E2), 0) - IF(E6="A1", COUNTIFS(F:F, "☆", E:E, "A1"), 0)))/100, 
   IF(F6="☆☆", ((N8 * 100) / (COUNTIFS(F:F, "☆☆", E:E, E6) + COUNTIFS(F:F, "☆☆", E:E, "A1") + IF(E6="A1", COUNTIFS(F:F, "☆☆", E:E, E2), 0) - IF(E6="A1", COUNTIFS(F:F, "☆☆", E:E, "A1"), 0)))/100, 
   IF(F6="☆☆☆", ((N9 * 100) / (COUNTIFS(F:F, "☆☆☆", E:E, E6) + COUNTIFS(F:F, "☆☆☆", E:E, "A1") + IF(E6="A1", COUNTIFS(F:F, "☆☆☆", E:E, E2), 0) - IF(E6="A1", COUNTIFS(F:F, "☆☆☆", E:E, "A1"), 0)))/100, 
   IF(F6="♛", ((N10 * 100) / (COUNTIFS(F:F, "♛", E:E, E6) + COUNTIFS(F:F, "♛", E:E, "A1") + IF(E6="A1", COUNTIFS(F:F, "♛", E:E, E2), 0) - IF(E6="A1", COUNTIFS(F:F, "♛", E:E, "A1"), 0)))/100, "")))))))
</f>
        <v/>
      </c>
      <c r="J6" s="131"/>
      <c r="K6" s="136" t="s">
        <v>51</v>
      </c>
      <c r="L6" s="129">
        <v>0.0</v>
      </c>
      <c r="M6" s="137">
        <v>0.01666</v>
      </c>
      <c r="N6" s="139">
        <v>0.06664</v>
      </c>
    </row>
    <row r="7">
      <c r="A7" s="125" t="b">
        <f t="shared" si="1"/>
        <v>0</v>
      </c>
      <c r="B7" s="126">
        <v>0.0</v>
      </c>
      <c r="C7" s="127" t="s">
        <v>84</v>
      </c>
      <c r="D7" s="127" t="s">
        <v>85</v>
      </c>
      <c r="E7" s="128" t="s">
        <v>31</v>
      </c>
      <c r="F7" s="127" t="s">
        <v>86</v>
      </c>
      <c r="G7" s="129">
        <f>IF(F7="♢", ((L3 * 100) / (COUNTIFS(F:F, "♢", E:E, E7) + COUNTIFS(F:F, "♢", E:E, "A1") + IF(E7="A1", COUNTIFS(F:F, "♢", E:E, E2), 0) - IF(E7="A1", COUNTIFS(F:F, "♢", E:E, "A1"), 0)))/100, "")
</f>
        <v>0.02</v>
      </c>
      <c r="H7" s="130" t="str">
        <f>IF(F7="♢♢", ((M4 * 100) / (COUNTIFS(F:F, "♢♢", E:E, E7) + COUNTIFS(F:F, "♢♢", E:E, "A1") + IF(E7="A1", COUNTIFS(F:F, "♢♢", E:E, E2), 0) - IF(E7="A1", COUNTIFS(F:F, "♢♢", E:E, "A1"), 0)))/100, 
   IF(F7="♢♢♢", ((M5 * 100) / (COUNTIFS(F:F, "♢♢♢", E:E, E7) + COUNTIFS(F:F, "♢♢♢", E:E, "A1") + IF(E7="A1", COUNTIFS(F:F, "♢♢♢", E:E, E2), 0) - IF(E7="A1", COUNTIFS(F:F, "♢♢♢", E:E, "A1"), 0)))/100, 
   IF(F7="♢♢♢♢", ((M6 * 100) / (COUNTIFS(F:F, "♢♢♢♢", E:E, E7) + COUNTIFS(F:F, "♢♢♢♢", E:E, "A1") + IF(E7="A1", COUNTIFS(F:F, "♢♢♢♢", E:E, E2), 0) - IF(E7="A1", COUNTIFS(F:F, "♢♢♢♢", E:E, "A1"), 0)))/100, 
   IF(F7="☆", ((M7 * 100) / (COUNTIFS(F:F, "☆", E:E, E7) + COUNTIFS(F:F, "☆", E:E, "A1") + IF(E7="A1", COUNTIFS(F:F, "☆", E:E, E2), 0) - IF(E7="A1", COUNTIFS(F:F, "☆", E:E, "A1"), 0)))/100, 
   IF(F7="☆☆", ((M8 * 100) / (COUNTIFS(F:F, "☆☆", E:E, E7) + COUNTIFS(F:F, "☆☆", E:E, "A1") + IF(E7="A1", COUNTIFS(F:F, "☆☆", E:E, E2), 0) - IF(E7="A1", COUNTIFS(F:F, "☆☆", E:E, "A1"), 0)))/100, 
   IF(F7="☆☆☆", ((M9 * 100) / (COUNTIFS(F:F, "☆☆☆", E:E, E7) + COUNTIFS(F:F, "☆☆☆", E:E, "A1") + IF(E7="A1", COUNTIFS(F:F, "☆☆☆", E:E, E2), 0) - IF(E7="A1", COUNTIFS(F:F, "☆☆☆", E:E, "A1"), 0)))/100, 
   IF(F7="♛", ((M10 * 100) / (COUNTIFS(F:F, "♛", E:E, E7) + COUNTIFS(F:F, "♛", E:E, "A1") + IF(E7="A1", COUNTIFS(F:F, "♛", E:E, E2), 0) - IF(E7="A1", COUNTIFS(F:F, "♛", E:E, "A1"), 0)))/100, "")))))))
</f>
        <v/>
      </c>
      <c r="I7" s="130" t="str">
        <f>IF(F7="♢♢", ((N4 * 100) / (COUNTIFS(F:F, "♢♢", E:E, E7) + COUNTIFS(F:F, "♢♢", E:E, "A1") + IF(E7="A1", COUNTIFS(F:F, "♢♢", E:E, E2), 0) - IF(E7="A1", COUNTIFS(F:F, "♢♢", E:E, "A1"), 0)))/100, 
   IF(F7="♢♢♢", ((N5 * 100) / (COUNTIFS(F:F, "♢♢♢", E:E, E7) + COUNTIFS(F:F, "♢♢♢", E:E, "A1") + IF(E7="A1", COUNTIFS(F:F, "♢♢♢", E:E, E2), 0) - IF(E7="A1", COUNTIFS(F:F, "♢♢♢", E:E, "A1"), 0)))/100, 
   IF(F7="♢♢♢♢", ((N6 * 100) / (COUNTIFS(F:F, "♢♢♢♢", E:E, E7) + COUNTIFS(F:F, "♢♢♢♢", E:E, "A1") + IF(E7="A1", COUNTIFS(F:F, "♢♢♢♢", E:E, E2), 0) - IF(E7="A1", COUNTIFS(F:F, "♢♢♢♢", E:E, "A1"), 0)))/100, 
   IF(F7="☆", ((N7 * 100) / (COUNTIFS(F:F, "☆", E:E, E7) + COUNTIFS(F:F, "☆", E:E, "A1") + IF(E7="A1", COUNTIFS(F:F, "☆", E:E, E2), 0) - IF(E7="A1", COUNTIFS(F:F, "☆", E:E, "A1"), 0)))/100, 
   IF(F7="☆☆", ((N8 * 100) / (COUNTIFS(F:F, "☆☆", E:E, E7) + COUNTIFS(F:F, "☆☆", E:E, "A1") + IF(E7="A1", COUNTIFS(F:F, "☆☆", E:E, E2), 0) - IF(E7="A1", COUNTIFS(F:F, "☆☆", E:E, "A1"), 0)))/100, 
   IF(F7="☆☆☆", ((N9 * 100) / (COUNTIFS(F:F, "☆☆☆", E:E, E7) + COUNTIFS(F:F, "☆☆☆", E:E, "A1") + IF(E7="A1", COUNTIFS(F:F, "☆☆☆", E:E, E2), 0) - IF(E7="A1", COUNTIFS(F:F, "☆☆☆", E:E, "A1"), 0)))/100, 
   IF(F7="♛", ((N10 * 100) / (COUNTIFS(F:F, "♛", E:E, E7) + COUNTIFS(F:F, "♛", E:E, "A1") + IF(E7="A1", COUNTIFS(F:F, "♛", E:E, E2), 0) - IF(E7="A1", COUNTIFS(F:F, "♛", E:E, "A1"), 0)))/100, "")))))))
</f>
        <v/>
      </c>
      <c r="J7" s="131"/>
      <c r="K7" s="136" t="s">
        <v>45</v>
      </c>
      <c r="L7" s="129">
        <v>0.0</v>
      </c>
      <c r="M7" s="137">
        <v>0.02572</v>
      </c>
      <c r="N7" s="139">
        <v>0.10288</v>
      </c>
    </row>
    <row r="8">
      <c r="A8" s="125" t="b">
        <f t="shared" si="1"/>
        <v>0</v>
      </c>
      <c r="B8" s="126">
        <v>0.0</v>
      </c>
      <c r="C8" s="127" t="s">
        <v>87</v>
      </c>
      <c r="D8" s="127" t="s">
        <v>88</v>
      </c>
      <c r="E8" s="128" t="s">
        <v>31</v>
      </c>
      <c r="F8" s="127" t="s">
        <v>48</v>
      </c>
      <c r="G8" s="130" t="str">
        <f>IF(F8="♢", ((L3 * 100) / (COUNTIFS(F:F, "♢", E:E, E8) + COUNTIFS(F:F, "♢", E:E, "A1") + IF(E8="A1", COUNTIFS(F:F, "♢", E:E, E2), 0) - IF(E8="A1", COUNTIFS(F:F, "♢", E:E, "A1"), 0)))/100, "")
</f>
        <v/>
      </c>
      <c r="H8" s="129">
        <f>IF(F8="♢♢", ((M4 * 100) / (COUNTIFS(F:F, "♢♢", E:E, E8) + COUNTIFS(F:F, "♢♢", E:E, "A1") + IF(E8="A1", COUNTIFS(F:F, "♢♢", E:E, E2), 0) - IF(E8="A1", COUNTIFS(F:F, "♢♢", E:E, "A1"), 0)))/100, 
   IF(F8="♢♢♢", ((M5 * 100) / (COUNTIFS(F:F, "♢♢♢", E:E, E8) + COUNTIFS(F:F, "♢♢♢", E:E, "A1") + IF(E8="A1", COUNTIFS(F:F, "♢♢♢", E:E, E2), 0) - IF(E8="A1", COUNTIFS(F:F, "♢♢♢", E:E, "A1"), 0)))/100, 
   IF(F8="♢♢♢♢", ((M6 * 100) / (COUNTIFS(F:F, "♢♢♢♢", E:E, E8) + COUNTIFS(F:F, "♢♢♢♢", E:E, "A1") + IF(E8="A1", COUNTIFS(F:F, "♢♢♢♢", E:E, E2), 0) - IF(E8="A1", COUNTIFS(F:F, "♢♢♢♢", E:E, "A1"), 0)))/100, 
   IF(F8="☆", ((M7 * 100) / (COUNTIFS(F:F, "☆", E:E, E8) + COUNTIFS(F:F, "☆", E:E, "A1") + IF(E8="A1", COUNTIFS(F:F, "☆", E:E, E2), 0) - IF(E8="A1", COUNTIFS(F:F, "☆", E:E, "A1"), 0)))/100, 
   IF(F8="☆☆", ((M8 * 100) / (COUNTIFS(F:F, "☆☆", E:E, E8) + COUNTIFS(F:F, "☆☆", E:E, "A1") + IF(E8="A1", COUNTIFS(F:F, "☆☆", E:E, E2), 0) - IF(E8="A1", COUNTIFS(F:F, "☆☆", E:E, "A1"), 0)))/100, 
   IF(F8="☆☆☆", ((M9 * 100) / (COUNTIFS(F:F, "☆☆☆", E:E, E8) + COUNTIFS(F:F, "☆☆☆", E:E, "A1") + IF(E8="A1", COUNTIFS(F:F, "☆☆☆", E:E, E2), 0) - IF(E8="A1", COUNTIFS(F:F, "☆☆☆", E:E, "A1"), 0)))/100, 
   IF(F8="♛", ((M10 * 100) / (COUNTIFS(F:F, "♛", E:E, E8) + COUNTIFS(F:F, "♛", E:E, "A1") + IF(E8="A1", COUNTIFS(F:F, "♛", E:E, E2), 0) - IF(E8="A1", COUNTIFS(F:F, "♛", E:E, "A1"), 0)))/100, "")))))))
</f>
        <v>0.003571428571</v>
      </c>
      <c r="I8" s="129">
        <f>IF(F8="♢♢", ((N4 * 100) / (COUNTIFS(F:F, "♢♢", E:E, E8) + COUNTIFS(F:F, "♢♢", E:E, "A1") + IF(E8="A1", COUNTIFS(F:F, "♢♢", E:E, E2), 0) - IF(E8="A1", COUNTIFS(F:F, "♢♢", E:E, "A1"), 0)))/100, 
   IF(F8="♢♢♢", ((N5 * 100) / (COUNTIFS(F:F, "♢♢♢", E:E, E8) + COUNTIFS(F:F, "♢♢♢", E:E, "A1") + IF(E8="A1", COUNTIFS(F:F, "♢♢♢", E:E, E2), 0) - IF(E8="A1", COUNTIFS(F:F, "♢♢♢", E:E, "A1"), 0)))/100, 
   IF(F8="♢♢♢♢", ((N6 * 100) / (COUNTIFS(F:F, "♢♢♢♢", E:E, E8) + COUNTIFS(F:F, "♢♢♢♢", E:E, "A1") + IF(E8="A1", COUNTIFS(F:F, "♢♢♢♢", E:E, E2), 0) - IF(E8="A1", COUNTIFS(F:F, "♢♢♢♢", E:E, "A1"), 0)))/100, 
   IF(F8="☆", ((N7 * 100) / (COUNTIFS(F:F, "☆", E:E, E8) + COUNTIFS(F:F, "☆", E:E, "A1") + IF(E8="A1", COUNTIFS(F:F, "☆", E:E, E2), 0) - IF(E8="A1", COUNTIFS(F:F, "☆", E:E, "A1"), 0)))/100, 
   IF(F8="☆☆", ((N8 * 100) / (COUNTIFS(F:F, "☆☆", E:E, E8) + COUNTIFS(F:F, "☆☆", E:E, "A1") + IF(E8="A1", COUNTIFS(F:F, "☆☆", E:E, E2), 0) - IF(E8="A1", COUNTIFS(F:F, "☆☆", E:E, "A1"), 0)))/100, 
   IF(F8="☆☆☆", ((N9 * 100) / (COUNTIFS(F:F, "☆☆☆", E:E, E8) + COUNTIFS(F:F, "☆☆☆", E:E, "A1") + IF(E8="A1", COUNTIFS(F:F, "☆☆☆", E:E, E2), 0) - IF(E8="A1", COUNTIFS(F:F, "☆☆☆", E:E, "A1"), 0)))/100, 
   IF(F8="♛", ((N10 * 100) / (COUNTIFS(F:F, "♛", E:E, E8) + COUNTIFS(F:F, "♛", E:E, "A1") + IF(E8="A1", COUNTIFS(F:F, "♛", E:E, E2), 0) - IF(E8="A1", COUNTIFS(F:F, "♛", E:E, "A1"), 0)))/100, "")))))))
</f>
        <v>0.01428571429</v>
      </c>
      <c r="J8" s="131"/>
      <c r="K8" s="136" t="s">
        <v>47</v>
      </c>
      <c r="L8" s="129">
        <v>0.0</v>
      </c>
      <c r="M8" s="137">
        <v>0.005</v>
      </c>
      <c r="N8" s="139">
        <v>0.02</v>
      </c>
    </row>
    <row r="9">
      <c r="A9" s="125" t="b">
        <f t="shared" si="1"/>
        <v>0</v>
      </c>
      <c r="B9" s="126">
        <v>0.0</v>
      </c>
      <c r="C9" s="127" t="s">
        <v>89</v>
      </c>
      <c r="D9" s="127" t="s">
        <v>90</v>
      </c>
      <c r="E9" s="128" t="s">
        <v>29</v>
      </c>
      <c r="F9" s="127" t="s">
        <v>91</v>
      </c>
      <c r="G9" s="129">
        <f>IF(F9="♢", ((L3 * 100) / (COUNTIFS(F:F, "♢", E:E, E9) + COUNTIFS(F:F, "♢", E:E, "A1") + IF(E9="A1", COUNTIFS(F:F, "♢", E:E, E2), 0) - IF(E9="A1", COUNTIFS(F:F, "♢", E:E, "A1"), 0)))/100, "")
</f>
        <v>0.02</v>
      </c>
      <c r="H9" s="130" t="str">
        <f>IF(F9="♢♢", ((M4 * 100) / (COUNTIFS(F:F, "♢♢", E:E, E9) + COUNTIFS(F:F, "♢♢", E:E, "A1") + IF(E9="A1", COUNTIFS(F:F, "♢♢", E:E, E2), 0) - IF(E9="A1", COUNTIFS(F:F, "♢♢", E:E, "A1"), 0)))/100, 
   IF(F9="♢♢♢", ((M5 * 100) / (COUNTIFS(F:F, "♢♢♢", E:E, E9) + COUNTIFS(F:F, "♢♢♢", E:E, "A1") + IF(E9="A1", COUNTIFS(F:F, "♢♢♢", E:E, E2), 0) - IF(E9="A1", COUNTIFS(F:F, "♢♢♢", E:E, "A1"), 0)))/100, 
   IF(F9="♢♢♢♢", ((M6 * 100) / (COUNTIFS(F:F, "♢♢♢♢", E:E, E9) + COUNTIFS(F:F, "♢♢♢♢", E:E, "A1") + IF(E9="A1", COUNTIFS(F:F, "♢♢♢♢", E:E, E2), 0) - IF(E9="A1", COUNTIFS(F:F, "♢♢♢♢", E:E, "A1"), 0)))/100, 
   IF(F9="☆", ((M7 * 100) / (COUNTIFS(F:F, "☆", E:E, E9) + COUNTIFS(F:F, "☆", E:E, "A1") + IF(E9="A1", COUNTIFS(F:F, "☆", E:E, E2), 0) - IF(E9="A1", COUNTIFS(F:F, "☆", E:E, "A1"), 0)))/100, 
   IF(F9="☆☆", ((M8 * 100) / (COUNTIFS(F:F, "☆☆", E:E, E9) + COUNTIFS(F:F, "☆☆", E:E, "A1") + IF(E9="A1", COUNTIFS(F:F, "☆☆", E:E, E2), 0) - IF(E9="A1", COUNTIFS(F:F, "☆☆", E:E, "A1"), 0)))/100, 
   IF(F9="☆☆☆", ((M9 * 100) / (COUNTIFS(F:F, "☆☆☆", E:E, E9) + COUNTIFS(F:F, "☆☆☆", E:E, "A1") + IF(E9="A1", COUNTIFS(F:F, "☆☆☆", E:E, E2), 0) - IF(E9="A1", COUNTIFS(F:F, "☆☆☆", E:E, "A1"), 0)))/100, 
   IF(F9="♛", ((M10 * 100) / (COUNTIFS(F:F, "♛", E:E, E9) + COUNTIFS(F:F, "♛", E:E, "A1") + IF(E9="A1", COUNTIFS(F:F, "♛", E:E, E2), 0) - IF(E9="A1", COUNTIFS(F:F, "♛", E:E, "A1"), 0)))/100, "")))))))
</f>
        <v/>
      </c>
      <c r="I9" s="130" t="str">
        <f>IF(F9="♢♢", ((N4 * 100) / (COUNTIFS(F:F, "♢♢", E:E, E9) + COUNTIFS(F:F, "♢♢", E:E, "A1") + IF(E9="A1", COUNTIFS(F:F, "♢♢", E:E, E2), 0) - IF(E9="A1", COUNTIFS(F:F, "♢♢", E:E, "A1"), 0)))/100, 
   IF(F9="♢♢♢", ((N5 * 100) / (COUNTIFS(F:F, "♢♢♢", E:E, E9) + COUNTIFS(F:F, "♢♢♢", E:E, "A1") + IF(E9="A1", COUNTIFS(F:F, "♢♢♢", E:E, E2), 0) - IF(E9="A1", COUNTIFS(F:F, "♢♢♢", E:E, "A1"), 0)))/100, 
   IF(F9="♢♢♢♢", ((N6 * 100) / (COUNTIFS(F:F, "♢♢♢♢", E:E, E9) + COUNTIFS(F:F, "♢♢♢♢", E:E, "A1") + IF(E9="A1", COUNTIFS(F:F, "♢♢♢♢", E:E, E2), 0) - IF(E9="A1", COUNTIFS(F:F, "♢♢♢♢", E:E, "A1"), 0)))/100, 
   IF(F9="☆", ((N7 * 100) / (COUNTIFS(F:F, "☆", E:E, E9) + COUNTIFS(F:F, "☆", E:E, "A1") + IF(E9="A1", COUNTIFS(F:F, "☆", E:E, E2), 0) - IF(E9="A1", COUNTIFS(F:F, "☆", E:E, "A1"), 0)))/100, 
   IF(F9="☆☆", ((N8 * 100) / (COUNTIFS(F:F, "☆☆", E:E, E9) + COUNTIFS(F:F, "☆☆", E:E, "A1") + IF(E9="A1", COUNTIFS(F:F, "☆☆", E:E, E2), 0) - IF(E9="A1", COUNTIFS(F:F, "☆☆", E:E, "A1"), 0)))/100, 
   IF(F9="☆☆☆", ((N9 * 100) / (COUNTIFS(F:F, "☆☆☆", E:E, E9) + COUNTIFS(F:F, "☆☆☆", E:E, "A1") + IF(E9="A1", COUNTIFS(F:F, "☆☆☆", E:E, E2), 0) - IF(E9="A1", COUNTIFS(F:F, "☆☆☆", E:E, "A1"), 0)))/100, 
   IF(F9="♛", ((N10 * 100) / (COUNTIFS(F:F, "♛", E:E, E9) + COUNTIFS(F:F, "♛", E:E, "A1") + IF(E9="A1", COUNTIFS(F:F, "♛", E:E, E2), 0) - IF(E9="A1", COUNTIFS(F:F, "♛", E:E, "A1"), 0)))/100, "")))))))
</f>
        <v/>
      </c>
      <c r="J9" s="131"/>
      <c r="K9" s="136" t="s">
        <v>49</v>
      </c>
      <c r="L9" s="129">
        <v>0.0</v>
      </c>
      <c r="M9" s="137">
        <v>0.00222</v>
      </c>
      <c r="N9" s="139">
        <v>0.00888</v>
      </c>
    </row>
    <row r="10">
      <c r="A10" s="125" t="b">
        <f t="shared" si="1"/>
        <v>0</v>
      </c>
      <c r="B10" s="126">
        <v>0.0</v>
      </c>
      <c r="C10" s="127" t="s">
        <v>92</v>
      </c>
      <c r="D10" s="127" t="s">
        <v>93</v>
      </c>
      <c r="E10" s="128" t="s">
        <v>29</v>
      </c>
      <c r="F10" s="127" t="s">
        <v>94</v>
      </c>
      <c r="G10" s="129">
        <f>IF(F10="♢", ((L3 * 100) / (COUNTIFS(F:F, "♢", E:E, E10) + COUNTIFS(F:F, "♢", E:E, "A1") + IF(E10="A1", COUNTIFS(F:F, "♢", E:E, E2), 0) - IF(E10="A1", COUNTIFS(F:F, "♢", E:E, "A1"), 0)))/100, "")
</f>
        <v>0.02</v>
      </c>
      <c r="H10" s="130" t="str">
        <f>IF(F10="♢♢", ((M4 * 100) / (COUNTIFS(F:F, "♢♢", E:E, E10) + COUNTIFS(F:F, "♢♢", E:E, "A1") + IF(E10="A1", COUNTIFS(F:F, "♢♢", E:E, E2), 0) - IF(E10="A1", COUNTIFS(F:F, "♢♢", E:E, "A1"), 0)))/100, 
   IF(F10="♢♢♢", ((M5 * 100) / (COUNTIFS(F:F, "♢♢♢", E:E, E10) + COUNTIFS(F:F, "♢♢♢", E:E, "A1") + IF(E10="A1", COUNTIFS(F:F, "♢♢♢", E:E, E2), 0) - IF(E10="A1", COUNTIFS(F:F, "♢♢♢", E:E, "A1"), 0)))/100, 
   IF(F10="♢♢♢♢", ((M6 * 100) / (COUNTIFS(F:F, "♢♢♢♢", E:E, E10) + COUNTIFS(F:F, "♢♢♢♢", E:E, "A1") + IF(E10="A1", COUNTIFS(F:F, "♢♢♢♢", E:E, E2), 0) - IF(E10="A1", COUNTIFS(F:F, "♢♢♢♢", E:E, "A1"), 0)))/100, 
   IF(F10="☆", ((M7 * 100) / (COUNTIFS(F:F, "☆", E:E, E10) + COUNTIFS(F:F, "☆", E:E, "A1") + IF(E10="A1", COUNTIFS(F:F, "☆", E:E, E2), 0) - IF(E10="A1", COUNTIFS(F:F, "☆", E:E, "A1"), 0)))/100, 
   IF(F10="☆☆", ((M8 * 100) / (COUNTIFS(F:F, "☆☆", E:E, E10) + COUNTIFS(F:F, "☆☆", E:E, "A1") + IF(E10="A1", COUNTIFS(F:F, "☆☆", E:E, E2), 0) - IF(E10="A1", COUNTIFS(F:F, "☆☆", E:E, "A1"), 0)))/100, 
   IF(F10="☆☆☆", ((M9 * 100) / (COUNTIFS(F:F, "☆☆☆", E:E, E10) + COUNTIFS(F:F, "☆☆☆", E:E, "A1") + IF(E10="A1", COUNTIFS(F:F, "☆☆☆", E:E, E2), 0) - IF(E10="A1", COUNTIFS(F:F, "☆☆☆", E:E, "A1"), 0)))/100, 
   IF(F10="♛", ((M10 * 100) / (COUNTIFS(F:F, "♛", E:E, E10) + COUNTIFS(F:F, "♛", E:E, "A1") + IF(E10="A1", COUNTIFS(F:F, "♛", E:E, E2), 0) - IF(E10="A1", COUNTIFS(F:F, "♛", E:E, "A1"), 0)))/100, "")))))))
</f>
        <v/>
      </c>
      <c r="I10" s="130" t="str">
        <f>IF(F10="♢♢", ((N4 * 100) / (COUNTIFS(F:F, "♢♢", E:E, E10) + COUNTIFS(F:F, "♢♢", E:E, "A1") + IF(E10="A1", COUNTIFS(F:F, "♢♢", E:E, E2), 0) - IF(E10="A1", COUNTIFS(F:F, "♢♢", E:E, "A1"), 0)))/100, 
   IF(F10="♢♢♢", ((N5 * 100) / (COUNTIFS(F:F, "♢♢♢", E:E, E10) + COUNTIFS(F:F, "♢♢♢", E:E, "A1") + IF(E10="A1", COUNTIFS(F:F, "♢♢♢", E:E, E2), 0) - IF(E10="A1", COUNTIFS(F:F, "♢♢♢", E:E, "A1"), 0)))/100, 
   IF(F10="♢♢♢♢", ((N6 * 100) / (COUNTIFS(F:F, "♢♢♢♢", E:E, E10) + COUNTIFS(F:F, "♢♢♢♢", E:E, "A1") + IF(E10="A1", COUNTIFS(F:F, "♢♢♢♢", E:E, E2), 0) - IF(E10="A1", COUNTIFS(F:F, "♢♢♢♢", E:E, "A1"), 0)))/100, 
   IF(F10="☆", ((N7 * 100) / (COUNTIFS(F:F, "☆", E:E, E10) + COUNTIFS(F:F, "☆", E:E, "A1") + IF(E10="A1", COUNTIFS(F:F, "☆", E:E, E2), 0) - IF(E10="A1", COUNTIFS(F:F, "☆", E:E, "A1"), 0)))/100, 
   IF(F10="☆☆", ((N8 * 100) / (COUNTIFS(F:F, "☆☆", E:E, E10) + COUNTIFS(F:F, "☆☆", E:E, "A1") + IF(E10="A1", COUNTIFS(F:F, "☆☆", E:E, E2), 0) - IF(E10="A1", COUNTIFS(F:F, "☆☆", E:E, "A1"), 0)))/100, 
   IF(F10="☆☆☆", ((N9 * 100) / (COUNTIFS(F:F, "☆☆☆", E:E, E10) + COUNTIFS(F:F, "☆☆☆", E:E, "A1") + IF(E10="A1", COUNTIFS(F:F, "☆☆☆", E:E, E2), 0) - IF(E10="A1", COUNTIFS(F:F, "☆☆☆", E:E, "A1"), 0)))/100, 
   IF(F10="♛", ((N10 * 100) / (COUNTIFS(F:F, "♛", E:E, E10) + COUNTIFS(F:F, "♛", E:E, "A1") + IF(E10="A1", COUNTIFS(F:F, "♛", E:E, E2), 0) - IF(E10="A1", COUNTIFS(F:F, "♛", E:E, "A1"), 0)))/100, "")))))))
</f>
        <v/>
      </c>
      <c r="J10" s="131"/>
      <c r="K10" s="140" t="s">
        <v>52</v>
      </c>
      <c r="L10" s="141">
        <v>0.0</v>
      </c>
      <c r="M10" s="142">
        <v>4.0E-4</v>
      </c>
      <c r="N10" s="143">
        <v>0.0016</v>
      </c>
    </row>
    <row r="11">
      <c r="A11" s="125" t="b">
        <f t="shared" si="1"/>
        <v>0</v>
      </c>
      <c r="B11" s="126">
        <v>0.0</v>
      </c>
      <c r="C11" s="127" t="s">
        <v>95</v>
      </c>
      <c r="D11" s="128" t="s">
        <v>96</v>
      </c>
      <c r="E11" s="128" t="s">
        <v>29</v>
      </c>
      <c r="F11" s="127" t="s">
        <v>48</v>
      </c>
      <c r="G11" s="130" t="str">
        <f>IF(F11="♢", ((L3 * 100) / (COUNTIFS(F:F, "♢", E:E, E11) + COUNTIFS(F:F, "♢", E:E, "A1") + IF(E11="A1", COUNTIFS(F:F, "♢", E:E, E2), 0) - IF(E11="A1", COUNTIFS(F:F, "♢", E:E, "A1"), 0)))/100, "")
</f>
        <v/>
      </c>
      <c r="H11" s="129">
        <f>IF(F11="♢♢", ((M4 * 100) / (COUNTIFS(F:F, "♢♢", E:E, E11) + COUNTIFS(F:F, "♢♢", E:E, "A1") + IF(E11="A1", COUNTIFS(F:F, "♢♢", E:E, E2), 0) - IF(E11="A1", COUNTIFS(F:F, "♢♢", E:E, "A1"), 0)))/100, 
   IF(F11="♢♢♢", ((M5 * 100) / (COUNTIFS(F:F, "♢♢♢", E:E, E11) + COUNTIFS(F:F, "♢♢♢", E:E, "A1") + IF(E11="A1", COUNTIFS(F:F, "♢♢♢", E:E, E2), 0) - IF(E11="A1", COUNTIFS(F:F, "♢♢♢", E:E, "A1"), 0)))/100, 
   IF(F11="♢♢♢♢", ((M6 * 100) / (COUNTIFS(F:F, "♢♢♢♢", E:E, E11) + COUNTIFS(F:F, "♢♢♢♢", E:E, "A1") + IF(E11="A1", COUNTIFS(F:F, "♢♢♢♢", E:E, E2), 0) - IF(E11="A1", COUNTIFS(F:F, "♢♢♢♢", E:E, "A1"), 0)))/100, 
   IF(F11="☆", ((M7 * 100) / (COUNTIFS(F:F, "☆", E:E, E11) + COUNTIFS(F:F, "☆", E:E, "A1") + IF(E11="A1", COUNTIFS(F:F, "☆", E:E, E2), 0) - IF(E11="A1", COUNTIFS(F:F, "☆", E:E, "A1"), 0)))/100, 
   IF(F11="☆☆", ((M8 * 100) / (COUNTIFS(F:F, "☆☆", E:E, E11) + COUNTIFS(F:F, "☆☆", E:E, "A1") + IF(E11="A1", COUNTIFS(F:F, "☆☆", E:E, E2), 0) - IF(E11="A1", COUNTIFS(F:F, "☆☆", E:E, "A1"), 0)))/100, 
   IF(F11="☆☆☆", ((M9 * 100) / (COUNTIFS(F:F, "☆☆☆", E:E, E11) + COUNTIFS(F:F, "☆☆☆", E:E, "A1") + IF(E11="A1", COUNTIFS(F:F, "☆☆☆", E:E, E2), 0) - IF(E11="A1", COUNTIFS(F:F, "☆☆☆", E:E, "A1"), 0)))/100, 
   IF(F11="♛", ((M10 * 100) / (COUNTIFS(F:F, "♛", E:E, E11) + COUNTIFS(F:F, "♛", E:E, "A1") + IF(E11="A1", COUNTIFS(F:F, "♛", E:E, E2), 0) - IF(E11="A1", COUNTIFS(F:F, "♛", E:E, "A1"), 0)))/100, "")))))))
</f>
        <v>0.003571428571</v>
      </c>
      <c r="I11" s="129">
        <f>IF(F11="♢♢", ((N4 * 100) / (COUNTIFS(F:F, "♢♢", E:E, E11) + COUNTIFS(F:F, "♢♢", E:E, "A1") + IF(E11="A1", COUNTIFS(F:F, "♢♢", E:E, E2), 0) - IF(E11="A1", COUNTIFS(F:F, "♢♢", E:E, "A1"), 0)))/100, 
   IF(F11="♢♢♢", ((N5 * 100) / (COUNTIFS(F:F, "♢♢♢", E:E, E11) + COUNTIFS(F:F, "♢♢♢", E:E, "A1") + IF(E11="A1", COUNTIFS(F:F, "♢♢♢", E:E, E2), 0) - IF(E11="A1", COUNTIFS(F:F, "♢♢♢", E:E, "A1"), 0)))/100, 
   IF(F11="♢♢♢♢", ((N6 * 100) / (COUNTIFS(F:F, "♢♢♢♢", E:E, E11) + COUNTIFS(F:F, "♢♢♢♢", E:E, "A1") + IF(E11="A1", COUNTIFS(F:F, "♢♢♢♢", E:E, E2), 0) - IF(E11="A1", COUNTIFS(F:F, "♢♢♢♢", E:E, "A1"), 0)))/100, 
   IF(F11="☆", ((N7 * 100) / (COUNTIFS(F:F, "☆", E:E, E11) + COUNTIFS(F:F, "☆", E:E, "A1") + IF(E11="A1", COUNTIFS(F:F, "☆", E:E, E2), 0) - IF(E11="A1", COUNTIFS(F:F, "☆", E:E, "A1"), 0)))/100, 
   IF(F11="☆☆", ((N8 * 100) / (COUNTIFS(F:F, "☆☆", E:E, E11) + COUNTIFS(F:F, "☆☆", E:E, "A1") + IF(E11="A1", COUNTIFS(F:F, "☆☆", E:E, E2), 0) - IF(E11="A1", COUNTIFS(F:F, "☆☆", E:E, "A1"), 0)))/100, 
   IF(F11="☆☆☆", ((N9 * 100) / (COUNTIFS(F:F, "☆☆☆", E:E, E11) + COUNTIFS(F:F, "☆☆☆", E:E, "A1") + IF(E11="A1", COUNTIFS(F:F, "☆☆☆", E:E, E2), 0) - IF(E11="A1", COUNTIFS(F:F, "☆☆☆", E:E, "A1"), 0)))/100, 
   IF(F11="♛", ((N10 * 100) / (COUNTIFS(F:F, "♛", E:E, E11) + COUNTIFS(F:F, "♛", E:E, "A1") + IF(E11="A1", COUNTIFS(F:F, "♛", E:E, E2), 0) - IF(E11="A1", COUNTIFS(F:F, "♛", E:E, "A1"), 0)))/100, "")))))))
</f>
        <v>0.01428571429</v>
      </c>
      <c r="J11" s="131"/>
      <c r="K11" s="144" t="s">
        <v>19</v>
      </c>
      <c r="N11" s="145"/>
      <c r="O11" s="124" t="s">
        <v>97</v>
      </c>
    </row>
    <row r="12">
      <c r="A12" s="125" t="b">
        <f t="shared" si="1"/>
        <v>0</v>
      </c>
      <c r="B12" s="126">
        <v>0.0</v>
      </c>
      <c r="C12" s="127" t="s">
        <v>98</v>
      </c>
      <c r="D12" s="127" t="s">
        <v>99</v>
      </c>
      <c r="E12" s="128" t="s">
        <v>32</v>
      </c>
      <c r="F12" s="127" t="s">
        <v>100</v>
      </c>
      <c r="G12" s="129">
        <f>IF(F12="♢", ((L3 * 100) / (COUNTIFS(F:F, "♢", E:E, E12) + COUNTIFS(F:F, "♢", E:E, "A1") + IF(E12="A1", COUNTIFS(F:F, "♢", E:E, E2), 0) - IF(E12="A1", COUNTIFS(F:F, "♢", E:E, "A1"), 0)))/100, "")
</f>
        <v>0.02</v>
      </c>
      <c r="H12" s="130" t="str">
        <f>IF(F12="♢♢", ((M4 * 100) / (COUNTIFS(F:F, "♢♢", E:E, E12) + COUNTIFS(F:F, "♢♢", E:E, "A1") + IF(E12="A1", COUNTIFS(F:F, "♢♢", E:E, E2), 0) - IF(E12="A1", COUNTIFS(F:F, "♢♢", E:E, "A1"), 0)))/100, 
   IF(F12="♢♢♢", ((M5 * 100) / (COUNTIFS(F:F, "♢♢♢", E:E, E12) + COUNTIFS(F:F, "♢♢♢", E:E, "A1") + IF(E12="A1", COUNTIFS(F:F, "♢♢♢", E:E, E2), 0) - IF(E12="A1", COUNTIFS(F:F, "♢♢♢", E:E, "A1"), 0)))/100, 
   IF(F12="♢♢♢♢", ((M6 * 100) / (COUNTIFS(F:F, "♢♢♢♢", E:E, E12) + COUNTIFS(F:F, "♢♢♢♢", E:E, "A1") + IF(E12="A1", COUNTIFS(F:F, "♢♢♢♢", E:E, E2), 0) - IF(E12="A1", COUNTIFS(F:F, "♢♢♢♢", E:E, "A1"), 0)))/100, 
   IF(F12="☆", ((M7 * 100) / (COUNTIFS(F:F, "☆", E:E, E12) + COUNTIFS(F:F, "☆", E:E, "A1") + IF(E12="A1", COUNTIFS(F:F, "☆", E:E, E2), 0) - IF(E12="A1", COUNTIFS(F:F, "☆", E:E, "A1"), 0)))/100, 
   IF(F12="☆☆", ((M8 * 100) / (COUNTIFS(F:F, "☆☆", E:E, E12) + COUNTIFS(F:F, "☆☆", E:E, "A1") + IF(E12="A1", COUNTIFS(F:F, "☆☆", E:E, E2), 0) - IF(E12="A1", COUNTIFS(F:F, "☆☆", E:E, "A1"), 0)))/100, 
   IF(F12="☆☆☆", ((M9 * 100) / (COUNTIFS(F:F, "☆☆☆", E:E, E12) + COUNTIFS(F:F, "☆☆☆", E:E, "A1") + IF(E12="A1", COUNTIFS(F:F, "☆☆☆", E:E, E2), 0) - IF(E12="A1", COUNTIFS(F:F, "☆☆☆", E:E, "A1"), 0)))/100, 
   IF(F12="♛", ((M10 * 100) / (COUNTIFS(F:F, "♛", E:E, E12) + COUNTIFS(F:F, "♛", E:E, "A1") + IF(E12="A1", COUNTIFS(F:F, "♛", E:E, E2), 0) - IF(E12="A1", COUNTIFS(F:F, "♛", E:E, "A1"), 0)))/100, "")))))))
</f>
        <v/>
      </c>
      <c r="I12" s="130" t="str">
        <f>IF(F12="♢♢", ((N4 * 100) / (COUNTIFS(F:F, "♢♢", E:E, E12) + COUNTIFS(F:F, "♢♢", E:E, "A1") + IF(E12="A1", COUNTIFS(F:F, "♢♢", E:E, E2), 0) - IF(E12="A1", COUNTIFS(F:F, "♢♢", E:E, "A1"), 0)))/100, 
   IF(F12="♢♢♢", ((N5 * 100) / (COUNTIFS(F:F, "♢♢♢", E:E, E12) + COUNTIFS(F:F, "♢♢♢", E:E, "A1") + IF(E12="A1", COUNTIFS(F:F, "♢♢♢", E:E, E2), 0) - IF(E12="A1", COUNTIFS(F:F, "♢♢♢", E:E, "A1"), 0)))/100, 
   IF(F12="♢♢♢♢", ((N6 * 100) / (COUNTIFS(F:F, "♢♢♢♢", E:E, E12) + COUNTIFS(F:F, "♢♢♢♢", E:E, "A1") + IF(E12="A1", COUNTIFS(F:F, "♢♢♢♢", E:E, E2), 0) - IF(E12="A1", COUNTIFS(F:F, "♢♢♢♢", E:E, "A1"), 0)))/100, 
   IF(F12="☆", ((N7 * 100) / (COUNTIFS(F:F, "☆", E:E, E12) + COUNTIFS(F:F, "☆", E:E, "A1") + IF(E12="A1", COUNTIFS(F:F, "☆", E:E, E2), 0) - IF(E12="A1", COUNTIFS(F:F, "☆", E:E, "A1"), 0)))/100, 
   IF(F12="☆☆", ((N8 * 100) / (COUNTIFS(F:F, "☆☆", E:E, E12) + COUNTIFS(F:F, "☆☆", E:E, "A1") + IF(E12="A1", COUNTIFS(F:F, "☆☆", E:E, E2), 0) - IF(E12="A1", COUNTIFS(F:F, "☆☆", E:E, "A1"), 0)))/100, 
   IF(F12="☆☆☆", ((N9 * 100) / (COUNTIFS(F:F, "☆☆☆", E:E, E12) + COUNTIFS(F:F, "☆☆☆", E:E, "A1") + IF(E12="A1", COUNTIFS(F:F, "☆☆☆", E:E, E2), 0) - IF(E12="A1", COUNTIFS(F:F, "☆☆☆", E:E, "A1"), 0)))/100, 
   IF(F12="♛", ((N10 * 100) / (COUNTIFS(F:F, "♛", E:E, E12) + COUNTIFS(F:F, "♛", E:E, "A1") + IF(E12="A1", COUNTIFS(F:F, "♛", E:E, E2), 0) - IF(E12="A1", COUNTIFS(F:F, "♛", E:E, "A1"), 0)))/100, "")))))))
</f>
        <v/>
      </c>
      <c r="J12" s="131"/>
      <c r="K12" s="146"/>
      <c r="N12" s="145"/>
    </row>
    <row r="13">
      <c r="A13" s="125" t="b">
        <f t="shared" si="1"/>
        <v>0</v>
      </c>
      <c r="B13" s="126">
        <v>0.0</v>
      </c>
      <c r="C13" s="127" t="s">
        <v>101</v>
      </c>
      <c r="D13" s="127" t="s">
        <v>102</v>
      </c>
      <c r="E13" s="128" t="s">
        <v>32</v>
      </c>
      <c r="F13" s="127" t="s">
        <v>46</v>
      </c>
      <c r="G13" s="130" t="str">
        <f>IF(F13="♢", ((L3 * 100) / (COUNTIFS(F:F, "♢", E:E, E13) + COUNTIFS(F:F, "♢", E:E, "A1") + IF(E13="A1", COUNTIFS(F:F, "♢", E:E, E2), 0) - IF(E13="A1", COUNTIFS(F:F, "♢", E:E, "A1"), 0)))/100, "")
</f>
        <v/>
      </c>
      <c r="H13" s="129">
        <f>IF(F13="♢♢", ((M4 * 100) / (COUNTIFS(F:F, "♢♢", E:E, E13) + COUNTIFS(F:F, "♢♢", E:E, "A1") + IF(E13="A1", COUNTIFS(F:F, "♢♢", E:E, E2), 0) - IF(E13="A1", COUNTIFS(F:F, "♢♢", E:E, "A1"), 0)))/100, 
   IF(F13="♢♢♢", ((M5 * 100) / (COUNTIFS(F:F, "♢♢♢", E:E, E13) + COUNTIFS(F:F, "♢♢♢", E:E, "A1") + IF(E13="A1", COUNTIFS(F:F, "♢♢♢", E:E, E2), 0) - IF(E13="A1", COUNTIFS(F:F, "♢♢♢", E:E, "A1"), 0)))/100, 
   IF(F13="♢♢♢♢", ((M6 * 100) / (COUNTIFS(F:F, "♢♢♢♢", E:E, E13) + COUNTIFS(F:F, "♢♢♢♢", E:E, "A1") + IF(E13="A1", COUNTIFS(F:F, "♢♢♢♢", E:E, E2), 0) - IF(E13="A1", COUNTIFS(F:F, "♢♢♢♢", E:E, "A1"), 0)))/100, 
   IF(F13="☆", ((M7 * 100) / (COUNTIFS(F:F, "☆", E:E, E13) + COUNTIFS(F:F, "☆", E:E, "A1") + IF(E13="A1", COUNTIFS(F:F, "☆", E:E, E2), 0) - IF(E13="A1", COUNTIFS(F:F, "☆", E:E, "A1"), 0)))/100, 
   IF(F13="☆☆", ((M8 * 100) / (COUNTIFS(F:F, "☆☆", E:E, E13) + COUNTIFS(F:F, "☆☆", E:E, "A1") + IF(E13="A1", COUNTIFS(F:F, "☆☆", E:E, E2), 0) - IF(E13="A1", COUNTIFS(F:F, "☆☆", E:E, "A1"), 0)))/100, 
   IF(F13="☆☆☆", ((M9 * 100) / (COUNTIFS(F:F, "☆☆☆", E:E, E13) + COUNTIFS(F:F, "☆☆☆", E:E, "A1") + IF(E13="A1", COUNTIFS(F:F, "☆☆☆", E:E, E2), 0) - IF(E13="A1", COUNTIFS(F:F, "☆☆☆", E:E, "A1"), 0)))/100, 
   IF(F13="♛", ((M10 * 100) / (COUNTIFS(F:F, "♛", E:E, E13) + COUNTIFS(F:F, "♛", E:E, "A1") + IF(E13="A1", COUNTIFS(F:F, "♛", E:E, E2), 0) - IF(E13="A1", COUNTIFS(F:F, "♛", E:E, "A1"), 0)))/100, "")))))))
</f>
        <v>0.02571428571</v>
      </c>
      <c r="I13" s="129">
        <f>IF(F13="♢♢", ((N4 * 100) / (COUNTIFS(F:F, "♢♢", E:E, E13) + COUNTIFS(F:F, "♢♢", E:E, "A1") + IF(E13="A1", COUNTIFS(F:F, "♢♢", E:E, E2), 0) - IF(E13="A1", COUNTIFS(F:F, "♢♢", E:E, "A1"), 0)))/100, 
   IF(F13="♢♢♢", ((N5 * 100) / (COUNTIFS(F:F, "♢♢♢", E:E, E13) + COUNTIFS(F:F, "♢♢♢", E:E, "A1") + IF(E13="A1", COUNTIFS(F:F, "♢♢♢", E:E, E2), 0) - IF(E13="A1", COUNTIFS(F:F, "♢♢♢", E:E, "A1"), 0)))/100, 
   IF(F13="♢♢♢♢", ((N6 * 100) / (COUNTIFS(F:F, "♢♢♢♢", E:E, E13) + COUNTIFS(F:F, "♢♢♢♢", E:E, "A1") + IF(E13="A1", COUNTIFS(F:F, "♢♢♢♢", E:E, E2), 0) - IF(E13="A1", COUNTIFS(F:F, "♢♢♢♢", E:E, "A1"), 0)))/100, 
   IF(F13="☆", ((N7 * 100) / (COUNTIFS(F:F, "☆", E:E, E13) + COUNTIFS(F:F, "☆", E:E, "A1") + IF(E13="A1", COUNTIFS(F:F, "☆", E:E, E2), 0) - IF(E13="A1", COUNTIFS(F:F, "☆", E:E, "A1"), 0)))/100, 
   IF(F13="☆☆", ((N8 * 100) / (COUNTIFS(F:F, "☆☆", E:E, E13) + COUNTIFS(F:F, "☆☆", E:E, "A1") + IF(E13="A1", COUNTIFS(F:F, "☆☆", E:E, E2), 0) - IF(E13="A1", COUNTIFS(F:F, "☆☆", E:E, "A1"), 0)))/100, 
   IF(F13="☆☆☆", ((N9 * 100) / (COUNTIFS(F:F, "☆☆☆", E:E, E13) + COUNTIFS(F:F, "☆☆☆", E:E, "A1") + IF(E13="A1", COUNTIFS(F:F, "☆☆☆", E:E, E2), 0) - IF(E13="A1", COUNTIFS(F:F, "☆☆☆", E:E, "A1"), 0)))/100, 
   IF(F13="♛", ((N10 * 100) / (COUNTIFS(F:F, "♛", E:E, E13) + COUNTIFS(F:F, "♛", E:E, "A1") + IF(E13="A1", COUNTIFS(F:F, "♛", E:E, E2), 0) - IF(E13="A1", COUNTIFS(F:F, "♛", E:E, "A1"), 0)))/100, "")))))))
</f>
        <v>0.01714285714</v>
      </c>
      <c r="J13" s="131"/>
      <c r="K13" s="147" t="s">
        <v>103</v>
      </c>
      <c r="L13" s="148" t="s">
        <v>24</v>
      </c>
      <c r="M13" s="148" t="s">
        <v>25</v>
      </c>
      <c r="N13" s="149" t="s">
        <v>26</v>
      </c>
    </row>
    <row r="14">
      <c r="A14" s="125" t="b">
        <f t="shared" si="1"/>
        <v>0</v>
      </c>
      <c r="B14" s="126">
        <v>0.0</v>
      </c>
      <c r="C14" s="127" t="s">
        <v>104</v>
      </c>
      <c r="D14" s="127" t="s">
        <v>105</v>
      </c>
      <c r="E14" s="128" t="s">
        <v>32</v>
      </c>
      <c r="F14" s="127" t="s">
        <v>48</v>
      </c>
      <c r="G14" s="130" t="str">
        <f>IF(F14="♢", ((L3 * 100) / (COUNTIFS(F:F, "♢", E:E, E14) + COUNTIFS(F:F, "♢", E:E, "A1") + IF(E14="A1", COUNTIFS(F:F, "♢", E:E, E2), 0) - IF(E14="A1", COUNTIFS(F:F, "♢", E:E, "A1"), 0)))/100, "")
</f>
        <v/>
      </c>
      <c r="H14" s="129">
        <f>IF(F14="♢♢", ((M4 * 100) / (COUNTIFS(F:F, "♢♢", E:E, E14) + COUNTIFS(F:F, "♢♢", E:E, "A1") + IF(E14="A1", COUNTIFS(F:F, "♢♢", E:E, E2), 0) - IF(E14="A1", COUNTIFS(F:F, "♢♢", E:E, "A1"), 0)))/100, 
   IF(F14="♢♢♢", ((M5 * 100) / (COUNTIFS(F:F, "♢♢♢", E:E, E14) + COUNTIFS(F:F, "♢♢♢", E:E, "A1") + IF(E14="A1", COUNTIFS(F:F, "♢♢♢", E:E, E2), 0) - IF(E14="A1", COUNTIFS(F:F, "♢♢♢", E:E, "A1"), 0)))/100, 
   IF(F14="♢♢♢♢", ((M6 * 100) / (COUNTIFS(F:F, "♢♢♢♢", E:E, E14) + COUNTIFS(F:F, "♢♢♢♢", E:E, "A1") + IF(E14="A1", COUNTIFS(F:F, "♢♢♢♢", E:E, E2), 0) - IF(E14="A1", COUNTIFS(F:F, "♢♢♢♢", E:E, "A1"), 0)))/100, 
   IF(F14="☆", ((M7 * 100) / (COUNTIFS(F:F, "☆", E:E, E14) + COUNTIFS(F:F, "☆", E:E, "A1") + IF(E14="A1", COUNTIFS(F:F, "☆", E:E, E2), 0) - IF(E14="A1", COUNTIFS(F:F, "☆", E:E, "A1"), 0)))/100, 
   IF(F14="☆☆", ((M8 * 100) / (COUNTIFS(F:F, "☆☆", E:E, E14) + COUNTIFS(F:F, "☆☆", E:E, "A1") + IF(E14="A1", COUNTIFS(F:F, "☆☆", E:E, E2), 0) - IF(E14="A1", COUNTIFS(F:F, "☆☆", E:E, "A1"), 0)))/100, 
   IF(F14="☆☆☆", ((M9 * 100) / (COUNTIFS(F:F, "☆☆☆", E:E, E14) + COUNTIFS(F:F, "☆☆☆", E:E, "A1") + IF(E14="A1", COUNTIFS(F:F, "☆☆☆", E:E, E2), 0) - IF(E14="A1", COUNTIFS(F:F, "☆☆☆", E:E, "A1"), 0)))/100, 
   IF(F14="♛", ((M10 * 100) / (COUNTIFS(F:F, "♛", E:E, E14) + COUNTIFS(F:F, "♛", E:E, "A1") + IF(E14="A1", COUNTIFS(F:F, "♛", E:E, E2), 0) - IF(E14="A1", COUNTIFS(F:F, "♛", E:E, "A1"), 0)))/100, "")))))))
</f>
        <v>0.003571428571</v>
      </c>
      <c r="I14" s="129">
        <f>IF(F14="♢♢", ((N4 * 100) / (COUNTIFS(F:F, "♢♢", E:E, E14) + COUNTIFS(F:F, "♢♢", E:E, "A1") + IF(E14="A1", COUNTIFS(F:F, "♢♢", E:E, E2), 0) - IF(E14="A1", COUNTIFS(F:F, "♢♢", E:E, "A1"), 0)))/100, 
   IF(F14="♢♢♢", ((N5 * 100) / (COUNTIFS(F:F, "♢♢♢", E:E, E14) + COUNTIFS(F:F, "♢♢♢", E:E, "A1") + IF(E14="A1", COUNTIFS(F:F, "♢♢♢", E:E, E2), 0) - IF(E14="A1", COUNTIFS(F:F, "♢♢♢", E:E, "A1"), 0)))/100, 
   IF(F14="♢♢♢♢", ((N6 * 100) / (COUNTIFS(F:F, "♢♢♢♢", E:E, E14) + COUNTIFS(F:F, "♢♢♢♢", E:E, "A1") + IF(E14="A1", COUNTIFS(F:F, "♢♢♢♢", E:E, E2), 0) - IF(E14="A1", COUNTIFS(F:F, "♢♢♢♢", E:E, "A1"), 0)))/100, 
   IF(F14="☆", ((N7 * 100) / (COUNTIFS(F:F, "☆", E:E, E14) + COUNTIFS(F:F, "☆", E:E, "A1") + IF(E14="A1", COUNTIFS(F:F, "☆", E:E, E2), 0) - IF(E14="A1", COUNTIFS(F:F, "☆", E:E, "A1"), 0)))/100, 
   IF(F14="☆☆", ((N8 * 100) / (COUNTIFS(F:F, "☆☆", E:E, E14) + COUNTIFS(F:F, "☆☆", E:E, "A1") + IF(E14="A1", COUNTIFS(F:F, "☆☆", E:E, E2), 0) - IF(E14="A1", COUNTIFS(F:F, "☆☆", E:E, "A1"), 0)))/100, 
   IF(F14="☆☆☆", ((N9 * 100) / (COUNTIFS(F:F, "☆☆☆", E:E, E14) + COUNTIFS(F:F, "☆☆☆", E:E, "A1") + IF(E14="A1", COUNTIFS(F:F, "☆☆☆", E:E, E2), 0) - IF(E14="A1", COUNTIFS(F:F, "☆☆☆", E:E, "A1"), 0)))/100, 
   IF(F14="♛", ((N10 * 100) / (COUNTIFS(F:F, "♛", E:E, E14) + COUNTIFS(F:F, "♛", E:E, "A1") + IF(E14="A1", COUNTIFS(F:F, "♛", E:E, E2), 0) - IF(E14="A1", COUNTIFS(F:F, "♛", E:E, "A1"), 0)))/100, "")))))))
</f>
        <v>0.01428571429</v>
      </c>
      <c r="J14" s="131"/>
      <c r="K14" s="150" t="s">
        <v>30</v>
      </c>
      <c r="L14" s="151">
        <f>COUNTIF(A:A, TRUE) / COUNTA(A:A)</f>
        <v>0</v>
      </c>
      <c r="M14" s="151">
        <f>COUNTIF(A:A, FALSE) / COUNTA(A:A)</f>
        <v>1</v>
      </c>
      <c r="N14" s="152" t="str">
        <f>TEXT(COUNTIF(A:A, TRUE), "0") &amp; "/" &amp; TEXT(COUNTA(A:A), "0")</f>
        <v>0/286</v>
      </c>
    </row>
    <row r="15">
      <c r="A15" s="125" t="b">
        <f t="shared" si="1"/>
        <v>0</v>
      </c>
      <c r="B15" s="126">
        <v>0.0</v>
      </c>
      <c r="C15" s="127" t="s">
        <v>106</v>
      </c>
      <c r="D15" s="127" t="s">
        <v>107</v>
      </c>
      <c r="E15" s="128" t="s">
        <v>31</v>
      </c>
      <c r="F15" s="153" t="s">
        <v>44</v>
      </c>
      <c r="G15" s="129">
        <f>IF(F15="♢", ((L3 * 100) / (COUNTIFS(F:F, "♢", E:E, E15) + COUNTIFS(F:F, "♢", E:E, "A1") + IF(E15="A1", COUNTIFS(F:F, "♢", E:E, E2), 0) - IF(E15="A1", COUNTIFS(F:F, "♢", E:E, "A1"), 0)))/100, "")
</f>
        <v>0.02</v>
      </c>
      <c r="H15" s="130" t="str">
        <f>IF(F15="♢♢", ((M4 * 100) / (COUNTIFS(F:F, "♢♢", E:E, E15) + COUNTIFS(F:F, "♢♢", E:E, "A1") + IF(E15="A1", COUNTIFS(F:F, "♢♢", E:E, E2), 0) - IF(E15="A1", COUNTIFS(F:F, "♢♢", E:E, "A1"), 0)))/100, 
   IF(F15="♢♢♢", ((M5 * 100) / (COUNTIFS(F:F, "♢♢♢", E:E, E15) + COUNTIFS(F:F, "♢♢♢", E:E, "A1") + IF(E15="A1", COUNTIFS(F:F, "♢♢♢", E:E, E2), 0) - IF(E15="A1", COUNTIFS(F:F, "♢♢♢", E:E, "A1"), 0)))/100, 
   IF(F15="♢♢♢♢", ((M6 * 100) / (COUNTIFS(F:F, "♢♢♢♢", E:E, E15) + COUNTIFS(F:F, "♢♢♢♢", E:E, "A1") + IF(E15="A1", COUNTIFS(F:F, "♢♢♢♢", E:E, E2), 0) - IF(E15="A1", COUNTIFS(F:F, "♢♢♢♢", E:E, "A1"), 0)))/100, 
   IF(F15="☆", ((M7 * 100) / (COUNTIFS(F:F, "☆", E:E, E15) + COUNTIFS(F:F, "☆", E:E, "A1") + IF(E15="A1", COUNTIFS(F:F, "☆", E:E, E2), 0) - IF(E15="A1", COUNTIFS(F:F, "☆", E:E, "A1"), 0)))/100, 
   IF(F15="☆☆", ((M8 * 100) / (COUNTIFS(F:F, "☆☆", E:E, E15) + COUNTIFS(F:F, "☆☆", E:E, "A1") + IF(E15="A1", COUNTIFS(F:F, "☆☆", E:E, E2), 0) - IF(E15="A1", COUNTIFS(F:F, "☆☆", E:E, "A1"), 0)))/100, 
   IF(F15="☆☆☆", ((M9 * 100) / (COUNTIFS(F:F, "☆☆☆", E:E, E15) + COUNTIFS(F:F, "☆☆☆", E:E, "A1") + IF(E15="A1", COUNTIFS(F:F, "☆☆☆", E:E, E2), 0) - IF(E15="A1", COUNTIFS(F:F, "☆☆☆", E:E, "A1"), 0)))/100, 
   IF(F15="♛", ((M10 * 100) / (COUNTIFS(F:F, "♛", E:E, E15) + COUNTIFS(F:F, "♛", E:E, "A1") + IF(E15="A1", COUNTIFS(F:F, "♛", E:E, E2), 0) - IF(E15="A1", COUNTIFS(F:F, "♛", E:E, "A1"), 0)))/100, "")))))))
</f>
        <v/>
      </c>
      <c r="I15" s="130" t="str">
        <f>IF(F15="♢♢", ((N4 * 100) / (COUNTIFS(F:F, "♢♢", E:E, E15) + COUNTIFS(F:F, "♢♢", E:E, "A1") + IF(E15="A1", COUNTIFS(F:F, "♢♢", E:E, E2), 0) - IF(E15="A1", COUNTIFS(F:F, "♢♢", E:E, "A1"), 0)))/100, 
   IF(F15="♢♢♢", ((N5 * 100) / (COUNTIFS(F:F, "♢♢♢", E:E, E15) + COUNTIFS(F:F, "♢♢♢", E:E, "A1") + IF(E15="A1", COUNTIFS(F:F, "♢♢♢", E:E, E2), 0) - IF(E15="A1", COUNTIFS(F:F, "♢♢♢", E:E, "A1"), 0)))/100, 
   IF(F15="♢♢♢♢", ((N6 * 100) / (COUNTIFS(F:F, "♢♢♢♢", E:E, E15) + COUNTIFS(F:F, "♢♢♢♢", E:E, "A1") + IF(E15="A1", COUNTIFS(F:F, "♢♢♢♢", E:E, E2), 0) - IF(E15="A1", COUNTIFS(F:F, "♢♢♢♢", E:E, "A1"), 0)))/100, 
   IF(F15="☆", ((N7 * 100) / (COUNTIFS(F:F, "☆", E:E, E15) + COUNTIFS(F:F, "☆", E:E, "A1") + IF(E15="A1", COUNTIFS(F:F, "☆", E:E, E2), 0) - IF(E15="A1", COUNTIFS(F:F, "☆", E:E, "A1"), 0)))/100, 
   IF(F15="☆☆", ((N8 * 100) / (COUNTIFS(F:F, "☆☆", E:E, E15) + COUNTIFS(F:F, "☆☆", E:E, "A1") + IF(E15="A1", COUNTIFS(F:F, "☆☆", E:E, E2), 0) - IF(E15="A1", COUNTIFS(F:F, "☆☆", E:E, "A1"), 0)))/100, 
   IF(F15="☆☆☆", ((N9 * 100) / (COUNTIFS(F:F, "☆☆☆", E:E, E15) + COUNTIFS(F:F, "☆☆☆", E:E, "A1") + IF(E15="A1", COUNTIFS(F:F, "☆☆☆", E:E, E2), 0) - IF(E15="A1", COUNTIFS(F:F, "☆☆☆", E:E, "A1"), 0)))/100, 
   IF(F15="♛", ((N10 * 100) / (COUNTIFS(F:F, "♛", E:E, E15) + COUNTIFS(F:F, "♛", E:E, "A1") + IF(E15="A1", COUNTIFS(F:F, "♛", E:E, E2), 0) - IF(E15="A1", COUNTIFS(F:F, "♛", E:E, "A1"), 0)))/100, "")))))))
</f>
        <v/>
      </c>
      <c r="J15" s="131"/>
      <c r="K15" s="154" t="s">
        <v>29</v>
      </c>
      <c r="L15" s="155">
        <f t="shared" ref="L15:L17" si="2">(COUNTIFS(A:A, TRUE, E:E, K15) + COUNTIFS(A:A, TRUE, E:E, "A1")) / (COUNTIFS(E:E, K15) + COUNTIFS(E:E, "A1"))</f>
        <v>0</v>
      </c>
      <c r="M15" s="155">
        <f t="shared" ref="M15:M17" si="3">(COUNTIFS(A:A, FALSE, E:E, K15) + COUNTIFS(A:A, FALSE, E:E, "A1")) / (COUNTIFS(E:E, K15) + COUNTIFS(E:E, "A1"))</f>
        <v>1</v>
      </c>
      <c r="N15" s="156" t="str">
        <f t="shared" ref="N15:N17" si="4">TEXT(COUNTIFS(A:A, TRUE, E:E, K15) + COUNTIFS(A:A, TRUE, E:E, "A1"), "0") &amp; "/" &amp; TEXT(COUNTIFS(E:E, K15) + COUNTIFS(E:E, "A1"), "0")</f>
        <v>0/125</v>
      </c>
    </row>
    <row r="16">
      <c r="A16" s="125" t="b">
        <f t="shared" si="1"/>
        <v>0</v>
      </c>
      <c r="B16" s="126">
        <v>0.0</v>
      </c>
      <c r="C16" s="127" t="s">
        <v>108</v>
      </c>
      <c r="D16" s="127" t="s">
        <v>109</v>
      </c>
      <c r="E16" s="128" t="s">
        <v>31</v>
      </c>
      <c r="F16" s="127" t="s">
        <v>46</v>
      </c>
      <c r="G16" s="130" t="str">
        <f>IF(F16="♢", ((L3 * 100) / (COUNTIFS(F:F, "♢", E:E, E16) + COUNTIFS(F:F, "♢", E:E, "A1") + IF(E16="A1", COUNTIFS(F:F, "♢", E:E, E2), 0) - IF(E16="A1", COUNTIFS(F:F, "♢", E:E, "A1"), 0)))/100, "")
</f>
        <v/>
      </c>
      <c r="H16" s="129">
        <f>IF(F16="♢♢", ((M4 * 100) / (COUNTIFS(F:F, "♢♢", E:E, E16) + COUNTIFS(F:F, "♢♢", E:E, "A1") + IF(E16="A1", COUNTIFS(F:F, "♢♢", E:E, E2), 0) - IF(E16="A1", COUNTIFS(F:F, "♢♢", E:E, "A1"), 0)))/100, 
   IF(F16="♢♢♢", ((M5 * 100) / (COUNTIFS(F:F, "♢♢♢", E:E, E16) + COUNTIFS(F:F, "♢♢♢", E:E, "A1") + IF(E16="A1", COUNTIFS(F:F, "♢♢♢", E:E, E2), 0) - IF(E16="A1", COUNTIFS(F:F, "♢♢♢", E:E, "A1"), 0)))/100, 
   IF(F16="♢♢♢♢", ((M6 * 100) / (COUNTIFS(F:F, "♢♢♢♢", E:E, E16) + COUNTIFS(F:F, "♢♢♢♢", E:E, "A1") + IF(E16="A1", COUNTIFS(F:F, "♢♢♢♢", E:E, E2), 0) - IF(E16="A1", COUNTIFS(F:F, "♢♢♢♢", E:E, "A1"), 0)))/100, 
   IF(F16="☆", ((M7 * 100) / (COUNTIFS(F:F, "☆", E:E, E16) + COUNTIFS(F:F, "☆", E:E, "A1") + IF(E16="A1", COUNTIFS(F:F, "☆", E:E, E2), 0) - IF(E16="A1", COUNTIFS(F:F, "☆", E:E, "A1"), 0)))/100, 
   IF(F16="☆☆", ((M8 * 100) / (COUNTIFS(F:F, "☆☆", E:E, E16) + COUNTIFS(F:F, "☆☆", E:E, "A1") + IF(E16="A1", COUNTIFS(F:F, "☆☆", E:E, E2), 0) - IF(E16="A1", COUNTIFS(F:F, "☆☆", E:E, "A1"), 0)))/100, 
   IF(F16="☆☆☆", ((M9 * 100) / (COUNTIFS(F:F, "☆☆☆", E:E, E16) + COUNTIFS(F:F, "☆☆☆", E:E, "A1") + IF(E16="A1", COUNTIFS(F:F, "☆☆☆", E:E, E2), 0) - IF(E16="A1", COUNTIFS(F:F, "☆☆☆", E:E, "A1"), 0)))/100, 
   IF(F16="♛", ((M10 * 100) / (COUNTIFS(F:F, "♛", E:E, E16) + COUNTIFS(F:F, "♛", E:E, "A1") + IF(E16="A1", COUNTIFS(F:F, "♛", E:E, E2), 0) - IF(E16="A1", COUNTIFS(F:F, "♛", E:E, "A1"), 0)))/100, "")))))))
</f>
        <v>0.02571428571</v>
      </c>
      <c r="I16" s="129">
        <f>IF(F16="♢♢", ((N4 * 100) / (COUNTIFS(F:F, "♢♢", E:E, E16) + COUNTIFS(F:F, "♢♢", E:E, "A1") + IF(E16="A1", COUNTIFS(F:F, "♢♢", E:E, E2), 0) - IF(E16="A1", COUNTIFS(F:F, "♢♢", E:E, "A1"), 0)))/100, 
   IF(F16="♢♢♢", ((N5 * 100) / (COUNTIFS(F:F, "♢♢♢", E:E, E16) + COUNTIFS(F:F, "♢♢♢", E:E, "A1") + IF(E16="A1", COUNTIFS(F:F, "♢♢♢", E:E, E2), 0) - IF(E16="A1", COUNTIFS(F:F, "♢♢♢", E:E, "A1"), 0)))/100, 
   IF(F16="♢♢♢♢", ((N6 * 100) / (COUNTIFS(F:F, "♢♢♢♢", E:E, E16) + COUNTIFS(F:F, "♢♢♢♢", E:E, "A1") + IF(E16="A1", COUNTIFS(F:F, "♢♢♢♢", E:E, E2), 0) - IF(E16="A1", COUNTIFS(F:F, "♢♢♢♢", E:E, "A1"), 0)))/100, 
   IF(F16="☆", ((N7 * 100) / (COUNTIFS(F:F, "☆", E:E, E16) + COUNTIFS(F:F, "☆", E:E, "A1") + IF(E16="A1", COUNTIFS(F:F, "☆", E:E, E2), 0) - IF(E16="A1", COUNTIFS(F:F, "☆", E:E, "A1"), 0)))/100, 
   IF(F16="☆☆", ((N8 * 100) / (COUNTIFS(F:F, "☆☆", E:E, E16) + COUNTIFS(F:F, "☆☆", E:E, "A1") + IF(E16="A1", COUNTIFS(F:F, "☆☆", E:E, E2), 0) - IF(E16="A1", COUNTIFS(F:F, "☆☆", E:E, "A1"), 0)))/100, 
   IF(F16="☆☆☆", ((N9 * 100) / (COUNTIFS(F:F, "☆☆☆", E:E, E16) + COUNTIFS(F:F, "☆☆☆", E:E, "A1") + IF(E16="A1", COUNTIFS(F:F, "☆☆☆", E:E, E2), 0) - IF(E16="A1", COUNTIFS(F:F, "☆☆☆", E:E, "A1"), 0)))/100, 
   IF(F16="♛", ((N10 * 100) / (COUNTIFS(F:F, "♛", E:E, E16) + COUNTIFS(F:F, "♛", E:E, "A1") + IF(E16="A1", COUNTIFS(F:F, "♛", E:E, E2), 0) - IF(E16="A1", COUNTIFS(F:F, "♛", E:E, "A1"), 0)))/100, "")))))))
</f>
        <v>0.01714285714</v>
      </c>
      <c r="J16" s="131"/>
      <c r="K16" s="157" t="s">
        <v>31</v>
      </c>
      <c r="L16" s="158">
        <f t="shared" si="2"/>
        <v>0</v>
      </c>
      <c r="M16" s="158">
        <f t="shared" si="3"/>
        <v>1</v>
      </c>
      <c r="N16" s="159" t="str">
        <f t="shared" si="4"/>
        <v>0/126</v>
      </c>
    </row>
    <row r="17">
      <c r="A17" s="125" t="b">
        <f t="shared" si="1"/>
        <v>0</v>
      </c>
      <c r="B17" s="126">
        <v>0.0</v>
      </c>
      <c r="C17" s="127" t="s">
        <v>110</v>
      </c>
      <c r="D17" s="127" t="s">
        <v>111</v>
      </c>
      <c r="E17" s="128" t="s">
        <v>29</v>
      </c>
      <c r="F17" s="127" t="s">
        <v>112</v>
      </c>
      <c r="G17" s="129">
        <f>IF(F17="♢", ((L3 * 100) / (COUNTIFS(F:F, "♢", E:E, E17) + COUNTIFS(F:F, "♢", E:E, "A1") + IF(E17="A1", COUNTIFS(F:F, "♢", E:E, E2), 0) - IF(E17="A1", COUNTIFS(F:F, "♢", E:E, "A1"), 0)))/100, "")
</f>
        <v>0.02</v>
      </c>
      <c r="H17" s="130" t="str">
        <f>IF(F17="♢♢", ((M4 * 100) / (COUNTIFS(F:F, "♢♢", E:E, E17) + COUNTIFS(F:F, "♢♢", E:E, "A1") + IF(E17="A1", COUNTIFS(F:F, "♢♢", E:E, E2), 0) - IF(E17="A1", COUNTIFS(F:F, "♢♢", E:E, "A1"), 0)))/100, 
   IF(F17="♢♢♢", ((M5 * 100) / (COUNTIFS(F:F, "♢♢♢", E:E, E17) + COUNTIFS(F:F, "♢♢♢", E:E, "A1") + IF(E17="A1", COUNTIFS(F:F, "♢♢♢", E:E, E2), 0) - IF(E17="A1", COUNTIFS(F:F, "♢♢♢", E:E, "A1"), 0)))/100, 
   IF(F17="♢♢♢♢", ((M6 * 100) / (COUNTIFS(F:F, "♢♢♢♢", E:E, E17) + COUNTIFS(F:F, "♢♢♢♢", E:E, "A1") + IF(E17="A1", COUNTIFS(F:F, "♢♢♢♢", E:E, E2), 0) - IF(E17="A1", COUNTIFS(F:F, "♢♢♢♢", E:E, "A1"), 0)))/100, 
   IF(F17="☆", ((M7 * 100) / (COUNTIFS(F:F, "☆", E:E, E17) + COUNTIFS(F:F, "☆", E:E, "A1") + IF(E17="A1", COUNTIFS(F:F, "☆", E:E, E2), 0) - IF(E17="A1", COUNTIFS(F:F, "☆", E:E, "A1"), 0)))/100, 
   IF(F17="☆☆", ((M8 * 100) / (COUNTIFS(F:F, "☆☆", E:E, E17) + COUNTIFS(F:F, "☆☆", E:E, "A1") + IF(E17="A1", COUNTIFS(F:F, "☆☆", E:E, E2), 0) - IF(E17="A1", COUNTIFS(F:F, "☆☆", E:E, "A1"), 0)))/100, 
   IF(F17="☆☆☆", ((M9 * 100) / (COUNTIFS(F:F, "☆☆☆", E:E, E17) + COUNTIFS(F:F, "☆☆☆", E:E, "A1") + IF(E17="A1", COUNTIFS(F:F, "☆☆☆", E:E, E2), 0) - IF(E17="A1", COUNTIFS(F:F, "☆☆☆", E:E, "A1"), 0)))/100, 
   IF(F17="♛", ((M10 * 100) / (COUNTIFS(F:F, "♛", E:E, E17) + COUNTIFS(F:F, "♛", E:E, "A1") + IF(E17="A1", COUNTIFS(F:F, "♛", E:E, E2), 0) - IF(E17="A1", COUNTIFS(F:F, "♛", E:E, "A1"), 0)))/100, "")))))))
</f>
        <v/>
      </c>
      <c r="I17" s="130" t="str">
        <f>IF(F17="♢♢", ((N4 * 100) / (COUNTIFS(F:F, "♢♢", E:E, E17) + COUNTIFS(F:F, "♢♢", E:E, "A1") + IF(E17="A1", COUNTIFS(F:F, "♢♢", E:E, E2), 0) - IF(E17="A1", COUNTIFS(F:F, "♢♢", E:E, "A1"), 0)))/100, 
   IF(F17="♢♢♢", ((N5 * 100) / (COUNTIFS(F:F, "♢♢♢", E:E, E17) + COUNTIFS(F:F, "♢♢♢", E:E, "A1") + IF(E17="A1", COUNTIFS(F:F, "♢♢♢", E:E, E2), 0) - IF(E17="A1", COUNTIFS(F:F, "♢♢♢", E:E, "A1"), 0)))/100, 
   IF(F17="♢♢♢♢", ((N6 * 100) / (COUNTIFS(F:F, "♢♢♢♢", E:E, E17) + COUNTIFS(F:F, "♢♢♢♢", E:E, "A1") + IF(E17="A1", COUNTIFS(F:F, "♢♢♢♢", E:E, E2), 0) - IF(E17="A1", COUNTIFS(F:F, "♢♢♢♢", E:E, "A1"), 0)))/100, 
   IF(F17="☆", ((N7 * 100) / (COUNTIFS(F:F, "☆", E:E, E17) + COUNTIFS(F:F, "☆", E:E, "A1") + IF(E17="A1", COUNTIFS(F:F, "☆", E:E, E2), 0) - IF(E17="A1", COUNTIFS(F:F, "☆", E:E, "A1"), 0)))/100, 
   IF(F17="☆☆", ((N8 * 100) / (COUNTIFS(F:F, "☆☆", E:E, E17) + COUNTIFS(F:F, "☆☆", E:E, "A1") + IF(E17="A1", COUNTIFS(F:F, "☆☆", E:E, E2), 0) - IF(E17="A1", COUNTIFS(F:F, "☆☆", E:E, "A1"), 0)))/100, 
   IF(F17="☆☆☆", ((N9 * 100) / (COUNTIFS(F:F, "☆☆☆", E:E, E17) + COUNTIFS(F:F, "☆☆☆", E:E, "A1") + IF(E17="A1", COUNTIFS(F:F, "☆☆☆", E:E, E2), 0) - IF(E17="A1", COUNTIFS(F:F, "☆☆☆", E:E, "A1"), 0)))/100, 
   IF(F17="♛", ((N10 * 100) / (COUNTIFS(F:F, "♛", E:E, E17) + COUNTIFS(F:F, "♛", E:E, "A1") + IF(E17="A1", COUNTIFS(F:F, "♛", E:E, E2), 0) - IF(E17="A1", COUNTIFS(F:F, "♛", E:E, "A1"), 0)))/100, "")))))))
</f>
        <v/>
      </c>
      <c r="J17" s="131"/>
      <c r="K17" s="160" t="s">
        <v>32</v>
      </c>
      <c r="L17" s="161">
        <f t="shared" si="2"/>
        <v>0</v>
      </c>
      <c r="M17" s="161">
        <f t="shared" si="3"/>
        <v>1</v>
      </c>
      <c r="N17" s="162" t="str">
        <f t="shared" si="4"/>
        <v>0/126</v>
      </c>
    </row>
    <row r="18">
      <c r="A18" s="125" t="b">
        <f t="shared" si="1"/>
        <v>0</v>
      </c>
      <c r="B18" s="126">
        <v>0.0</v>
      </c>
      <c r="C18" s="127" t="s">
        <v>113</v>
      </c>
      <c r="D18" s="127" t="s">
        <v>114</v>
      </c>
      <c r="E18" s="128" t="s">
        <v>29</v>
      </c>
      <c r="F18" s="127" t="s">
        <v>46</v>
      </c>
      <c r="G18" s="130" t="str">
        <f>IF(F18="♢", ((L3 * 100) / (COUNTIFS(F:F, "♢", E:E, E18) + COUNTIFS(F:F, "♢", E:E, "A1") + IF(E18="A1", COUNTIFS(F:F, "♢", E:E, E2), 0) - IF(E18="A1", COUNTIFS(F:F, "♢", E:E, "A1"), 0)))/100, "")
</f>
        <v/>
      </c>
      <c r="H18" s="129">
        <f>IF(F18="♢♢", ((M4 * 100) / (COUNTIFS(F:F, "♢♢", E:E, E18) + COUNTIFS(F:F, "♢♢", E:E, "A1") + IF(E18="A1", COUNTIFS(F:F, "♢♢", E:E, E2), 0) - IF(E18="A1", COUNTIFS(F:F, "♢♢", E:E, "A1"), 0)))/100, 
   IF(F18="♢♢♢", ((M5 * 100) / (COUNTIFS(F:F, "♢♢♢", E:E, E18) + COUNTIFS(F:F, "♢♢♢", E:E, "A1") + IF(E18="A1", COUNTIFS(F:F, "♢♢♢", E:E, E2), 0) - IF(E18="A1", COUNTIFS(F:F, "♢♢♢", E:E, "A1"), 0)))/100, 
   IF(F18="♢♢♢♢", ((M6 * 100) / (COUNTIFS(F:F, "♢♢♢♢", E:E, E18) + COUNTIFS(F:F, "♢♢♢♢", E:E, "A1") + IF(E18="A1", COUNTIFS(F:F, "♢♢♢♢", E:E, E2), 0) - IF(E18="A1", COUNTIFS(F:F, "♢♢♢♢", E:E, "A1"), 0)))/100, 
   IF(F18="☆", ((M7 * 100) / (COUNTIFS(F:F, "☆", E:E, E18) + COUNTIFS(F:F, "☆", E:E, "A1") + IF(E18="A1", COUNTIFS(F:F, "☆", E:E, E2), 0) - IF(E18="A1", COUNTIFS(F:F, "☆", E:E, "A1"), 0)))/100, 
   IF(F18="☆☆", ((M8 * 100) / (COUNTIFS(F:F, "☆☆", E:E, E18) + COUNTIFS(F:F, "☆☆", E:E, "A1") + IF(E18="A1", COUNTIFS(F:F, "☆☆", E:E, E2), 0) - IF(E18="A1", COUNTIFS(F:F, "☆☆", E:E, "A1"), 0)))/100, 
   IF(F18="☆☆☆", ((M9 * 100) / (COUNTIFS(F:F, "☆☆☆", E:E, E18) + COUNTIFS(F:F, "☆☆☆", E:E, "A1") + IF(E18="A1", COUNTIFS(F:F, "☆☆☆", E:E, E2), 0) - IF(E18="A1", COUNTIFS(F:F, "☆☆☆", E:E, "A1"), 0)))/100, 
   IF(F18="♛", ((M10 * 100) / (COUNTIFS(F:F, "♛", E:E, E18) + COUNTIFS(F:F, "♛", E:E, "A1") + IF(E18="A1", COUNTIFS(F:F, "♛", E:E, E2), 0) - IF(E18="A1", COUNTIFS(F:F, "♛", E:E, "A1"), 0)))/100, "")))))))
</f>
        <v>0.02571428571</v>
      </c>
      <c r="I18" s="129">
        <f>IF(F18="♢♢", ((N4 * 100) / (COUNTIFS(F:F, "♢♢", E:E, E18) + COUNTIFS(F:F, "♢♢", E:E, "A1") + IF(E18="A1", COUNTIFS(F:F, "♢♢", E:E, E2), 0) - IF(E18="A1", COUNTIFS(F:F, "♢♢", E:E, "A1"), 0)))/100, 
   IF(F18="♢♢♢", ((N5 * 100) / (COUNTIFS(F:F, "♢♢♢", E:E, E18) + COUNTIFS(F:F, "♢♢♢", E:E, "A1") + IF(E18="A1", COUNTIFS(F:F, "♢♢♢", E:E, E2), 0) - IF(E18="A1", COUNTIFS(F:F, "♢♢♢", E:E, "A1"), 0)))/100, 
   IF(F18="♢♢♢♢", ((N6 * 100) / (COUNTIFS(F:F, "♢♢♢♢", E:E, E18) + COUNTIFS(F:F, "♢♢♢♢", E:E, "A1") + IF(E18="A1", COUNTIFS(F:F, "♢♢♢♢", E:E, E2), 0) - IF(E18="A1", COUNTIFS(F:F, "♢♢♢♢", E:E, "A1"), 0)))/100, 
   IF(F18="☆", ((N7 * 100) / (COUNTIFS(F:F, "☆", E:E, E18) + COUNTIFS(F:F, "☆", E:E, "A1") + IF(E18="A1", COUNTIFS(F:F, "☆", E:E, E2), 0) - IF(E18="A1", COUNTIFS(F:F, "☆", E:E, "A1"), 0)))/100, 
   IF(F18="☆☆", ((N8 * 100) / (COUNTIFS(F:F, "☆☆", E:E, E18) + COUNTIFS(F:F, "☆☆", E:E, "A1") + IF(E18="A1", COUNTIFS(F:F, "☆☆", E:E, E2), 0) - IF(E18="A1", COUNTIFS(F:F, "☆☆", E:E, "A1"), 0)))/100, 
   IF(F18="☆☆☆", ((N9 * 100) / (COUNTIFS(F:F, "☆☆☆", E:E, E18) + COUNTIFS(F:F, "☆☆☆", E:E, "A1") + IF(E18="A1", COUNTIFS(F:F, "☆☆☆", E:E, E2), 0) - IF(E18="A1", COUNTIFS(F:F, "☆☆☆", E:E, "A1"), 0)))/100, 
   IF(F18="♛", ((N10 * 100) / (COUNTIFS(F:F, "♛", E:E, E18) + COUNTIFS(F:F, "♛", E:E, "A1") + IF(E18="A1", COUNTIFS(F:F, "♛", E:E, E2), 0) - IF(E18="A1", COUNTIFS(F:F, "♛", E:E, "A1"), 0)))/100, "")))))))
</f>
        <v>0.01714285714</v>
      </c>
      <c r="J18" s="131"/>
      <c r="K18" s="163" t="s">
        <v>115</v>
      </c>
      <c r="L18" s="164" t="str">
        <f>IF(M15 = MAX(M15:M17), K15, IF(M16 = MAX(M15:M17), K16, K17))</f>
        <v>A1-Mewtwo</v>
      </c>
      <c r="N18" s="145"/>
    </row>
    <row r="19">
      <c r="A19" s="125" t="b">
        <f t="shared" si="1"/>
        <v>0</v>
      </c>
      <c r="B19" s="126">
        <v>0.0</v>
      </c>
      <c r="C19" s="127" t="s">
        <v>116</v>
      </c>
      <c r="D19" s="127" t="s">
        <v>117</v>
      </c>
      <c r="E19" s="128" t="s">
        <v>32</v>
      </c>
      <c r="F19" s="153" t="s">
        <v>44</v>
      </c>
      <c r="G19" s="129">
        <f>IF(F19="♢", ((L3 * 100) / (COUNTIFS(F:F, "♢", E:E, E19) + COUNTIFS(F:F, "♢", E:E, "A1") + IF(E19="A1", COUNTIFS(F:F, "♢", E:E, E2), 0) - IF(E19="A1", COUNTIFS(F:F, "♢", E:E, "A1"), 0)))/100, "")
</f>
        <v>0.02</v>
      </c>
      <c r="H19" s="130" t="str">
        <f>IF(F19="♢♢", ((M4 * 100) / (COUNTIFS(F:F, "♢♢", E:E, E19) + COUNTIFS(F:F, "♢♢", E:E, "A1") + IF(E19="A1", COUNTIFS(F:F, "♢♢", E:E, E2), 0) - IF(E19="A1", COUNTIFS(F:F, "♢♢", E:E, "A1"), 0)))/100, 
   IF(F19="♢♢♢", ((M5 * 100) / (COUNTIFS(F:F, "♢♢♢", E:E, E19) + COUNTIFS(F:F, "♢♢♢", E:E, "A1") + IF(E19="A1", COUNTIFS(F:F, "♢♢♢", E:E, E2), 0) - IF(E19="A1", COUNTIFS(F:F, "♢♢♢", E:E, "A1"), 0)))/100, 
   IF(F19="♢♢♢♢", ((M6 * 100) / (COUNTIFS(F:F, "♢♢♢♢", E:E, E19) + COUNTIFS(F:F, "♢♢♢♢", E:E, "A1") + IF(E19="A1", COUNTIFS(F:F, "♢♢♢♢", E:E, E2), 0) - IF(E19="A1", COUNTIFS(F:F, "♢♢♢♢", E:E, "A1"), 0)))/100, 
   IF(F19="☆", ((M7 * 100) / (COUNTIFS(F:F, "☆", E:E, E19) + COUNTIFS(F:F, "☆", E:E, "A1") + IF(E19="A1", COUNTIFS(F:F, "☆", E:E, E2), 0) - IF(E19="A1", COUNTIFS(F:F, "☆", E:E, "A1"), 0)))/100, 
   IF(F19="☆☆", ((M8 * 100) / (COUNTIFS(F:F, "☆☆", E:E, E19) + COUNTIFS(F:F, "☆☆", E:E, "A1") + IF(E19="A1", COUNTIFS(F:F, "☆☆", E:E, E2), 0) - IF(E19="A1", COUNTIFS(F:F, "☆☆", E:E, "A1"), 0)))/100, 
   IF(F19="☆☆☆", ((M9 * 100) / (COUNTIFS(F:F, "☆☆☆", E:E, E19) + COUNTIFS(F:F, "☆☆☆", E:E, "A1") + IF(E19="A1", COUNTIFS(F:F, "☆☆☆", E:E, E2), 0) - IF(E19="A1", COUNTIFS(F:F, "☆☆☆", E:E, "A1"), 0)))/100, 
   IF(F19="♛", ((M10 * 100) / (COUNTIFS(F:F, "♛", E:E, E19) + COUNTIFS(F:F, "♛", E:E, "A1") + IF(E19="A1", COUNTIFS(F:F, "♛", E:E, E2), 0) - IF(E19="A1", COUNTIFS(F:F, "♛", E:E, "A1"), 0)))/100, "")))))))
</f>
        <v/>
      </c>
      <c r="I19" s="130" t="str">
        <f>IF(F19="♢♢", ((N4 * 100) / (COUNTIFS(F:F, "♢♢", E:E, E19) + COUNTIFS(F:F, "♢♢", E:E, "A1") + IF(E19="A1", COUNTIFS(F:F, "♢♢", E:E, E2), 0) - IF(E19="A1", COUNTIFS(F:F, "♢♢", E:E, "A1"), 0)))/100, 
   IF(F19="♢♢♢", ((N5 * 100) / (COUNTIFS(F:F, "♢♢♢", E:E, E19) + COUNTIFS(F:F, "♢♢♢", E:E, "A1") + IF(E19="A1", COUNTIFS(F:F, "♢♢♢", E:E, E2), 0) - IF(E19="A1", COUNTIFS(F:F, "♢♢♢", E:E, "A1"), 0)))/100, 
   IF(F19="♢♢♢♢", ((N6 * 100) / (COUNTIFS(F:F, "♢♢♢♢", E:E, E19) + COUNTIFS(F:F, "♢♢♢♢", E:E, "A1") + IF(E19="A1", COUNTIFS(F:F, "♢♢♢♢", E:E, E2), 0) - IF(E19="A1", COUNTIFS(F:F, "♢♢♢♢", E:E, "A1"), 0)))/100, 
   IF(F19="☆", ((N7 * 100) / (COUNTIFS(F:F, "☆", E:E, E19) + COUNTIFS(F:F, "☆", E:E, "A1") + IF(E19="A1", COUNTIFS(F:F, "☆", E:E, E2), 0) - IF(E19="A1", COUNTIFS(F:F, "☆", E:E, "A1"), 0)))/100, 
   IF(F19="☆☆", ((N8 * 100) / (COUNTIFS(F:F, "☆☆", E:E, E19) + COUNTIFS(F:F, "☆☆", E:E, "A1") + IF(E19="A1", COUNTIFS(F:F, "☆☆", E:E, E2), 0) - IF(E19="A1", COUNTIFS(F:F, "☆☆", E:E, "A1"), 0)))/100, 
   IF(F19="☆☆☆", ((N9 * 100) / (COUNTIFS(F:F, "☆☆☆", E:E, E19) + COUNTIFS(F:F, "☆☆☆", E:E, "A1") + IF(E19="A1", COUNTIFS(F:F, "☆☆☆", E:E, E2), 0) - IF(E19="A1", COUNTIFS(F:F, "☆☆☆", E:E, "A1"), 0)))/100, 
   IF(F19="♛", ((N10 * 100) / (COUNTIFS(F:F, "♛", E:E, E19) + COUNTIFS(F:F, "♛", E:E, "A1") + IF(E19="A1", COUNTIFS(F:F, "♛", E:E, E2), 0) - IF(E19="A1", COUNTIFS(F:F, "♛", E:E, "A1"), 0)))/100, "")))))))
</f>
        <v/>
      </c>
      <c r="J19" s="131"/>
      <c r="K19" s="165"/>
      <c r="L19" s="166"/>
      <c r="M19" s="166"/>
      <c r="N19" s="167"/>
    </row>
    <row r="20">
      <c r="A20" s="125" t="b">
        <f t="shared" si="1"/>
        <v>0</v>
      </c>
      <c r="B20" s="126">
        <v>0.0</v>
      </c>
      <c r="C20" s="127" t="s">
        <v>118</v>
      </c>
      <c r="D20" s="127" t="s">
        <v>119</v>
      </c>
      <c r="E20" s="128" t="s">
        <v>32</v>
      </c>
      <c r="F20" s="127" t="s">
        <v>46</v>
      </c>
      <c r="G20" s="130" t="str">
        <f>IF(F20="♢", ((L3 * 100) / (COUNTIFS(F:F, "♢", E:E, E20) + COUNTIFS(F:F, "♢", E:E, "A1") + IF(E20="A1", COUNTIFS(F:F, "♢", E:E, E2), 0) - IF(E20="A1", COUNTIFS(F:F, "♢", E:E, "A1"), 0)))/100, "")
</f>
        <v/>
      </c>
      <c r="H20" s="129">
        <f>IF(F20="♢♢", ((M4 * 100) / (COUNTIFS(F:F, "♢♢", E:E, E20) + COUNTIFS(F:F, "♢♢", E:E, "A1") + IF(E20="A1", COUNTIFS(F:F, "♢♢", E:E, E2), 0) - IF(E20="A1", COUNTIFS(F:F, "♢♢", E:E, "A1"), 0)))/100, 
   IF(F20="♢♢♢", ((M5 * 100) / (COUNTIFS(F:F, "♢♢♢", E:E, E20) + COUNTIFS(F:F, "♢♢♢", E:E, "A1") + IF(E20="A1", COUNTIFS(F:F, "♢♢♢", E:E, E2), 0) - IF(E20="A1", COUNTIFS(F:F, "♢♢♢", E:E, "A1"), 0)))/100, 
   IF(F20="♢♢♢♢", ((M6 * 100) / (COUNTIFS(F:F, "♢♢♢♢", E:E, E20) + COUNTIFS(F:F, "♢♢♢♢", E:E, "A1") + IF(E20="A1", COUNTIFS(F:F, "♢♢♢♢", E:E, E2), 0) - IF(E20="A1", COUNTIFS(F:F, "♢♢♢♢", E:E, "A1"), 0)))/100, 
   IF(F20="☆", ((M7 * 100) / (COUNTIFS(F:F, "☆", E:E, E20) + COUNTIFS(F:F, "☆", E:E, "A1") + IF(E20="A1", COUNTIFS(F:F, "☆", E:E, E2), 0) - IF(E20="A1", COUNTIFS(F:F, "☆", E:E, "A1"), 0)))/100, 
   IF(F20="☆☆", ((M8 * 100) / (COUNTIFS(F:F, "☆☆", E:E, E20) + COUNTIFS(F:F, "☆☆", E:E, "A1") + IF(E20="A1", COUNTIFS(F:F, "☆☆", E:E, E2), 0) - IF(E20="A1", COUNTIFS(F:F, "☆☆", E:E, "A1"), 0)))/100, 
   IF(F20="☆☆☆", ((M9 * 100) / (COUNTIFS(F:F, "☆☆☆", E:E, E20) + COUNTIFS(F:F, "☆☆☆", E:E, "A1") + IF(E20="A1", COUNTIFS(F:F, "☆☆☆", E:E, E2), 0) - IF(E20="A1", COUNTIFS(F:F, "☆☆☆", E:E, "A1"), 0)))/100, 
   IF(F20="♛", ((M10 * 100) / (COUNTIFS(F:F, "♛", E:E, E20) + COUNTIFS(F:F, "♛", E:E, "A1") + IF(E20="A1", COUNTIFS(F:F, "♛", E:E, E2), 0) - IF(E20="A1", COUNTIFS(F:F, "♛", E:E, "A1"), 0)))/100, "")))))))
</f>
        <v>0.02571428571</v>
      </c>
      <c r="I20" s="129">
        <f>IF(F20="♢♢", ((N4 * 100) / (COUNTIFS(F:F, "♢♢", E:E, E20) + COUNTIFS(F:F, "♢♢", E:E, "A1") + IF(E20="A1", COUNTIFS(F:F, "♢♢", E:E, E2), 0) - IF(E20="A1", COUNTIFS(F:F, "♢♢", E:E, "A1"), 0)))/100, 
   IF(F20="♢♢♢", ((N5 * 100) / (COUNTIFS(F:F, "♢♢♢", E:E, E20) + COUNTIFS(F:F, "♢♢♢", E:E, "A1") + IF(E20="A1", COUNTIFS(F:F, "♢♢♢", E:E, E2), 0) - IF(E20="A1", COUNTIFS(F:F, "♢♢♢", E:E, "A1"), 0)))/100, 
   IF(F20="♢♢♢♢", ((N6 * 100) / (COUNTIFS(F:F, "♢♢♢♢", E:E, E20) + COUNTIFS(F:F, "♢♢♢♢", E:E, "A1") + IF(E20="A1", COUNTIFS(F:F, "♢♢♢♢", E:E, E2), 0) - IF(E20="A1", COUNTIFS(F:F, "♢♢♢♢", E:E, "A1"), 0)))/100, 
   IF(F20="☆", ((N7 * 100) / (COUNTIFS(F:F, "☆", E:E, E20) + COUNTIFS(F:F, "☆", E:E, "A1") + IF(E20="A1", COUNTIFS(F:F, "☆", E:E, E2), 0) - IF(E20="A1", COUNTIFS(F:F, "☆", E:E, "A1"), 0)))/100, 
   IF(F20="☆☆", ((N8 * 100) / (COUNTIFS(F:F, "☆☆", E:E, E20) + COUNTIFS(F:F, "☆☆", E:E, "A1") + IF(E20="A1", COUNTIFS(F:F, "☆☆", E:E, E2), 0) - IF(E20="A1", COUNTIFS(F:F, "☆☆", E:E, "A1"), 0)))/100, 
   IF(F20="☆☆☆", ((N9 * 100) / (COUNTIFS(F:F, "☆☆☆", E:E, E20) + COUNTIFS(F:F, "☆☆☆", E:E, "A1") + IF(E20="A1", COUNTIFS(F:F, "☆☆☆", E:E, E2), 0) - IF(E20="A1", COUNTIFS(F:F, "☆☆☆", E:E, "A1"), 0)))/100, 
   IF(F20="♛", ((N10 * 100) / (COUNTIFS(F:F, "♛", E:E, E20) + COUNTIFS(F:F, "♛", E:E, "A1") + IF(E20="A1", COUNTIFS(F:F, "♛", E:E, E2), 0) - IF(E20="A1", COUNTIFS(F:F, "♛", E:E, "A1"), 0)))/100, "")))))))
</f>
        <v>0.01714285714</v>
      </c>
      <c r="J20" s="131"/>
      <c r="K20" s="168" t="s">
        <v>42</v>
      </c>
      <c r="L20" s="169"/>
      <c r="M20" s="169"/>
      <c r="N20" s="170"/>
      <c r="O20" s="124" t="s">
        <v>120</v>
      </c>
    </row>
    <row r="21">
      <c r="A21" s="125" t="b">
        <f t="shared" si="1"/>
        <v>0</v>
      </c>
      <c r="B21" s="126">
        <v>0.0</v>
      </c>
      <c r="C21" s="127" t="s">
        <v>121</v>
      </c>
      <c r="D21" s="127" t="s">
        <v>122</v>
      </c>
      <c r="E21" s="128" t="s">
        <v>32</v>
      </c>
      <c r="F21" s="127" t="s">
        <v>48</v>
      </c>
      <c r="G21" s="130" t="str">
        <f>IF(F21="♢", ((L3 * 100) / (COUNTIFS(F:F, "♢", E:E, E21) + COUNTIFS(F:F, "♢", E:E, "A1") + IF(E21="A1", COUNTIFS(F:F, "♢", E:E, E2), 0) - IF(E21="A1", COUNTIFS(F:F, "♢", E:E, "A1"), 0)))/100, "")
</f>
        <v/>
      </c>
      <c r="H21" s="129">
        <f>IF(F21="♢♢", ((M4 * 100) / (COUNTIFS(F:F, "♢♢", E:E, E21) + COUNTIFS(F:F, "♢♢", E:E, "A1") + IF(E21="A1", COUNTIFS(F:F, "♢♢", E:E, E2), 0) - IF(E21="A1", COUNTIFS(F:F, "♢♢", E:E, "A1"), 0)))/100, 
   IF(F21="♢♢♢", ((M5 * 100) / (COUNTIFS(F:F, "♢♢♢", E:E, E21) + COUNTIFS(F:F, "♢♢♢", E:E, "A1") + IF(E21="A1", COUNTIFS(F:F, "♢♢♢", E:E, E2), 0) - IF(E21="A1", COUNTIFS(F:F, "♢♢♢", E:E, "A1"), 0)))/100, 
   IF(F21="♢♢♢♢", ((M6 * 100) / (COUNTIFS(F:F, "♢♢♢♢", E:E, E21) + COUNTIFS(F:F, "♢♢♢♢", E:E, "A1") + IF(E21="A1", COUNTIFS(F:F, "♢♢♢♢", E:E, E2), 0) - IF(E21="A1", COUNTIFS(F:F, "♢♢♢♢", E:E, "A1"), 0)))/100, 
   IF(F21="☆", ((M7 * 100) / (COUNTIFS(F:F, "☆", E:E, E21) + COUNTIFS(F:F, "☆", E:E, "A1") + IF(E21="A1", COUNTIFS(F:F, "☆", E:E, E2), 0) - IF(E21="A1", COUNTIFS(F:F, "☆", E:E, "A1"), 0)))/100, 
   IF(F21="☆☆", ((M8 * 100) / (COUNTIFS(F:F, "☆☆", E:E, E21) + COUNTIFS(F:F, "☆☆", E:E, "A1") + IF(E21="A1", COUNTIFS(F:F, "☆☆", E:E, E2), 0) - IF(E21="A1", COUNTIFS(F:F, "☆☆", E:E, "A1"), 0)))/100, 
   IF(F21="☆☆☆", ((M9 * 100) / (COUNTIFS(F:F, "☆☆☆", E:E, E21) + COUNTIFS(F:F, "☆☆☆", E:E, "A1") + IF(E21="A1", COUNTIFS(F:F, "☆☆☆", E:E, E2), 0) - IF(E21="A1", COUNTIFS(F:F, "☆☆☆", E:E, "A1"), 0)))/100, 
   IF(F21="♛", ((M10 * 100) / (COUNTIFS(F:F, "♛", E:E, E21) + COUNTIFS(F:F, "♛", E:E, "A1") + IF(E21="A1", COUNTIFS(F:F, "♛", E:E, E2), 0) - IF(E21="A1", COUNTIFS(F:F, "♛", E:E, "A1"), 0)))/100, "")))))))
</f>
        <v>0.003571428571</v>
      </c>
      <c r="I21" s="129">
        <f>IF(F21="♢♢", ((N4 * 100) / (COUNTIFS(F:F, "♢♢", E:E, E21) + COUNTIFS(F:F, "♢♢", E:E, "A1") + IF(E21="A1", COUNTIFS(F:F, "♢♢", E:E, E2), 0) - IF(E21="A1", COUNTIFS(F:F, "♢♢", E:E, "A1"), 0)))/100, 
   IF(F21="♢♢♢", ((N5 * 100) / (COUNTIFS(F:F, "♢♢♢", E:E, E21) + COUNTIFS(F:F, "♢♢♢", E:E, "A1") + IF(E21="A1", COUNTIFS(F:F, "♢♢♢", E:E, E2), 0) - IF(E21="A1", COUNTIFS(F:F, "♢♢♢", E:E, "A1"), 0)))/100, 
   IF(F21="♢♢♢♢", ((N6 * 100) / (COUNTIFS(F:F, "♢♢♢♢", E:E, E21) + COUNTIFS(F:F, "♢♢♢♢", E:E, "A1") + IF(E21="A1", COUNTIFS(F:F, "♢♢♢♢", E:E, E2), 0) - IF(E21="A1", COUNTIFS(F:F, "♢♢♢♢", E:E, "A1"), 0)))/100, 
   IF(F21="☆", ((N7 * 100) / (COUNTIFS(F:F, "☆", E:E, E21) + COUNTIFS(F:F, "☆", E:E, "A1") + IF(E21="A1", COUNTIFS(F:F, "☆", E:E, E2), 0) - IF(E21="A1", COUNTIFS(F:F, "☆", E:E, "A1"), 0)))/100, 
   IF(F21="☆☆", ((N8 * 100) / (COUNTIFS(F:F, "☆☆", E:E, E21) + COUNTIFS(F:F, "☆☆", E:E, "A1") + IF(E21="A1", COUNTIFS(F:F, "☆☆", E:E, E2), 0) - IF(E21="A1", COUNTIFS(F:F, "☆☆", E:E, "A1"), 0)))/100, 
   IF(F21="☆☆☆", ((N9 * 100) / (COUNTIFS(F:F, "☆☆☆", E:E, E21) + COUNTIFS(F:F, "☆☆☆", E:E, "A1") + IF(E21="A1", COUNTIFS(F:F, "☆☆☆", E:E, E2), 0) - IF(E21="A1", COUNTIFS(F:F, "☆☆☆", E:E, "A1"), 0)))/100, 
   IF(F21="♛", ((N10 * 100) / (COUNTIFS(F:F, "♛", E:E, E21) + COUNTIFS(F:F, "♛", E:E, "A1") + IF(E21="A1", COUNTIFS(F:F, "♛", E:E, E2), 0) - IF(E21="A1", COUNTIFS(F:F, "♛", E:E, "A1"), 0)))/100, "")))))))
</f>
        <v>0.01428571429</v>
      </c>
      <c r="J21" s="131"/>
      <c r="K21" s="171"/>
      <c r="N21" s="172"/>
    </row>
    <row r="22">
      <c r="A22" s="125" t="b">
        <f t="shared" si="1"/>
        <v>0</v>
      </c>
      <c r="B22" s="126">
        <v>0.0</v>
      </c>
      <c r="C22" s="127" t="s">
        <v>123</v>
      </c>
      <c r="D22" s="127" t="s">
        <v>124</v>
      </c>
      <c r="E22" s="128" t="s">
        <v>32</v>
      </c>
      <c r="F22" s="153" t="s">
        <v>44</v>
      </c>
      <c r="G22" s="129">
        <f>IF(F22="♢", ((L3 * 100) / (COUNTIFS(F:F, "♢", E:E, E22) + COUNTIFS(F:F, "♢", E:E, "A1") + IF(E22="A1", COUNTIFS(F:F, "♢", E:E, E2), 0) - IF(E22="A1", COUNTIFS(F:F, "♢", E:E, "A1"), 0)))/100, "")
</f>
        <v>0.02</v>
      </c>
      <c r="H22" s="130" t="str">
        <f>IF(F22="♢♢", ((M4 * 100) / (COUNTIFS(F:F, "♢♢", E:E, E22) + COUNTIFS(F:F, "♢♢", E:E, "A1") + IF(E22="A1", COUNTIFS(F:F, "♢♢", E:E, E2), 0) - IF(E22="A1", COUNTIFS(F:F, "♢♢", E:E, "A1"), 0)))/100, 
   IF(F22="♢♢♢", ((M5 * 100) / (COUNTIFS(F:F, "♢♢♢", E:E, E22) + COUNTIFS(F:F, "♢♢♢", E:E, "A1") + IF(E22="A1", COUNTIFS(F:F, "♢♢♢", E:E, E2), 0) - IF(E22="A1", COUNTIFS(F:F, "♢♢♢", E:E, "A1"), 0)))/100, 
   IF(F22="♢♢♢♢", ((M6 * 100) / (COUNTIFS(F:F, "♢♢♢♢", E:E, E22) + COUNTIFS(F:F, "♢♢♢♢", E:E, "A1") + IF(E22="A1", COUNTIFS(F:F, "♢♢♢♢", E:E, E2), 0) - IF(E22="A1", COUNTIFS(F:F, "♢♢♢♢", E:E, "A1"), 0)))/100, 
   IF(F22="☆", ((M7 * 100) / (COUNTIFS(F:F, "☆", E:E, E22) + COUNTIFS(F:F, "☆", E:E, "A1") + IF(E22="A1", COUNTIFS(F:F, "☆", E:E, E2), 0) - IF(E22="A1", COUNTIFS(F:F, "☆", E:E, "A1"), 0)))/100, 
   IF(F22="☆☆", ((M8 * 100) / (COUNTIFS(F:F, "☆☆", E:E, E22) + COUNTIFS(F:F, "☆☆", E:E, "A1") + IF(E22="A1", COUNTIFS(F:F, "☆☆", E:E, E2), 0) - IF(E22="A1", COUNTIFS(F:F, "☆☆", E:E, "A1"), 0)))/100, 
   IF(F22="☆☆☆", ((M9 * 100) / (COUNTIFS(F:F, "☆☆☆", E:E, E22) + COUNTIFS(F:F, "☆☆☆", E:E, "A1") + IF(E22="A1", COUNTIFS(F:F, "☆☆☆", E:E, E2), 0) - IF(E22="A1", COUNTIFS(F:F, "☆☆☆", E:E, "A1"), 0)))/100, 
   IF(F22="♛", ((M10 * 100) / (COUNTIFS(F:F, "♛", E:E, E22) + COUNTIFS(F:F, "♛", E:E, "A1") + IF(E22="A1", COUNTIFS(F:F, "♛", E:E, E2), 0) - IF(E22="A1", COUNTIFS(F:F, "♛", E:E, "A1"), 0)))/100, "")))))))
</f>
        <v/>
      </c>
      <c r="I22" s="130" t="str">
        <f>IF(F22="♢♢", ((N4 * 100) / (COUNTIFS(F:F, "♢♢", E:E, E22) + COUNTIFS(F:F, "♢♢", E:E, "A1") + IF(E22="A1", COUNTIFS(F:F, "♢♢", E:E, E2), 0) - IF(E22="A1", COUNTIFS(F:F, "♢♢", E:E, "A1"), 0)))/100, 
   IF(F22="♢♢♢", ((N5 * 100) / (COUNTIFS(F:F, "♢♢♢", E:E, E22) + COUNTIFS(F:F, "♢♢♢", E:E, "A1") + IF(E22="A1", COUNTIFS(F:F, "♢♢♢", E:E, E2), 0) - IF(E22="A1", COUNTIFS(F:F, "♢♢♢", E:E, "A1"), 0)))/100, 
   IF(F22="♢♢♢♢", ((N6 * 100) / (COUNTIFS(F:F, "♢♢♢♢", E:E, E22) + COUNTIFS(F:F, "♢♢♢♢", E:E, "A1") + IF(E22="A1", COUNTIFS(F:F, "♢♢♢♢", E:E, E2), 0) - IF(E22="A1", COUNTIFS(F:F, "♢♢♢♢", E:E, "A1"), 0)))/100, 
   IF(F22="☆", ((N7 * 100) / (COUNTIFS(F:F, "☆", E:E, E22) + COUNTIFS(F:F, "☆", E:E, "A1") + IF(E22="A1", COUNTIFS(F:F, "☆", E:E, E2), 0) - IF(E22="A1", COUNTIFS(F:F, "☆", E:E, "A1"), 0)))/100, 
   IF(F22="☆☆", ((N8 * 100) / (COUNTIFS(F:F, "☆☆", E:E, E22) + COUNTIFS(F:F, "☆☆", E:E, "A1") + IF(E22="A1", COUNTIFS(F:F, "☆☆", E:E, E2), 0) - IF(E22="A1", COUNTIFS(F:F, "☆☆", E:E, "A1"), 0)))/100, 
   IF(F22="☆☆☆", ((N9 * 100) / (COUNTIFS(F:F, "☆☆☆", E:E, E22) + COUNTIFS(F:F, "☆☆☆", E:E, "A1") + IF(E22="A1", COUNTIFS(F:F, "☆☆☆", E:E, E2), 0) - IF(E22="A1", COUNTIFS(F:F, "☆☆☆", E:E, "A1"), 0)))/100, 
   IF(F22="♛", ((N10 * 100) / (COUNTIFS(F:F, "♛", E:E, E22) + COUNTIFS(F:F, "♛", E:E, "A1") + IF(E22="A1", COUNTIFS(F:F, "♛", E:E, E2), 0) - IF(E22="A1", COUNTIFS(F:F, "♛", E:E, "A1"), 0)))/100, "")))))))
</f>
        <v/>
      </c>
      <c r="J22" s="131"/>
      <c r="K22" s="173" t="b">
        <v>0</v>
      </c>
      <c r="L22" s="127" t="s">
        <v>44</v>
      </c>
      <c r="M22" s="174" t="b">
        <v>0</v>
      </c>
      <c r="N22" s="175" t="s">
        <v>45</v>
      </c>
    </row>
    <row r="23">
      <c r="A23" s="125" t="b">
        <f t="shared" si="1"/>
        <v>0</v>
      </c>
      <c r="B23" s="126">
        <v>0.0</v>
      </c>
      <c r="C23" s="127" t="s">
        <v>125</v>
      </c>
      <c r="D23" s="127" t="s">
        <v>126</v>
      </c>
      <c r="E23" s="128" t="s">
        <v>32</v>
      </c>
      <c r="F23" s="127" t="s">
        <v>48</v>
      </c>
      <c r="G23" s="130" t="str">
        <f>IF(F23="♢", ((L3 * 100) / (COUNTIFS(F:F, "♢", E:E, E23) + COUNTIFS(F:F, "♢", E:E, "A1") + IF(E23="A1", COUNTIFS(F:F, "♢", E:E, E2), 0) - IF(E23="A1", COUNTIFS(F:F, "♢", E:E, "A1"), 0)))/100, "")
</f>
        <v/>
      </c>
      <c r="H23" s="129">
        <f>IF(F23="♢♢", ((M4 * 100) / (COUNTIFS(F:F, "♢♢", E:E, E23) + COUNTIFS(F:F, "♢♢", E:E, "A1") + IF(E23="A1", COUNTIFS(F:F, "♢♢", E:E, E2), 0) - IF(E23="A1", COUNTIFS(F:F, "♢♢", E:E, "A1"), 0)))/100, 
   IF(F23="♢♢♢", ((M5 * 100) / (COUNTIFS(F:F, "♢♢♢", E:E, E23) + COUNTIFS(F:F, "♢♢♢", E:E, "A1") + IF(E23="A1", COUNTIFS(F:F, "♢♢♢", E:E, E2), 0) - IF(E23="A1", COUNTIFS(F:F, "♢♢♢", E:E, "A1"), 0)))/100, 
   IF(F23="♢♢♢♢", ((M6 * 100) / (COUNTIFS(F:F, "♢♢♢♢", E:E, E23) + COUNTIFS(F:F, "♢♢♢♢", E:E, "A1") + IF(E23="A1", COUNTIFS(F:F, "♢♢♢♢", E:E, E2), 0) - IF(E23="A1", COUNTIFS(F:F, "♢♢♢♢", E:E, "A1"), 0)))/100, 
   IF(F23="☆", ((M7 * 100) / (COUNTIFS(F:F, "☆", E:E, E23) + COUNTIFS(F:F, "☆", E:E, "A1") + IF(E23="A1", COUNTIFS(F:F, "☆", E:E, E2), 0) - IF(E23="A1", COUNTIFS(F:F, "☆", E:E, "A1"), 0)))/100, 
   IF(F23="☆☆", ((M8 * 100) / (COUNTIFS(F:F, "☆☆", E:E, E23) + COUNTIFS(F:F, "☆☆", E:E, "A1") + IF(E23="A1", COUNTIFS(F:F, "☆☆", E:E, E2), 0) - IF(E23="A1", COUNTIFS(F:F, "☆☆", E:E, "A1"), 0)))/100, 
   IF(F23="☆☆☆", ((M9 * 100) / (COUNTIFS(F:F, "☆☆☆", E:E, E23) + COUNTIFS(F:F, "☆☆☆", E:E, "A1") + IF(E23="A1", COUNTIFS(F:F, "☆☆☆", E:E, E2), 0) - IF(E23="A1", COUNTIFS(F:F, "☆☆☆", E:E, "A1"), 0)))/100, 
   IF(F23="♛", ((M10 * 100) / (COUNTIFS(F:F, "♛", E:E, E23) + COUNTIFS(F:F, "♛", E:E, "A1") + IF(E23="A1", COUNTIFS(F:F, "♛", E:E, E2), 0) - IF(E23="A1", COUNTIFS(F:F, "♛", E:E, "A1"), 0)))/100, "")))))))
</f>
        <v>0.003571428571</v>
      </c>
      <c r="I23" s="129">
        <f>IF(F23="♢♢", ((N4 * 100) / (COUNTIFS(F:F, "♢♢", E:E, E23) + COUNTIFS(F:F, "♢♢", E:E, "A1") + IF(E23="A1", COUNTIFS(F:F, "♢♢", E:E, E2), 0) - IF(E23="A1", COUNTIFS(F:F, "♢♢", E:E, "A1"), 0)))/100, 
   IF(F23="♢♢♢", ((N5 * 100) / (COUNTIFS(F:F, "♢♢♢", E:E, E23) + COUNTIFS(F:F, "♢♢♢", E:E, "A1") + IF(E23="A1", COUNTIFS(F:F, "♢♢♢", E:E, E2), 0) - IF(E23="A1", COUNTIFS(F:F, "♢♢♢", E:E, "A1"), 0)))/100, 
   IF(F23="♢♢♢♢", ((N6 * 100) / (COUNTIFS(F:F, "♢♢♢♢", E:E, E23) + COUNTIFS(F:F, "♢♢♢♢", E:E, "A1") + IF(E23="A1", COUNTIFS(F:F, "♢♢♢♢", E:E, E2), 0) - IF(E23="A1", COUNTIFS(F:F, "♢♢♢♢", E:E, "A1"), 0)))/100, 
   IF(F23="☆", ((N7 * 100) / (COUNTIFS(F:F, "☆", E:E, E23) + COUNTIFS(F:F, "☆", E:E, "A1") + IF(E23="A1", COUNTIFS(F:F, "☆", E:E, E2), 0) - IF(E23="A1", COUNTIFS(F:F, "☆", E:E, "A1"), 0)))/100, 
   IF(F23="☆☆", ((N8 * 100) / (COUNTIFS(F:F, "☆☆", E:E, E23) + COUNTIFS(F:F, "☆☆", E:E, "A1") + IF(E23="A1", COUNTIFS(F:F, "☆☆", E:E, E2), 0) - IF(E23="A1", COUNTIFS(F:F, "☆☆", E:E, "A1"), 0)))/100, 
   IF(F23="☆☆☆", ((N9 * 100) / (COUNTIFS(F:F, "☆☆☆", E:E, E23) + COUNTIFS(F:F, "☆☆☆", E:E, "A1") + IF(E23="A1", COUNTIFS(F:F, "☆☆☆", E:E, E2), 0) - IF(E23="A1", COUNTIFS(F:F, "☆☆☆", E:E, "A1"), 0)))/100, 
   IF(F23="♛", ((N10 * 100) / (COUNTIFS(F:F, "♛", E:E, E23) + COUNTIFS(F:F, "♛", E:E, "A1") + IF(E23="A1", COUNTIFS(F:F, "♛", E:E, E2), 0) - IF(E23="A1", COUNTIFS(F:F, "♛", E:E, "A1"), 0)))/100, "")))))))
</f>
        <v>0.01428571429</v>
      </c>
      <c r="J23" s="131"/>
      <c r="K23" s="173" t="b">
        <v>0</v>
      </c>
      <c r="L23" s="127" t="s">
        <v>46</v>
      </c>
      <c r="M23" s="174" t="b">
        <v>0</v>
      </c>
      <c r="N23" s="175" t="s">
        <v>47</v>
      </c>
    </row>
    <row r="24">
      <c r="A24" s="125" t="b">
        <f t="shared" si="1"/>
        <v>0</v>
      </c>
      <c r="B24" s="126">
        <v>0.0</v>
      </c>
      <c r="C24" s="127" t="s">
        <v>127</v>
      </c>
      <c r="D24" s="128" t="s">
        <v>128</v>
      </c>
      <c r="E24" s="128" t="s">
        <v>32</v>
      </c>
      <c r="F24" s="127" t="s">
        <v>51</v>
      </c>
      <c r="G24" s="130" t="str">
        <f>IF(F24="♢", ((L3 * 100) / (COUNTIFS(F:F, "♢", E:E, E24) + COUNTIFS(F:F, "♢", E:E, "A1") + IF(E24="A1", COUNTIFS(F:F, "♢", E:E, E2), 0) - IF(E24="A1", COUNTIFS(F:F, "♢", E:E, "A1"), 0)))/100, "")
</f>
        <v/>
      </c>
      <c r="H24" s="129">
        <f>IF(F24="♢♢", ((M4 * 100) / (COUNTIFS(F:F, "♢♢", E:E, E24) + COUNTIFS(F:F, "♢♢", E:E, "A1") + IF(E24="A1", COUNTIFS(F:F, "♢♢", E:E, E2), 0) - IF(E24="A1", COUNTIFS(F:F, "♢♢", E:E, "A1"), 0)))/100, 
   IF(F24="♢♢♢", ((M5 * 100) / (COUNTIFS(F:F, "♢♢♢", E:E, E24) + COUNTIFS(F:F, "♢♢♢", E:E, "A1") + IF(E24="A1", COUNTIFS(F:F, "♢♢♢", E:E, E2), 0) - IF(E24="A1", COUNTIFS(F:F, "♢♢♢", E:E, "A1"), 0)))/100, 
   IF(F24="♢♢♢♢", ((M6 * 100) / (COUNTIFS(F:F, "♢♢♢♢", E:E, E24) + COUNTIFS(F:F, "♢♢♢♢", E:E, "A1") + IF(E24="A1", COUNTIFS(F:F, "♢♢♢♢", E:E, E2), 0) - IF(E24="A1", COUNTIFS(F:F, "♢♢♢♢", E:E, "A1"), 0)))/100, 
   IF(F24="☆", ((M7 * 100) / (COUNTIFS(F:F, "☆", E:E, E24) + COUNTIFS(F:F, "☆", E:E, "A1") + IF(E24="A1", COUNTIFS(F:F, "☆", E:E, E2), 0) - IF(E24="A1", COUNTIFS(F:F, "☆", E:E, "A1"), 0)))/100, 
   IF(F24="☆☆", ((M8 * 100) / (COUNTIFS(F:F, "☆☆", E:E, E24) + COUNTIFS(F:F, "☆☆", E:E, "A1") + IF(E24="A1", COUNTIFS(F:F, "☆☆", E:E, E2), 0) - IF(E24="A1", COUNTIFS(F:F, "☆☆", E:E, "A1"), 0)))/100, 
   IF(F24="☆☆☆", ((M9 * 100) / (COUNTIFS(F:F, "☆☆☆", E:E, E24) + COUNTIFS(F:F, "☆☆☆", E:E, "A1") + IF(E24="A1", COUNTIFS(F:F, "☆☆☆", E:E, E2), 0) - IF(E24="A1", COUNTIFS(F:F, "☆☆☆", E:E, "A1"), 0)))/100, 
   IF(F24="♛", ((M10 * 100) / (COUNTIFS(F:F, "♛", E:E, E24) + COUNTIFS(F:F, "♛", E:E, "A1") + IF(E24="A1", COUNTIFS(F:F, "♛", E:E, E2), 0) - IF(E24="A1", COUNTIFS(F:F, "♛", E:E, "A1"), 0)))/100, "")))))))
</f>
        <v>0.003332</v>
      </c>
      <c r="I24" s="129">
        <f>IF(F24="♢♢", ((N4 * 100) / (COUNTIFS(F:F, "♢♢", E:E, E24) + COUNTIFS(F:F, "♢♢", E:E, "A1") + IF(E24="A1", COUNTIFS(F:F, "♢♢", E:E, E2), 0) - IF(E24="A1", COUNTIFS(F:F, "♢♢", E:E, "A1"), 0)))/100, 
   IF(F24="♢♢♢", ((N5 * 100) / (COUNTIFS(F:F, "♢♢♢", E:E, E24) + COUNTIFS(F:F, "♢♢♢", E:E, "A1") + IF(E24="A1", COUNTIFS(F:F, "♢♢♢", E:E, E2), 0) - IF(E24="A1", COUNTIFS(F:F, "♢♢♢", E:E, "A1"), 0)))/100, 
   IF(F24="♢♢♢♢", ((N6 * 100) / (COUNTIFS(F:F, "♢♢♢♢", E:E, E24) + COUNTIFS(F:F, "♢♢♢♢", E:E, "A1") + IF(E24="A1", COUNTIFS(F:F, "♢♢♢♢", E:E, E2), 0) - IF(E24="A1", COUNTIFS(F:F, "♢♢♢♢", E:E, "A1"), 0)))/100, 
   IF(F24="☆", ((N7 * 100) / (COUNTIFS(F:F, "☆", E:E, E24) + COUNTIFS(F:F, "☆", E:E, "A1") + IF(E24="A1", COUNTIFS(F:F, "☆", E:E, E2), 0) - IF(E24="A1", COUNTIFS(F:F, "☆", E:E, "A1"), 0)))/100, 
   IF(F24="☆☆", ((N8 * 100) / (COUNTIFS(F:F, "☆☆", E:E, E24) + COUNTIFS(F:F, "☆☆", E:E, "A1") + IF(E24="A1", COUNTIFS(F:F, "☆☆", E:E, E2), 0) - IF(E24="A1", COUNTIFS(F:F, "☆☆", E:E, "A1"), 0)))/100, 
   IF(F24="☆☆☆", ((N9 * 100) / (COUNTIFS(F:F, "☆☆☆", E:E, E24) + COUNTIFS(F:F, "☆☆☆", E:E, "A1") + IF(E24="A1", COUNTIFS(F:F, "☆☆☆", E:E, E2), 0) - IF(E24="A1", COUNTIFS(F:F, "☆☆☆", E:E, "A1"), 0)))/100, 
   IF(F24="♛", ((N10 * 100) / (COUNTIFS(F:F, "♛", E:E, E24) + COUNTIFS(F:F, "♛", E:E, "A1") + IF(E24="A1", COUNTIFS(F:F, "♛", E:E, E2), 0) - IF(E24="A1", COUNTIFS(F:F, "♛", E:E, "A1"), 0)))/100, "")))))))
</f>
        <v>0.013328</v>
      </c>
      <c r="J24" s="131"/>
      <c r="K24" s="173" t="b">
        <v>0</v>
      </c>
      <c r="L24" s="127" t="s">
        <v>48</v>
      </c>
      <c r="M24" s="174" t="b">
        <v>0</v>
      </c>
      <c r="N24" s="175" t="s">
        <v>49</v>
      </c>
    </row>
    <row r="25">
      <c r="A25" s="125" t="b">
        <f t="shared" si="1"/>
        <v>0</v>
      </c>
      <c r="B25" s="126">
        <v>0.0</v>
      </c>
      <c r="C25" s="127" t="s">
        <v>129</v>
      </c>
      <c r="D25" s="127" t="s">
        <v>130</v>
      </c>
      <c r="E25" s="128" t="s">
        <v>32</v>
      </c>
      <c r="F25" s="153" t="s">
        <v>44</v>
      </c>
      <c r="G25" s="129">
        <f>IF(F25="♢", ((L3 * 100) / (COUNTIFS(F:F, "♢", E:E, E25) + COUNTIFS(F:F, "♢", E:E, "A1") + IF(E25="A1", COUNTIFS(F:F, "♢", E:E, E2), 0) - IF(E25="A1", COUNTIFS(F:F, "♢", E:E, "A1"), 0)))/100, "")
</f>
        <v>0.02</v>
      </c>
      <c r="H25" s="130" t="str">
        <f>IF(F25="♢♢", ((M4 * 100) / (COUNTIFS(F:F, "♢♢", E:E, E25) + COUNTIFS(F:F, "♢♢", E:E, "A1") + IF(E25="A1", COUNTIFS(F:F, "♢♢", E:E, E2), 0) - IF(E25="A1", COUNTIFS(F:F, "♢♢", E:E, "A1"), 0)))/100, 
   IF(F25="♢♢♢", ((M5 * 100) / (COUNTIFS(F:F, "♢♢♢", E:E, E25) + COUNTIFS(F:F, "♢♢♢", E:E, "A1") + IF(E25="A1", COUNTIFS(F:F, "♢♢♢", E:E, E2), 0) - IF(E25="A1", COUNTIFS(F:F, "♢♢♢", E:E, "A1"), 0)))/100, 
   IF(F25="♢♢♢♢", ((M6 * 100) / (COUNTIFS(F:F, "♢♢♢♢", E:E, E25) + COUNTIFS(F:F, "♢♢♢♢", E:E, "A1") + IF(E25="A1", COUNTIFS(F:F, "♢♢♢♢", E:E, E2), 0) - IF(E25="A1", COUNTIFS(F:F, "♢♢♢♢", E:E, "A1"), 0)))/100, 
   IF(F25="☆", ((M7 * 100) / (COUNTIFS(F:F, "☆", E:E, E25) + COUNTIFS(F:F, "☆", E:E, "A1") + IF(E25="A1", COUNTIFS(F:F, "☆", E:E, E2), 0) - IF(E25="A1", COUNTIFS(F:F, "☆", E:E, "A1"), 0)))/100, 
   IF(F25="☆☆", ((M8 * 100) / (COUNTIFS(F:F, "☆☆", E:E, E25) + COUNTIFS(F:F, "☆☆", E:E, "A1") + IF(E25="A1", COUNTIFS(F:F, "☆☆", E:E, E2), 0) - IF(E25="A1", COUNTIFS(F:F, "☆☆", E:E, "A1"), 0)))/100, 
   IF(F25="☆☆☆", ((M9 * 100) / (COUNTIFS(F:F, "☆☆☆", E:E, E25) + COUNTIFS(F:F, "☆☆☆", E:E, "A1") + IF(E25="A1", COUNTIFS(F:F, "☆☆☆", E:E, E2), 0) - IF(E25="A1", COUNTIFS(F:F, "☆☆☆", E:E, "A1"), 0)))/100, 
   IF(F25="♛", ((M10 * 100) / (COUNTIFS(F:F, "♛", E:E, E25) + COUNTIFS(F:F, "♛", E:E, "A1") + IF(E25="A1", COUNTIFS(F:F, "♛", E:E, E2), 0) - IF(E25="A1", COUNTIFS(F:F, "♛", E:E, "A1"), 0)))/100, "")))))))
</f>
        <v/>
      </c>
      <c r="I25" s="130" t="str">
        <f>IF(F25="♢♢", ((N4 * 100) / (COUNTIFS(F:F, "♢♢", E:E, E25) + COUNTIFS(F:F, "♢♢", E:E, "A1") + IF(E25="A1", COUNTIFS(F:F, "♢♢", E:E, E2), 0) - IF(E25="A1", COUNTIFS(F:F, "♢♢", E:E, "A1"), 0)))/100, 
   IF(F25="♢♢♢", ((N5 * 100) / (COUNTIFS(F:F, "♢♢♢", E:E, E25) + COUNTIFS(F:F, "♢♢♢", E:E, "A1") + IF(E25="A1", COUNTIFS(F:F, "♢♢♢", E:E, E2), 0) - IF(E25="A1", COUNTIFS(F:F, "♢♢♢", E:E, "A1"), 0)))/100, 
   IF(F25="♢♢♢♢", ((N6 * 100) / (COUNTIFS(F:F, "♢♢♢♢", E:E, E25) + COUNTIFS(F:F, "♢♢♢♢", E:E, "A1") + IF(E25="A1", COUNTIFS(F:F, "♢♢♢♢", E:E, E2), 0) - IF(E25="A1", COUNTIFS(F:F, "♢♢♢♢", E:E, "A1"), 0)))/100, 
   IF(F25="☆", ((N7 * 100) / (COUNTIFS(F:F, "☆", E:E, E25) + COUNTIFS(F:F, "☆", E:E, "A1") + IF(E25="A1", COUNTIFS(F:F, "☆", E:E, E2), 0) - IF(E25="A1", COUNTIFS(F:F, "☆", E:E, "A1"), 0)))/100, 
   IF(F25="☆☆", ((N8 * 100) / (COUNTIFS(F:F, "☆☆", E:E, E25) + COUNTIFS(F:F, "☆☆", E:E, "A1") + IF(E25="A1", COUNTIFS(F:F, "☆☆", E:E, E2), 0) - IF(E25="A1", COUNTIFS(F:F, "☆☆", E:E, "A1"), 0)))/100, 
   IF(F25="☆☆☆", ((N9 * 100) / (COUNTIFS(F:F, "☆☆☆", E:E, E25) + COUNTIFS(F:F, "☆☆☆", E:E, "A1") + IF(E25="A1", COUNTIFS(F:F, "☆☆☆", E:E, E2), 0) - IF(E25="A1", COUNTIFS(F:F, "☆☆☆", E:E, "A1"), 0)))/100, 
   IF(F25="♛", ((N10 * 100) / (COUNTIFS(F:F, "♛", E:E, E25) + COUNTIFS(F:F, "♛", E:E, "A1") + IF(E25="A1", COUNTIFS(F:F, "♛", E:E, E2), 0) - IF(E25="A1", COUNTIFS(F:F, "♛", E:E, "A1"), 0)))/100, "")))))))
</f>
        <v/>
      </c>
      <c r="J25" s="131"/>
      <c r="K25" s="173" t="b">
        <v>0</v>
      </c>
      <c r="L25" s="127" t="s">
        <v>51</v>
      </c>
      <c r="M25" s="174" t="b">
        <v>1</v>
      </c>
      <c r="N25" s="175" t="s">
        <v>52</v>
      </c>
    </row>
    <row r="26">
      <c r="A26" s="125" t="b">
        <f t="shared" si="1"/>
        <v>0</v>
      </c>
      <c r="B26" s="126">
        <v>0.0</v>
      </c>
      <c r="C26" s="127" t="s">
        <v>131</v>
      </c>
      <c r="D26" s="127" t="s">
        <v>132</v>
      </c>
      <c r="E26" s="128" t="s">
        <v>29</v>
      </c>
      <c r="F26" s="127" t="s">
        <v>44</v>
      </c>
      <c r="G26" s="129">
        <f>IF(F26="♢", ((L3 * 100) / (COUNTIFS(F:F, "♢", E:E, E26) + COUNTIFS(F:F, "♢", E:E, "A1") + IF(E26="A1", COUNTIFS(F:F, "♢", E:E, E2), 0) - IF(E26="A1", COUNTIFS(F:F, "♢", E:E, "A1"), 0)))/100, "")
</f>
        <v>0.02</v>
      </c>
      <c r="H26" s="130" t="str">
        <f>IF(F26="♢♢", ((M4 * 100) / (COUNTIFS(F:F, "♢♢", E:E, E26) + COUNTIFS(F:F, "♢♢", E:E, "A1") + IF(E26="A1", COUNTIFS(F:F, "♢♢", E:E, E2), 0) - IF(E26="A1", COUNTIFS(F:F, "♢♢", E:E, "A1"), 0)))/100, 
   IF(F26="♢♢♢", ((M5 * 100) / (COUNTIFS(F:F, "♢♢♢", E:E, E26) + COUNTIFS(F:F, "♢♢♢", E:E, "A1") + IF(E26="A1", COUNTIFS(F:F, "♢♢♢", E:E, E2), 0) - IF(E26="A1", COUNTIFS(F:F, "♢♢♢", E:E, "A1"), 0)))/100, 
   IF(F26="♢♢♢♢", ((M6 * 100) / (COUNTIFS(F:F, "♢♢♢♢", E:E, E26) + COUNTIFS(F:F, "♢♢♢♢", E:E, "A1") + IF(E26="A1", COUNTIFS(F:F, "♢♢♢♢", E:E, E2), 0) - IF(E26="A1", COUNTIFS(F:F, "♢♢♢♢", E:E, "A1"), 0)))/100, 
   IF(F26="☆", ((M7 * 100) / (COUNTIFS(F:F, "☆", E:E, E26) + COUNTIFS(F:F, "☆", E:E, "A1") + IF(E26="A1", COUNTIFS(F:F, "☆", E:E, E2), 0) - IF(E26="A1", COUNTIFS(F:F, "☆", E:E, "A1"), 0)))/100, 
   IF(F26="☆☆", ((M8 * 100) / (COUNTIFS(F:F, "☆☆", E:E, E26) + COUNTIFS(F:F, "☆☆", E:E, "A1") + IF(E26="A1", COUNTIFS(F:F, "☆☆", E:E, E2), 0) - IF(E26="A1", COUNTIFS(F:F, "☆☆", E:E, "A1"), 0)))/100, 
   IF(F26="☆☆☆", ((M9 * 100) / (COUNTIFS(F:F, "☆☆☆", E:E, E26) + COUNTIFS(F:F, "☆☆☆", E:E, "A1") + IF(E26="A1", COUNTIFS(F:F, "☆☆☆", E:E, E2), 0) - IF(E26="A1", COUNTIFS(F:F, "☆☆☆", E:E, "A1"), 0)))/100, 
   IF(F26="♛", ((M10 * 100) / (COUNTIFS(F:F, "♛", E:E, E26) + COUNTIFS(F:F, "♛", E:E, "A1") + IF(E26="A1", COUNTIFS(F:F, "♛", E:E, E2), 0) - IF(E26="A1", COUNTIFS(F:F, "♛", E:E, "A1"), 0)))/100, "")))))))
</f>
        <v/>
      </c>
      <c r="I26" s="130" t="str">
        <f>IF(F26="♢♢", ((N4 * 100) / (COUNTIFS(F:F, "♢♢", E:E, E26) + COUNTIFS(F:F, "♢♢", E:E, "A1") + IF(E26="A1", COUNTIFS(F:F, "♢♢", E:E, E2), 0) - IF(E26="A1", COUNTIFS(F:F, "♢♢", E:E, "A1"), 0)))/100, 
   IF(F26="♢♢♢", ((N5 * 100) / (COUNTIFS(F:F, "♢♢♢", E:E, E26) + COUNTIFS(F:F, "♢♢♢", E:E, "A1") + IF(E26="A1", COUNTIFS(F:F, "♢♢♢", E:E, E2), 0) - IF(E26="A1", COUNTIFS(F:F, "♢♢♢", E:E, "A1"), 0)))/100, 
   IF(F26="♢♢♢♢", ((N6 * 100) / (COUNTIFS(F:F, "♢♢♢♢", E:E, E26) + COUNTIFS(F:F, "♢♢♢♢", E:E, "A1") + IF(E26="A1", COUNTIFS(F:F, "♢♢♢♢", E:E, E2), 0) - IF(E26="A1", COUNTIFS(F:F, "♢♢♢♢", E:E, "A1"), 0)))/100, 
   IF(F26="☆", ((N7 * 100) / (COUNTIFS(F:F, "☆", E:E, E26) + COUNTIFS(F:F, "☆", E:E, "A1") + IF(E26="A1", COUNTIFS(F:F, "☆", E:E, E2), 0) - IF(E26="A1", COUNTIFS(F:F, "☆", E:E, "A1"), 0)))/100, 
   IF(F26="☆☆", ((N8 * 100) / (COUNTIFS(F:F, "☆☆", E:E, E26) + COUNTIFS(F:F, "☆☆", E:E, "A1") + IF(E26="A1", COUNTIFS(F:F, "☆☆", E:E, E2), 0) - IF(E26="A1", COUNTIFS(F:F, "☆☆", E:E, "A1"), 0)))/100, 
   IF(F26="☆☆☆", ((N9 * 100) / (COUNTIFS(F:F, "☆☆☆", E:E, E26) + COUNTIFS(F:F, "☆☆☆", E:E, "A1") + IF(E26="A1", COUNTIFS(F:F, "☆☆☆", E:E, E2), 0) - IF(E26="A1", COUNTIFS(F:F, "☆☆☆", E:E, "A1"), 0)))/100, 
   IF(F26="♛", ((N10 * 100) / (COUNTIFS(F:F, "♛", E:E, E26) + COUNTIFS(F:F, "♛", E:E, "A1") + IF(E26="A1", COUNTIFS(F:F, "♛", E:E, E2), 0) - IF(E26="A1", COUNTIFS(F:F, "♛", E:E, "A1"), 0)))/100, "")))))))
</f>
        <v/>
      </c>
      <c r="J26" s="131"/>
      <c r="K26" s="176" t="s">
        <v>133</v>
      </c>
      <c r="L26" s="2"/>
      <c r="M26" s="2"/>
      <c r="N26" s="177"/>
      <c r="O26" s="124" t="s">
        <v>134</v>
      </c>
    </row>
    <row r="27">
      <c r="A27" s="125" t="b">
        <f t="shared" si="1"/>
        <v>0</v>
      </c>
      <c r="B27" s="126">
        <v>0.0</v>
      </c>
      <c r="C27" s="127" t="s">
        <v>135</v>
      </c>
      <c r="D27" s="127" t="s">
        <v>136</v>
      </c>
      <c r="E27" s="128" t="s">
        <v>137</v>
      </c>
      <c r="F27" s="127" t="s">
        <v>46</v>
      </c>
      <c r="G27" s="130" t="str">
        <f>IF(F27="♢", ((L3 * 100) / (COUNTIFS(F:F, "♢", E:E, E27) + COUNTIFS(F:F, "♢", E:E, "A1") + IF(E27="A1", COUNTIFS(F:F, "♢", E:E, E2), 0) - IF(E27="A1", COUNTIFS(F:F, "♢", E:E, "A1"), 0)))/100, "")
</f>
        <v/>
      </c>
      <c r="H27" s="129">
        <f>IF(F27="♢♢", ((M4 * 100) / (COUNTIFS(F:F, "♢♢", E:E, E27) + COUNTIFS(F:F, "♢♢", E:E, "A1") + IF(E27="A1", COUNTIFS(F:F, "♢♢", E:E, E2), 0) - IF(E27="A1", COUNTIFS(F:F, "♢♢", E:E, "A1"), 0)))/100, 
   IF(F27="♢♢♢", ((M5 * 100) / (COUNTIFS(F:F, "♢♢♢", E:E, E27) + COUNTIFS(F:F, "♢♢♢", E:E, "A1") + IF(E27="A1", COUNTIFS(F:F, "♢♢♢", E:E, E2), 0) - IF(E27="A1", COUNTIFS(F:F, "♢♢♢", E:E, "A1"), 0)))/100, 
   IF(F27="♢♢♢♢", ((M6 * 100) / (COUNTIFS(F:F, "♢♢♢♢", E:E, E27) + COUNTIFS(F:F, "♢♢♢♢", E:E, "A1") + IF(E27="A1", COUNTIFS(F:F, "♢♢♢♢", E:E, E2), 0) - IF(E27="A1", COUNTIFS(F:F, "♢♢♢♢", E:E, "A1"), 0)))/100, 
   IF(F27="☆", ((M7 * 100) / (COUNTIFS(F:F, "☆", E:E, E27) + COUNTIFS(F:F, "☆", E:E, "A1") + IF(E27="A1", COUNTIFS(F:F, "☆", E:E, E2), 0) - IF(E27="A1", COUNTIFS(F:F, "☆", E:E, "A1"), 0)))/100, 
   IF(F27="☆☆", ((M8 * 100) / (COUNTIFS(F:F, "☆☆", E:E, E27) + COUNTIFS(F:F, "☆☆", E:E, "A1") + IF(E27="A1", COUNTIFS(F:F, "☆☆", E:E, E2), 0) - IF(E27="A1", COUNTIFS(F:F, "☆☆", E:E, "A1"), 0)))/100, 
   IF(F27="☆☆☆", ((M9 * 100) / (COUNTIFS(F:F, "☆☆☆", E:E, E27) + COUNTIFS(F:F, "☆☆☆", E:E, "A1") + IF(E27="A1", COUNTIFS(F:F, "☆☆☆", E:E, E2), 0) - IF(E27="A1", COUNTIFS(F:F, "☆☆☆", E:E, "A1"), 0)))/100, 
   IF(F27="♛", ((M10 * 100) / (COUNTIFS(F:F, "♛", E:E, E27) + COUNTIFS(F:F, "♛", E:E, "A1") + IF(E27="A1", COUNTIFS(F:F, "♛", E:E, E2), 0) - IF(E27="A1", COUNTIFS(F:F, "♛", E:E, "A1"), 0)))/100, "")))))))
</f>
        <v>0.02571428571</v>
      </c>
      <c r="I27" s="129">
        <f>IF(F27="♢♢", ((N4 * 100) / (COUNTIFS(F:F, "♢♢", E:E, E27) + COUNTIFS(F:F, "♢♢", E:E, "A1") + IF(E27="A1", COUNTIFS(F:F, "♢♢", E:E, E2), 0) - IF(E27="A1", COUNTIFS(F:F, "♢♢", E:E, "A1"), 0)))/100, 
   IF(F27="♢♢♢", ((N5 * 100) / (COUNTIFS(F:F, "♢♢♢", E:E, E27) + COUNTIFS(F:F, "♢♢♢", E:E, "A1") + IF(E27="A1", COUNTIFS(F:F, "♢♢♢", E:E, E2), 0) - IF(E27="A1", COUNTIFS(F:F, "♢♢♢", E:E, "A1"), 0)))/100, 
   IF(F27="♢♢♢♢", ((N6 * 100) / (COUNTIFS(F:F, "♢♢♢♢", E:E, E27) + COUNTIFS(F:F, "♢♢♢♢", E:E, "A1") + IF(E27="A1", COUNTIFS(F:F, "♢♢♢♢", E:E, E2), 0) - IF(E27="A1", COUNTIFS(F:F, "♢♢♢♢", E:E, "A1"), 0)))/100, 
   IF(F27="☆", ((N7 * 100) / (COUNTIFS(F:F, "☆", E:E, E27) + COUNTIFS(F:F, "☆", E:E, "A1") + IF(E27="A1", COUNTIFS(F:F, "☆", E:E, E2), 0) - IF(E27="A1", COUNTIFS(F:F, "☆", E:E, "A1"), 0)))/100, 
   IF(F27="☆☆", ((N8 * 100) / (COUNTIFS(F:F, "☆☆", E:E, E27) + COUNTIFS(F:F, "☆☆", E:E, "A1") + IF(E27="A1", COUNTIFS(F:F, "☆☆", E:E, E2), 0) - IF(E27="A1", COUNTIFS(F:F, "☆☆", E:E, "A1"), 0)))/100, 
   IF(F27="☆☆☆", ((N9 * 100) / (COUNTIFS(F:F, "☆☆☆", E:E, E27) + COUNTIFS(F:F, "☆☆☆", E:E, "A1") + IF(E27="A1", COUNTIFS(F:F, "☆☆☆", E:E, E2), 0) - IF(E27="A1", COUNTIFS(F:F, "☆☆☆", E:E, "A1"), 0)))/100, 
   IF(F27="♛", ((N10 * 100) / (COUNTIFS(F:F, "♛", E:E, E27) + COUNTIFS(F:F, "♛", E:E, "A1") + IF(E27="A1", COUNTIFS(F:F, "♛", E:E, E2), 0) - IF(E27="A1", COUNTIFS(F:F, "♛", E:E, "A1"), 0)))/100, "")))))))
</f>
        <v>0.01714285714</v>
      </c>
      <c r="J27" s="131"/>
      <c r="K27" s="178" t="s">
        <v>138</v>
      </c>
      <c r="L27" s="179" t="s">
        <v>24</v>
      </c>
      <c r="M27" s="179" t="s">
        <v>25</v>
      </c>
      <c r="N27" s="180" t="s">
        <v>26</v>
      </c>
    </row>
    <row r="28">
      <c r="A28" s="125" t="b">
        <f t="shared" si="1"/>
        <v>0</v>
      </c>
      <c r="B28" s="126">
        <v>0.0</v>
      </c>
      <c r="C28" s="127" t="s">
        <v>139</v>
      </c>
      <c r="D28" s="127" t="s">
        <v>140</v>
      </c>
      <c r="E28" s="128" t="s">
        <v>137</v>
      </c>
      <c r="F28" s="127" t="s">
        <v>44</v>
      </c>
      <c r="G28" s="129">
        <f>IF(F28="♢", ((L3 * 100) / (COUNTIFS(F:F, "♢", E:E, E28) + COUNTIFS(F:F, "♢", E:E, "A1") + IF(E28="A1", COUNTIFS(F:F, "♢", E:E, E2), 0) - IF(E28="A1", COUNTIFS(F:F, "♢", E:E, "A1"), 0)))/100, "")
</f>
        <v>0.02</v>
      </c>
      <c r="H28" s="130" t="str">
        <f>IF(F28="♢♢", ((M4 * 100) / (COUNTIFS(F:F, "♢♢", E:E, E28) + COUNTIFS(F:F, "♢♢", E:E, "A1") + IF(E28="A1", COUNTIFS(F:F, "♢♢", E:E, E2), 0) - IF(E28="A1", COUNTIFS(F:F, "♢♢", E:E, "A1"), 0)))/100, 
   IF(F28="♢♢♢", ((M5 * 100) / (COUNTIFS(F:F, "♢♢♢", E:E, E28) + COUNTIFS(F:F, "♢♢♢", E:E, "A1") + IF(E28="A1", COUNTIFS(F:F, "♢♢♢", E:E, E2), 0) - IF(E28="A1", COUNTIFS(F:F, "♢♢♢", E:E, "A1"), 0)))/100, 
   IF(F28="♢♢♢♢", ((M6 * 100) / (COUNTIFS(F:F, "♢♢♢♢", E:E, E28) + COUNTIFS(F:F, "♢♢♢♢", E:E, "A1") + IF(E28="A1", COUNTIFS(F:F, "♢♢♢♢", E:E, E2), 0) - IF(E28="A1", COUNTIFS(F:F, "♢♢♢♢", E:E, "A1"), 0)))/100, 
   IF(F28="☆", ((M7 * 100) / (COUNTIFS(F:F, "☆", E:E, E28) + COUNTIFS(F:F, "☆", E:E, "A1") + IF(E28="A1", COUNTIFS(F:F, "☆", E:E, E2), 0) - IF(E28="A1", COUNTIFS(F:F, "☆", E:E, "A1"), 0)))/100, 
   IF(F28="☆☆", ((M8 * 100) / (COUNTIFS(F:F, "☆☆", E:E, E28) + COUNTIFS(F:F, "☆☆", E:E, "A1") + IF(E28="A1", COUNTIFS(F:F, "☆☆", E:E, E2), 0) - IF(E28="A1", COUNTIFS(F:F, "☆☆", E:E, "A1"), 0)))/100, 
   IF(F28="☆☆☆", ((M9 * 100) / (COUNTIFS(F:F, "☆☆☆", E:E, E28) + COUNTIFS(F:F, "☆☆☆", E:E, "A1") + IF(E28="A1", COUNTIFS(F:F, "☆☆☆", E:E, E2), 0) - IF(E28="A1", COUNTIFS(F:F, "☆☆☆", E:E, "A1"), 0)))/100, 
   IF(F28="♛", ((M10 * 100) / (COUNTIFS(F:F, "♛", E:E, E28) + COUNTIFS(F:F, "♛", E:E, "A1") + IF(E28="A1", COUNTIFS(F:F, "♛", E:E, E2), 0) - IF(E28="A1", COUNTIFS(F:F, "♛", E:E, "A1"), 0)))/100, "")))))))
</f>
        <v/>
      </c>
      <c r="I28" s="130" t="str">
        <f>IF(F28="♢♢", ((N4 * 100) / (COUNTIFS(F:F, "♢♢", E:E, E28) + COUNTIFS(F:F, "♢♢", E:E, "A1") + IF(E28="A1", COUNTIFS(F:F, "♢♢", E:E, E2), 0) - IF(E28="A1", COUNTIFS(F:F, "♢♢", E:E, "A1"), 0)))/100, 
   IF(F28="♢♢♢", ((N5 * 100) / (COUNTIFS(F:F, "♢♢♢", E:E, E28) + COUNTIFS(F:F, "♢♢♢", E:E, "A1") + IF(E28="A1", COUNTIFS(F:F, "♢♢♢", E:E, E2), 0) - IF(E28="A1", COUNTIFS(F:F, "♢♢♢", E:E, "A1"), 0)))/100, 
   IF(F28="♢♢♢♢", ((N6 * 100) / (COUNTIFS(F:F, "♢♢♢♢", E:E, E28) + COUNTIFS(F:F, "♢♢♢♢", E:E, "A1") + IF(E28="A1", COUNTIFS(F:F, "♢♢♢♢", E:E, E2), 0) - IF(E28="A1", COUNTIFS(F:F, "♢♢♢♢", E:E, "A1"), 0)))/100, 
   IF(F28="☆", ((N7 * 100) / (COUNTIFS(F:F, "☆", E:E, E28) + COUNTIFS(F:F, "☆", E:E, "A1") + IF(E28="A1", COUNTIFS(F:F, "☆", E:E, E2), 0) - IF(E28="A1", COUNTIFS(F:F, "☆", E:E, "A1"), 0)))/100, 
   IF(F28="☆☆", ((N8 * 100) / (COUNTIFS(F:F, "☆☆", E:E, E28) + COUNTIFS(F:F, "☆☆", E:E, "A1") + IF(E28="A1", COUNTIFS(F:F, "☆☆", E:E, E2), 0) - IF(E28="A1", COUNTIFS(F:F, "☆☆", E:E, "A1"), 0)))/100, 
   IF(F28="☆☆☆", ((N9 * 100) / (COUNTIFS(F:F, "☆☆☆", E:E, E28) + COUNTIFS(F:F, "☆☆☆", E:E, "A1") + IF(E28="A1", COUNTIFS(F:F, "☆☆☆", E:E, E2), 0) - IF(E28="A1", COUNTIFS(F:F, "☆☆☆", E:E, "A1"), 0)))/100, 
   IF(F28="♛", ((N10 * 100) / (COUNTIFS(F:F, "♛", E:E, E28) + COUNTIFS(F:F, "♛", E:E, "A1") + IF(E28="A1", COUNTIFS(F:F, "♛", E:E, E2), 0) - IF(E28="A1", COUNTIFS(F:F, "♛", E:E, "A1"), 0)))/100, "")))))))
</f>
        <v/>
      </c>
      <c r="J28" s="131"/>
      <c r="K28" s="181" t="s">
        <v>30</v>
      </c>
      <c r="L28" s="182">
        <f>IFERROR(
  (
    COUNTIFS(F:F, "♢", A:A, TRUE) * K22 +
    COUNTIFS(F:F, "♢♢", A:A, TRUE) * K23 +
    COUNTIFS(F:F, "♢♢♢", A:A, TRUE) * K24 +
    COUNTIFS(F:F, "♢♢♢♢", A:A, TRUE) * K25 +
    COUNTIFS(F:F, "☆", A:A, TRUE) * M22 +
    COUNTIFS(F:F, "☆☆", A:A, TRUE) * M23 +
    COUNTIFS(F:F, "☆☆☆", A:A, TRUE) * M24 +
    COUNTIFS(F:F, "♛", A:A, TRUE) * M25
  ) / (
    COUNTIFS(F:F, "♢") * K22 +
    COUNTIFS(F:F, "♢♢") * K23 +
    COUNTIFS(F:F, "♢♢♢") * K24 +
    COUNTIFS(F:F, "♢♢♢♢") * K25 +
    COUNTIFS(F:F, "☆") * M22 +
    COUNTIFS(F:F, "☆☆") * M23 +
    COUNTIFS(F:F, "☆☆☆") * M24 +
    COUNTIFS(F:F, "♛") * M25
  ),
  0
)
</f>
        <v>0</v>
      </c>
      <c r="M28" s="182">
        <f>IFERROR(
  (
    COUNTIFS(F:F, "♢", A:A, FALSE) * K22 +
    COUNTIFS(F:F, "♢♢", A:A, FALSE) * K23 +
    COUNTIFS(F:F, "♢♢♢", A:A, FALSE) * K24 +
    COUNTIFS(F:F, "♢♢♢♢", A:A, FALSE) * K25 +
    COUNTIFS(F:F, "☆", A:A, FALSE) * M22 +
    COUNTIFS(F:F, "☆☆", A:A, FALSE) * M23 +
    COUNTIFS(F:F, "☆☆☆", A:A, FALSE) * M24 +
    COUNTIFS(F:F, "♛", A:A, FALSE) * M25
  ) / (
    COUNTIFS(F:F, "♢") * K22 +
    COUNTIFS(F:F, "♢♢") * K23 +
    COUNTIFS(F:F, "♢♢♢") * K24 +
    COUNTIFS(F:F, "♢♢♢♢") * K25 +
    COUNTIFS(F:F, "☆") * M22 +
    COUNTIFS(F:F, "☆☆") * M23 +
    COUNTIFS(F:F, "☆☆☆") * M24 +
    COUNTIFS(F:F, "♛") * M25
  ),
  0
)
</f>
        <v>1</v>
      </c>
      <c r="N28" s="180" t="str">
        <f>TEXT(
  COUNTIFS(F:F, "♢", A:A, TRUE) * K22 +
  COUNTIFS(F:F, "♢♢", A:A, TRUE) * K23 +
  COUNTIFS(F:F, "♢♢♢", A:A, TRUE) * K24 +
  COUNTIFS(F:F, "♢♢♢♢", A:A, TRUE) * K25 +
  COUNTIFS(F:F, "☆", A:A, TRUE) * M22 +
  COUNTIFS(F:F, "☆☆", A:A, TRUE) * M23 +
  COUNTIFS(F:F, "☆☆☆", A:A, TRUE) * M24 +
  COUNTIFS(F:F, "♛", A:A, TRUE) * M25, "0"
) &amp; "/" &amp;
TEXT(
  COUNTIFS(F:F, "♢") * K22 +
  COUNTIFS(F:F, "♢♢") * K23 +
  COUNTIFS(F:F, "♢♢♢") * K24 +
  COUNTIFS(F:F, "♢♢♢♢") * K25 +
  COUNTIFS(F:F, "☆") * M22 +
  COUNTIFS(F:F, "☆☆") * M23 +
  COUNTIFS(F:F, "☆☆☆") * M24 +
  COUNTIFS(F:F, "♛") * M25, "0"
)
</f>
        <v>0/3</v>
      </c>
    </row>
    <row r="29">
      <c r="A29" s="125" t="b">
        <f t="shared" si="1"/>
        <v>0</v>
      </c>
      <c r="B29" s="126">
        <v>0.0</v>
      </c>
      <c r="C29" s="127" t="s">
        <v>141</v>
      </c>
      <c r="D29" s="128" t="s">
        <v>142</v>
      </c>
      <c r="E29" s="128" t="s">
        <v>137</v>
      </c>
      <c r="F29" s="127" t="s">
        <v>46</v>
      </c>
      <c r="G29" s="130" t="str">
        <f>IF(F29="♢", ((L3 * 100) / (COUNTIFS(F:F, "♢", E:E, E29) + COUNTIFS(F:F, "♢", E:E, "A1") + IF(E29="A1", COUNTIFS(F:F, "♢", E:E, E2), 0) - IF(E29="A1", COUNTIFS(F:F, "♢", E:E, "A1"), 0)))/100, "")
</f>
        <v/>
      </c>
      <c r="H29" s="129">
        <f>IF(F29="♢♢", ((M4 * 100) / (COUNTIFS(F:F, "♢♢", E:E, E29) + COUNTIFS(F:F, "♢♢", E:E, "A1") + IF(E29="A1", COUNTIFS(F:F, "♢♢", E:E, E2), 0) - IF(E29="A1", COUNTIFS(F:F, "♢♢", E:E, "A1"), 0)))/100, 
   IF(F29="♢♢♢", ((M5 * 100) / (COUNTIFS(F:F, "♢♢♢", E:E, E29) + COUNTIFS(F:F, "♢♢♢", E:E, "A1") + IF(E29="A1", COUNTIFS(F:F, "♢♢♢", E:E, E2), 0) - IF(E29="A1", COUNTIFS(F:F, "♢♢♢", E:E, "A1"), 0)))/100, 
   IF(F29="♢♢♢♢", ((M6 * 100) / (COUNTIFS(F:F, "♢♢♢♢", E:E, E29) + COUNTIFS(F:F, "♢♢♢♢", E:E, "A1") + IF(E29="A1", COUNTIFS(F:F, "♢♢♢♢", E:E, E2), 0) - IF(E29="A1", COUNTIFS(F:F, "♢♢♢♢", E:E, "A1"), 0)))/100, 
   IF(F29="☆", ((M7 * 100) / (COUNTIFS(F:F, "☆", E:E, E29) + COUNTIFS(F:F, "☆", E:E, "A1") + IF(E29="A1", COUNTIFS(F:F, "☆", E:E, E2), 0) - IF(E29="A1", COUNTIFS(F:F, "☆", E:E, "A1"), 0)))/100, 
   IF(F29="☆☆", ((M8 * 100) / (COUNTIFS(F:F, "☆☆", E:E, E29) + COUNTIFS(F:F, "☆☆", E:E, "A1") + IF(E29="A1", COUNTIFS(F:F, "☆☆", E:E, E2), 0) - IF(E29="A1", COUNTIFS(F:F, "☆☆", E:E, "A1"), 0)))/100, 
   IF(F29="☆☆☆", ((M9 * 100) / (COUNTIFS(F:F, "☆☆☆", E:E, E29) + COUNTIFS(F:F, "☆☆☆", E:E, "A1") + IF(E29="A1", COUNTIFS(F:F, "☆☆☆", E:E, E2), 0) - IF(E29="A1", COUNTIFS(F:F, "☆☆☆", E:E, "A1"), 0)))/100, 
   IF(F29="♛", ((M10 * 100) / (COUNTIFS(F:F, "♛", E:E, E29) + COUNTIFS(F:F, "♛", E:E, "A1") + IF(E29="A1", COUNTIFS(F:F, "♛", E:E, E2), 0) - IF(E29="A1", COUNTIFS(F:F, "♛", E:E, "A1"), 0)))/100, "")))))))
</f>
        <v>0.02571428571</v>
      </c>
      <c r="I29" s="129">
        <f>IF(F29="♢♢", ((N4 * 100) / (COUNTIFS(F:F, "♢♢", E:E, E29) + COUNTIFS(F:F, "♢♢", E:E, "A1") + IF(E29="A1", COUNTIFS(F:F, "♢♢", E:E, E2), 0) - IF(E29="A1", COUNTIFS(F:F, "♢♢", E:E, "A1"), 0)))/100, 
   IF(F29="♢♢♢", ((N5 * 100) / (COUNTIFS(F:F, "♢♢♢", E:E, E29) + COUNTIFS(F:F, "♢♢♢", E:E, "A1") + IF(E29="A1", COUNTIFS(F:F, "♢♢♢", E:E, E2), 0) - IF(E29="A1", COUNTIFS(F:F, "♢♢♢", E:E, "A1"), 0)))/100, 
   IF(F29="♢♢♢♢", ((N6 * 100) / (COUNTIFS(F:F, "♢♢♢♢", E:E, E29) + COUNTIFS(F:F, "♢♢♢♢", E:E, "A1") + IF(E29="A1", COUNTIFS(F:F, "♢♢♢♢", E:E, E2), 0) - IF(E29="A1", COUNTIFS(F:F, "♢♢♢♢", E:E, "A1"), 0)))/100, 
   IF(F29="☆", ((N7 * 100) / (COUNTIFS(F:F, "☆", E:E, E29) + COUNTIFS(F:F, "☆", E:E, "A1") + IF(E29="A1", COUNTIFS(F:F, "☆", E:E, E2), 0) - IF(E29="A1", COUNTIFS(F:F, "☆", E:E, "A1"), 0)))/100, 
   IF(F29="☆☆", ((N8 * 100) / (COUNTIFS(F:F, "☆☆", E:E, E29) + COUNTIFS(F:F, "☆☆", E:E, "A1") + IF(E29="A1", COUNTIFS(F:F, "☆☆", E:E, E2), 0) - IF(E29="A1", COUNTIFS(F:F, "☆☆", E:E, "A1"), 0)))/100, 
   IF(F29="☆☆☆", ((N9 * 100) / (COUNTIFS(F:F, "☆☆☆", E:E, E29) + COUNTIFS(F:F, "☆☆☆", E:E, "A1") + IF(E29="A1", COUNTIFS(F:F, "☆☆☆", E:E, E2), 0) - IF(E29="A1", COUNTIFS(F:F, "☆☆☆", E:E, "A1"), 0)))/100, 
   IF(F29="♛", ((N10 * 100) / (COUNTIFS(F:F, "♛", E:E, E29) + COUNTIFS(F:F, "♛", E:E, "A1") + IF(E29="A1", COUNTIFS(F:F, "♛", E:E, E2), 0) - IF(E29="A1", COUNTIFS(F:F, "♛", E:E, "A1"), 0)))/100, "")))))))
</f>
        <v>0.01714285714</v>
      </c>
      <c r="J29" s="131"/>
      <c r="K29" s="183" t="s">
        <v>29</v>
      </c>
      <c r="L29" s="155">
        <f>IFERROR(
  (
    COUNTIFS(F:F, "♢", A:A, TRUE, E:E, K29) * K22 +
    COUNTIFS(F:F, "♢♢", A:A, TRUE, E:E, K29) * K23 +
    COUNTIFS(F:F, "♢♢♢", A:A, TRUE, E:E, K29) * K24 +
    COUNTIFS(F:F, "♢♢♢♢", A:A, TRUE, E:E, K29) * K25 +
    COUNTIFS(F:F, "☆", A:A, TRUE, E:E, K29) * M22 +
    COUNTIFS(F:F, "☆☆", A:A, TRUE, E:E, K29) * M23 +
    COUNTIFS(F:F, "☆☆☆", A:A, TRUE, E:E, K29) * M24 +
    COUNTIFS(F:F, "♛", A:A, TRUE, E:E, K29) * M25
  ) / (
    COUNTIFS(F:F, "♢", E:E, K29) * K22 +
    COUNTIFS(F:F, "♢♢", E:E, K29) * K23 +
    COUNTIFS(F:F, "♢♢♢", E:E, K29) * K24 +
    COUNTIFS(F:F, "♢♢♢♢", E:E, K29) * K25 +
    COUNTIFS(F:F, "☆", E:E, K29) * M22 +
    COUNTIFS(F:F, "☆☆", E:E, K29) * M23 +
    COUNTIFS(F:F, "☆☆☆", E:E, K29) * M24 +
    COUNTIFS(F:F, "♛", E:E, K29) * M25
  ),
  0
)
</f>
        <v>0</v>
      </c>
      <c r="M29" s="155">
        <f>IFERROR(
  (
    COUNTIFS(F:F, "♢", A:A, FALSE, E:E, K29) * K22 +
    COUNTIFS(F:F, "♢♢", A:A, FALSE, E:E, K29) * K23 +
    COUNTIFS(F:F, "♢♢♢", A:A, FALSE, E:E, K29) * K24 +
    COUNTIFS(F:F, "♢♢♢♢", A:A, FALSE, E:E, K29) * K25 +
    COUNTIFS(F:F, "☆", A:A, FALSE, E:E, K29) * M22 +
    COUNTIFS(F:F, "☆☆", A:A, FALSE, E:E, K29) * M23 +
    COUNTIFS(F:F, "☆☆☆", A:A, FALSE, E:E, K29) * M24 +
    COUNTIFS(F:F, "♛", A:A, FALSE, E:E, K29) * M25
  ) / (
    COUNTIFS(F:F, "♢", E:E, K29) * K22 +
    COUNTIFS(F:F, "♢♢", E:E, K29) * K23 +
    COUNTIFS(F:F, "♢♢♢", E:E, K29) * K24 +
    COUNTIFS(F:F, "♢♢♢♢", E:E, K29) * K25 +
    COUNTIFS(F:F, "☆", E:E, K29) * M22 +
    COUNTIFS(F:F, "☆☆", E:E, K29) * M23 +
    COUNTIFS(F:F, "☆☆☆", E:E, K29) * M24 +
    COUNTIFS(F:F, "♛", E:E, K29) * M25
  ),
  0
)
</f>
        <v>0</v>
      </c>
      <c r="N29" s="184" t="str">
        <f>TEXT(
  COUNTIFS(F:F, "♢", A:A, TRUE, E:E, K29) * K22 +
  COUNTIFS(F:F, "♢♢", A:A, TRUE, E:E, K29) * K23 +
  COUNTIFS(F:F, "♢♢♢", A:A, TRUE, E:E, K29) * K24 +
  COUNTIFS(F:F, "♢♢♢♢", A:A, TRUE, E:E, K29) * K25 +
  COUNTIFS(F:F, "☆", A:A, TRUE, E:E, K29) * M22 +
  COUNTIFS(F:F, "☆☆", A:A, TRUE, E:E, K29) * M23 +
  COUNTIFS(F:F, "☆☆☆", A:A, TRUE, E:E, K29) * M24 +
  COUNTIFS(F:F, "♛", A:A, TRUE, E:E, K29) * M25, "0"
) &amp; "/" &amp;
TEXT(
  COUNTIFS(F:F, "♢", E:E, K29) * K22 +
  COUNTIFS(F:F, "♢♢", E:E, K29) * K23 +
  COUNTIFS(F:F, "♢♢♢", E:E, K29) * K24 +
  COUNTIFS(F:F, "♢♢♢♢", E:E, K29) * K25 +
  COUNTIFS(F:F, "☆", E:E, K29) * M22 +
  COUNTIFS(F:F, "☆☆", E:E, K29) * M23 +
  COUNTIFS(F:F, "☆☆☆", E:E, K29) * M24 +
  COUNTIFS(F:F, "♛", E:E, K29) * M25, "0"
)
</f>
        <v>0/0</v>
      </c>
    </row>
    <row r="30">
      <c r="A30" s="125" t="b">
        <f t="shared" si="1"/>
        <v>0</v>
      </c>
      <c r="B30" s="126">
        <v>0.0</v>
      </c>
      <c r="C30" s="127" t="s">
        <v>143</v>
      </c>
      <c r="D30" s="127" t="s">
        <v>144</v>
      </c>
      <c r="E30" s="128" t="s">
        <v>137</v>
      </c>
      <c r="F30" s="127" t="s">
        <v>44</v>
      </c>
      <c r="G30" s="129">
        <f>IF(F30="♢", ((L3 * 100) / (COUNTIFS(F:F, "♢", E:E, E30) + COUNTIFS(F:F, "♢", E:E, "A1") + IF(E30="A1", COUNTIFS(F:F, "♢", E:E, E2), 0) - IF(E30="A1", COUNTIFS(F:F, "♢", E:E, "A1"), 0)))/100, "")
</f>
        <v>0.02</v>
      </c>
      <c r="H30" s="130" t="str">
        <f>IF(F30="♢♢", ((M4 * 100) / (COUNTIFS(F:F, "♢♢", E:E, E30) + COUNTIFS(F:F, "♢♢", E:E, "A1") + IF(E30="A1", COUNTIFS(F:F, "♢♢", E:E, E2), 0) - IF(E30="A1", COUNTIFS(F:F, "♢♢", E:E, "A1"), 0)))/100, 
   IF(F30="♢♢♢", ((M5 * 100) / (COUNTIFS(F:F, "♢♢♢", E:E, E30) + COUNTIFS(F:F, "♢♢♢", E:E, "A1") + IF(E30="A1", COUNTIFS(F:F, "♢♢♢", E:E, E2), 0) - IF(E30="A1", COUNTIFS(F:F, "♢♢♢", E:E, "A1"), 0)))/100, 
   IF(F30="♢♢♢♢", ((M6 * 100) / (COUNTIFS(F:F, "♢♢♢♢", E:E, E30) + COUNTIFS(F:F, "♢♢♢♢", E:E, "A1") + IF(E30="A1", COUNTIFS(F:F, "♢♢♢♢", E:E, E2), 0) - IF(E30="A1", COUNTIFS(F:F, "♢♢♢♢", E:E, "A1"), 0)))/100, 
   IF(F30="☆", ((M7 * 100) / (COUNTIFS(F:F, "☆", E:E, E30) + COUNTIFS(F:F, "☆", E:E, "A1") + IF(E30="A1", COUNTIFS(F:F, "☆", E:E, E2), 0) - IF(E30="A1", COUNTIFS(F:F, "☆", E:E, "A1"), 0)))/100, 
   IF(F30="☆☆", ((M8 * 100) / (COUNTIFS(F:F, "☆☆", E:E, E30) + COUNTIFS(F:F, "☆☆", E:E, "A1") + IF(E30="A1", COUNTIFS(F:F, "☆☆", E:E, E2), 0) - IF(E30="A1", COUNTIFS(F:F, "☆☆", E:E, "A1"), 0)))/100, 
   IF(F30="☆☆☆", ((M9 * 100) / (COUNTIFS(F:F, "☆☆☆", E:E, E30) + COUNTIFS(F:F, "☆☆☆", E:E, "A1") + IF(E30="A1", COUNTIFS(F:F, "☆☆☆", E:E, E2), 0) - IF(E30="A1", COUNTIFS(F:F, "☆☆☆", E:E, "A1"), 0)))/100, 
   IF(F30="♛", ((M10 * 100) / (COUNTIFS(F:F, "♛", E:E, E30) + COUNTIFS(F:F, "♛", E:E, "A1") + IF(E30="A1", COUNTIFS(F:F, "♛", E:E, E2), 0) - IF(E30="A1", COUNTIFS(F:F, "♛", E:E, "A1"), 0)))/100, "")))))))
</f>
        <v/>
      </c>
      <c r="I30" s="130" t="str">
        <f>IF(F30="♢♢", ((N4 * 100) / (COUNTIFS(F:F, "♢♢", E:E, E30) + COUNTIFS(F:F, "♢♢", E:E, "A1") + IF(E30="A1", COUNTIFS(F:F, "♢♢", E:E, E2), 0) - IF(E30="A1", COUNTIFS(F:F, "♢♢", E:E, "A1"), 0)))/100, 
   IF(F30="♢♢♢", ((N5 * 100) / (COUNTIFS(F:F, "♢♢♢", E:E, E30) + COUNTIFS(F:F, "♢♢♢", E:E, "A1") + IF(E30="A1", COUNTIFS(F:F, "♢♢♢", E:E, E2), 0) - IF(E30="A1", COUNTIFS(F:F, "♢♢♢", E:E, "A1"), 0)))/100, 
   IF(F30="♢♢♢♢", ((N6 * 100) / (COUNTIFS(F:F, "♢♢♢♢", E:E, E30) + COUNTIFS(F:F, "♢♢♢♢", E:E, "A1") + IF(E30="A1", COUNTIFS(F:F, "♢♢♢♢", E:E, E2), 0) - IF(E30="A1", COUNTIFS(F:F, "♢♢♢♢", E:E, "A1"), 0)))/100, 
   IF(F30="☆", ((N7 * 100) / (COUNTIFS(F:F, "☆", E:E, E30) + COUNTIFS(F:F, "☆", E:E, "A1") + IF(E30="A1", COUNTIFS(F:F, "☆", E:E, E2), 0) - IF(E30="A1", COUNTIFS(F:F, "☆", E:E, "A1"), 0)))/100, 
   IF(F30="☆☆", ((N8 * 100) / (COUNTIFS(F:F, "☆☆", E:E, E30) + COUNTIFS(F:F, "☆☆", E:E, "A1") + IF(E30="A1", COUNTIFS(F:F, "☆☆", E:E, E2), 0) - IF(E30="A1", COUNTIFS(F:F, "☆☆", E:E, "A1"), 0)))/100, 
   IF(F30="☆☆☆", ((N9 * 100) / (COUNTIFS(F:F, "☆☆☆", E:E, E30) + COUNTIFS(F:F, "☆☆☆", E:E, "A1") + IF(E30="A1", COUNTIFS(F:F, "☆☆☆", E:E, E2), 0) - IF(E30="A1", COUNTIFS(F:F, "☆☆☆", E:E, "A1"), 0)))/100, 
   IF(F30="♛", ((N10 * 100) / (COUNTIFS(F:F, "♛", E:E, E30) + COUNTIFS(F:F, "♛", E:E, "A1") + IF(E30="A1", COUNTIFS(F:F, "♛", E:E, E2), 0) - IF(E30="A1", COUNTIFS(F:F, "♛", E:E, "A1"), 0)))/100, "")))))))
</f>
        <v/>
      </c>
      <c r="J30" s="131"/>
      <c r="K30" s="185" t="s">
        <v>31</v>
      </c>
      <c r="L30" s="158">
        <f>IFERROR(
  (
    COUNTIFS(F:F, "♢", A:A, TRUE, E:E, K30) * K22 +
    COUNTIFS(F:F, "♢♢", A:A, TRUE, E:E, K30) * K23 +
    COUNTIFS(F:F, "♢♢♢", A:A, TRUE, E:E, K30) * K24 +
    COUNTIFS(F:F, "♢♢♢♢", A:A, TRUE, E:E, K30) * K25 +
    COUNTIFS(F:F, "☆", A:A, TRUE, E:E, K30) * M22 +
    COUNTIFS(F:F, "☆☆", A:A, TRUE, E:E, K30) * M23 +
    COUNTIFS(F:F, "☆☆☆", A:A, TRUE, E:E, K30) * M24 +
    COUNTIFS(F:F, "♛", A:A, TRUE, E:E, K30) * M25
  ) / (
    COUNTIFS(F:F, "♢", E:E, K30) * K22 +
    COUNTIFS(F:F, "♢♢", E:E, K30) * K23 +
    COUNTIFS(F:F, "♢♢♢", E:E, K30) * K24 +
    COUNTIFS(F:F, "♢♢♢♢", E:E, K30) * K25 +
    COUNTIFS(F:F, "☆", E:E, K30) * M22 +
    COUNTIFS(F:F, "☆☆", E:E, K30) * M23 +
    COUNTIFS(F:F, "☆☆☆", E:E, K30) * M24 +
    COUNTIFS(F:F, "♛", E:E, K30) * M25
  ),
  0
)
</f>
        <v>0</v>
      </c>
      <c r="M30" s="158">
        <f>IFERROR(
  (
    COUNTIFS(F:F, "♢", A:A, FALSE, E:E, K30) * K22 +
    COUNTIFS(F:F, "♢♢", A:A, FALSE, E:E, K30) * K23 +
    COUNTIFS(F:F, "♢♢♢", A:A, FALSE, E:E, K30) * K24 +
    COUNTIFS(F:F, "♢♢♢♢", A:A, FALSE, E:E, K30) * K25 +
    COUNTIFS(F:F, "☆", A:A, FALSE, E:E, K30) * M22 +
    COUNTIFS(F:F, "☆☆", A:A, FALSE, E:E, K30) * M23 +
    COUNTIFS(F:F, "☆☆☆", A:A, FALSE, E:E, K30) * M24 +
    COUNTIFS(F:F, "♛", A:A, FALSE, E:E, K30) * M25
  ) / (
    COUNTIFS(F:F, "♢", E:E, K30) * K22 +
    COUNTIFS(F:F, "♢♢", E:E, K30) * K23 +
    COUNTIFS(F:F, "♢♢♢", E:E, K30) * K24 +
    COUNTIFS(F:F, "♢♢♢♢", E:E, K30) * K25 +
    COUNTIFS(F:F, "☆", E:E, K30) * M22 +
    COUNTIFS(F:F, "☆☆", E:E, K30) * M23 +
    COUNTIFS(F:F, "☆☆☆", E:E, K30) * M24 +
    COUNTIFS(F:F, "♛", E:E, K30) * M25
  ),
  0
)
</f>
        <v>0</v>
      </c>
      <c r="N30" s="186" t="str">
        <f>TEXT(
  COUNTIFS(F:F, "♢", A:A, TRUE, E:E, K30) * K22 +
  COUNTIFS(F:F, "♢♢", A:A, TRUE, E:E, K30) * K23 +
  COUNTIFS(F:F, "♢♢♢", A:A, TRUE, E:E, K30) * K24 +
  COUNTIFS(F:F, "♢♢♢♢", A:A, TRUE, E:E, K30) * K25 +
  COUNTIFS(F:F, "☆", A:A, TRUE, E:E, K30) * M22 +
  COUNTIFS(F:F, "☆☆", A:A, TRUE, E:E, K30) * M23 +
  COUNTIFS(F:F, "☆☆☆", A:A, TRUE, E:E, K30) * M24 +
  COUNTIFS(F:F, "♛", A:A, TRUE, E:E, K30) * M25, "0"
) &amp; "/" &amp;
TEXT(
  COUNTIFS(F:F, "♢", E:E, K30) * K22 +
  COUNTIFS(F:F, "♢♢", E:E, K30) * K23 +
  COUNTIFS(F:F, "♢♢♢", E:E, K30) * K24 +
  COUNTIFS(F:F, "♢♢♢♢", E:E, K30) * K25 +
  COUNTIFS(F:F, "☆", E:E, K30) * M22 +
  COUNTIFS(F:F, "☆☆", E:E, K30) * M23 +
  COUNTIFS(F:F, "☆☆☆", E:E, K30) * M24 +
  COUNTIFS(F:F, "♛", E:E, K30) * M25, "0"
)
</f>
        <v>0/0</v>
      </c>
    </row>
    <row r="31">
      <c r="A31" s="125" t="b">
        <f t="shared" si="1"/>
        <v>0</v>
      </c>
      <c r="B31" s="126">
        <v>0.0</v>
      </c>
      <c r="C31" s="127" t="s">
        <v>145</v>
      </c>
      <c r="D31" s="128" t="s">
        <v>146</v>
      </c>
      <c r="E31" s="128" t="s">
        <v>137</v>
      </c>
      <c r="F31" s="127" t="s">
        <v>46</v>
      </c>
      <c r="G31" s="130" t="str">
        <f>IF(F31="♢", ((L3 * 100) / (COUNTIFS(F:F, "♢", E:E, E31) + COUNTIFS(F:F, "♢", E:E, "A1") + IF(E31="A1", COUNTIFS(F:F, "♢", E:E, E2), 0) - IF(E31="A1", COUNTIFS(F:F, "♢", E:E, "A1"), 0)))/100, "")
</f>
        <v/>
      </c>
      <c r="H31" s="129">
        <f>IF(F31="♢♢", ((M4 * 100) / (COUNTIFS(F:F, "♢♢", E:E, E31) + COUNTIFS(F:F, "♢♢", E:E, "A1") + IF(E31="A1", COUNTIFS(F:F, "♢♢", E:E, E2), 0) - IF(E31="A1", COUNTIFS(F:F, "♢♢", E:E, "A1"), 0)))/100, 
   IF(F31="♢♢♢", ((M5 * 100) / (COUNTIFS(F:F, "♢♢♢", E:E, E31) + COUNTIFS(F:F, "♢♢♢", E:E, "A1") + IF(E31="A1", COUNTIFS(F:F, "♢♢♢", E:E, E2), 0) - IF(E31="A1", COUNTIFS(F:F, "♢♢♢", E:E, "A1"), 0)))/100, 
   IF(F31="♢♢♢♢", ((M6 * 100) / (COUNTIFS(F:F, "♢♢♢♢", E:E, E31) + COUNTIFS(F:F, "♢♢♢♢", E:E, "A1") + IF(E31="A1", COUNTIFS(F:F, "♢♢♢♢", E:E, E2), 0) - IF(E31="A1", COUNTIFS(F:F, "♢♢♢♢", E:E, "A1"), 0)))/100, 
   IF(F31="☆", ((M7 * 100) / (COUNTIFS(F:F, "☆", E:E, E31) + COUNTIFS(F:F, "☆", E:E, "A1") + IF(E31="A1", COUNTIFS(F:F, "☆", E:E, E2), 0) - IF(E31="A1", COUNTIFS(F:F, "☆", E:E, "A1"), 0)))/100, 
   IF(F31="☆☆", ((M8 * 100) / (COUNTIFS(F:F, "☆☆", E:E, E31) + COUNTIFS(F:F, "☆☆", E:E, "A1") + IF(E31="A1", COUNTIFS(F:F, "☆☆", E:E, E2), 0) - IF(E31="A1", COUNTIFS(F:F, "☆☆", E:E, "A1"), 0)))/100, 
   IF(F31="☆☆☆", ((M9 * 100) / (COUNTIFS(F:F, "☆☆☆", E:E, E31) + COUNTIFS(F:F, "☆☆☆", E:E, "A1") + IF(E31="A1", COUNTIFS(F:F, "☆☆☆", E:E, E2), 0) - IF(E31="A1", COUNTIFS(F:F, "☆☆☆", E:E, "A1"), 0)))/100, 
   IF(F31="♛", ((M10 * 100) / (COUNTIFS(F:F, "♛", E:E, E31) + COUNTIFS(F:F, "♛", E:E, "A1") + IF(E31="A1", COUNTIFS(F:F, "♛", E:E, E2), 0) - IF(E31="A1", COUNTIFS(F:F, "♛", E:E, "A1"), 0)))/100, "")))))))
</f>
        <v>0.02571428571</v>
      </c>
      <c r="I31" s="129">
        <f>IF(F31="♢♢", ((N4 * 100) / (COUNTIFS(F:F, "♢♢", E:E, E31) + COUNTIFS(F:F, "♢♢", E:E, "A1") + IF(E31="A1", COUNTIFS(F:F, "♢♢", E:E, E2), 0) - IF(E31="A1", COUNTIFS(F:F, "♢♢", E:E, "A1"), 0)))/100, 
   IF(F31="♢♢♢", ((N5 * 100) / (COUNTIFS(F:F, "♢♢♢", E:E, E31) + COUNTIFS(F:F, "♢♢♢", E:E, "A1") + IF(E31="A1", COUNTIFS(F:F, "♢♢♢", E:E, E2), 0) - IF(E31="A1", COUNTIFS(F:F, "♢♢♢", E:E, "A1"), 0)))/100, 
   IF(F31="♢♢♢♢", ((N6 * 100) / (COUNTIFS(F:F, "♢♢♢♢", E:E, E31) + COUNTIFS(F:F, "♢♢♢♢", E:E, "A1") + IF(E31="A1", COUNTIFS(F:F, "♢♢♢♢", E:E, E2), 0) - IF(E31="A1", COUNTIFS(F:F, "♢♢♢♢", E:E, "A1"), 0)))/100, 
   IF(F31="☆", ((N7 * 100) / (COUNTIFS(F:F, "☆", E:E, E31) + COUNTIFS(F:F, "☆", E:E, "A1") + IF(E31="A1", COUNTIFS(F:F, "☆", E:E, E2), 0) - IF(E31="A1", COUNTIFS(F:F, "☆", E:E, "A1"), 0)))/100, 
   IF(F31="☆☆", ((N8 * 100) / (COUNTIFS(F:F, "☆☆", E:E, E31) + COUNTIFS(F:F, "☆☆", E:E, "A1") + IF(E31="A1", COUNTIFS(F:F, "☆☆", E:E, E2), 0) - IF(E31="A1", COUNTIFS(F:F, "☆☆", E:E, "A1"), 0)))/100, 
   IF(F31="☆☆☆", ((N9 * 100) / (COUNTIFS(F:F, "☆☆☆", E:E, E31) + COUNTIFS(F:F, "☆☆☆", E:E, "A1") + IF(E31="A1", COUNTIFS(F:F, "☆☆☆", E:E, E2), 0) - IF(E31="A1", COUNTIFS(F:F, "☆☆☆", E:E, "A1"), 0)))/100, 
   IF(F31="♛", ((N10 * 100) / (COUNTIFS(F:F, "♛", E:E, E31) + COUNTIFS(F:F, "♛", E:E, "A1") + IF(E31="A1", COUNTIFS(F:F, "♛", E:E, E2), 0) - IF(E31="A1", COUNTIFS(F:F, "♛", E:E, "A1"), 0)))/100, "")))))))
</f>
        <v>0.01714285714</v>
      </c>
      <c r="J31" s="131"/>
      <c r="K31" s="187" t="s">
        <v>32</v>
      </c>
      <c r="L31" s="161">
        <f>IFERROR(
  (
    COUNTIFS(F:F, "♢", A:A, TRUE, E:E, K31) * K22 +
    COUNTIFS(F:F, "♢♢", A:A, TRUE, E:E, K31) * K23 +
    COUNTIFS(F:F, "♢♢♢", A:A, TRUE, E:E, K31) * K24 +
    COUNTIFS(F:F, "♢♢♢♢", A:A, TRUE, E:E, K31) * K25 +
    COUNTIFS(F:F, "☆", A:A, TRUE, E:E, K31) * M22 +
    COUNTIFS(F:F, "☆☆", A:A, TRUE, E:E, K31) * M23 +
    COUNTIFS(F:F, "☆☆☆", A:A, TRUE, E:E, K31) * M24 +
    COUNTIFS(F:F, "♛", A:A, TRUE, E:E, K31) * M25
  ) / (
    COUNTIFS(F:F, "♢", E:E, K31) * K22 +
    COUNTIFS(F:F, "♢♢", E:E, K31) * K23 +
    COUNTIFS(F:F, "♢♢♢", E:E, K31) * K24 +
    COUNTIFS(F:F, "♢♢♢♢", E:E, K31) * K25 +
    COUNTIFS(F:F, "☆", E:E, K31) * M22 +
    COUNTIFS(F:F, "☆☆", E:E, K31) * M23 +
    COUNTIFS(F:F, "☆☆☆", E:E, K31) * M24 +
    COUNTIFS(F:F, "♛", E:E, K31) * M25
  ),
  0
)
</f>
        <v>0</v>
      </c>
      <c r="M31" s="161">
        <f>IFERROR(
  (
    COUNTIFS(F:F, "♢", A:A, FALSE, E:E, K31) * K22 +
    COUNTIFS(F:F, "♢♢", A:A, FALSE, E:E, K31) * K23 +
    COUNTIFS(F:F, "♢♢♢", A:A, FALSE, E:E, K31) * K24 +
    COUNTIFS(F:F, "♢♢♢♢", A:A, FALSE, E:E, K31) * K25 +
    COUNTIFS(F:F, "☆", A:A, FALSE, E:E, K31) * M22 +
    COUNTIFS(F:F, "☆☆", A:A, FALSE, E:E, K31) * M23 +
    COUNTIFS(F:F, "☆☆☆", A:A, FALSE, E:E, K31) * M24 +
    COUNTIFS(F:F, "♛", A:A, FALSE, E:E, K31) * M25
  ) / (
    COUNTIFS(F:F, "♢", E:E, K31) * K22 +
    COUNTIFS(F:F, "♢♢", E:E, K31) * K23 +
    COUNTIFS(F:F, "♢♢♢", E:E, K31) * K24 +
    COUNTIFS(F:F, "♢♢♢♢", E:E, K31) * K25 +
    COUNTIFS(F:F, "☆", E:E, K31) * M22 +
    COUNTIFS(F:F, "☆☆", E:E, K31) * M23 +
    COUNTIFS(F:F, "☆☆☆", E:E, K31) * M24 +
    COUNTIFS(F:F, "♛", E:E, K31) * M25
  ),
  0
)
</f>
        <v>0</v>
      </c>
      <c r="N31" s="188" t="str">
        <f>TEXT(
  COUNTIFS(F:F, "♢", A:A, TRUE, E:E, K31) * K22 +
  COUNTIFS(F:F, "♢♢", A:A, TRUE, E:E, K31) * K23 +
  COUNTIFS(F:F, "♢♢♢", A:A, TRUE, E:E, K31) * K24 +
  COUNTIFS(F:F, "♢♢♢♢", A:A, TRUE, E:E, K31) * K25 +
  COUNTIFS(F:F, "☆", A:A, TRUE, E:E, K31) * M22 +
  COUNTIFS(F:F, "☆☆", A:A, TRUE, E:E, K31) * M23 +
  COUNTIFS(F:F, "☆☆☆", A:A, TRUE, E:E, K31) * M24 +
  COUNTIFS(F:F, "♛", A:A, TRUE, E:E, K31) * M25, "0"
) &amp; "/" &amp;
TEXT(
  COUNTIFS(F:F, "♢", E:E, K31) * K22 +
  COUNTIFS(F:F, "♢♢", E:E, K31) * K23 +
  COUNTIFS(F:F, "♢♢♢", E:E, K31) * K24 +
  COUNTIFS(F:F, "♢♢♢♢", E:E, K31) * K25 +
  COUNTIFS(F:F, "☆", E:E, K31) * M22 +
  COUNTIFS(F:F, "☆☆", E:E, K31) * M23 +
  COUNTIFS(F:F, "☆☆☆", E:E, K31) * M24 +
  COUNTIFS(F:F, "♛", E:E, K31) * M25, "0"
)
</f>
        <v>0/0</v>
      </c>
    </row>
    <row r="32">
      <c r="A32" s="125" t="b">
        <f t="shared" si="1"/>
        <v>0</v>
      </c>
      <c r="B32" s="126">
        <v>0.0</v>
      </c>
      <c r="C32" s="127" t="s">
        <v>147</v>
      </c>
      <c r="D32" s="127" t="s">
        <v>148</v>
      </c>
      <c r="E32" s="128" t="s">
        <v>32</v>
      </c>
      <c r="F32" s="153" t="s">
        <v>44</v>
      </c>
      <c r="G32" s="129">
        <f>IF(F32="♢", ((L3 * 100) / (COUNTIFS(F:F, "♢", E:E, E32) + COUNTIFS(F:F, "♢", E:E, "A1") + IF(E32="A1", COUNTIFS(F:F, "♢", E:E, E2), 0) - IF(E32="A1", COUNTIFS(F:F, "♢", E:E, "A1"), 0)))/100, "")
</f>
        <v>0.02</v>
      </c>
      <c r="H32" s="130" t="str">
        <f>IF(F32="♢♢", ((M4 * 100) / (COUNTIFS(F:F, "♢♢", E:E, E32) + COUNTIFS(F:F, "♢♢", E:E, "A1") + IF(E32="A1", COUNTIFS(F:F, "♢♢", E:E, E2), 0) - IF(E32="A1", COUNTIFS(F:F, "♢♢", E:E, "A1"), 0)))/100, 
   IF(F32="♢♢♢", ((M5 * 100) / (COUNTIFS(F:F, "♢♢♢", E:E, E32) + COUNTIFS(F:F, "♢♢♢", E:E, "A1") + IF(E32="A1", COUNTIFS(F:F, "♢♢♢", E:E, E2), 0) - IF(E32="A1", COUNTIFS(F:F, "♢♢♢", E:E, "A1"), 0)))/100, 
   IF(F32="♢♢♢♢", ((M6 * 100) / (COUNTIFS(F:F, "♢♢♢♢", E:E, E32) + COUNTIFS(F:F, "♢♢♢♢", E:E, "A1") + IF(E32="A1", COUNTIFS(F:F, "♢♢♢♢", E:E, E2), 0) - IF(E32="A1", COUNTIFS(F:F, "♢♢♢♢", E:E, "A1"), 0)))/100, 
   IF(F32="☆", ((M7 * 100) / (COUNTIFS(F:F, "☆", E:E, E32) + COUNTIFS(F:F, "☆", E:E, "A1") + IF(E32="A1", COUNTIFS(F:F, "☆", E:E, E2), 0) - IF(E32="A1", COUNTIFS(F:F, "☆", E:E, "A1"), 0)))/100, 
   IF(F32="☆☆", ((M8 * 100) / (COUNTIFS(F:F, "☆☆", E:E, E32) + COUNTIFS(F:F, "☆☆", E:E, "A1") + IF(E32="A1", COUNTIFS(F:F, "☆☆", E:E, E2), 0) - IF(E32="A1", COUNTIFS(F:F, "☆☆", E:E, "A1"), 0)))/100, 
   IF(F32="☆☆☆", ((M9 * 100) / (COUNTIFS(F:F, "☆☆☆", E:E, E32) + COUNTIFS(F:F, "☆☆☆", E:E, "A1") + IF(E32="A1", COUNTIFS(F:F, "☆☆☆", E:E, E2), 0) - IF(E32="A1", COUNTIFS(F:F, "☆☆☆", E:E, "A1"), 0)))/100, 
   IF(F32="♛", ((M10 * 100) / (COUNTIFS(F:F, "♛", E:E, E32) + COUNTIFS(F:F, "♛", E:E, "A1") + IF(E32="A1", COUNTIFS(F:F, "♛", E:E, E2), 0) - IF(E32="A1", COUNTIFS(F:F, "♛", E:E, "A1"), 0)))/100, "")))))))
</f>
        <v/>
      </c>
      <c r="I32" s="130" t="str">
        <f>IF(F32="♢♢", ((N4 * 100) / (COUNTIFS(F:F, "♢♢", E:E, E32) + COUNTIFS(F:F, "♢♢", E:E, "A1") + IF(E32="A1", COUNTIFS(F:F, "♢♢", E:E, E2), 0) - IF(E32="A1", COUNTIFS(F:F, "♢♢", E:E, "A1"), 0)))/100, 
   IF(F32="♢♢♢", ((N5 * 100) / (COUNTIFS(F:F, "♢♢♢", E:E, E32) + COUNTIFS(F:F, "♢♢♢", E:E, "A1") + IF(E32="A1", COUNTIFS(F:F, "♢♢♢", E:E, E2), 0) - IF(E32="A1", COUNTIFS(F:F, "♢♢♢", E:E, "A1"), 0)))/100, 
   IF(F32="♢♢♢♢", ((N6 * 100) / (COUNTIFS(F:F, "♢♢♢♢", E:E, E32) + COUNTIFS(F:F, "♢♢♢♢", E:E, "A1") + IF(E32="A1", COUNTIFS(F:F, "♢♢♢♢", E:E, E2), 0) - IF(E32="A1", COUNTIFS(F:F, "♢♢♢♢", E:E, "A1"), 0)))/100, 
   IF(F32="☆", ((N7 * 100) / (COUNTIFS(F:F, "☆", E:E, E32) + COUNTIFS(F:F, "☆", E:E, "A1") + IF(E32="A1", COUNTIFS(F:F, "☆", E:E, E2), 0) - IF(E32="A1", COUNTIFS(F:F, "☆", E:E, "A1"), 0)))/100, 
   IF(F32="☆☆", ((N8 * 100) / (COUNTIFS(F:F, "☆☆", E:E, E32) + COUNTIFS(F:F, "☆☆", E:E, "A1") + IF(E32="A1", COUNTIFS(F:F, "☆☆", E:E, E2), 0) - IF(E32="A1", COUNTIFS(F:F, "☆☆", E:E, "A1"), 0)))/100, 
   IF(F32="☆☆☆", ((N9 * 100) / (COUNTIFS(F:F, "☆☆☆", E:E, E32) + COUNTIFS(F:F, "☆☆☆", E:E, "A1") + IF(E32="A1", COUNTIFS(F:F, "☆☆☆", E:E, E2), 0) - IF(E32="A1", COUNTIFS(F:F, "☆☆☆", E:E, "A1"), 0)))/100, 
   IF(F32="♛", ((N10 * 100) / (COUNTIFS(F:F, "♛", E:E, E32) + COUNTIFS(F:F, "♛", E:E, "A1") + IF(E32="A1", COUNTIFS(F:F, "♛", E:E, E2), 0) - IF(E32="A1", COUNTIFS(F:F, "♛", E:E, "A1"), 0)))/100, "")))))))
</f>
        <v/>
      </c>
      <c r="J32" s="131"/>
      <c r="K32" s="189" t="s">
        <v>137</v>
      </c>
      <c r="L32" s="190">
        <f>IFERROR(
  (
    COUNTIFS(F:F, "♢", A:A, TRUE, E:E, K32) * K22 +
    COUNTIFS(F:F, "♢♢", A:A, TRUE, E:E, K32) * K23 +
    COUNTIFS(F:F, "♢♢♢", A:A, TRUE, E:E, K32) * K24 +
    COUNTIFS(F:F, "♢♢♢♢", A:A, TRUE, E:E, K32) * K25 +
    COUNTIFS(F:F, "☆", A:A, TRUE, E:E, K32) * M22 +
    COUNTIFS(F:F, "☆☆", A:A, TRUE, E:E, K32) * M23 +
    COUNTIFS(F:F, "☆☆☆", A:A, TRUE, E:E, K32) * M24 +
    COUNTIFS(F:F, "♛", A:A, TRUE, E:E, K32) * M25
  ) / (
    COUNTIFS(F:F, "♢", E:E, K32) * K22 +
    COUNTIFS(F:F, "♢♢", E:E, K32) * K23 +
    COUNTIFS(F:F, "♢♢♢", E:E, K32) * K24 +
    COUNTIFS(F:F, "♢♢♢♢", E:E, K32) * K25 +
    COUNTIFS(F:F, "☆", E:E, K32) * M22 +
    COUNTIFS(F:F, "☆☆", E:E, K32) * M23 +
    COUNTIFS(F:F, "☆☆☆", E:E, K32) * M24 +
    COUNTIFS(F:F, "♛", E:E, K32) * M25
  ),
  0
)
</f>
        <v>0</v>
      </c>
      <c r="M32" s="190">
        <f>IFERROR(
  (
    COUNTIFS(F:F, "♢", A:A, FALSE, E:E, K32) * K22 +
    COUNTIFS(F:F, "♢♢", A:A, FALSE, E:E, K32) * K23 +
    COUNTIFS(F:F, "♢♢♢", A:A, FALSE, E:E, K32) * K24 +
    COUNTIFS(F:F, "♢♢♢♢", A:A, FALSE, E:E, K32) * K25 +
    COUNTIFS(F:F, "☆", A:A, FALSE, E:E, K32) * M22 +
    COUNTIFS(F:F, "☆☆", A:A, FALSE, E:E, K32) * M23 +
    COUNTIFS(F:F, "☆☆☆", A:A, FALSE, E:E, K32) * M24 +
    COUNTIFS(F:F, "♛", A:A, FALSE, E:E, K32) * M25
  ) / (
    COUNTIFS(F:F, "♢", E:E, K32) * K22 +
    COUNTIFS(F:F, "♢♢", E:E, K32) * K23 +
    COUNTIFS(F:F, "♢♢♢", E:E, K32) * K24 +
    COUNTIFS(F:F, "♢♢♢♢", E:E, K32) * K25 +
    COUNTIFS(F:F, "☆", E:E, K32) * M22 +
    COUNTIFS(F:F, "☆☆", E:E, K32) * M23 +
    COUNTIFS(F:F, "☆☆☆", E:E, K32) * M24 +
    COUNTIFS(F:F, "♛", E:E, K32) * M25
  ),
  0
)
</f>
        <v>1</v>
      </c>
      <c r="N32" s="191" t="str">
        <f>TEXT(
  COUNTIFS(F:F, "♢", A:A, TRUE, E:E, K32) * K22 +
  COUNTIFS(F:F, "♢♢", A:A, TRUE, E:E, K32) * K23 +
  COUNTIFS(F:F, "♢♢♢", A:A, TRUE, E:E, K32) * K24 +
  COUNTIFS(F:F, "♢♢♢♢", A:A, TRUE, E:E, K32) * K25 +
  COUNTIFS(F:F, "☆", A:A, TRUE, E:E, K32) * M22 +
  COUNTIFS(F:F, "☆☆", A:A, TRUE, E:E, K32) * M23 +
  COUNTIFS(F:F, "☆☆☆", A:A, TRUE, E:E, K32) * M24 +
  COUNTIFS(F:F, "♛", A:A, TRUE, E:E, K32) * M25, "0"
) &amp; "/" &amp;
TEXT(
  COUNTIFS(F:F, "♢", E:E, K32) * K22 +
  COUNTIFS(F:F, "♢♢", E:E, K32) * K23 +
  COUNTIFS(F:F, "♢♢♢", E:E, K32) * K24 +
  COUNTIFS(F:F, "♢♢♢♢", E:E, K32) * K25 +
  COUNTIFS(F:F, "☆", E:E, K32) * M22 +
  COUNTIFS(F:F, "☆☆", E:E, K32) * M23 +
  COUNTIFS(F:F, "☆☆☆", E:E, K32) * M24 +
  COUNTIFS(F:F, "♛", E:E, K32) * M25, "0"
)
</f>
        <v>0/3</v>
      </c>
    </row>
    <row r="33">
      <c r="A33" s="125" t="b">
        <f t="shared" si="1"/>
        <v>0</v>
      </c>
      <c r="B33" s="126">
        <v>0.0</v>
      </c>
      <c r="C33" s="127" t="s">
        <v>149</v>
      </c>
      <c r="D33" s="127" t="s">
        <v>150</v>
      </c>
      <c r="E33" s="128" t="s">
        <v>32</v>
      </c>
      <c r="F33" s="153" t="s">
        <v>44</v>
      </c>
      <c r="G33" s="129">
        <f>IF(F33="♢", ((L3 * 100) / (COUNTIFS(F:F, "♢", E:E, E33) + COUNTIFS(F:F, "♢", E:E, "A1") + IF(E33="A1", COUNTIFS(F:F, "♢", E:E, E2), 0) - IF(E33="A1", COUNTIFS(F:F, "♢", E:E, "A1"), 0)))/100, "")
</f>
        <v>0.02</v>
      </c>
      <c r="H33" s="130" t="str">
        <f>IF(F33="♢♢", ((M4 * 100) / (COUNTIFS(F:F, "♢♢", E:E, E33) + COUNTIFS(F:F, "♢♢", E:E, "A1") + IF(E33="A1", COUNTIFS(F:F, "♢♢", E:E, E2), 0) - IF(E33="A1", COUNTIFS(F:F, "♢♢", E:E, "A1"), 0)))/100, 
   IF(F33="♢♢♢", ((M5 * 100) / (COUNTIFS(F:F, "♢♢♢", E:E, E33) + COUNTIFS(F:F, "♢♢♢", E:E, "A1") + IF(E33="A1", COUNTIFS(F:F, "♢♢♢", E:E, E2), 0) - IF(E33="A1", COUNTIFS(F:F, "♢♢♢", E:E, "A1"), 0)))/100, 
   IF(F33="♢♢♢♢", ((M6 * 100) / (COUNTIFS(F:F, "♢♢♢♢", E:E, E33) + COUNTIFS(F:F, "♢♢♢♢", E:E, "A1") + IF(E33="A1", COUNTIFS(F:F, "♢♢♢♢", E:E, E2), 0) - IF(E33="A1", COUNTIFS(F:F, "♢♢♢♢", E:E, "A1"), 0)))/100, 
   IF(F33="☆", ((M7 * 100) / (COUNTIFS(F:F, "☆", E:E, E33) + COUNTIFS(F:F, "☆", E:E, "A1") + IF(E33="A1", COUNTIFS(F:F, "☆", E:E, E2), 0) - IF(E33="A1", COUNTIFS(F:F, "☆", E:E, "A1"), 0)))/100, 
   IF(F33="☆☆", ((M8 * 100) / (COUNTIFS(F:F, "☆☆", E:E, E33) + COUNTIFS(F:F, "☆☆", E:E, "A1") + IF(E33="A1", COUNTIFS(F:F, "☆☆", E:E, E2), 0) - IF(E33="A1", COUNTIFS(F:F, "☆☆", E:E, "A1"), 0)))/100, 
   IF(F33="☆☆☆", ((M9 * 100) / (COUNTIFS(F:F, "☆☆☆", E:E, E33) + COUNTIFS(F:F, "☆☆☆", E:E, "A1") + IF(E33="A1", COUNTIFS(F:F, "☆☆☆", E:E, E2), 0) - IF(E33="A1", COUNTIFS(F:F, "☆☆☆", E:E, "A1"), 0)))/100, 
   IF(F33="♛", ((M10 * 100) / (COUNTIFS(F:F, "♛", E:E, E33) + COUNTIFS(F:F, "♛", E:E, "A1") + IF(E33="A1", COUNTIFS(F:F, "♛", E:E, E2), 0) - IF(E33="A1", COUNTIFS(F:F, "♛", E:E, "A1"), 0)))/100, "")))))))
</f>
        <v/>
      </c>
      <c r="I33" s="130" t="str">
        <f>IF(F33="♢♢", ((N4 * 100) / (COUNTIFS(F:F, "♢♢", E:E, E33) + COUNTIFS(F:F, "♢♢", E:E, "A1") + IF(E33="A1", COUNTIFS(F:F, "♢♢", E:E, E2), 0) - IF(E33="A1", COUNTIFS(F:F, "♢♢", E:E, "A1"), 0)))/100, 
   IF(F33="♢♢♢", ((N5 * 100) / (COUNTIFS(F:F, "♢♢♢", E:E, E33) + COUNTIFS(F:F, "♢♢♢", E:E, "A1") + IF(E33="A1", COUNTIFS(F:F, "♢♢♢", E:E, E2), 0) - IF(E33="A1", COUNTIFS(F:F, "♢♢♢", E:E, "A1"), 0)))/100, 
   IF(F33="♢♢♢♢", ((N6 * 100) / (COUNTIFS(F:F, "♢♢♢♢", E:E, E33) + COUNTIFS(F:F, "♢♢♢♢", E:E, "A1") + IF(E33="A1", COUNTIFS(F:F, "♢♢♢♢", E:E, E2), 0) - IF(E33="A1", COUNTIFS(F:F, "♢♢♢♢", E:E, "A1"), 0)))/100, 
   IF(F33="☆", ((N7 * 100) / (COUNTIFS(F:F, "☆", E:E, E33) + COUNTIFS(F:F, "☆", E:E, "A1") + IF(E33="A1", COUNTIFS(F:F, "☆", E:E, E2), 0) - IF(E33="A1", COUNTIFS(F:F, "☆", E:E, "A1"), 0)))/100, 
   IF(F33="☆☆", ((N8 * 100) / (COUNTIFS(F:F, "☆☆", E:E, E33) + COUNTIFS(F:F, "☆☆", E:E, "A1") + IF(E33="A1", COUNTIFS(F:F, "☆☆", E:E, E2), 0) - IF(E33="A1", COUNTIFS(F:F, "☆☆", E:E, "A1"), 0)))/100, 
   IF(F33="☆☆☆", ((N9 * 100) / (COUNTIFS(F:F, "☆☆☆", E:E, E33) + COUNTIFS(F:F, "☆☆☆", E:E, "A1") + IF(E33="A1", COUNTIFS(F:F, "☆☆☆", E:E, E2), 0) - IF(E33="A1", COUNTIFS(F:F, "☆☆☆", E:E, "A1"), 0)))/100, 
   IF(F33="♛", ((N10 * 100) / (COUNTIFS(F:F, "♛", E:E, E33) + COUNTIFS(F:F, "♛", E:E, "A1") + IF(E33="A1", COUNTIFS(F:F, "♛", E:E, E2), 0) - IF(E33="A1", COUNTIFS(F:F, "♛", E:E, "A1"), 0)))/100, "")))))))
</f>
        <v/>
      </c>
      <c r="J33" s="131"/>
      <c r="K33" s="192" t="s">
        <v>115</v>
      </c>
      <c r="L33" s="193" t="str">
        <f>IF(M29 = MAX(M29:M31), K29, IF(M30 = MAX(M29:M31), K30, K31))</f>
        <v>A1-Mewtwo</v>
      </c>
      <c r="N33" s="172"/>
    </row>
    <row r="34">
      <c r="A34" s="125" t="b">
        <f t="shared" si="1"/>
        <v>0</v>
      </c>
      <c r="B34" s="126">
        <v>0.0</v>
      </c>
      <c r="C34" s="127" t="s">
        <v>151</v>
      </c>
      <c r="D34" s="127" t="s">
        <v>152</v>
      </c>
      <c r="E34" s="128" t="s">
        <v>32</v>
      </c>
      <c r="F34" s="127" t="s">
        <v>44</v>
      </c>
      <c r="G34" s="129">
        <f>IF(F34="♢", ((L3 * 100) / (COUNTIFS(F:F, "♢", E:E, E34) + COUNTIFS(F:F, "♢", E:E, "A1") + IF(E34="A1", COUNTIFS(F:F, "♢", E:E, E2), 0) - IF(E34="A1", COUNTIFS(F:F, "♢", E:E, "A1"), 0)))/100, "")
</f>
        <v>0.02</v>
      </c>
      <c r="H34" s="130" t="str">
        <f>IF(F34="♢♢", ((M4 * 100) / (COUNTIFS(F:F, "♢♢", E:E, E34) + COUNTIFS(F:F, "♢♢", E:E, "A1") + IF(E34="A1", COUNTIFS(F:F, "♢♢", E:E, E2), 0) - IF(E34="A1", COUNTIFS(F:F, "♢♢", E:E, "A1"), 0)))/100, 
   IF(F34="♢♢♢", ((M5 * 100) / (COUNTIFS(F:F, "♢♢♢", E:E, E34) + COUNTIFS(F:F, "♢♢♢", E:E, "A1") + IF(E34="A1", COUNTIFS(F:F, "♢♢♢", E:E, E2), 0) - IF(E34="A1", COUNTIFS(F:F, "♢♢♢", E:E, "A1"), 0)))/100, 
   IF(F34="♢♢♢♢", ((M6 * 100) / (COUNTIFS(F:F, "♢♢♢♢", E:E, E34) + COUNTIFS(F:F, "♢♢♢♢", E:E, "A1") + IF(E34="A1", COUNTIFS(F:F, "♢♢♢♢", E:E, E2), 0) - IF(E34="A1", COUNTIFS(F:F, "♢♢♢♢", E:E, "A1"), 0)))/100, 
   IF(F34="☆", ((M7 * 100) / (COUNTIFS(F:F, "☆", E:E, E34) + COUNTIFS(F:F, "☆", E:E, "A1") + IF(E34="A1", COUNTIFS(F:F, "☆", E:E, E2), 0) - IF(E34="A1", COUNTIFS(F:F, "☆", E:E, "A1"), 0)))/100, 
   IF(F34="☆☆", ((M8 * 100) / (COUNTIFS(F:F, "☆☆", E:E, E34) + COUNTIFS(F:F, "☆☆", E:E, "A1") + IF(E34="A1", COUNTIFS(F:F, "☆☆", E:E, E2), 0) - IF(E34="A1", COUNTIFS(F:F, "☆☆", E:E, "A1"), 0)))/100, 
   IF(F34="☆☆☆", ((M9 * 100) / (COUNTIFS(F:F, "☆☆☆", E:E, E34) + COUNTIFS(F:F, "☆☆☆", E:E, "A1") + IF(E34="A1", COUNTIFS(F:F, "☆☆☆", E:E, E2), 0) - IF(E34="A1", COUNTIFS(F:F, "☆☆☆", E:E, "A1"), 0)))/100, 
   IF(F34="♛", ((M10 * 100) / (COUNTIFS(F:F, "♛", E:E, E34) + COUNTIFS(F:F, "♛", E:E, "A1") + IF(E34="A1", COUNTIFS(F:F, "♛", E:E, E2), 0) - IF(E34="A1", COUNTIFS(F:F, "♛", E:E, "A1"), 0)))/100, "")))))))
</f>
        <v/>
      </c>
      <c r="I34" s="130" t="str">
        <f>IF(F34="♢♢", ((N4 * 100) / (COUNTIFS(F:F, "♢♢", E:E, E34) + COUNTIFS(F:F, "♢♢", E:E, "A1") + IF(E34="A1", COUNTIFS(F:F, "♢♢", E:E, E2), 0) - IF(E34="A1", COUNTIFS(F:F, "♢♢", E:E, "A1"), 0)))/100, 
   IF(F34="♢♢♢", ((N5 * 100) / (COUNTIFS(F:F, "♢♢♢", E:E, E34) + COUNTIFS(F:F, "♢♢♢", E:E, "A1") + IF(E34="A1", COUNTIFS(F:F, "♢♢♢", E:E, E2), 0) - IF(E34="A1", COUNTIFS(F:F, "♢♢♢", E:E, "A1"), 0)))/100, 
   IF(F34="♢♢♢♢", ((N6 * 100) / (COUNTIFS(F:F, "♢♢♢♢", E:E, E34) + COUNTIFS(F:F, "♢♢♢♢", E:E, "A1") + IF(E34="A1", COUNTIFS(F:F, "♢♢♢♢", E:E, E2), 0) - IF(E34="A1", COUNTIFS(F:F, "♢♢♢♢", E:E, "A1"), 0)))/100, 
   IF(F34="☆", ((N7 * 100) / (COUNTIFS(F:F, "☆", E:E, E34) + COUNTIFS(F:F, "☆", E:E, "A1") + IF(E34="A1", COUNTIFS(F:F, "☆", E:E, E2), 0) - IF(E34="A1", COUNTIFS(F:F, "☆", E:E, "A1"), 0)))/100, 
   IF(F34="☆☆", ((N8 * 100) / (COUNTIFS(F:F, "☆☆", E:E, E34) + COUNTIFS(F:F, "☆☆", E:E, "A1") + IF(E34="A1", COUNTIFS(F:F, "☆☆", E:E, E2), 0) - IF(E34="A1", COUNTIFS(F:F, "☆☆", E:E, "A1"), 0)))/100, 
   IF(F34="☆☆☆", ((N9 * 100) / (COUNTIFS(F:F, "☆☆☆", E:E, E34) + COUNTIFS(F:F, "☆☆☆", E:E, "A1") + IF(E34="A1", COUNTIFS(F:F, "☆☆☆", E:E, E2), 0) - IF(E34="A1", COUNTIFS(F:F, "☆☆☆", E:E, "A1"), 0)))/100, 
   IF(F34="♛", ((N10 * 100) / (COUNTIFS(F:F, "♛", E:E, E34) + COUNTIFS(F:F, "♛", E:E, "A1") + IF(E34="A1", COUNTIFS(F:F, "♛", E:E, E2), 0) - IF(E34="A1", COUNTIFS(F:F, "♛", E:E, "A1"), 0)))/100, "")))))))
</f>
        <v/>
      </c>
      <c r="J34" s="131"/>
      <c r="K34" s="194"/>
      <c r="L34" s="10"/>
      <c r="M34" s="10"/>
      <c r="N34" s="195"/>
    </row>
    <row r="35">
      <c r="A35" s="125" t="b">
        <f t="shared" si="1"/>
        <v>0</v>
      </c>
      <c r="B35" s="126">
        <v>0.0</v>
      </c>
      <c r="C35" s="127" t="s">
        <v>153</v>
      </c>
      <c r="D35" s="127" t="s">
        <v>154</v>
      </c>
      <c r="E35" s="128" t="s">
        <v>32</v>
      </c>
      <c r="F35" s="127" t="s">
        <v>46</v>
      </c>
      <c r="G35" s="130" t="str">
        <f>IF(F35="♢", ((L3 * 100) / (COUNTIFS(F:F, "♢", E:E, E35) + COUNTIFS(F:F, "♢", E:E, "A1") + IF(E35="A1", COUNTIFS(F:F, "♢", E:E, E2), 0) - IF(E35="A1", COUNTIFS(F:F, "♢", E:E, "A1"), 0)))/100, "")
</f>
        <v/>
      </c>
      <c r="H35" s="129">
        <f>IF(F35="♢♢", ((M4 * 100) / (COUNTIFS(F:F, "♢♢", E:E, E35) + COUNTIFS(F:F, "♢♢", E:E, "A1") + IF(E35="A1", COUNTIFS(F:F, "♢♢", E:E, E2), 0) - IF(E35="A1", COUNTIFS(F:F, "♢♢", E:E, "A1"), 0)))/100, 
   IF(F35="♢♢♢", ((M5 * 100) / (COUNTIFS(F:F, "♢♢♢", E:E, E35) + COUNTIFS(F:F, "♢♢♢", E:E, "A1") + IF(E35="A1", COUNTIFS(F:F, "♢♢♢", E:E, E2), 0) - IF(E35="A1", COUNTIFS(F:F, "♢♢♢", E:E, "A1"), 0)))/100, 
   IF(F35="♢♢♢♢", ((M6 * 100) / (COUNTIFS(F:F, "♢♢♢♢", E:E, E35) + COUNTIFS(F:F, "♢♢♢♢", E:E, "A1") + IF(E35="A1", COUNTIFS(F:F, "♢♢♢♢", E:E, E2), 0) - IF(E35="A1", COUNTIFS(F:F, "♢♢♢♢", E:E, "A1"), 0)))/100, 
   IF(F35="☆", ((M7 * 100) / (COUNTIFS(F:F, "☆", E:E, E35) + COUNTIFS(F:F, "☆", E:E, "A1") + IF(E35="A1", COUNTIFS(F:F, "☆", E:E, E2), 0) - IF(E35="A1", COUNTIFS(F:F, "☆", E:E, "A1"), 0)))/100, 
   IF(F35="☆☆", ((M8 * 100) / (COUNTIFS(F:F, "☆☆", E:E, E35) + COUNTIFS(F:F, "☆☆", E:E, "A1") + IF(E35="A1", COUNTIFS(F:F, "☆☆", E:E, E2), 0) - IF(E35="A1", COUNTIFS(F:F, "☆☆", E:E, "A1"), 0)))/100, 
   IF(F35="☆☆☆", ((M9 * 100) / (COUNTIFS(F:F, "☆☆☆", E:E, E35) + COUNTIFS(F:F, "☆☆☆", E:E, "A1") + IF(E35="A1", COUNTIFS(F:F, "☆☆☆", E:E, E2), 0) - IF(E35="A1", COUNTIFS(F:F, "☆☆☆", E:E, "A1"), 0)))/100, 
   IF(F35="♛", ((M10 * 100) / (COUNTIFS(F:F, "♛", E:E, E35) + COUNTIFS(F:F, "♛", E:E, "A1") + IF(E35="A1", COUNTIFS(F:F, "♛", E:E, E2), 0) - IF(E35="A1", COUNTIFS(F:F, "♛", E:E, "A1"), 0)))/100, "")))))))
</f>
        <v>0.02571428571</v>
      </c>
      <c r="I35" s="129">
        <f>IF(F35="♢♢", ((N4 * 100) / (COUNTIFS(F:F, "♢♢", E:E, E35) + COUNTIFS(F:F, "♢♢", E:E, "A1") + IF(E35="A1", COUNTIFS(F:F, "♢♢", E:E, E2), 0) - IF(E35="A1", COUNTIFS(F:F, "♢♢", E:E, "A1"), 0)))/100, 
   IF(F35="♢♢♢", ((N5 * 100) / (COUNTIFS(F:F, "♢♢♢", E:E, E35) + COUNTIFS(F:F, "♢♢♢", E:E, "A1") + IF(E35="A1", COUNTIFS(F:F, "♢♢♢", E:E, E2), 0) - IF(E35="A1", COUNTIFS(F:F, "♢♢♢", E:E, "A1"), 0)))/100, 
   IF(F35="♢♢♢♢", ((N6 * 100) / (COUNTIFS(F:F, "♢♢♢♢", E:E, E35) + COUNTIFS(F:F, "♢♢♢♢", E:E, "A1") + IF(E35="A1", COUNTIFS(F:F, "♢♢♢♢", E:E, E2), 0) - IF(E35="A1", COUNTIFS(F:F, "♢♢♢♢", E:E, "A1"), 0)))/100, 
   IF(F35="☆", ((N7 * 100) / (COUNTIFS(F:F, "☆", E:E, E35) + COUNTIFS(F:F, "☆", E:E, "A1") + IF(E35="A1", COUNTIFS(F:F, "☆", E:E, E2), 0) - IF(E35="A1", COUNTIFS(F:F, "☆", E:E, "A1"), 0)))/100, 
   IF(F35="☆☆", ((N8 * 100) / (COUNTIFS(F:F, "☆☆", E:E, E35) + COUNTIFS(F:F, "☆☆", E:E, "A1") + IF(E35="A1", COUNTIFS(F:F, "☆☆", E:E, E2), 0) - IF(E35="A1", COUNTIFS(F:F, "☆☆", E:E, "A1"), 0)))/100, 
   IF(F35="☆☆☆", ((N9 * 100) / (COUNTIFS(F:F, "☆☆☆", E:E, E35) + COUNTIFS(F:F, "☆☆☆", E:E, "A1") + IF(E35="A1", COUNTIFS(F:F, "☆☆☆", E:E, E2), 0) - IF(E35="A1", COUNTIFS(F:F, "☆☆☆", E:E, "A1"), 0)))/100, 
   IF(F35="♛", ((N10 * 100) / (COUNTIFS(F:F, "♛", E:E, E35) + COUNTIFS(F:F, "♛", E:E, "A1") + IF(E35="A1", COUNTIFS(F:F, "♛", E:E, E2), 0) - IF(E35="A1", COUNTIFS(F:F, "♛", E:E, "A1"), 0)))/100, "")))))))
</f>
        <v>0.01714285714</v>
      </c>
      <c r="J35" s="131"/>
      <c r="K35" s="196" t="s">
        <v>155</v>
      </c>
      <c r="N35" s="172"/>
      <c r="O35" s="124" t="s">
        <v>156</v>
      </c>
    </row>
    <row r="36">
      <c r="A36" s="125" t="b">
        <f t="shared" si="1"/>
        <v>0</v>
      </c>
      <c r="B36" s="126">
        <v>0.0</v>
      </c>
      <c r="C36" s="127" t="s">
        <v>157</v>
      </c>
      <c r="D36" s="127" t="s">
        <v>158</v>
      </c>
      <c r="E36" s="128" t="s">
        <v>32</v>
      </c>
      <c r="F36" s="127" t="s">
        <v>48</v>
      </c>
      <c r="G36" s="130" t="str">
        <f>IF(F36="♢", ((L3 * 100) / (COUNTIFS(F:F, "♢", E:E, E36) + COUNTIFS(F:F, "♢", E:E, "A1") + IF(E36="A1", COUNTIFS(F:F, "♢", E:E, E2), 0) - IF(E36="A1", COUNTIFS(F:F, "♢", E:E, "A1"), 0)))/100, "")
</f>
        <v/>
      </c>
      <c r="H36" s="129">
        <f>IF(F36="♢♢", ((M4 * 100) / (COUNTIFS(F:F, "♢♢", E:E, E36) + COUNTIFS(F:F, "♢♢", E:E, "A1") + IF(E36="A1", COUNTIFS(F:F, "♢♢", E:E, E2), 0) - IF(E36="A1", COUNTIFS(F:F, "♢♢", E:E, "A1"), 0)))/100, 
   IF(F36="♢♢♢", ((M5 * 100) / (COUNTIFS(F:F, "♢♢♢", E:E, E36) + COUNTIFS(F:F, "♢♢♢", E:E, "A1") + IF(E36="A1", COUNTIFS(F:F, "♢♢♢", E:E, E2), 0) - IF(E36="A1", COUNTIFS(F:F, "♢♢♢", E:E, "A1"), 0)))/100, 
   IF(F36="♢♢♢♢", ((M6 * 100) / (COUNTIFS(F:F, "♢♢♢♢", E:E, E36) + COUNTIFS(F:F, "♢♢♢♢", E:E, "A1") + IF(E36="A1", COUNTIFS(F:F, "♢♢♢♢", E:E, E2), 0) - IF(E36="A1", COUNTIFS(F:F, "♢♢♢♢", E:E, "A1"), 0)))/100, 
   IF(F36="☆", ((M7 * 100) / (COUNTIFS(F:F, "☆", E:E, E36) + COUNTIFS(F:F, "☆", E:E, "A1") + IF(E36="A1", COUNTIFS(F:F, "☆", E:E, E2), 0) - IF(E36="A1", COUNTIFS(F:F, "☆", E:E, "A1"), 0)))/100, 
   IF(F36="☆☆", ((M8 * 100) / (COUNTIFS(F:F, "☆☆", E:E, E36) + COUNTIFS(F:F, "☆☆", E:E, "A1") + IF(E36="A1", COUNTIFS(F:F, "☆☆", E:E, E2), 0) - IF(E36="A1", COUNTIFS(F:F, "☆☆", E:E, "A1"), 0)))/100, 
   IF(F36="☆☆☆", ((M9 * 100) / (COUNTIFS(F:F, "☆☆☆", E:E, E36) + COUNTIFS(F:F, "☆☆☆", E:E, "A1") + IF(E36="A1", COUNTIFS(F:F, "☆☆☆", E:E, E2), 0) - IF(E36="A1", COUNTIFS(F:F, "☆☆☆", E:E, "A1"), 0)))/100, 
   IF(F36="♛", ((M10 * 100) / (COUNTIFS(F:F, "♛", E:E, E36) + COUNTIFS(F:F, "♛", E:E, "A1") + IF(E36="A1", COUNTIFS(F:F, "♛", E:E, E2), 0) - IF(E36="A1", COUNTIFS(F:F, "♛", E:E, "A1"), 0)))/100, "")))))))
</f>
        <v>0.003571428571</v>
      </c>
      <c r="I36" s="129">
        <f>IF(F36="♢♢", ((N4 * 100) / (COUNTIFS(F:F, "♢♢", E:E, E36) + COUNTIFS(F:F, "♢♢", E:E, "A1") + IF(E36="A1", COUNTIFS(F:F, "♢♢", E:E, E2), 0) - IF(E36="A1", COUNTIFS(F:F, "♢♢", E:E, "A1"), 0)))/100, 
   IF(F36="♢♢♢", ((N5 * 100) / (COUNTIFS(F:F, "♢♢♢", E:E, E36) + COUNTIFS(F:F, "♢♢♢", E:E, "A1") + IF(E36="A1", COUNTIFS(F:F, "♢♢♢", E:E, E2), 0) - IF(E36="A1", COUNTIFS(F:F, "♢♢♢", E:E, "A1"), 0)))/100, 
   IF(F36="♢♢♢♢", ((N6 * 100) / (COUNTIFS(F:F, "♢♢♢♢", E:E, E36) + COUNTIFS(F:F, "♢♢♢♢", E:E, "A1") + IF(E36="A1", COUNTIFS(F:F, "♢♢♢♢", E:E, E2), 0) - IF(E36="A1", COUNTIFS(F:F, "♢♢♢♢", E:E, "A1"), 0)))/100, 
   IF(F36="☆", ((N7 * 100) / (COUNTIFS(F:F, "☆", E:E, E36) + COUNTIFS(F:F, "☆", E:E, "A1") + IF(E36="A1", COUNTIFS(F:F, "☆", E:E, E2), 0) - IF(E36="A1", COUNTIFS(F:F, "☆", E:E, "A1"), 0)))/100, 
   IF(F36="☆☆", ((N8 * 100) / (COUNTIFS(F:F, "☆☆", E:E, E36) + COUNTIFS(F:F, "☆☆", E:E, "A1") + IF(E36="A1", COUNTIFS(F:F, "☆☆", E:E, E2), 0) - IF(E36="A1", COUNTIFS(F:F, "☆☆", E:E, "A1"), 0)))/100, 
   IF(F36="☆☆☆", ((N9 * 100) / (COUNTIFS(F:F, "☆☆☆", E:E, E36) + COUNTIFS(F:F, "☆☆☆", E:E, "A1") + IF(E36="A1", COUNTIFS(F:F, "☆☆☆", E:E, E2), 0) - IF(E36="A1", COUNTIFS(F:F, "☆☆☆", E:E, "A1"), 0)))/100, 
   IF(F36="♛", ((N10 * 100) / (COUNTIFS(F:F, "♛", E:E, E36) + COUNTIFS(F:F, "♛", E:E, "A1") + IF(E36="A1", COUNTIFS(F:F, "♛", E:E, E2), 0) - IF(E36="A1", COUNTIFS(F:F, "♛", E:E, "A1"), 0)))/100, "")))))))
</f>
        <v>0.01428571429</v>
      </c>
      <c r="J36" s="131"/>
      <c r="K36" s="197" t="s">
        <v>103</v>
      </c>
      <c r="L36" s="127" t="s">
        <v>67</v>
      </c>
      <c r="M36" s="127" t="s">
        <v>68</v>
      </c>
      <c r="N36" s="175" t="s">
        <v>69</v>
      </c>
    </row>
    <row r="37">
      <c r="A37" s="125" t="b">
        <f t="shared" si="1"/>
        <v>0</v>
      </c>
      <c r="B37" s="126">
        <v>0.0</v>
      </c>
      <c r="C37" s="127" t="s">
        <v>159</v>
      </c>
      <c r="D37" s="128" t="s">
        <v>160</v>
      </c>
      <c r="E37" s="128" t="s">
        <v>32</v>
      </c>
      <c r="F37" s="127" t="s">
        <v>51</v>
      </c>
      <c r="G37" s="130" t="str">
        <f>IF(F37="♢", ((L3 * 100) / (COUNTIFS(F:F, "♢", E:E, E37) + COUNTIFS(F:F, "♢", E:E, "A1") + IF(E37="A1", COUNTIFS(F:F, "♢", E:E, E2), 0) - IF(E37="A1", COUNTIFS(F:F, "♢", E:E, "A1"), 0)))/100, "")
</f>
        <v/>
      </c>
      <c r="H37" s="129">
        <f>IF(F37="♢♢", ((M4 * 100) / (COUNTIFS(F:F, "♢♢", E:E, E37) + COUNTIFS(F:F, "♢♢", E:E, "A1") + IF(E37="A1", COUNTIFS(F:F, "♢♢", E:E, E2), 0) - IF(E37="A1", COUNTIFS(F:F, "♢♢", E:E, "A1"), 0)))/100, 
   IF(F37="♢♢♢", ((M5 * 100) / (COUNTIFS(F:F, "♢♢♢", E:E, E37) + COUNTIFS(F:F, "♢♢♢", E:E, "A1") + IF(E37="A1", COUNTIFS(F:F, "♢♢♢", E:E, E2), 0) - IF(E37="A1", COUNTIFS(F:F, "♢♢♢", E:E, "A1"), 0)))/100, 
   IF(F37="♢♢♢♢", ((M6 * 100) / (COUNTIFS(F:F, "♢♢♢♢", E:E, E37) + COUNTIFS(F:F, "♢♢♢♢", E:E, "A1") + IF(E37="A1", COUNTIFS(F:F, "♢♢♢♢", E:E, E2), 0) - IF(E37="A1", COUNTIFS(F:F, "♢♢♢♢", E:E, "A1"), 0)))/100, 
   IF(F37="☆", ((M7 * 100) / (COUNTIFS(F:F, "☆", E:E, E37) + COUNTIFS(F:F, "☆", E:E, "A1") + IF(E37="A1", COUNTIFS(F:F, "☆", E:E, E2), 0) - IF(E37="A1", COUNTIFS(F:F, "☆", E:E, "A1"), 0)))/100, 
   IF(F37="☆☆", ((M8 * 100) / (COUNTIFS(F:F, "☆☆", E:E, E37) + COUNTIFS(F:F, "☆☆", E:E, "A1") + IF(E37="A1", COUNTIFS(F:F, "☆☆", E:E, E2), 0) - IF(E37="A1", COUNTIFS(F:F, "☆☆", E:E, "A1"), 0)))/100, 
   IF(F37="☆☆☆", ((M9 * 100) / (COUNTIFS(F:F, "☆☆☆", E:E, E37) + COUNTIFS(F:F, "☆☆☆", E:E, "A1") + IF(E37="A1", COUNTIFS(F:F, "☆☆☆", E:E, E2), 0) - IF(E37="A1", COUNTIFS(F:F, "☆☆☆", E:E, "A1"), 0)))/100, 
   IF(F37="♛", ((M10 * 100) / (COUNTIFS(F:F, "♛", E:E, E37) + COUNTIFS(F:F, "♛", E:E, "A1") + IF(E37="A1", COUNTIFS(F:F, "♛", E:E, E2), 0) - IF(E37="A1", COUNTIFS(F:F, "♛", E:E, "A1"), 0)))/100, "")))))))
</f>
        <v>0.003332</v>
      </c>
      <c r="I37" s="129">
        <f>IF(F37="♢♢", ((N4 * 100) / (COUNTIFS(F:F, "♢♢", E:E, E37) + COUNTIFS(F:F, "♢♢", E:E, "A1") + IF(E37="A1", COUNTIFS(F:F, "♢♢", E:E, E2), 0) - IF(E37="A1", COUNTIFS(F:F, "♢♢", E:E, "A1"), 0)))/100, 
   IF(F37="♢♢♢", ((N5 * 100) / (COUNTIFS(F:F, "♢♢♢", E:E, E37) + COUNTIFS(F:F, "♢♢♢", E:E, "A1") + IF(E37="A1", COUNTIFS(F:F, "♢♢♢", E:E, E2), 0) - IF(E37="A1", COUNTIFS(F:F, "♢♢♢", E:E, "A1"), 0)))/100, 
   IF(F37="♢♢♢♢", ((N6 * 100) / (COUNTIFS(F:F, "♢♢♢♢", E:E, E37) + COUNTIFS(F:F, "♢♢♢♢", E:E, "A1") + IF(E37="A1", COUNTIFS(F:F, "♢♢♢♢", E:E, E2), 0) - IF(E37="A1", COUNTIFS(F:F, "♢♢♢♢", E:E, "A1"), 0)))/100, 
   IF(F37="☆", ((N7 * 100) / (COUNTIFS(F:F, "☆", E:E, E37) + COUNTIFS(F:F, "☆", E:E, "A1") + IF(E37="A1", COUNTIFS(F:F, "☆", E:E, E2), 0) - IF(E37="A1", COUNTIFS(F:F, "☆", E:E, "A1"), 0)))/100, 
   IF(F37="☆☆", ((N8 * 100) / (COUNTIFS(F:F, "☆☆", E:E, E37) + COUNTIFS(F:F, "☆☆", E:E, "A1") + IF(E37="A1", COUNTIFS(F:F, "☆☆", E:E, E2), 0) - IF(E37="A1", COUNTIFS(F:F, "☆☆", E:E, "A1"), 0)))/100, 
   IF(F37="☆☆☆", ((N9 * 100) / (COUNTIFS(F:F, "☆☆☆", E:E, E37) + COUNTIFS(F:F, "☆☆☆", E:E, "A1") + IF(E37="A1", COUNTIFS(F:F, "☆☆☆", E:E, E2), 0) - IF(E37="A1", COUNTIFS(F:F, "☆☆☆", E:E, "A1"), 0)))/100, 
   IF(F37="♛", ((N10 * 100) / (COUNTIFS(F:F, "♛", E:E, E37) + COUNTIFS(F:F, "♛", E:E, "A1") + IF(E37="A1", COUNTIFS(F:F, "♛", E:E, E2), 0) - IF(E37="A1", COUNTIFS(F:F, "♛", E:E, "A1"), 0)))/100, "")))))))
</f>
        <v>0.013328</v>
      </c>
      <c r="J37" s="131"/>
      <c r="K37" s="183" t="s">
        <v>29</v>
      </c>
      <c r="L37" s="198">
        <f>IFERROR(
  (
    SUMIFS(G:G, A:A, FALSE, F:F, "♢", E:E, K37) * K22 +
    SUMIFS(G:G, A:A, FALSE, F:F, "♢♢", E:E, K37) * K23 +
    SUMIFS(G:G, A:A, FALSE, F:F, "♢♢♢", E:E, K37) * K24 +
    SUMIFS(G:G, A:A, FALSE, F:F, "♢♢♢♢", E:E, K37) * K25 +
    SUMIFS(G:G, A:A, FALSE, F:F, "☆", E:E, K37) * M22 +
    SUMIFS(G:G, A:A, FALSE, F:F, "☆☆", E:E, K37) * M23 +
    SUMIFS(G:G, A:A, FALSE, F:F, "☆☆☆", E:E, K37) * M24 +
    SUMIFS(G:G, A:A, FALSE, F:F, "♛", E:E, K37) * M25
  ) +
  (
    SUMIFS(G:G, A:A, FALSE, F:F, "♢", E:E, K32) * K22 +
    SUMIFS(G:G, A:A, FALSE, F:F, "♢♢", E:E, K32) * K23 +
    SUMIFS(G:G, A:A, FALSE, F:F, "♢♢♢", E:E, K32) * K24 +
    SUMIFS(G:G, A:A, FALSE, F:F, "♢♢♢♢", E:E, K32) * K25 +
    SUMIFS(G:G, A:A, FALSE, F:F, "☆", E:E, K32) * M22 +
    SUMIFS(G:G, A:A, FALSE, F:F, "☆☆", E:E, K32) * M23 +
    SUMIFS(G:G, A:A, FALSE, F:F, "☆☆☆", E:E, K32) * M24 +
    SUMIFS(G:G, A:A, FALSE, F:F, "♛", E:E, K32) * M25
  ),
  0
)
</f>
        <v>0</v>
      </c>
      <c r="M37" s="198">
        <f>IFERROR(
  (
    SUMIFS(H:H, A:A, FALSE, F:F, "♢", E:E, K37) * K22 +
    SUMIFS(H:H, A:A, FALSE, F:F, "♢♢", E:E, K37) * K23 +
    SUMIFS(H:H, A:A, FALSE, F:F, "♢♢♢", E:E, K37) * K24 +
    SUMIFS(H:H, A:A, FALSE, F:F, "♢♢♢♢", E:E, K37) * K25 +
    SUMIFS(H:H, A:A, FALSE, F:F, "☆", E:E, K37) * M22 +
    SUMIFS(H:H, A:A, FALSE, F:F, "☆☆", E:E, K37) * M23 +
    SUMIFS(H:H, A:A, FALSE, F:F, "☆☆☆", E:E, K37) * M24 +
    SUMIFS(H:H, A:A, FALSE, F:F, "♛", E:E, K37) * M25
  ) +
  (
    SUMIFS(H:H, A:A, FALSE, F:F, "♢", E:E, K32) * K22 +
    SUMIFS(H:H, A:A, FALSE, F:F, "♢♢", E:E, K32) * K23 +
    SUMIFS(H:H, A:A, FALSE, F:F, "♢♢♢", E:E, K32) * K24 +
    SUMIFS(H:H, A:A, FALSE, F:F, "♢♢♢♢", E:E, K32) * K25 +
    SUMIFS(H:H, A:A, FALSE, F:F, "☆", E:E, K32) * M22 +
    SUMIFS(H:H, A:A, FALSE, F:F, "☆☆", E:E, K32) * M23 +
    SUMIFS(H:H, A:A, FALSE, F:F, "☆☆☆", E:E, K32) * M24 +
    SUMIFS(H:H, A:A, FALSE, F:F, "♛", E:E, K32) * M25
  ),
  0
)
</f>
        <v>0.0004</v>
      </c>
      <c r="N37" s="199">
        <f>IFERROR(
  (
    SUMIFS(I:I, A:A, FALSE, F:F, "♢", E:E, K37) * K22 +
    SUMIFS(I:I, A:A, FALSE, F:F, "♢♢", E:E, K37) * K23 +
    SUMIFS(I:I, A:A, FALSE, F:F, "♢♢♢", E:E, K37) * K24 +
    SUMIFS(I:I, A:A, FALSE, F:F, "♢♢♢♢", E:E, K37) * K25 +
    SUMIFS(I:I, A:A, FALSE, F:F, "☆", E:E, K37) * M22 +
    SUMIFS(I:I, A:A, FALSE, F:F, "☆☆", E:E, K37) * M23 +
    SUMIFS(I:I, A:A, FALSE, F:F, "☆☆☆", E:E, K37) * M24 +
    SUMIFS(I:I, A:A, FALSE, F:F, "♛", E:E, K37) * M25
  ) +
  (
    SUMIFS(I:I, A:A, FALSE, F:F, "♢", E:E, K32) * K22 +
    SUMIFS(I:I, A:A, FALSE, F:F, "♢♢", E:E, K32) * K23 +
    SUMIFS(I:I, A:A, FALSE, F:F, "♢♢♢", E:E, K32) * K24 +
    SUMIFS(I:I, A:A, FALSE, F:F, "♢♢♢♢", E:E, K32) * K25 +
    SUMIFS(I:I, A:A, FALSE, F:F, "☆", E:E, K32) * M22 +
    SUMIFS(I:I, A:A, FALSE, F:F, "☆☆", E:E, K32) * M23 +
    SUMIFS(I:I, A:A, FALSE, F:F, "☆☆☆", E:E, K32) * M24 +
    SUMIFS(I:I, A:A, FALSE, F:F, "♛", E:E, K32) * M25
  ),
  0
)
</f>
        <v>0.0016</v>
      </c>
    </row>
    <row r="38">
      <c r="A38" s="125" t="b">
        <f t="shared" si="1"/>
        <v>0</v>
      </c>
      <c r="B38" s="126">
        <v>0.0</v>
      </c>
      <c r="C38" s="127" t="s">
        <v>161</v>
      </c>
      <c r="D38" s="127" t="s">
        <v>162</v>
      </c>
      <c r="E38" s="128" t="s">
        <v>32</v>
      </c>
      <c r="F38" s="127" t="s">
        <v>44</v>
      </c>
      <c r="G38" s="129">
        <f>IF(F38="♢", ((L3 * 100) / (COUNTIFS(F:F, "♢", E:E, E38) + COUNTIFS(F:F, "♢", E:E, "A1") + IF(E38="A1", COUNTIFS(F:F, "♢", E:E, E2), 0) - IF(E38="A1", COUNTIFS(F:F, "♢", E:E, "A1"), 0)))/100, "")
</f>
        <v>0.02</v>
      </c>
      <c r="H38" s="130" t="str">
        <f>IF(F38="♢♢", ((M4 * 100) / (COUNTIFS(F:F, "♢♢", E:E, E38) + COUNTIFS(F:F, "♢♢", E:E, "A1") + IF(E38="A1", COUNTIFS(F:F, "♢♢", E:E, E2), 0) - IF(E38="A1", COUNTIFS(F:F, "♢♢", E:E, "A1"), 0)))/100, 
   IF(F38="♢♢♢", ((M5 * 100) / (COUNTIFS(F:F, "♢♢♢", E:E, E38) + COUNTIFS(F:F, "♢♢♢", E:E, "A1") + IF(E38="A1", COUNTIFS(F:F, "♢♢♢", E:E, E2), 0) - IF(E38="A1", COUNTIFS(F:F, "♢♢♢", E:E, "A1"), 0)))/100, 
   IF(F38="♢♢♢♢", ((M6 * 100) / (COUNTIFS(F:F, "♢♢♢♢", E:E, E38) + COUNTIFS(F:F, "♢♢♢♢", E:E, "A1") + IF(E38="A1", COUNTIFS(F:F, "♢♢♢♢", E:E, E2), 0) - IF(E38="A1", COUNTIFS(F:F, "♢♢♢♢", E:E, "A1"), 0)))/100, 
   IF(F38="☆", ((M7 * 100) / (COUNTIFS(F:F, "☆", E:E, E38) + COUNTIFS(F:F, "☆", E:E, "A1") + IF(E38="A1", COUNTIFS(F:F, "☆", E:E, E2), 0) - IF(E38="A1", COUNTIFS(F:F, "☆", E:E, "A1"), 0)))/100, 
   IF(F38="☆☆", ((M8 * 100) / (COUNTIFS(F:F, "☆☆", E:E, E38) + COUNTIFS(F:F, "☆☆", E:E, "A1") + IF(E38="A1", COUNTIFS(F:F, "☆☆", E:E, E2), 0) - IF(E38="A1", COUNTIFS(F:F, "☆☆", E:E, "A1"), 0)))/100, 
   IF(F38="☆☆☆", ((M9 * 100) / (COUNTIFS(F:F, "☆☆☆", E:E, E38) + COUNTIFS(F:F, "☆☆☆", E:E, "A1") + IF(E38="A1", COUNTIFS(F:F, "☆☆☆", E:E, E2), 0) - IF(E38="A1", COUNTIFS(F:F, "☆☆☆", E:E, "A1"), 0)))/100, 
   IF(F38="♛", ((M10 * 100) / (COUNTIFS(F:F, "♛", E:E, E38) + COUNTIFS(F:F, "♛", E:E, "A1") + IF(E38="A1", COUNTIFS(F:F, "♛", E:E, E2), 0) - IF(E38="A1", COUNTIFS(F:F, "♛", E:E, "A1"), 0)))/100, "")))))))
</f>
        <v/>
      </c>
      <c r="I38" s="130" t="str">
        <f>IF(F38="♢♢", ((N4 * 100) / (COUNTIFS(F:F, "♢♢", E:E, E38) + COUNTIFS(F:F, "♢♢", E:E, "A1") + IF(E38="A1", COUNTIFS(F:F, "♢♢", E:E, E2), 0) - IF(E38="A1", COUNTIFS(F:F, "♢♢", E:E, "A1"), 0)))/100, 
   IF(F38="♢♢♢", ((N5 * 100) / (COUNTIFS(F:F, "♢♢♢", E:E, E38) + COUNTIFS(F:F, "♢♢♢", E:E, "A1") + IF(E38="A1", COUNTIFS(F:F, "♢♢♢", E:E, E2), 0) - IF(E38="A1", COUNTIFS(F:F, "♢♢♢", E:E, "A1"), 0)))/100, 
   IF(F38="♢♢♢♢", ((N6 * 100) / (COUNTIFS(F:F, "♢♢♢♢", E:E, E38) + COUNTIFS(F:F, "♢♢♢♢", E:E, "A1") + IF(E38="A1", COUNTIFS(F:F, "♢♢♢♢", E:E, E2), 0) - IF(E38="A1", COUNTIFS(F:F, "♢♢♢♢", E:E, "A1"), 0)))/100, 
   IF(F38="☆", ((N7 * 100) / (COUNTIFS(F:F, "☆", E:E, E38) + COUNTIFS(F:F, "☆", E:E, "A1") + IF(E38="A1", COUNTIFS(F:F, "☆", E:E, E2), 0) - IF(E38="A1", COUNTIFS(F:F, "☆", E:E, "A1"), 0)))/100, 
   IF(F38="☆☆", ((N8 * 100) / (COUNTIFS(F:F, "☆☆", E:E, E38) + COUNTIFS(F:F, "☆☆", E:E, "A1") + IF(E38="A1", COUNTIFS(F:F, "☆☆", E:E, E2), 0) - IF(E38="A1", COUNTIFS(F:F, "☆☆", E:E, "A1"), 0)))/100, 
   IF(F38="☆☆☆", ((N9 * 100) / (COUNTIFS(F:F, "☆☆☆", E:E, E38) + COUNTIFS(F:F, "☆☆☆", E:E, "A1") + IF(E38="A1", COUNTIFS(F:F, "☆☆☆", E:E, E2), 0) - IF(E38="A1", COUNTIFS(F:F, "☆☆☆", E:E, "A1"), 0)))/100, 
   IF(F38="♛", ((N10 * 100) / (COUNTIFS(F:F, "♛", E:E, E38) + COUNTIFS(F:F, "♛", E:E, "A1") + IF(E38="A1", COUNTIFS(F:F, "♛", E:E, E2), 0) - IF(E38="A1", COUNTIFS(F:F, "♛", E:E, "A1"), 0)))/100, "")))))))
</f>
        <v/>
      </c>
      <c r="J38" s="131"/>
      <c r="K38" s="185" t="s">
        <v>31</v>
      </c>
      <c r="L38" s="200">
        <f>IFERROR(
  (
    SUMIFS(G:G, A:A, FALSE, F:F, "♢", E:E, K38) * K22 +
    SUMIFS(G:G, A:A, FALSE, F:F, "♢♢", E:E, K38) * K23 +
    SUMIFS(G:G, A:A, FALSE, F:F, "♢♢♢", E:E, K38) * K24 +
    SUMIFS(G:G, A:A, FALSE, F:F, "♢♢♢♢", E:E, K38) * K25 +
    SUMIFS(G:G, A:A, FALSE, F:F, "☆", E:E, K38) * M22 +
    SUMIFS(G:G, A:A, FALSE, F:F, "☆☆", E:E, K38) * M23 +
    SUMIFS(G:G, A:A, FALSE, F:F, "☆☆☆", E:E, K38) * M24 +
    SUMIFS(G:G, A:A, FALSE, F:F, "♛", E:E, K38) * M25
  ) +
  (
    SUMIFS(G:G, A:A, FALSE, F:F, "♢", E:E, K32) * K22 +
    SUMIFS(G:G, A:A, FALSE, F:F, "♢♢", E:E, K32) * K23 +
    SUMIFS(G:G, A:A, FALSE, F:F, "♢♢♢", E:E, K32) * K24 +
    SUMIFS(G:G, A:A, FALSE, F:F, "♢♢♢♢", E:E, K32) * K25 +
    SUMIFS(G:G, A:A, FALSE, F:F, "☆", E:E, K32) * M22 +
    SUMIFS(G:G, A:A, FALSE, F:F, "☆☆", E:E, K32) * M23 +
    SUMIFS(G:G, A:A, FALSE, F:F, "☆☆☆", E:E, K32) * M24 +
    SUMIFS(G:G, A:A, FALSE, F:F, "♛", E:E, K32) * M25
  ),
  0
)
</f>
        <v>0</v>
      </c>
      <c r="M38" s="200">
        <f>IFERROR(
  (
    SUMIFS(H:H, A:A, FALSE, F:F, "♢", E:E, K38) * K22 +
    SUMIFS(H:H, A:A, FALSE, F:F, "♢♢", E:E, K38) * K23 +
    SUMIFS(H:H, A:A, FALSE, F:F, "♢♢♢", E:E, K38) * K24 +
    SUMIFS(H:H, A:A, FALSE, F:F, "♢♢♢♢", E:E, K38) * K25 +
    SUMIFS(H:H, A:A, FALSE, F:F, "☆", E:E, K38) * M22 +
    SUMIFS(H:H, A:A, FALSE, F:F, "☆☆", E:E, K38) * M23 +
    SUMIFS(H:H, A:A, FALSE, F:F, "☆☆☆", E:E, K38) * M24 +
    SUMIFS(H:H, A:A, FALSE, F:F, "♛", E:E, K38) * M25
  ) +
  (
    SUMIFS(H:H, A:A, FALSE, F:F, "♢", E:E, K32) * K22 +
    SUMIFS(H:H, A:A, FALSE, F:F, "♢♢", E:E, K32) * K23 +
    SUMIFS(H:H, A:A, FALSE, F:F, "♢♢♢", E:E, K32) * K24 +
    SUMIFS(H:H, A:A, FALSE, F:F, "♢♢♢♢", E:E, K32) * K25 +
    SUMIFS(H:H, A:A, FALSE, F:F, "☆", E:E, K32) * M22 +
    SUMIFS(H:H, A:A, FALSE, F:F, "☆☆", E:E, K32) * M23 +
    SUMIFS(H:H, A:A, FALSE, F:F, "☆☆☆", E:E, K32) * M24 +
    SUMIFS(H:H, A:A, FALSE, F:F, "♛", E:E, K32) * M25
  ),
  0
)
</f>
        <v>0.0004</v>
      </c>
      <c r="N38" s="201">
        <f>IFERROR(
  (
    SUMIFS(I:I, A:A, FALSE, F:F, "♢", E:E, K38) * K22 +
    SUMIFS(I:I, A:A, FALSE, F:F, "♢♢", E:E, K38) * K23 +
    SUMIFS(I:I, A:A, FALSE, F:F, "♢♢♢", E:E, K38) * K24 +
    SUMIFS(I:I, A:A, FALSE, F:F, "♢♢♢♢", E:E, K38) * K25 +
    SUMIFS(I:I, A:A, FALSE, F:F, "☆", E:E, K38) * M22 +
    SUMIFS(I:I, A:A, FALSE, F:F, "☆☆", E:E, K38) * M23 +
    SUMIFS(I:I, A:A, FALSE, F:F, "☆☆☆", E:E, K38) * M24 +
    SUMIFS(I:I, A:A, FALSE, F:F, "♛", E:E, K38) * M25
  ) +
  (
    SUMIFS(I:I, A:A, FALSE, F:F, "♢", E:E, K32) * K22 +
    SUMIFS(I:I, A:A, FALSE, F:F, "♢♢", E:E, K32) * K23 +
    SUMIFS(I:I, A:A, FALSE, F:F, "♢♢♢", E:E, K32) * K24 +
    SUMIFS(I:I, A:A, FALSE, F:F, "♢♢♢♢", E:E, K32) * K25 +
    SUMIFS(I:I, A:A, FALSE, F:F, "☆", E:E, K32) * M22 +
    SUMIFS(I:I, A:A, FALSE, F:F, "☆☆", E:E, K32) * M23 +
    SUMIFS(I:I, A:A, FALSE, F:F, "☆☆☆", E:E, K32) * M24 +
    SUMIFS(I:I, A:A, FALSE, F:F, "♛", E:E, K32) * M25
  ),
  0
)
</f>
        <v>0.0016</v>
      </c>
    </row>
    <row r="39">
      <c r="A39" s="125" t="b">
        <f t="shared" si="1"/>
        <v>0</v>
      </c>
      <c r="B39" s="126">
        <v>0.0</v>
      </c>
      <c r="C39" s="127" t="s">
        <v>163</v>
      </c>
      <c r="D39" s="127" t="s">
        <v>164</v>
      </c>
      <c r="E39" s="128" t="s">
        <v>32</v>
      </c>
      <c r="F39" s="127" t="s">
        <v>46</v>
      </c>
      <c r="G39" s="130" t="str">
        <f>IF(F39="♢", ((L3 * 100) / (COUNTIFS(F:F, "♢", E:E, E39) + COUNTIFS(F:F, "♢", E:E, "A1") + IF(E39="A1", COUNTIFS(F:F, "♢", E:E, E2), 0) - IF(E39="A1", COUNTIFS(F:F, "♢", E:E, "A1"), 0)))/100, "")
</f>
        <v/>
      </c>
      <c r="H39" s="129">
        <f>IF(F39="♢♢", ((M4 * 100) / (COUNTIFS(F:F, "♢♢", E:E, E39) + COUNTIFS(F:F, "♢♢", E:E, "A1") + IF(E39="A1", COUNTIFS(F:F, "♢♢", E:E, E2), 0) - IF(E39="A1", COUNTIFS(F:F, "♢♢", E:E, "A1"), 0)))/100, 
   IF(F39="♢♢♢", ((M5 * 100) / (COUNTIFS(F:F, "♢♢♢", E:E, E39) + COUNTIFS(F:F, "♢♢♢", E:E, "A1") + IF(E39="A1", COUNTIFS(F:F, "♢♢♢", E:E, E2), 0) - IF(E39="A1", COUNTIFS(F:F, "♢♢♢", E:E, "A1"), 0)))/100, 
   IF(F39="♢♢♢♢", ((M6 * 100) / (COUNTIFS(F:F, "♢♢♢♢", E:E, E39) + COUNTIFS(F:F, "♢♢♢♢", E:E, "A1") + IF(E39="A1", COUNTIFS(F:F, "♢♢♢♢", E:E, E2), 0) - IF(E39="A1", COUNTIFS(F:F, "♢♢♢♢", E:E, "A1"), 0)))/100, 
   IF(F39="☆", ((M7 * 100) / (COUNTIFS(F:F, "☆", E:E, E39) + COUNTIFS(F:F, "☆", E:E, "A1") + IF(E39="A1", COUNTIFS(F:F, "☆", E:E, E2), 0) - IF(E39="A1", COUNTIFS(F:F, "☆", E:E, "A1"), 0)))/100, 
   IF(F39="☆☆", ((M8 * 100) / (COUNTIFS(F:F, "☆☆", E:E, E39) + COUNTIFS(F:F, "☆☆", E:E, "A1") + IF(E39="A1", COUNTIFS(F:F, "☆☆", E:E, E2), 0) - IF(E39="A1", COUNTIFS(F:F, "☆☆", E:E, "A1"), 0)))/100, 
   IF(F39="☆☆☆", ((M9 * 100) / (COUNTIFS(F:F, "☆☆☆", E:E, E39) + COUNTIFS(F:F, "☆☆☆", E:E, "A1") + IF(E39="A1", COUNTIFS(F:F, "☆☆☆", E:E, E2), 0) - IF(E39="A1", COUNTIFS(F:F, "☆☆☆", E:E, "A1"), 0)))/100, 
   IF(F39="♛", ((M10 * 100) / (COUNTIFS(F:F, "♛", E:E, E39) + COUNTIFS(F:F, "♛", E:E, "A1") + IF(E39="A1", COUNTIFS(F:F, "♛", E:E, E2), 0) - IF(E39="A1", COUNTIFS(F:F, "♛", E:E, "A1"), 0)))/100, "")))))))
</f>
        <v>0.02571428571</v>
      </c>
      <c r="I39" s="129">
        <f>IF(F39="♢♢", ((N4 * 100) / (COUNTIFS(F:F, "♢♢", E:E, E39) + COUNTIFS(F:F, "♢♢", E:E, "A1") + IF(E39="A1", COUNTIFS(F:F, "♢♢", E:E, E2), 0) - IF(E39="A1", COUNTIFS(F:F, "♢♢", E:E, "A1"), 0)))/100, 
   IF(F39="♢♢♢", ((N5 * 100) / (COUNTIFS(F:F, "♢♢♢", E:E, E39) + COUNTIFS(F:F, "♢♢♢", E:E, "A1") + IF(E39="A1", COUNTIFS(F:F, "♢♢♢", E:E, E2), 0) - IF(E39="A1", COUNTIFS(F:F, "♢♢♢", E:E, "A1"), 0)))/100, 
   IF(F39="♢♢♢♢", ((N6 * 100) / (COUNTIFS(F:F, "♢♢♢♢", E:E, E39) + COUNTIFS(F:F, "♢♢♢♢", E:E, "A1") + IF(E39="A1", COUNTIFS(F:F, "♢♢♢♢", E:E, E2), 0) - IF(E39="A1", COUNTIFS(F:F, "♢♢♢♢", E:E, "A1"), 0)))/100, 
   IF(F39="☆", ((N7 * 100) / (COUNTIFS(F:F, "☆", E:E, E39) + COUNTIFS(F:F, "☆", E:E, "A1") + IF(E39="A1", COUNTIFS(F:F, "☆", E:E, E2), 0) - IF(E39="A1", COUNTIFS(F:F, "☆", E:E, "A1"), 0)))/100, 
   IF(F39="☆☆", ((N8 * 100) / (COUNTIFS(F:F, "☆☆", E:E, E39) + COUNTIFS(F:F, "☆☆", E:E, "A1") + IF(E39="A1", COUNTIFS(F:F, "☆☆", E:E, E2), 0) - IF(E39="A1", COUNTIFS(F:F, "☆☆", E:E, "A1"), 0)))/100, 
   IF(F39="☆☆☆", ((N9 * 100) / (COUNTIFS(F:F, "☆☆☆", E:E, E39) + COUNTIFS(F:F, "☆☆☆", E:E, "A1") + IF(E39="A1", COUNTIFS(F:F, "☆☆☆", E:E, E2), 0) - IF(E39="A1", COUNTIFS(F:F, "☆☆☆", E:E, "A1"), 0)))/100, 
   IF(F39="♛", ((N10 * 100) / (COUNTIFS(F:F, "♛", E:E, E39) + COUNTIFS(F:F, "♛", E:E, "A1") + IF(E39="A1", COUNTIFS(F:F, "♛", E:E, E2), 0) - IF(E39="A1", COUNTIFS(F:F, "♛", E:E, "A1"), 0)))/100, "")))))))
</f>
        <v>0.01714285714</v>
      </c>
      <c r="J39" s="131"/>
      <c r="K39" s="187" t="s">
        <v>32</v>
      </c>
      <c r="L39" s="202">
        <f>IFERROR(
  (
    SUMIFS(G:G, A:A, FALSE, F:F, "♢", E:E, K39) * K22 +
    SUMIFS(G:G, A:A, FALSE, F:F, "♢♢", E:E, K39) * K23 +
    SUMIFS(G:G, A:A, FALSE, F:F, "♢♢♢", E:E, K39) * K24 +
    SUMIFS(G:G, A:A, FALSE, F:F, "♢♢♢♢", E:E, K39) * K25 +
    SUMIFS(G:G, A:A, FALSE, F:F, "☆", E:E, K39) * M22 +
    SUMIFS(G:G, A:A, FALSE, F:F, "☆☆", E:E, K39) * M23 +
    SUMIFS(G:G, A:A, FALSE, F:F, "☆☆☆", E:E, K39) * M24 +
    SUMIFS(G:G, A:A, FALSE, F:F, "♛", E:E, K39) * M25
  ) +
  (
    SUMIFS(G:G, A:A, FALSE, F:F, "♢", E:E, K32) * K22 +
    SUMIFS(G:G, A:A, FALSE, F:F, "♢♢", E:E, K32) * K23 +
    SUMIFS(G:G, A:A, FALSE, F:F, "♢♢♢", E:E, K32) * K24 +
    SUMIFS(G:G, A:A, FALSE, F:F, "♢♢♢♢", E:E, K32) * K25 +
    SUMIFS(G:G, A:A, FALSE, F:F, "☆", E:E, K32) * M22 +
    SUMIFS(G:G, A:A, FALSE, F:F, "☆☆", E:E, K32) * M23 +
    SUMIFS(G:G, A:A, FALSE, F:F, "☆☆☆", E:E, K32) * M24 +
    SUMIFS(G:G, A:A, FALSE, F:F, "♛", E:E, K32) * M25
  ),
  0
)
</f>
        <v>0</v>
      </c>
      <c r="M39" s="202">
        <f>IFERROR(
  (
    SUMIFS(H:H, A:A, FALSE, F:F, "♢", E:E, K39) * K22 +
    SUMIFS(H:H, A:A, FALSE, F:F, "♢♢", E:E, K39) * K23 +
    SUMIFS(H:H, A:A, FALSE, F:F, "♢♢♢", E:E, K39) * K24 +
    SUMIFS(H:H, A:A, FALSE, F:F, "♢♢♢♢", E:E, K39) * K25 +
    SUMIFS(H:H, A:A, FALSE, F:F, "☆", E:E, K39) * M22 +
    SUMIFS(H:H, A:A, FALSE, F:F, "☆☆", E:E, K39) * M23 +
    SUMIFS(H:H, A:A, FALSE, F:F, "☆☆☆", E:E, K39) * M24 +
    SUMIFS(H:H, A:A, FALSE, F:F, "♛", E:E, K39) * M25
  ) +
  (
    SUMIFS(H:H, A:A, FALSE, F:F, "♢", E:E, K32) * K22 +
    SUMIFS(H:H, A:A, FALSE, F:F, "♢♢", E:E, K32) * K23 +
    SUMIFS(H:H, A:A, FALSE, F:F, "♢♢♢", E:E, K32) * K24 +
    SUMIFS(H:H, A:A, FALSE, F:F, "♢♢♢♢", E:E, K32) * K25 +
    SUMIFS(H:H, A:A, FALSE, F:F, "☆", E:E, K32) * M22 +
    SUMIFS(H:H, A:A, FALSE, F:F, "☆☆", E:E, K32) * M23 +
    SUMIFS(H:H, A:A, FALSE, F:F, "☆☆☆", E:E, K32) * M24 +
    SUMIFS(H:H, A:A, FALSE, F:F, "♛", E:E, K32) * M25
  ),
  0
)
</f>
        <v>0.0004</v>
      </c>
      <c r="N39" s="203">
        <f>IFERROR(
  (
    SUMIFS(I:I, A:A, FALSE, F:F, "♢", E:E, K39) * K22 +
    SUMIFS(I:I, A:A, FALSE, F:F, "♢♢", E:E, K39) * K23 +
    SUMIFS(I:I, A:A, FALSE, F:F, "♢♢♢", E:E, K39) * K24 +
    SUMIFS(I:I, A:A, FALSE, F:F, "♢♢♢♢", E:E, K39) * K25 +
    SUMIFS(I:I, A:A, FALSE, F:F, "☆", E:E, K39) * M22 +
    SUMIFS(I:I, A:A, FALSE, F:F, "☆☆", E:E, K39) * M23 +
    SUMIFS(I:I, A:A, FALSE, F:F, "☆☆☆", E:E, K39) * M24 +
    SUMIFS(I:I, A:A, FALSE, F:F, "♛", E:E, K39) * M25
  ) +
  (
    SUMIFS(I:I, A:A, FALSE, F:F, "♢", E:E, K32) * K22 +
    SUMIFS(I:I, A:A, FALSE, F:F, "♢♢", E:E, K32) * K23 +
    SUMIFS(I:I, A:A, FALSE, F:F, "♢♢♢", E:E, K32) * K24 +
    SUMIFS(I:I, A:A, FALSE, F:F, "♢♢♢♢", E:E, K32) * K25 +
    SUMIFS(I:I, A:A, FALSE, F:F, "☆", E:E, K32) * M22 +
    SUMIFS(I:I, A:A, FALSE, F:F, "☆☆", E:E, K32) * M23 +
    SUMIFS(I:I, A:A, FALSE, F:F, "☆☆☆", E:E, K32) * M24 +
    SUMIFS(I:I, A:A, FALSE, F:F, "♛", E:E, K32) * M25
  ),
  0
)
</f>
        <v>0.0016</v>
      </c>
    </row>
    <row r="40">
      <c r="A40" s="125" t="b">
        <f t="shared" si="1"/>
        <v>0</v>
      </c>
      <c r="B40" s="126">
        <v>0.0</v>
      </c>
      <c r="C40" s="127" t="s">
        <v>165</v>
      </c>
      <c r="D40" s="127" t="s">
        <v>166</v>
      </c>
      <c r="E40" s="128" t="s">
        <v>31</v>
      </c>
      <c r="F40" s="127" t="s">
        <v>44</v>
      </c>
      <c r="G40" s="129">
        <f>IF(F40="♢", ((L3 * 100) / (COUNTIFS(F:F, "♢", E:E, E40) + COUNTIFS(F:F, "♢", E:E, "A1") + IF(E40="A1", COUNTIFS(F:F, "♢", E:E, E2), 0) - IF(E40="A1", COUNTIFS(F:F, "♢", E:E, "A1"), 0)))/100, "")
</f>
        <v>0.02</v>
      </c>
      <c r="H40" s="130" t="str">
        <f>IF(F40="♢♢", ((M4 * 100) / (COUNTIFS(F:F, "♢♢", E:E, E40) + COUNTIFS(F:F, "♢♢", E:E, "A1") + IF(E40="A1", COUNTIFS(F:F, "♢♢", E:E, E2), 0) - IF(E40="A1", COUNTIFS(F:F, "♢♢", E:E, "A1"), 0)))/100, 
   IF(F40="♢♢♢", ((M5 * 100) / (COUNTIFS(F:F, "♢♢♢", E:E, E40) + COUNTIFS(F:F, "♢♢♢", E:E, "A1") + IF(E40="A1", COUNTIFS(F:F, "♢♢♢", E:E, E2), 0) - IF(E40="A1", COUNTIFS(F:F, "♢♢♢", E:E, "A1"), 0)))/100, 
   IF(F40="♢♢♢♢", ((M6 * 100) / (COUNTIFS(F:F, "♢♢♢♢", E:E, E40) + COUNTIFS(F:F, "♢♢♢♢", E:E, "A1") + IF(E40="A1", COUNTIFS(F:F, "♢♢♢♢", E:E, E2), 0) - IF(E40="A1", COUNTIFS(F:F, "♢♢♢♢", E:E, "A1"), 0)))/100, 
   IF(F40="☆", ((M7 * 100) / (COUNTIFS(F:F, "☆", E:E, E40) + COUNTIFS(F:F, "☆", E:E, "A1") + IF(E40="A1", COUNTIFS(F:F, "☆", E:E, E2), 0) - IF(E40="A1", COUNTIFS(F:F, "☆", E:E, "A1"), 0)))/100, 
   IF(F40="☆☆", ((M8 * 100) / (COUNTIFS(F:F, "☆☆", E:E, E40) + COUNTIFS(F:F, "☆☆", E:E, "A1") + IF(E40="A1", COUNTIFS(F:F, "☆☆", E:E, E2), 0) - IF(E40="A1", COUNTIFS(F:F, "☆☆", E:E, "A1"), 0)))/100, 
   IF(F40="☆☆☆", ((M9 * 100) / (COUNTIFS(F:F, "☆☆☆", E:E, E40) + COUNTIFS(F:F, "☆☆☆", E:E, "A1") + IF(E40="A1", COUNTIFS(F:F, "☆☆☆", E:E, E2), 0) - IF(E40="A1", COUNTIFS(F:F, "☆☆☆", E:E, "A1"), 0)))/100, 
   IF(F40="♛", ((M10 * 100) / (COUNTIFS(F:F, "♛", E:E, E40) + COUNTIFS(F:F, "♛", E:E, "A1") + IF(E40="A1", COUNTIFS(F:F, "♛", E:E, E2), 0) - IF(E40="A1", COUNTIFS(F:F, "♛", E:E, "A1"), 0)))/100, "")))))))
</f>
        <v/>
      </c>
      <c r="I40" s="130" t="str">
        <f>IF(F40="♢♢", ((N4 * 100) / (COUNTIFS(F:F, "♢♢", E:E, E40) + COUNTIFS(F:F, "♢♢", E:E, "A1") + IF(E40="A1", COUNTIFS(F:F, "♢♢", E:E, E2), 0) - IF(E40="A1", COUNTIFS(F:F, "♢♢", E:E, "A1"), 0)))/100, 
   IF(F40="♢♢♢", ((N5 * 100) / (COUNTIFS(F:F, "♢♢♢", E:E, E40) + COUNTIFS(F:F, "♢♢♢", E:E, "A1") + IF(E40="A1", COUNTIFS(F:F, "♢♢♢", E:E, E2), 0) - IF(E40="A1", COUNTIFS(F:F, "♢♢♢", E:E, "A1"), 0)))/100, 
   IF(F40="♢♢♢♢", ((N6 * 100) / (COUNTIFS(F:F, "♢♢♢♢", E:E, E40) + COUNTIFS(F:F, "♢♢♢♢", E:E, "A1") + IF(E40="A1", COUNTIFS(F:F, "♢♢♢♢", E:E, E2), 0) - IF(E40="A1", COUNTIFS(F:F, "♢♢♢♢", E:E, "A1"), 0)))/100, 
   IF(F40="☆", ((N7 * 100) / (COUNTIFS(F:F, "☆", E:E, E40) + COUNTIFS(F:F, "☆", E:E, "A1") + IF(E40="A1", COUNTIFS(F:F, "☆", E:E, E2), 0) - IF(E40="A1", COUNTIFS(F:F, "☆", E:E, "A1"), 0)))/100, 
   IF(F40="☆☆", ((N8 * 100) / (COUNTIFS(F:F, "☆☆", E:E, E40) + COUNTIFS(F:F, "☆☆", E:E, "A1") + IF(E40="A1", COUNTIFS(F:F, "☆☆", E:E, E2), 0) - IF(E40="A1", COUNTIFS(F:F, "☆☆", E:E, "A1"), 0)))/100, 
   IF(F40="☆☆☆", ((N9 * 100) / (COUNTIFS(F:F, "☆☆☆", E:E, E40) + COUNTIFS(F:F, "☆☆☆", E:E, "A1") + IF(E40="A1", COUNTIFS(F:F, "☆☆☆", E:E, E2), 0) - IF(E40="A1", COUNTIFS(F:F, "☆☆☆", E:E, "A1"), 0)))/100, 
   IF(F40="♛", ((N10 * 100) / (COUNTIFS(F:F, "♛", E:E, E40) + COUNTIFS(F:F, "♛", E:E, "A1") + IF(E40="A1", COUNTIFS(F:F, "♛", E:E, E2), 0) - IF(E40="A1", COUNTIFS(F:F, "♛", E:E, "A1"), 0)))/100, "")))))))
</f>
        <v/>
      </c>
      <c r="J40" s="131"/>
      <c r="K40" s="204" t="s">
        <v>167</v>
      </c>
      <c r="L40" s="205" t="str">
        <f>IF(L37 = MAX(L37:L39), K37, IF(L38 = MAX(L37:L39), K38, K39))</f>
        <v>A1-Mewtwo</v>
      </c>
      <c r="M40" s="205" t="str">
        <f>IF(M37 = MAX(M37:M39), K37, IF(M38 = MAX(M37:M39), K38, K39))</f>
        <v>A1-Mewtwo</v>
      </c>
      <c r="N40" s="206" t="str">
        <f>IF(N37 = MAX(N37:N39), K37, IF(N38 = MAX(N37:N39), K38, K39))</f>
        <v>A1-Mewtwo</v>
      </c>
    </row>
    <row r="41">
      <c r="A41" s="125" t="b">
        <f t="shared" si="1"/>
        <v>0</v>
      </c>
      <c r="B41" s="126">
        <v>0.0</v>
      </c>
      <c r="C41" s="127" t="s">
        <v>168</v>
      </c>
      <c r="D41" s="127" t="s">
        <v>169</v>
      </c>
      <c r="E41" s="128" t="s">
        <v>31</v>
      </c>
      <c r="F41" s="127" t="s">
        <v>48</v>
      </c>
      <c r="G41" s="130" t="str">
        <f>IF(F41="♢", ((L3 * 100) / (COUNTIFS(F:F, "♢", E:E, E41) + COUNTIFS(F:F, "♢", E:E, "A1") + IF(E41="A1", COUNTIFS(F:F, "♢", E:E, E2), 0) - IF(E41="A1", COUNTIFS(F:F, "♢", E:E, "A1"), 0)))/100, "")
</f>
        <v/>
      </c>
      <c r="H41" s="129">
        <f>IF(F41="♢♢", ((M4 * 100) / (COUNTIFS(F:F, "♢♢", E:E, E41) + COUNTIFS(F:F, "♢♢", E:E, "A1") + IF(E41="A1", COUNTIFS(F:F, "♢♢", E:E, E2), 0) - IF(E41="A1", COUNTIFS(F:F, "♢♢", E:E, "A1"), 0)))/100, 
   IF(F41="♢♢♢", ((M5 * 100) / (COUNTIFS(F:F, "♢♢♢", E:E, E41) + COUNTIFS(F:F, "♢♢♢", E:E, "A1") + IF(E41="A1", COUNTIFS(F:F, "♢♢♢", E:E, E2), 0) - IF(E41="A1", COUNTIFS(F:F, "♢♢♢", E:E, "A1"), 0)))/100, 
   IF(F41="♢♢♢♢", ((M6 * 100) / (COUNTIFS(F:F, "♢♢♢♢", E:E, E41) + COUNTIFS(F:F, "♢♢♢♢", E:E, "A1") + IF(E41="A1", COUNTIFS(F:F, "♢♢♢♢", E:E, E2), 0) - IF(E41="A1", COUNTIFS(F:F, "♢♢♢♢", E:E, "A1"), 0)))/100, 
   IF(F41="☆", ((M7 * 100) / (COUNTIFS(F:F, "☆", E:E, E41) + COUNTIFS(F:F, "☆", E:E, "A1") + IF(E41="A1", COUNTIFS(F:F, "☆", E:E, E2), 0) - IF(E41="A1", COUNTIFS(F:F, "☆", E:E, "A1"), 0)))/100, 
   IF(F41="☆☆", ((M8 * 100) / (COUNTIFS(F:F, "☆☆", E:E, E41) + COUNTIFS(F:F, "☆☆", E:E, "A1") + IF(E41="A1", COUNTIFS(F:F, "☆☆", E:E, E2), 0) - IF(E41="A1", COUNTIFS(F:F, "☆☆", E:E, "A1"), 0)))/100, 
   IF(F41="☆☆☆", ((M9 * 100) / (COUNTIFS(F:F, "☆☆☆", E:E, E41) + COUNTIFS(F:F, "☆☆☆", E:E, "A1") + IF(E41="A1", COUNTIFS(F:F, "☆☆☆", E:E, E2), 0) - IF(E41="A1", COUNTIFS(F:F, "☆☆☆", E:E, "A1"), 0)))/100, 
   IF(F41="♛", ((M10 * 100) / (COUNTIFS(F:F, "♛", E:E, E41) + COUNTIFS(F:F, "♛", E:E, "A1") + IF(E41="A1", COUNTIFS(F:F, "♛", E:E, E2), 0) - IF(E41="A1", COUNTIFS(F:F, "♛", E:E, "A1"), 0)))/100, "")))))))
</f>
        <v>0.003571428571</v>
      </c>
      <c r="I41" s="129">
        <f>IF(F41="♢♢", ((N4 * 100) / (COUNTIFS(F:F, "♢♢", E:E, E41) + COUNTIFS(F:F, "♢♢", E:E, "A1") + IF(E41="A1", COUNTIFS(F:F, "♢♢", E:E, E2), 0) - IF(E41="A1", COUNTIFS(F:F, "♢♢", E:E, "A1"), 0)))/100, 
   IF(F41="♢♢♢", ((N5 * 100) / (COUNTIFS(F:F, "♢♢♢", E:E, E41) + COUNTIFS(F:F, "♢♢♢", E:E, "A1") + IF(E41="A1", COUNTIFS(F:F, "♢♢♢", E:E, E2), 0) - IF(E41="A1", COUNTIFS(F:F, "♢♢♢", E:E, "A1"), 0)))/100, 
   IF(F41="♢♢♢♢", ((N6 * 100) / (COUNTIFS(F:F, "♢♢♢♢", E:E, E41) + COUNTIFS(F:F, "♢♢♢♢", E:E, "A1") + IF(E41="A1", COUNTIFS(F:F, "♢♢♢♢", E:E, E2), 0) - IF(E41="A1", COUNTIFS(F:F, "♢♢♢♢", E:E, "A1"), 0)))/100, 
   IF(F41="☆", ((N7 * 100) / (COUNTIFS(F:F, "☆", E:E, E41) + COUNTIFS(F:F, "☆", E:E, "A1") + IF(E41="A1", COUNTIFS(F:F, "☆", E:E, E2), 0) - IF(E41="A1", COUNTIFS(F:F, "☆", E:E, "A1"), 0)))/100, 
   IF(F41="☆☆", ((N8 * 100) / (COUNTIFS(F:F, "☆☆", E:E, E41) + COUNTIFS(F:F, "☆☆", E:E, "A1") + IF(E41="A1", COUNTIFS(F:F, "☆☆", E:E, E2), 0) - IF(E41="A1", COUNTIFS(F:F, "☆☆", E:E, "A1"), 0)))/100, 
   IF(F41="☆☆☆", ((N9 * 100) / (COUNTIFS(F:F, "☆☆☆", E:E, E41) + COUNTIFS(F:F, "☆☆☆", E:E, "A1") + IF(E41="A1", COUNTIFS(F:F, "☆☆☆", E:E, E2), 0) - IF(E41="A1", COUNTIFS(F:F, "☆☆☆", E:E, "A1"), 0)))/100, 
   IF(F41="♛", ((N10 * 100) / (COUNTIFS(F:F, "♛", E:E, E41) + COUNTIFS(F:F, "♛", E:E, "A1") + IF(E41="A1", COUNTIFS(F:F, "♛", E:E, E2), 0) - IF(E41="A1", COUNTIFS(F:F, "♛", E:E, "A1"), 0)))/100, "")))))))
</f>
        <v>0.01428571429</v>
      </c>
      <c r="J41" s="131"/>
      <c r="K41" s="194"/>
      <c r="L41" s="10"/>
      <c r="M41" s="10"/>
      <c r="N41" s="195"/>
    </row>
    <row r="42">
      <c r="A42" s="125" t="b">
        <f t="shared" si="1"/>
        <v>0</v>
      </c>
      <c r="B42" s="126">
        <v>0.0</v>
      </c>
      <c r="C42" s="127" t="s">
        <v>170</v>
      </c>
      <c r="D42" s="128" t="s">
        <v>171</v>
      </c>
      <c r="E42" s="128" t="s">
        <v>31</v>
      </c>
      <c r="F42" s="127" t="s">
        <v>51</v>
      </c>
      <c r="G42" s="130" t="str">
        <f>IF(F42="♢", ((L3 * 100) / (COUNTIFS(F:F, "♢", E:E, E42) + COUNTIFS(F:F, "♢", E:E, "A1") + IF(E42="A1", COUNTIFS(F:F, "♢", E:E, E2), 0) - IF(E42="A1", COUNTIFS(F:F, "♢", E:E, "A1"), 0)))/100, "")
</f>
        <v/>
      </c>
      <c r="H42" s="129">
        <f>IF(F42="♢♢", ((M4 * 100) / (COUNTIFS(F:F, "♢♢", E:E, E42) + COUNTIFS(F:F, "♢♢", E:E, "A1") + IF(E42="A1", COUNTIFS(F:F, "♢♢", E:E, E2), 0) - IF(E42="A1", COUNTIFS(F:F, "♢♢", E:E, "A1"), 0)))/100, 
   IF(F42="♢♢♢", ((M5 * 100) / (COUNTIFS(F:F, "♢♢♢", E:E, E42) + COUNTIFS(F:F, "♢♢♢", E:E, "A1") + IF(E42="A1", COUNTIFS(F:F, "♢♢♢", E:E, E2), 0) - IF(E42="A1", COUNTIFS(F:F, "♢♢♢", E:E, "A1"), 0)))/100, 
   IF(F42="♢♢♢♢", ((M6 * 100) / (COUNTIFS(F:F, "♢♢♢♢", E:E, E42) + COUNTIFS(F:F, "♢♢♢♢", E:E, "A1") + IF(E42="A1", COUNTIFS(F:F, "♢♢♢♢", E:E, E2), 0) - IF(E42="A1", COUNTIFS(F:F, "♢♢♢♢", E:E, "A1"), 0)))/100, 
   IF(F42="☆", ((M7 * 100) / (COUNTIFS(F:F, "☆", E:E, E42) + COUNTIFS(F:F, "☆", E:E, "A1") + IF(E42="A1", COUNTIFS(F:F, "☆", E:E, E2), 0) - IF(E42="A1", COUNTIFS(F:F, "☆", E:E, "A1"), 0)))/100, 
   IF(F42="☆☆", ((M8 * 100) / (COUNTIFS(F:F, "☆☆", E:E, E42) + COUNTIFS(F:F, "☆☆", E:E, "A1") + IF(E42="A1", COUNTIFS(F:F, "☆☆", E:E, E2), 0) - IF(E42="A1", COUNTIFS(F:F, "☆☆", E:E, "A1"), 0)))/100, 
   IF(F42="☆☆☆", ((M9 * 100) / (COUNTIFS(F:F, "☆☆☆", E:E, E42) + COUNTIFS(F:F, "☆☆☆", E:E, "A1") + IF(E42="A1", COUNTIFS(F:F, "☆☆☆", E:E, E2), 0) - IF(E42="A1", COUNTIFS(F:F, "☆☆☆", E:E, "A1"), 0)))/100, 
   IF(F42="♛", ((M10 * 100) / (COUNTIFS(F:F, "♛", E:E, E42) + COUNTIFS(F:F, "♛", E:E, "A1") + IF(E42="A1", COUNTIFS(F:F, "♛", E:E, E2), 0) - IF(E42="A1", COUNTIFS(F:F, "♛", E:E, "A1"), 0)))/100, "")))))))
</f>
        <v>0.003332</v>
      </c>
      <c r="I42" s="129">
        <f>IF(F42="♢♢", ((N4 * 100) / (COUNTIFS(F:F, "♢♢", E:E, E42) + COUNTIFS(F:F, "♢♢", E:E, "A1") + IF(E42="A1", COUNTIFS(F:F, "♢♢", E:E, E2), 0) - IF(E42="A1", COUNTIFS(F:F, "♢♢", E:E, "A1"), 0)))/100, 
   IF(F42="♢♢♢", ((N5 * 100) / (COUNTIFS(F:F, "♢♢♢", E:E, E42) + COUNTIFS(F:F, "♢♢♢", E:E, "A1") + IF(E42="A1", COUNTIFS(F:F, "♢♢♢", E:E, E2), 0) - IF(E42="A1", COUNTIFS(F:F, "♢♢♢", E:E, "A1"), 0)))/100, 
   IF(F42="♢♢♢♢", ((N6 * 100) / (COUNTIFS(F:F, "♢♢♢♢", E:E, E42) + COUNTIFS(F:F, "♢♢♢♢", E:E, "A1") + IF(E42="A1", COUNTIFS(F:F, "♢♢♢♢", E:E, E2), 0) - IF(E42="A1", COUNTIFS(F:F, "♢♢♢♢", E:E, "A1"), 0)))/100, 
   IF(F42="☆", ((N7 * 100) / (COUNTIFS(F:F, "☆", E:E, E42) + COUNTIFS(F:F, "☆", E:E, "A1") + IF(E42="A1", COUNTIFS(F:F, "☆", E:E, E2), 0) - IF(E42="A1", COUNTIFS(F:F, "☆", E:E, "A1"), 0)))/100, 
   IF(F42="☆☆", ((N8 * 100) / (COUNTIFS(F:F, "☆☆", E:E, E42) + COUNTIFS(F:F, "☆☆", E:E, "A1") + IF(E42="A1", COUNTIFS(F:F, "☆☆", E:E, E2), 0) - IF(E42="A1", COUNTIFS(F:F, "☆☆", E:E, "A1"), 0)))/100, 
   IF(F42="☆☆☆", ((N9 * 100) / (COUNTIFS(F:F, "☆☆☆", E:E, E42) + COUNTIFS(F:F, "☆☆☆", E:E, "A1") + IF(E42="A1", COUNTIFS(F:F, "☆☆☆", E:E, E2), 0) - IF(E42="A1", COUNTIFS(F:F, "☆☆☆", E:E, "A1"), 0)))/100, 
   IF(F42="♛", ((N10 * 100) / (COUNTIFS(F:F, "♛", E:E, E42) + COUNTIFS(F:F, "♛", E:E, "A1") + IF(E42="A1", COUNTIFS(F:F, "♛", E:E, E2), 0) - IF(E42="A1", COUNTIFS(F:F, "♛", E:E, "A1"), 0)))/100, "")))))))
</f>
        <v>0.013328</v>
      </c>
      <c r="J42" s="131"/>
      <c r="K42" s="207" t="s">
        <v>172</v>
      </c>
      <c r="N42" s="172"/>
      <c r="O42" s="124" t="s">
        <v>173</v>
      </c>
    </row>
    <row r="43">
      <c r="A43" s="125" t="b">
        <f t="shared" si="1"/>
        <v>0</v>
      </c>
      <c r="B43" s="126">
        <v>0.0</v>
      </c>
      <c r="C43" s="127" t="s">
        <v>174</v>
      </c>
      <c r="D43" s="127" t="s">
        <v>175</v>
      </c>
      <c r="E43" s="128" t="s">
        <v>137</v>
      </c>
      <c r="F43" s="127" t="s">
        <v>44</v>
      </c>
      <c r="G43" s="129">
        <f>IF(F43="♢", ((L3 * 100) / (COUNTIFS(F:F, "♢", E:E, E43) + COUNTIFS(F:F, "♢", E:E, "A1") + IF(E43="A1", COUNTIFS(F:F, "♢", E:E, E2), 0) - IF(E43="A1", COUNTIFS(F:F, "♢", E:E, "A1"), 0)))/100, "")
</f>
        <v>0.02</v>
      </c>
      <c r="H43" s="130" t="str">
        <f>IF(F43="♢♢", ((M4 * 100) / (COUNTIFS(F:F, "♢♢", E:E, E43) + COUNTIFS(F:F, "♢♢", E:E, "A1") + IF(E43="A1", COUNTIFS(F:F, "♢♢", E:E, E2), 0) - IF(E43="A1", COUNTIFS(F:F, "♢♢", E:E, "A1"), 0)))/100, 
   IF(F43="♢♢♢", ((M5 * 100) / (COUNTIFS(F:F, "♢♢♢", E:E, E43) + COUNTIFS(F:F, "♢♢♢", E:E, "A1") + IF(E43="A1", COUNTIFS(F:F, "♢♢♢", E:E, E2), 0) - IF(E43="A1", COUNTIFS(F:F, "♢♢♢", E:E, "A1"), 0)))/100, 
   IF(F43="♢♢♢♢", ((M6 * 100) / (COUNTIFS(F:F, "♢♢♢♢", E:E, E43) + COUNTIFS(F:F, "♢♢♢♢", E:E, "A1") + IF(E43="A1", COUNTIFS(F:F, "♢♢♢♢", E:E, E2), 0) - IF(E43="A1", COUNTIFS(F:F, "♢♢♢♢", E:E, "A1"), 0)))/100, 
   IF(F43="☆", ((M7 * 100) / (COUNTIFS(F:F, "☆", E:E, E43) + COUNTIFS(F:F, "☆", E:E, "A1") + IF(E43="A1", COUNTIFS(F:F, "☆", E:E, E2), 0) - IF(E43="A1", COUNTIFS(F:F, "☆", E:E, "A1"), 0)))/100, 
   IF(F43="☆☆", ((M8 * 100) / (COUNTIFS(F:F, "☆☆", E:E, E43) + COUNTIFS(F:F, "☆☆", E:E, "A1") + IF(E43="A1", COUNTIFS(F:F, "☆☆", E:E, E2), 0) - IF(E43="A1", COUNTIFS(F:F, "☆☆", E:E, "A1"), 0)))/100, 
   IF(F43="☆☆☆", ((M9 * 100) / (COUNTIFS(F:F, "☆☆☆", E:E, E43) + COUNTIFS(F:F, "☆☆☆", E:E, "A1") + IF(E43="A1", COUNTIFS(F:F, "☆☆☆", E:E, E2), 0) - IF(E43="A1", COUNTIFS(F:F, "☆☆☆", E:E, "A1"), 0)))/100, 
   IF(F43="♛", ((M10 * 100) / (COUNTIFS(F:F, "♛", E:E, E43) + COUNTIFS(F:F, "♛", E:E, "A1") + IF(E43="A1", COUNTIFS(F:F, "♛", E:E, E2), 0) - IF(E43="A1", COUNTIFS(F:F, "♛", E:E, "A1"), 0)))/100, "")))))))
</f>
        <v/>
      </c>
      <c r="I43" s="130" t="str">
        <f>IF(F43="♢♢", ((N4 * 100) / (COUNTIFS(F:F, "♢♢", E:E, E43) + COUNTIFS(F:F, "♢♢", E:E, "A1") + IF(E43="A1", COUNTIFS(F:F, "♢♢", E:E, E2), 0) - IF(E43="A1", COUNTIFS(F:F, "♢♢", E:E, "A1"), 0)))/100, 
   IF(F43="♢♢♢", ((N5 * 100) / (COUNTIFS(F:F, "♢♢♢", E:E, E43) + COUNTIFS(F:F, "♢♢♢", E:E, "A1") + IF(E43="A1", COUNTIFS(F:F, "♢♢♢", E:E, E2), 0) - IF(E43="A1", COUNTIFS(F:F, "♢♢♢", E:E, "A1"), 0)))/100, 
   IF(F43="♢♢♢♢", ((N6 * 100) / (COUNTIFS(F:F, "♢♢♢♢", E:E, E43) + COUNTIFS(F:F, "♢♢♢♢", E:E, "A1") + IF(E43="A1", COUNTIFS(F:F, "♢♢♢♢", E:E, E2), 0) - IF(E43="A1", COUNTIFS(F:F, "♢♢♢♢", E:E, "A1"), 0)))/100, 
   IF(F43="☆", ((N7 * 100) / (COUNTIFS(F:F, "☆", E:E, E43) + COUNTIFS(F:F, "☆", E:E, "A1") + IF(E43="A1", COUNTIFS(F:F, "☆", E:E, E2), 0) - IF(E43="A1", COUNTIFS(F:F, "☆", E:E, "A1"), 0)))/100, 
   IF(F43="☆☆", ((N8 * 100) / (COUNTIFS(F:F, "☆☆", E:E, E43) + COUNTIFS(F:F, "☆☆", E:E, "A1") + IF(E43="A1", COUNTIFS(F:F, "☆☆", E:E, E2), 0) - IF(E43="A1", COUNTIFS(F:F, "☆☆", E:E, "A1"), 0)))/100, 
   IF(F43="☆☆☆", ((N9 * 100) / (COUNTIFS(F:F, "☆☆☆", E:E, E43) + COUNTIFS(F:F, "☆☆☆", E:E, "A1") + IF(E43="A1", COUNTIFS(F:F, "☆☆☆", E:E, E2), 0) - IF(E43="A1", COUNTIFS(F:F, "☆☆☆", E:E, "A1"), 0)))/100, 
   IF(F43="♛", ((N10 * 100) / (COUNTIFS(F:F, "♛", E:E, E43) + COUNTIFS(F:F, "♛", E:E, "A1") + IF(E43="A1", COUNTIFS(F:F, "♛", E:E, E2), 0) - IF(E43="A1", COUNTIFS(F:F, "♛", E:E, "A1"), 0)))/100, "")))))))
</f>
        <v/>
      </c>
      <c r="J43" s="131"/>
      <c r="K43" s="183" t="s">
        <v>29</v>
      </c>
      <c r="L43" s="208">
        <f t="shared" ref="L43:L45" si="5">1-((1-L37)^3*(1-M37)*(1-N37))</f>
        <v>0.00199936</v>
      </c>
      <c r="M43" s="209" t="s">
        <v>176</v>
      </c>
      <c r="N43" s="172"/>
    </row>
    <row r="44">
      <c r="A44" s="125" t="b">
        <f t="shared" si="1"/>
        <v>0</v>
      </c>
      <c r="B44" s="126">
        <v>0.0</v>
      </c>
      <c r="C44" s="127" t="s">
        <v>177</v>
      </c>
      <c r="D44" s="127" t="s">
        <v>178</v>
      </c>
      <c r="E44" s="128" t="s">
        <v>137</v>
      </c>
      <c r="F44" s="127" t="s">
        <v>46</v>
      </c>
      <c r="G44" s="130" t="str">
        <f>IF(F44="♢", ((L3 * 100) / (COUNTIFS(F:F, "♢", E:E, E44) + COUNTIFS(F:F, "♢", E:E, "A1") + IF(E44="A1", COUNTIFS(F:F, "♢", E:E, E2), 0) - IF(E44="A1", COUNTIFS(F:F, "♢", E:E, "A1"), 0)))/100, "")
</f>
        <v/>
      </c>
      <c r="H44" s="129">
        <f>IF(F44="♢♢", ((M4 * 100) / (COUNTIFS(F:F, "♢♢", E:E, E44) + COUNTIFS(F:F, "♢♢", E:E, "A1") + IF(E44="A1", COUNTIFS(F:F, "♢♢", E:E, E2), 0) - IF(E44="A1", COUNTIFS(F:F, "♢♢", E:E, "A1"), 0)))/100, 
   IF(F44="♢♢♢", ((M5 * 100) / (COUNTIFS(F:F, "♢♢♢", E:E, E44) + COUNTIFS(F:F, "♢♢♢", E:E, "A1") + IF(E44="A1", COUNTIFS(F:F, "♢♢♢", E:E, E2), 0) - IF(E44="A1", COUNTIFS(F:F, "♢♢♢", E:E, "A1"), 0)))/100, 
   IF(F44="♢♢♢♢", ((M6 * 100) / (COUNTIFS(F:F, "♢♢♢♢", E:E, E44) + COUNTIFS(F:F, "♢♢♢♢", E:E, "A1") + IF(E44="A1", COUNTIFS(F:F, "♢♢♢♢", E:E, E2), 0) - IF(E44="A1", COUNTIFS(F:F, "♢♢♢♢", E:E, "A1"), 0)))/100, 
   IF(F44="☆", ((M7 * 100) / (COUNTIFS(F:F, "☆", E:E, E44) + COUNTIFS(F:F, "☆", E:E, "A1") + IF(E44="A1", COUNTIFS(F:F, "☆", E:E, E2), 0) - IF(E44="A1", COUNTIFS(F:F, "☆", E:E, "A1"), 0)))/100, 
   IF(F44="☆☆", ((M8 * 100) / (COUNTIFS(F:F, "☆☆", E:E, E44) + COUNTIFS(F:F, "☆☆", E:E, "A1") + IF(E44="A1", COUNTIFS(F:F, "☆☆", E:E, E2), 0) - IF(E44="A1", COUNTIFS(F:F, "☆☆", E:E, "A1"), 0)))/100, 
   IF(F44="☆☆☆", ((M9 * 100) / (COUNTIFS(F:F, "☆☆☆", E:E, E44) + COUNTIFS(F:F, "☆☆☆", E:E, "A1") + IF(E44="A1", COUNTIFS(F:F, "☆☆☆", E:E, E2), 0) - IF(E44="A1", COUNTIFS(F:F, "☆☆☆", E:E, "A1"), 0)))/100, 
   IF(F44="♛", ((M10 * 100) / (COUNTIFS(F:F, "♛", E:E, E44) + COUNTIFS(F:F, "♛", E:E, "A1") + IF(E44="A1", COUNTIFS(F:F, "♛", E:E, E2), 0) - IF(E44="A1", COUNTIFS(F:F, "♛", E:E, "A1"), 0)))/100, "")))))))
</f>
        <v>0.02571428571</v>
      </c>
      <c r="I44" s="129">
        <f>IF(F44="♢♢", ((N4 * 100) / (COUNTIFS(F:F, "♢♢", E:E, E44) + COUNTIFS(F:F, "♢♢", E:E, "A1") + IF(E44="A1", COUNTIFS(F:F, "♢♢", E:E, E2), 0) - IF(E44="A1", COUNTIFS(F:F, "♢♢", E:E, "A1"), 0)))/100, 
   IF(F44="♢♢♢", ((N5 * 100) / (COUNTIFS(F:F, "♢♢♢", E:E, E44) + COUNTIFS(F:F, "♢♢♢", E:E, "A1") + IF(E44="A1", COUNTIFS(F:F, "♢♢♢", E:E, E2), 0) - IF(E44="A1", COUNTIFS(F:F, "♢♢♢", E:E, "A1"), 0)))/100, 
   IF(F44="♢♢♢♢", ((N6 * 100) / (COUNTIFS(F:F, "♢♢♢♢", E:E, E44) + COUNTIFS(F:F, "♢♢♢♢", E:E, "A1") + IF(E44="A1", COUNTIFS(F:F, "♢♢♢♢", E:E, E2), 0) - IF(E44="A1", COUNTIFS(F:F, "♢♢♢♢", E:E, "A1"), 0)))/100, 
   IF(F44="☆", ((N7 * 100) / (COUNTIFS(F:F, "☆", E:E, E44) + COUNTIFS(F:F, "☆", E:E, "A1") + IF(E44="A1", COUNTIFS(F:F, "☆", E:E, E2), 0) - IF(E44="A1", COUNTIFS(F:F, "☆", E:E, "A1"), 0)))/100, 
   IF(F44="☆☆", ((N8 * 100) / (COUNTIFS(F:F, "☆☆", E:E, E44) + COUNTIFS(F:F, "☆☆", E:E, "A1") + IF(E44="A1", COUNTIFS(F:F, "☆☆", E:E, E2), 0) - IF(E44="A1", COUNTIFS(F:F, "☆☆", E:E, "A1"), 0)))/100, 
   IF(F44="☆☆☆", ((N9 * 100) / (COUNTIFS(F:F, "☆☆☆", E:E, E44) + COUNTIFS(F:F, "☆☆☆", E:E, "A1") + IF(E44="A1", COUNTIFS(F:F, "☆☆☆", E:E, E2), 0) - IF(E44="A1", COUNTIFS(F:F, "☆☆☆", E:E, "A1"), 0)))/100, 
   IF(F44="♛", ((N10 * 100) / (COUNTIFS(F:F, "♛", E:E, E44) + COUNTIFS(F:F, "♛", E:E, "A1") + IF(E44="A1", COUNTIFS(F:F, "♛", E:E, E2), 0) - IF(E44="A1", COUNTIFS(F:F, "♛", E:E, "A1"), 0)))/100, "")))))))
</f>
        <v>0.01714285714</v>
      </c>
      <c r="J44" s="131"/>
      <c r="K44" s="185" t="s">
        <v>31</v>
      </c>
      <c r="L44" s="210">
        <f t="shared" si="5"/>
        <v>0.00199936</v>
      </c>
      <c r="M44" s="193" t="str">
        <f>IF(L43 = MAX(L43:L45), K43, IF(L44 = MAX(L43:L45), K44, K45))</f>
        <v>A1-Mewtwo</v>
      </c>
      <c r="N44" s="172"/>
    </row>
    <row r="45">
      <c r="A45" s="125" t="b">
        <f t="shared" si="1"/>
        <v>0</v>
      </c>
      <c r="B45" s="126">
        <v>0.0</v>
      </c>
      <c r="C45" s="127" t="s">
        <v>179</v>
      </c>
      <c r="D45" s="127" t="s">
        <v>180</v>
      </c>
      <c r="E45" s="128" t="s">
        <v>32</v>
      </c>
      <c r="F45" s="127" t="s">
        <v>44</v>
      </c>
      <c r="G45" s="129">
        <f>IF(F45="♢", ((L3 * 100) / (COUNTIFS(F:F, "♢", E:E, E45) + COUNTIFS(F:F, "♢", E:E, "A1") + IF(E45="A1", COUNTIFS(F:F, "♢", E:E, E2), 0) - IF(E45="A1", COUNTIFS(F:F, "♢", E:E, "A1"), 0)))/100, "")
</f>
        <v>0.02</v>
      </c>
      <c r="H45" s="130" t="str">
        <f>IF(F45="♢♢", ((M4 * 100) / (COUNTIFS(F:F, "♢♢", E:E, E45) + COUNTIFS(F:F, "♢♢", E:E, "A1") + IF(E45="A1", COUNTIFS(F:F, "♢♢", E:E, E2), 0) - IF(E45="A1", COUNTIFS(F:F, "♢♢", E:E, "A1"), 0)))/100, 
   IF(F45="♢♢♢", ((M5 * 100) / (COUNTIFS(F:F, "♢♢♢", E:E, E45) + COUNTIFS(F:F, "♢♢♢", E:E, "A1") + IF(E45="A1", COUNTIFS(F:F, "♢♢♢", E:E, E2), 0) - IF(E45="A1", COUNTIFS(F:F, "♢♢♢", E:E, "A1"), 0)))/100, 
   IF(F45="♢♢♢♢", ((M6 * 100) / (COUNTIFS(F:F, "♢♢♢♢", E:E, E45) + COUNTIFS(F:F, "♢♢♢♢", E:E, "A1") + IF(E45="A1", COUNTIFS(F:F, "♢♢♢♢", E:E, E2), 0) - IF(E45="A1", COUNTIFS(F:F, "♢♢♢♢", E:E, "A1"), 0)))/100, 
   IF(F45="☆", ((M7 * 100) / (COUNTIFS(F:F, "☆", E:E, E45) + COUNTIFS(F:F, "☆", E:E, "A1") + IF(E45="A1", COUNTIFS(F:F, "☆", E:E, E2), 0) - IF(E45="A1", COUNTIFS(F:F, "☆", E:E, "A1"), 0)))/100, 
   IF(F45="☆☆", ((M8 * 100) / (COUNTIFS(F:F, "☆☆", E:E, E45) + COUNTIFS(F:F, "☆☆", E:E, "A1") + IF(E45="A1", COUNTIFS(F:F, "☆☆", E:E, E2), 0) - IF(E45="A1", COUNTIFS(F:F, "☆☆", E:E, "A1"), 0)))/100, 
   IF(F45="☆☆☆", ((M9 * 100) / (COUNTIFS(F:F, "☆☆☆", E:E, E45) + COUNTIFS(F:F, "☆☆☆", E:E, "A1") + IF(E45="A1", COUNTIFS(F:F, "☆☆☆", E:E, E2), 0) - IF(E45="A1", COUNTIFS(F:F, "☆☆☆", E:E, "A1"), 0)))/100, 
   IF(F45="♛", ((M10 * 100) / (COUNTIFS(F:F, "♛", E:E, E45) + COUNTIFS(F:F, "♛", E:E, "A1") + IF(E45="A1", COUNTIFS(F:F, "♛", E:E, E2), 0) - IF(E45="A1", COUNTIFS(F:F, "♛", E:E, "A1"), 0)))/100, "")))))))
</f>
        <v/>
      </c>
      <c r="I45" s="130" t="str">
        <f>IF(F45="♢♢", ((N4 * 100) / (COUNTIFS(F:F, "♢♢", E:E, E45) + COUNTIFS(F:F, "♢♢", E:E, "A1") + IF(E45="A1", COUNTIFS(F:F, "♢♢", E:E, E2), 0) - IF(E45="A1", COUNTIFS(F:F, "♢♢", E:E, "A1"), 0)))/100, 
   IF(F45="♢♢♢", ((N5 * 100) / (COUNTIFS(F:F, "♢♢♢", E:E, E45) + COUNTIFS(F:F, "♢♢♢", E:E, "A1") + IF(E45="A1", COUNTIFS(F:F, "♢♢♢", E:E, E2), 0) - IF(E45="A1", COUNTIFS(F:F, "♢♢♢", E:E, "A1"), 0)))/100, 
   IF(F45="♢♢♢♢", ((N6 * 100) / (COUNTIFS(F:F, "♢♢♢♢", E:E, E45) + COUNTIFS(F:F, "♢♢♢♢", E:E, "A1") + IF(E45="A1", COUNTIFS(F:F, "♢♢♢♢", E:E, E2), 0) - IF(E45="A1", COUNTIFS(F:F, "♢♢♢♢", E:E, "A1"), 0)))/100, 
   IF(F45="☆", ((N7 * 100) / (COUNTIFS(F:F, "☆", E:E, E45) + COUNTIFS(F:F, "☆", E:E, "A1") + IF(E45="A1", COUNTIFS(F:F, "☆", E:E, E2), 0) - IF(E45="A1", COUNTIFS(F:F, "☆", E:E, "A1"), 0)))/100, 
   IF(F45="☆☆", ((N8 * 100) / (COUNTIFS(F:F, "☆☆", E:E, E45) + COUNTIFS(F:F, "☆☆", E:E, "A1") + IF(E45="A1", COUNTIFS(F:F, "☆☆", E:E, E2), 0) - IF(E45="A1", COUNTIFS(F:F, "☆☆", E:E, "A1"), 0)))/100, 
   IF(F45="☆☆☆", ((N9 * 100) / (COUNTIFS(F:F, "☆☆☆", E:E, E45) + COUNTIFS(F:F, "☆☆☆", E:E, "A1") + IF(E45="A1", COUNTIFS(F:F, "☆☆☆", E:E, E2), 0) - IF(E45="A1", COUNTIFS(F:F, "☆☆☆", E:E, "A1"), 0)))/100, 
   IF(F45="♛", ((N10 * 100) / (COUNTIFS(F:F, "♛", E:E, E45) + COUNTIFS(F:F, "♛", E:E, "A1") + IF(E45="A1", COUNTIFS(F:F, "♛", E:E, E2), 0) - IF(E45="A1", COUNTIFS(F:F, "♛", E:E, "A1"), 0)))/100, "")))))))
</f>
        <v/>
      </c>
      <c r="J45" s="131"/>
      <c r="K45" s="211" t="s">
        <v>32</v>
      </c>
      <c r="L45" s="212">
        <f t="shared" si="5"/>
        <v>0.00199936</v>
      </c>
      <c r="M45" s="166"/>
      <c r="N45" s="213"/>
    </row>
    <row r="46">
      <c r="A46" s="125" t="b">
        <f t="shared" si="1"/>
        <v>0</v>
      </c>
      <c r="B46" s="126">
        <v>0.0</v>
      </c>
      <c r="C46" s="127" t="s">
        <v>181</v>
      </c>
      <c r="D46" s="127" t="s">
        <v>182</v>
      </c>
      <c r="E46" s="128" t="s">
        <v>32</v>
      </c>
      <c r="F46" s="127" t="s">
        <v>48</v>
      </c>
      <c r="G46" s="130" t="str">
        <f>IF(F46="♢", ((L3 * 100) / (COUNTIFS(F:F, "♢", E:E, E46) + COUNTIFS(F:F, "♢", E:E, "A1") + IF(E46="A1", COUNTIFS(F:F, "♢", E:E, E2), 0) - IF(E46="A1", COUNTIFS(F:F, "♢", E:E, "A1"), 0)))/100, "")
</f>
        <v/>
      </c>
      <c r="H46" s="129">
        <f>IF(F46="♢♢", ((M4 * 100) / (COUNTIFS(F:F, "♢♢", E:E, E46) + COUNTIFS(F:F, "♢♢", E:E, "A1") + IF(E46="A1", COUNTIFS(F:F, "♢♢", E:E, E2), 0) - IF(E46="A1", COUNTIFS(F:F, "♢♢", E:E, "A1"), 0)))/100, 
   IF(F46="♢♢♢", ((M5 * 100) / (COUNTIFS(F:F, "♢♢♢", E:E, E46) + COUNTIFS(F:F, "♢♢♢", E:E, "A1") + IF(E46="A1", COUNTIFS(F:F, "♢♢♢", E:E, E2), 0) - IF(E46="A1", COUNTIFS(F:F, "♢♢♢", E:E, "A1"), 0)))/100, 
   IF(F46="♢♢♢♢", ((M6 * 100) / (COUNTIFS(F:F, "♢♢♢♢", E:E, E46) + COUNTIFS(F:F, "♢♢♢♢", E:E, "A1") + IF(E46="A1", COUNTIFS(F:F, "♢♢♢♢", E:E, E2), 0) - IF(E46="A1", COUNTIFS(F:F, "♢♢♢♢", E:E, "A1"), 0)))/100, 
   IF(F46="☆", ((M7 * 100) / (COUNTIFS(F:F, "☆", E:E, E46) + COUNTIFS(F:F, "☆", E:E, "A1") + IF(E46="A1", COUNTIFS(F:F, "☆", E:E, E2), 0) - IF(E46="A1", COUNTIFS(F:F, "☆", E:E, "A1"), 0)))/100, 
   IF(F46="☆☆", ((M8 * 100) / (COUNTIFS(F:F, "☆☆", E:E, E46) + COUNTIFS(F:F, "☆☆", E:E, "A1") + IF(E46="A1", COUNTIFS(F:F, "☆☆", E:E, E2), 0) - IF(E46="A1", COUNTIFS(F:F, "☆☆", E:E, "A1"), 0)))/100, 
   IF(F46="☆☆☆", ((M9 * 100) / (COUNTIFS(F:F, "☆☆☆", E:E, E46) + COUNTIFS(F:F, "☆☆☆", E:E, "A1") + IF(E46="A1", COUNTIFS(F:F, "☆☆☆", E:E, E2), 0) - IF(E46="A1", COUNTIFS(F:F, "☆☆☆", E:E, "A1"), 0)))/100, 
   IF(F46="♛", ((M10 * 100) / (COUNTIFS(F:F, "♛", E:E, E46) + COUNTIFS(F:F, "♛", E:E, "A1") + IF(E46="A1", COUNTIFS(F:F, "♛", E:E, E2), 0) - IF(E46="A1", COUNTIFS(F:F, "♛", E:E, "A1"), 0)))/100, "")))))))
</f>
        <v>0.003571428571</v>
      </c>
      <c r="I46" s="129">
        <f>IF(F46="♢♢", ((N4 * 100) / (COUNTIFS(F:F, "♢♢", E:E, E46) + COUNTIFS(F:F, "♢♢", E:E, "A1") + IF(E46="A1", COUNTIFS(F:F, "♢♢", E:E, E2), 0) - IF(E46="A1", COUNTIFS(F:F, "♢♢", E:E, "A1"), 0)))/100, 
   IF(F46="♢♢♢", ((N5 * 100) / (COUNTIFS(F:F, "♢♢♢", E:E, E46) + COUNTIFS(F:F, "♢♢♢", E:E, "A1") + IF(E46="A1", COUNTIFS(F:F, "♢♢♢", E:E, E2), 0) - IF(E46="A1", COUNTIFS(F:F, "♢♢♢", E:E, "A1"), 0)))/100, 
   IF(F46="♢♢♢♢", ((N6 * 100) / (COUNTIFS(F:F, "♢♢♢♢", E:E, E46) + COUNTIFS(F:F, "♢♢♢♢", E:E, "A1") + IF(E46="A1", COUNTIFS(F:F, "♢♢♢♢", E:E, E2), 0) - IF(E46="A1", COUNTIFS(F:F, "♢♢♢♢", E:E, "A1"), 0)))/100, 
   IF(F46="☆", ((N7 * 100) / (COUNTIFS(F:F, "☆", E:E, E46) + COUNTIFS(F:F, "☆", E:E, "A1") + IF(E46="A1", COUNTIFS(F:F, "☆", E:E, E2), 0) - IF(E46="A1", COUNTIFS(F:F, "☆", E:E, "A1"), 0)))/100, 
   IF(F46="☆☆", ((N8 * 100) / (COUNTIFS(F:F, "☆☆", E:E, E46) + COUNTIFS(F:F, "☆☆", E:E, "A1") + IF(E46="A1", COUNTIFS(F:F, "☆☆", E:E, E2), 0) - IF(E46="A1", COUNTIFS(F:F, "☆☆", E:E, "A1"), 0)))/100, 
   IF(F46="☆☆☆", ((N9 * 100) / (COUNTIFS(F:F, "☆☆☆", E:E, E46) + COUNTIFS(F:F, "☆☆☆", E:E, "A1") + IF(E46="A1", COUNTIFS(F:F, "☆☆☆", E:E, E2), 0) - IF(E46="A1", COUNTIFS(F:F, "☆☆☆", E:E, "A1"), 0)))/100, 
   IF(F46="♛", ((N10 * 100) / (COUNTIFS(F:F, "♛", E:E, E46) + COUNTIFS(F:F, "♛", E:E, "A1") + IF(E46="A1", COUNTIFS(F:F, "♛", E:E, E2), 0) - IF(E46="A1", COUNTIFS(F:F, "♛", E:E, "A1"), 0)))/100, "")))))))
</f>
        <v>0.01428571429</v>
      </c>
      <c r="J46" s="214"/>
      <c r="K46" s="215" t="s">
        <v>183</v>
      </c>
      <c r="N46" s="216"/>
      <c r="O46" s="217" t="s">
        <v>184</v>
      </c>
    </row>
    <row r="47">
      <c r="A47" s="125" t="b">
        <f t="shared" si="1"/>
        <v>0</v>
      </c>
      <c r="B47" s="126">
        <v>0.0</v>
      </c>
      <c r="C47" s="127" t="s">
        <v>185</v>
      </c>
      <c r="D47" s="127" t="s">
        <v>186</v>
      </c>
      <c r="E47" s="128" t="s">
        <v>32</v>
      </c>
      <c r="F47" s="127" t="s">
        <v>48</v>
      </c>
      <c r="G47" s="130" t="str">
        <f>IF(F47="♢", ((L3 * 100) / (COUNTIFS(F:F, "♢", E:E, E47) + COUNTIFS(F:F, "♢", E:E, "A1") + IF(E47="A1", COUNTIFS(F:F, "♢", E:E, E2), 0) - IF(E47="A1", COUNTIFS(F:F, "♢", E:E, "A1"), 0)))/100, "")
</f>
        <v/>
      </c>
      <c r="H47" s="129">
        <f>IF(F47="♢♢", ((M4 * 100) / (COUNTIFS(F:F, "♢♢", E:E, E47) + COUNTIFS(F:F, "♢♢", E:E, "A1") + IF(E47="A1", COUNTIFS(F:F, "♢♢", E:E, E2), 0) - IF(E47="A1", COUNTIFS(F:F, "♢♢", E:E, "A1"), 0)))/100, 
   IF(F47="♢♢♢", ((M5 * 100) / (COUNTIFS(F:F, "♢♢♢", E:E, E47) + COUNTIFS(F:F, "♢♢♢", E:E, "A1") + IF(E47="A1", COUNTIFS(F:F, "♢♢♢", E:E, E2), 0) - IF(E47="A1", COUNTIFS(F:F, "♢♢♢", E:E, "A1"), 0)))/100, 
   IF(F47="♢♢♢♢", ((M6 * 100) / (COUNTIFS(F:F, "♢♢♢♢", E:E, E47) + COUNTIFS(F:F, "♢♢♢♢", E:E, "A1") + IF(E47="A1", COUNTIFS(F:F, "♢♢♢♢", E:E, E2), 0) - IF(E47="A1", COUNTIFS(F:F, "♢♢♢♢", E:E, "A1"), 0)))/100, 
   IF(F47="☆", ((M7 * 100) / (COUNTIFS(F:F, "☆", E:E, E47) + COUNTIFS(F:F, "☆", E:E, "A1") + IF(E47="A1", COUNTIFS(F:F, "☆", E:E, E2), 0) - IF(E47="A1", COUNTIFS(F:F, "☆", E:E, "A1"), 0)))/100, 
   IF(F47="☆☆", ((M8 * 100) / (COUNTIFS(F:F, "☆☆", E:E, E47) + COUNTIFS(F:F, "☆☆", E:E, "A1") + IF(E47="A1", COUNTIFS(F:F, "☆☆", E:E, E2), 0) - IF(E47="A1", COUNTIFS(F:F, "☆☆", E:E, "A1"), 0)))/100, 
   IF(F47="☆☆☆", ((M9 * 100) / (COUNTIFS(F:F, "☆☆☆", E:E, E47) + COUNTIFS(F:F, "☆☆☆", E:E, "A1") + IF(E47="A1", COUNTIFS(F:F, "☆☆☆", E:E, E2), 0) - IF(E47="A1", COUNTIFS(F:F, "☆☆☆", E:E, "A1"), 0)))/100, 
   IF(F47="♛", ((M10 * 100) / (COUNTIFS(F:F, "♛", E:E, E47) + COUNTIFS(F:F, "♛", E:E, "A1") + IF(E47="A1", COUNTIFS(F:F, "♛", E:E, E2), 0) - IF(E47="A1", COUNTIFS(F:F, "♛", E:E, "A1"), 0)))/100, "")))))))
</f>
        <v>0.003571428571</v>
      </c>
      <c r="I47" s="129">
        <f>IF(F47="♢♢", ((N4 * 100) / (COUNTIFS(F:F, "♢♢", E:E, E47) + COUNTIFS(F:F, "♢♢", E:E, "A1") + IF(E47="A1", COUNTIFS(F:F, "♢♢", E:E, E2), 0) - IF(E47="A1", COUNTIFS(F:F, "♢♢", E:E, "A1"), 0)))/100, 
   IF(F47="♢♢♢", ((N5 * 100) / (COUNTIFS(F:F, "♢♢♢", E:E, E47) + COUNTIFS(F:F, "♢♢♢", E:E, "A1") + IF(E47="A1", COUNTIFS(F:F, "♢♢♢", E:E, E2), 0) - IF(E47="A1", COUNTIFS(F:F, "♢♢♢", E:E, "A1"), 0)))/100, 
   IF(F47="♢♢♢♢", ((N6 * 100) / (COUNTIFS(F:F, "♢♢♢♢", E:E, E47) + COUNTIFS(F:F, "♢♢♢♢", E:E, "A1") + IF(E47="A1", COUNTIFS(F:F, "♢♢♢♢", E:E, E2), 0) - IF(E47="A1", COUNTIFS(F:F, "♢♢♢♢", E:E, "A1"), 0)))/100, 
   IF(F47="☆", ((N7 * 100) / (COUNTIFS(F:F, "☆", E:E, E47) + COUNTIFS(F:F, "☆", E:E, "A1") + IF(E47="A1", COUNTIFS(F:F, "☆", E:E, E2), 0) - IF(E47="A1", COUNTIFS(F:F, "☆", E:E, "A1"), 0)))/100, 
   IF(F47="☆☆", ((N8 * 100) / (COUNTIFS(F:F, "☆☆", E:E, E47) + COUNTIFS(F:F, "☆☆", E:E, "A1") + IF(E47="A1", COUNTIFS(F:F, "☆☆", E:E, E2), 0) - IF(E47="A1", COUNTIFS(F:F, "☆☆", E:E, "A1"), 0)))/100, 
   IF(F47="☆☆☆", ((N9 * 100) / (COUNTIFS(F:F, "☆☆☆", E:E, E47) + COUNTIFS(F:F, "☆☆☆", E:E, "A1") + IF(E47="A1", COUNTIFS(F:F, "☆☆☆", E:E, E2), 0) - IF(E47="A1", COUNTIFS(F:F, "☆☆☆", E:E, "A1"), 0)))/100, 
   IF(F47="♛", ((N10 * 100) / (COUNTIFS(F:F, "♛", E:E, E47) + COUNTIFS(F:F, "♛", E:E, "A1") + IF(E47="A1", COUNTIFS(F:F, "♛", E:E, E2), 0) - IF(E47="A1", COUNTIFS(F:F, "♛", E:E, "A1"), 0)))/100, "")))))))
</f>
        <v>0.01428571429</v>
      </c>
      <c r="J47" s="214"/>
      <c r="N47" s="216"/>
    </row>
    <row r="48">
      <c r="A48" s="125" t="b">
        <f t="shared" si="1"/>
        <v>0</v>
      </c>
      <c r="B48" s="126">
        <v>0.0</v>
      </c>
      <c r="C48" s="127" t="s">
        <v>187</v>
      </c>
      <c r="D48" s="128" t="s">
        <v>188</v>
      </c>
      <c r="E48" s="128" t="s">
        <v>32</v>
      </c>
      <c r="F48" s="127" t="s">
        <v>51</v>
      </c>
      <c r="G48" s="130" t="str">
        <f>IF(F48="♢", ((L3 * 100) / (COUNTIFS(F:F, "♢", E:E, E48) + COUNTIFS(F:F, "♢", E:E, "A1") + IF(E48="A1", COUNTIFS(F:F, "♢", E:E, E2), 0) - IF(E48="A1", COUNTIFS(F:F, "♢", E:E, "A1"), 0)))/100, "")
</f>
        <v/>
      </c>
      <c r="H48" s="129">
        <f>IF(F48="♢♢", ((M4 * 100) / (COUNTIFS(F:F, "♢♢", E:E, E48) + COUNTIFS(F:F, "♢♢", E:E, "A1") + IF(E48="A1", COUNTIFS(F:F, "♢♢", E:E, E2), 0) - IF(E48="A1", COUNTIFS(F:F, "♢♢", E:E, "A1"), 0)))/100, 
   IF(F48="♢♢♢", ((M5 * 100) / (COUNTIFS(F:F, "♢♢♢", E:E, E48) + COUNTIFS(F:F, "♢♢♢", E:E, "A1") + IF(E48="A1", COUNTIFS(F:F, "♢♢♢", E:E, E2), 0) - IF(E48="A1", COUNTIFS(F:F, "♢♢♢", E:E, "A1"), 0)))/100, 
   IF(F48="♢♢♢♢", ((M6 * 100) / (COUNTIFS(F:F, "♢♢♢♢", E:E, E48) + COUNTIFS(F:F, "♢♢♢♢", E:E, "A1") + IF(E48="A1", COUNTIFS(F:F, "♢♢♢♢", E:E, E2), 0) - IF(E48="A1", COUNTIFS(F:F, "♢♢♢♢", E:E, "A1"), 0)))/100, 
   IF(F48="☆", ((M7 * 100) / (COUNTIFS(F:F, "☆", E:E, E48) + COUNTIFS(F:F, "☆", E:E, "A1") + IF(E48="A1", COUNTIFS(F:F, "☆", E:E, E2), 0) - IF(E48="A1", COUNTIFS(F:F, "☆", E:E, "A1"), 0)))/100, 
   IF(F48="☆☆", ((M8 * 100) / (COUNTIFS(F:F, "☆☆", E:E, E48) + COUNTIFS(F:F, "☆☆", E:E, "A1") + IF(E48="A1", COUNTIFS(F:F, "☆☆", E:E, E2), 0) - IF(E48="A1", COUNTIFS(F:F, "☆☆", E:E, "A1"), 0)))/100, 
   IF(F48="☆☆☆", ((M9 * 100) / (COUNTIFS(F:F, "☆☆☆", E:E, E48) + COUNTIFS(F:F, "☆☆☆", E:E, "A1") + IF(E48="A1", COUNTIFS(F:F, "☆☆☆", E:E, E2), 0) - IF(E48="A1", COUNTIFS(F:F, "☆☆☆", E:E, "A1"), 0)))/100, 
   IF(F48="♛", ((M10 * 100) / (COUNTIFS(F:F, "♛", E:E, E48) + COUNTIFS(F:F, "♛", E:E, "A1") + IF(E48="A1", COUNTIFS(F:F, "♛", E:E, E2), 0) - IF(E48="A1", COUNTIFS(F:F, "♛", E:E, "A1"), 0)))/100, "")))))))
</f>
        <v>0.003332</v>
      </c>
      <c r="I48" s="129">
        <f>IF(F48="♢♢", ((N4 * 100) / (COUNTIFS(F:F, "♢♢", E:E, E48) + COUNTIFS(F:F, "♢♢", E:E, "A1") + IF(E48="A1", COUNTIFS(F:F, "♢♢", E:E, E2), 0) - IF(E48="A1", COUNTIFS(F:F, "♢♢", E:E, "A1"), 0)))/100, 
   IF(F48="♢♢♢", ((N5 * 100) / (COUNTIFS(F:F, "♢♢♢", E:E, E48) + COUNTIFS(F:F, "♢♢♢", E:E, "A1") + IF(E48="A1", COUNTIFS(F:F, "♢♢♢", E:E, E2), 0) - IF(E48="A1", COUNTIFS(F:F, "♢♢♢", E:E, "A1"), 0)))/100, 
   IF(F48="♢♢♢♢", ((N6 * 100) / (COUNTIFS(F:F, "♢♢♢♢", E:E, E48) + COUNTIFS(F:F, "♢♢♢♢", E:E, "A1") + IF(E48="A1", COUNTIFS(F:F, "♢♢♢♢", E:E, E2), 0) - IF(E48="A1", COUNTIFS(F:F, "♢♢♢♢", E:E, "A1"), 0)))/100, 
   IF(F48="☆", ((N7 * 100) / (COUNTIFS(F:F, "☆", E:E, E48) + COUNTIFS(F:F, "☆", E:E, "A1") + IF(E48="A1", COUNTIFS(F:F, "☆", E:E, E2), 0) - IF(E48="A1", COUNTIFS(F:F, "☆", E:E, "A1"), 0)))/100, 
   IF(F48="☆☆", ((N8 * 100) / (COUNTIFS(F:F, "☆☆", E:E, E48) + COUNTIFS(F:F, "☆☆", E:E, "A1") + IF(E48="A1", COUNTIFS(F:F, "☆☆", E:E, E2), 0) - IF(E48="A1", COUNTIFS(F:F, "☆☆", E:E, "A1"), 0)))/100, 
   IF(F48="☆☆☆", ((N9 * 100) / (COUNTIFS(F:F, "☆☆☆", E:E, E48) + COUNTIFS(F:F, "☆☆☆", E:E, "A1") + IF(E48="A1", COUNTIFS(F:F, "☆☆☆", E:E, E2), 0) - IF(E48="A1", COUNTIFS(F:F, "☆☆☆", E:E, "A1"), 0)))/100, 
   IF(F48="♛", ((N10 * 100) / (COUNTIFS(F:F, "♛", E:E, E48) + COUNTIFS(F:F, "♛", E:E, "A1") + IF(E48="A1", COUNTIFS(F:F, "♛", E:E, E2), 0) - IF(E48="A1", COUNTIFS(F:F, "♛", E:E, "A1"), 0)))/100, "")))))))
</f>
        <v>0.013328</v>
      </c>
      <c r="J48" s="214"/>
      <c r="K48" s="128" t="s">
        <v>189</v>
      </c>
      <c r="M48" s="218" t="s">
        <v>190</v>
      </c>
      <c r="N48" s="216"/>
    </row>
    <row r="49">
      <c r="A49" s="125" t="b">
        <f t="shared" si="1"/>
        <v>0</v>
      </c>
      <c r="B49" s="126">
        <v>0.0</v>
      </c>
      <c r="C49" s="127" t="s">
        <v>191</v>
      </c>
      <c r="D49" s="128" t="s">
        <v>192</v>
      </c>
      <c r="E49" s="128" t="s">
        <v>137</v>
      </c>
      <c r="F49" s="127" t="s">
        <v>44</v>
      </c>
      <c r="G49" s="129">
        <f>IF(F49="♢", ((L3 * 100) / (COUNTIFS(F:F, "♢", E:E, E49) + COUNTIFS(F:F, "♢", E:E, "A1") + IF(E49="A1", COUNTIFS(F:F, "♢", E:E, E2), 0) - IF(E49="A1", COUNTIFS(F:F, "♢", E:E, "A1"), 0)))/100, "")
</f>
        <v>0.02</v>
      </c>
      <c r="H49" s="130" t="str">
        <f>IF(F49="♢♢", ((M4 * 100) / (COUNTIFS(F:F, "♢♢", E:E, E49) + COUNTIFS(F:F, "♢♢", E:E, "A1") + IF(E49="A1", COUNTIFS(F:F, "♢♢", E:E, E2), 0) - IF(E49="A1", COUNTIFS(F:F, "♢♢", E:E, "A1"), 0)))/100, 
   IF(F49="♢♢♢", ((M5 * 100) / (COUNTIFS(F:F, "♢♢♢", E:E, E49) + COUNTIFS(F:F, "♢♢♢", E:E, "A1") + IF(E49="A1", COUNTIFS(F:F, "♢♢♢", E:E, E2), 0) - IF(E49="A1", COUNTIFS(F:F, "♢♢♢", E:E, "A1"), 0)))/100, 
   IF(F49="♢♢♢♢", ((M6 * 100) / (COUNTIFS(F:F, "♢♢♢♢", E:E, E49) + COUNTIFS(F:F, "♢♢♢♢", E:E, "A1") + IF(E49="A1", COUNTIFS(F:F, "♢♢♢♢", E:E, E2), 0) - IF(E49="A1", COUNTIFS(F:F, "♢♢♢♢", E:E, "A1"), 0)))/100, 
   IF(F49="☆", ((M7 * 100) / (COUNTIFS(F:F, "☆", E:E, E49) + COUNTIFS(F:F, "☆", E:E, "A1") + IF(E49="A1", COUNTIFS(F:F, "☆", E:E, E2), 0) - IF(E49="A1", COUNTIFS(F:F, "☆", E:E, "A1"), 0)))/100, 
   IF(F49="☆☆", ((M8 * 100) / (COUNTIFS(F:F, "☆☆", E:E, E49) + COUNTIFS(F:F, "☆☆", E:E, "A1") + IF(E49="A1", COUNTIFS(F:F, "☆☆", E:E, E2), 0) - IF(E49="A1", COUNTIFS(F:F, "☆☆", E:E, "A1"), 0)))/100, 
   IF(F49="☆☆☆", ((M9 * 100) / (COUNTIFS(F:F, "☆☆☆", E:E, E49) + COUNTIFS(F:F, "☆☆☆", E:E, "A1") + IF(E49="A1", COUNTIFS(F:F, "☆☆☆", E:E, E2), 0) - IF(E49="A1", COUNTIFS(F:F, "☆☆☆", E:E, "A1"), 0)))/100, 
   IF(F49="♛", ((M10 * 100) / (COUNTIFS(F:F, "♛", E:E, E49) + COUNTIFS(F:F, "♛", E:E, "A1") + IF(E49="A1", COUNTIFS(F:F, "♛", E:E, E2), 0) - IF(E49="A1", COUNTIFS(F:F, "♛", E:E, "A1"), 0)))/100, "")))))))
</f>
        <v/>
      </c>
      <c r="I49" s="130" t="str">
        <f>IF(F49="♢♢", ((N4 * 100) / (COUNTIFS(F:F, "♢♢", E:E, E49) + COUNTIFS(F:F, "♢♢", E:E, "A1") + IF(E49="A1", COUNTIFS(F:F, "♢♢", E:E, E2), 0) - IF(E49="A1", COUNTIFS(F:F, "♢♢", E:E, "A1"), 0)))/100, 
   IF(F49="♢♢♢", ((N5 * 100) / (COUNTIFS(F:F, "♢♢♢", E:E, E49) + COUNTIFS(F:F, "♢♢♢", E:E, "A1") + IF(E49="A1", COUNTIFS(F:F, "♢♢♢", E:E, E2), 0) - IF(E49="A1", COUNTIFS(F:F, "♢♢♢", E:E, "A1"), 0)))/100, 
   IF(F49="♢♢♢♢", ((N6 * 100) / (COUNTIFS(F:F, "♢♢♢♢", E:E, E49) + COUNTIFS(F:F, "♢♢♢♢", E:E, "A1") + IF(E49="A1", COUNTIFS(F:F, "♢♢♢♢", E:E, E2), 0) - IF(E49="A1", COUNTIFS(F:F, "♢♢♢♢", E:E, "A1"), 0)))/100, 
   IF(F49="☆", ((N7 * 100) / (COUNTIFS(F:F, "☆", E:E, E49) + COUNTIFS(F:F, "☆", E:E, "A1") + IF(E49="A1", COUNTIFS(F:F, "☆", E:E, E2), 0) - IF(E49="A1", COUNTIFS(F:F, "☆", E:E, "A1"), 0)))/100, 
   IF(F49="☆☆", ((N8 * 100) / (COUNTIFS(F:F, "☆☆", E:E, E49) + COUNTIFS(F:F, "☆☆", E:E, "A1") + IF(E49="A1", COUNTIFS(F:F, "☆☆", E:E, E2), 0) - IF(E49="A1", COUNTIFS(F:F, "☆☆", E:E, "A1"), 0)))/100, 
   IF(F49="☆☆☆", ((N9 * 100) / (COUNTIFS(F:F, "☆☆☆", E:E, E49) + COUNTIFS(F:F, "☆☆☆", E:E, "A1") + IF(E49="A1", COUNTIFS(F:F, "☆☆☆", E:E, E2), 0) - IF(E49="A1", COUNTIFS(F:F, "☆☆☆", E:E, "A1"), 0)))/100, 
   IF(F49="♛", ((N10 * 100) / (COUNTIFS(F:F, "♛", E:E, E49) + COUNTIFS(F:F, "♛", E:E, "A1") + IF(E49="A1", COUNTIFS(F:F, "♛", E:E, E2), 0) - IF(E49="A1", COUNTIFS(F:F, "♛", E:E, "A1"), 0)))/100, "")))))))
</f>
        <v/>
      </c>
      <c r="J49" s="214"/>
      <c r="K49" s="219" t="s">
        <v>193</v>
      </c>
      <c r="L49" s="20" t="s">
        <v>24</v>
      </c>
      <c r="M49" s="20" t="s">
        <v>25</v>
      </c>
      <c r="N49" s="220" t="s">
        <v>26</v>
      </c>
    </row>
    <row r="50">
      <c r="A50" s="125" t="b">
        <f t="shared" si="1"/>
        <v>0</v>
      </c>
      <c r="B50" s="126">
        <v>0.0</v>
      </c>
      <c r="C50" s="127" t="s">
        <v>194</v>
      </c>
      <c r="D50" s="127" t="s">
        <v>195</v>
      </c>
      <c r="E50" s="128" t="s">
        <v>29</v>
      </c>
      <c r="F50" s="127" t="s">
        <v>44</v>
      </c>
      <c r="G50" s="129">
        <f>IF(F50="♢", ((L3 * 100) / (COUNTIFS(F:F, "♢", E:E, E50) + COUNTIFS(F:F, "♢", E:E, "A1") + IF(E50="A1", COUNTIFS(F:F, "♢", E:E, E2), 0) - IF(E50="A1", COUNTIFS(F:F, "♢", E:E, "A1"), 0)))/100, "")
</f>
        <v>0.02</v>
      </c>
      <c r="H50" s="130" t="str">
        <f>IF(F50="♢♢", ((M4 * 100) / (COUNTIFS(F:F, "♢♢", E:E, E50) + COUNTIFS(F:F, "♢♢", E:E, "A1") + IF(E50="A1", COUNTIFS(F:F, "♢♢", E:E, E2), 0) - IF(E50="A1", COUNTIFS(F:F, "♢♢", E:E, "A1"), 0)))/100, 
   IF(F50="♢♢♢", ((M5 * 100) / (COUNTIFS(F:F, "♢♢♢", E:E, E50) + COUNTIFS(F:F, "♢♢♢", E:E, "A1") + IF(E50="A1", COUNTIFS(F:F, "♢♢♢", E:E, E2), 0) - IF(E50="A1", COUNTIFS(F:F, "♢♢♢", E:E, "A1"), 0)))/100, 
   IF(F50="♢♢♢♢", ((M6 * 100) / (COUNTIFS(F:F, "♢♢♢♢", E:E, E50) + COUNTIFS(F:F, "♢♢♢♢", E:E, "A1") + IF(E50="A1", COUNTIFS(F:F, "♢♢♢♢", E:E, E2), 0) - IF(E50="A1", COUNTIFS(F:F, "♢♢♢♢", E:E, "A1"), 0)))/100, 
   IF(F50="☆", ((M7 * 100) / (COUNTIFS(F:F, "☆", E:E, E50) + COUNTIFS(F:F, "☆", E:E, "A1") + IF(E50="A1", COUNTIFS(F:F, "☆", E:E, E2), 0) - IF(E50="A1", COUNTIFS(F:F, "☆", E:E, "A1"), 0)))/100, 
   IF(F50="☆☆", ((M8 * 100) / (COUNTIFS(F:F, "☆☆", E:E, E50) + COUNTIFS(F:F, "☆☆", E:E, "A1") + IF(E50="A1", COUNTIFS(F:F, "☆☆", E:E, E2), 0) - IF(E50="A1", COUNTIFS(F:F, "☆☆", E:E, "A1"), 0)))/100, 
   IF(F50="☆☆☆", ((M9 * 100) / (COUNTIFS(F:F, "☆☆☆", E:E, E50) + COUNTIFS(F:F, "☆☆☆", E:E, "A1") + IF(E50="A1", COUNTIFS(F:F, "☆☆☆", E:E, E2), 0) - IF(E50="A1", COUNTIFS(F:F, "☆☆☆", E:E, "A1"), 0)))/100, 
   IF(F50="♛", ((M10 * 100) / (COUNTIFS(F:F, "♛", E:E, E50) + COUNTIFS(F:F, "♛", E:E, "A1") + IF(E50="A1", COUNTIFS(F:F, "♛", E:E, E2), 0) - IF(E50="A1", COUNTIFS(F:F, "♛", E:E, "A1"), 0)))/100, "")))))))
</f>
        <v/>
      </c>
      <c r="I50" s="130" t="str">
        <f>IF(F50="♢♢", ((N4 * 100) / (COUNTIFS(F:F, "♢♢", E:E, E50) + COUNTIFS(F:F, "♢♢", E:E, "A1") + IF(E50="A1", COUNTIFS(F:F, "♢♢", E:E, E2), 0) - IF(E50="A1", COUNTIFS(F:F, "♢♢", E:E, "A1"), 0)))/100, 
   IF(F50="♢♢♢", ((N5 * 100) / (COUNTIFS(F:F, "♢♢♢", E:E, E50) + COUNTIFS(F:F, "♢♢♢", E:E, "A1") + IF(E50="A1", COUNTIFS(F:F, "♢♢♢", E:E, E2), 0) - IF(E50="A1", COUNTIFS(F:F, "♢♢♢", E:E, "A1"), 0)))/100, 
   IF(F50="♢♢♢♢", ((N6 * 100) / (COUNTIFS(F:F, "♢♢♢♢", E:E, E50) + COUNTIFS(F:F, "♢♢♢♢", E:E, "A1") + IF(E50="A1", COUNTIFS(F:F, "♢♢♢♢", E:E, E2), 0) - IF(E50="A1", COUNTIFS(F:F, "♢♢♢♢", E:E, "A1"), 0)))/100, 
   IF(F50="☆", ((N7 * 100) / (COUNTIFS(F:F, "☆", E:E, E50) + COUNTIFS(F:F, "☆", E:E, "A1") + IF(E50="A1", COUNTIFS(F:F, "☆", E:E, E2), 0) - IF(E50="A1", COUNTIFS(F:F, "☆", E:E, "A1"), 0)))/100, 
   IF(F50="☆☆", ((N8 * 100) / (COUNTIFS(F:F, "☆☆", E:E, E50) + COUNTIFS(F:F, "☆☆", E:E, "A1") + IF(E50="A1", COUNTIFS(F:F, "☆☆", E:E, E2), 0) - IF(E50="A1", COUNTIFS(F:F, "☆☆", E:E, "A1"), 0)))/100, 
   IF(F50="☆☆☆", ((N9 * 100) / (COUNTIFS(F:F, "☆☆☆", E:E, E50) + COUNTIFS(F:F, "☆☆☆", E:E, "A1") + IF(E50="A1", COUNTIFS(F:F, "☆☆☆", E:E, E2), 0) - IF(E50="A1", COUNTIFS(F:F, "☆☆☆", E:E, "A1"), 0)))/100, 
   IF(F50="♛", ((N10 * 100) / (COUNTIFS(F:F, "♛", E:E, E50) + COUNTIFS(F:F, "♛", E:E, "A1") + IF(E50="A1", COUNTIFS(F:F, "♛", E:E, E2), 0) - IF(E50="A1", COUNTIFS(F:F, "♛", E:E, "A1"), 0)))/100, "")))))))
</f>
        <v/>
      </c>
      <c r="J50" s="214"/>
      <c r="K50" s="221" t="s">
        <v>30</v>
      </c>
      <c r="L50" s="222">
        <f>IFERROR(__xludf.DUMMYFUNCTION("COUNTA(UNIQUE(FILTER(SUBSTITUTE(D:D, "" ex"", """"), REGEXMATCH(SUBSTITUTE(D:D, "" ex"", """"), TEXTJOIN(""|"", TRUE, SPLIT(M48, "" ""))), A:A = TRUE))) / COUNTA(UNIQUE(FILTER(SUBSTITUTE(D:D, "" ex"", """"), REGEXMATCH(SUBSTITUTE(D:D, "" ex"", """"), TEXT"&amp;"JOIN(""|"", TRUE, SPLIT(M48, "" ""))))))"),0.006666666666666667)</f>
        <v>0.006666666667</v>
      </c>
      <c r="M50" s="222">
        <f>IFERROR(__xludf.DUMMYFUNCTION("1 - COUNTA(UNIQUE(FILTER(SUBSTITUTE(D:D, "" ex"", """"), REGEXMATCH(SUBSTITUTE(D:D, "" ex"", """"), TEXTJOIN(""|"", TRUE, SPLIT(M48, "" ""))), A:A = TRUE))) / COUNTA(UNIQUE(FILTER(SUBSTITUTE(D:D, "" ex"", """"), REGEXMATCH(SUBSTITUTE(D:D, "" ex"", """"), "&amp;"TEXTJOIN(""|"", TRUE, SPLIT(M48, "" ""))))))"),0.9933333333333333)</f>
        <v>0.9933333333</v>
      </c>
      <c r="N50" s="220" t="str">
        <f>IFERROR(__xludf.DUMMYFUNCTION("COUNTA(UNIQUE(FILTER(SUBSTITUTE(D:D, "" ex"", """"), REGEXMATCH(SUBSTITUTE(D:D, "" ex"", """"), TEXTJOIN(""|"", TRUE, SPLIT(M48, "" ""))), A:A = TRUE))) &amp; ""/"" &amp; COUNTA(UNIQUE(FILTER(SUBSTITUTE(D:D, "" ex"", """"), REGEXMATCH(SUBSTITUTE(D:D, "" ex"", """&amp;"""), TEXTJOIN(""|"", TRUE, SPLIT(M48, "" ""))))))
"),"1/150")</f>
        <v>1/150</v>
      </c>
    </row>
    <row r="51">
      <c r="A51" s="125" t="b">
        <f t="shared" si="1"/>
        <v>0</v>
      </c>
      <c r="B51" s="126">
        <v>0.0</v>
      </c>
      <c r="C51" s="127" t="s">
        <v>196</v>
      </c>
      <c r="D51" s="127" t="s">
        <v>197</v>
      </c>
      <c r="E51" s="128" t="s">
        <v>29</v>
      </c>
      <c r="F51" s="127" t="s">
        <v>44</v>
      </c>
      <c r="G51" s="129">
        <f>IF(F51="♢", ((L3 * 100) / (COUNTIFS(F:F, "♢", E:E, E51) + COUNTIFS(F:F, "♢", E:E, "A1") + IF(E51="A1", COUNTIFS(F:F, "♢", E:E, E2), 0) - IF(E51="A1", COUNTIFS(F:F, "♢", E:E, "A1"), 0)))/100, "")
</f>
        <v>0.02</v>
      </c>
      <c r="H51" s="130" t="str">
        <f>IF(F51="♢♢", ((M4 * 100) / (COUNTIFS(F:F, "♢♢", E:E, E51) + COUNTIFS(F:F, "♢♢", E:E, "A1") + IF(E51="A1", COUNTIFS(F:F, "♢♢", E:E, E2), 0) - IF(E51="A1", COUNTIFS(F:F, "♢♢", E:E, "A1"), 0)))/100, 
   IF(F51="♢♢♢", ((M5 * 100) / (COUNTIFS(F:F, "♢♢♢", E:E, E51) + COUNTIFS(F:F, "♢♢♢", E:E, "A1") + IF(E51="A1", COUNTIFS(F:F, "♢♢♢", E:E, E2), 0) - IF(E51="A1", COUNTIFS(F:F, "♢♢♢", E:E, "A1"), 0)))/100, 
   IF(F51="♢♢♢♢", ((M6 * 100) / (COUNTIFS(F:F, "♢♢♢♢", E:E, E51) + COUNTIFS(F:F, "♢♢♢♢", E:E, "A1") + IF(E51="A1", COUNTIFS(F:F, "♢♢♢♢", E:E, E2), 0) - IF(E51="A1", COUNTIFS(F:F, "♢♢♢♢", E:E, "A1"), 0)))/100, 
   IF(F51="☆", ((M7 * 100) / (COUNTIFS(F:F, "☆", E:E, E51) + COUNTIFS(F:F, "☆", E:E, "A1") + IF(E51="A1", COUNTIFS(F:F, "☆", E:E, E2), 0) - IF(E51="A1", COUNTIFS(F:F, "☆", E:E, "A1"), 0)))/100, 
   IF(F51="☆☆", ((M8 * 100) / (COUNTIFS(F:F, "☆☆", E:E, E51) + COUNTIFS(F:F, "☆☆", E:E, "A1") + IF(E51="A1", COUNTIFS(F:F, "☆☆", E:E, E2), 0) - IF(E51="A1", COUNTIFS(F:F, "☆☆", E:E, "A1"), 0)))/100, 
   IF(F51="☆☆☆", ((M9 * 100) / (COUNTIFS(F:F, "☆☆☆", E:E, E51) + COUNTIFS(F:F, "☆☆☆", E:E, "A1") + IF(E51="A1", COUNTIFS(F:F, "☆☆☆", E:E, E2), 0) - IF(E51="A1", COUNTIFS(F:F, "☆☆☆", E:E, "A1"), 0)))/100, 
   IF(F51="♛", ((M10 * 100) / (COUNTIFS(F:F, "♛", E:E, E51) + COUNTIFS(F:F, "♛", E:E, "A1") + IF(E51="A1", COUNTIFS(F:F, "♛", E:E, E2), 0) - IF(E51="A1", COUNTIFS(F:F, "♛", E:E, "A1"), 0)))/100, "")))))))
</f>
        <v/>
      </c>
      <c r="I51" s="130" t="str">
        <f>IF(F51="♢♢", ((N4 * 100) / (COUNTIFS(F:F, "♢♢", E:E, E51) + COUNTIFS(F:F, "♢♢", E:E, "A1") + IF(E51="A1", COUNTIFS(F:F, "♢♢", E:E, E2), 0) - IF(E51="A1", COUNTIFS(F:F, "♢♢", E:E, "A1"), 0)))/100, 
   IF(F51="♢♢♢", ((N5 * 100) / (COUNTIFS(F:F, "♢♢♢", E:E, E51) + COUNTIFS(F:F, "♢♢♢", E:E, "A1") + IF(E51="A1", COUNTIFS(F:F, "♢♢♢", E:E, E2), 0) - IF(E51="A1", COUNTIFS(F:F, "♢♢♢", E:E, "A1"), 0)))/100, 
   IF(F51="♢♢♢♢", ((N6 * 100) / (COUNTIFS(F:F, "♢♢♢♢", E:E, E51) + COUNTIFS(F:F, "♢♢♢♢", E:E, "A1") + IF(E51="A1", COUNTIFS(F:F, "♢♢♢♢", E:E, E2), 0) - IF(E51="A1", COUNTIFS(F:F, "♢♢♢♢", E:E, "A1"), 0)))/100, 
   IF(F51="☆", ((N7 * 100) / (COUNTIFS(F:F, "☆", E:E, E51) + COUNTIFS(F:F, "☆", E:E, "A1") + IF(E51="A1", COUNTIFS(F:F, "☆", E:E, E2), 0) - IF(E51="A1", COUNTIFS(F:F, "☆", E:E, "A1"), 0)))/100, 
   IF(F51="☆☆", ((N8 * 100) / (COUNTIFS(F:F, "☆☆", E:E, E51) + COUNTIFS(F:F, "☆☆", E:E, "A1") + IF(E51="A1", COUNTIFS(F:F, "☆☆", E:E, E2), 0) - IF(E51="A1", COUNTIFS(F:F, "☆☆", E:E, "A1"), 0)))/100, 
   IF(F51="☆☆☆", ((N9 * 100) / (COUNTIFS(F:F, "☆☆☆", E:E, E51) + COUNTIFS(F:F, "☆☆☆", E:E, "A1") + IF(E51="A1", COUNTIFS(F:F, "☆☆☆", E:E, E2), 0) - IF(E51="A1", COUNTIFS(F:F, "☆☆☆", E:E, "A1"), 0)))/100, 
   IF(F51="♛", ((N10 * 100) / (COUNTIFS(F:F, "♛", E:E, E51) + COUNTIFS(F:F, "♛", E:E, "A1") + IF(E51="A1", COUNTIFS(F:F, "♛", E:E, E2), 0) - IF(E51="A1", COUNTIFS(F:F, "♛", E:E, "A1"), 0)))/100, "")))))))
</f>
        <v/>
      </c>
      <c r="J51" s="214"/>
      <c r="K51" s="223" t="s">
        <v>29</v>
      </c>
      <c r="L51" s="155">
        <f>IFERROR(__xludf.DUMMYFUNCTION("IF(SUM(ARRAYFORMULA(IF((E:E = K51) * REGEXMATCH(SUBSTITUTE(D:D, "" ex"", """"), TEXTJOIN(""|"", TRUE, SPLIT(M48, "" ""))), 1 / COUNTIFS(SUBSTITUTE(D:D, "" ex"", """"), SUBSTITUTE(D:D, "" ex"", """"), E:E, K51), 0))) &gt; 0,
(SUM(ARRAYFORMULA(IF((E:E = K51) *"&amp;" REGEXMATCH(SUBSTITUTE(D:D, "" ex"", """"), TEXTJOIN(""|"", TRUE, SPLIT(M48, "" ""))), 1 / COUNTIFS(SUBSTITUTE(D:D, "" ex"", """"), SUBSTITUTE(D:D, "" ex"", """"), E:E, K51), 0))) - 
SUM(ARRAYFORMULA(IF((A:A = FALSE) * (E:E = K51) * REGEXMATCH(SUBSTITUTE("&amp;"D:D, "" ex"", """"), TEXTJOIN(""|"", TRUE, SPLIT(M48, "" ""))) * (COUNTIFS(SUBSTITUTE(D:D, "" ex"", """"), SUBSTITUTE(D:D, "" ex"", """"), A:A, TRUE) = 0), 1 / COUNTIFS(SUBSTITUTE(D:D, "" ex"", """"), SUBSTITUTE(D:D, "" ex"", """"), E:E, K51), 0)))) / 
SU"&amp;"M(ARRAYFORMULA(IF((E:E = K51) * REGEXMATCH(SUBSTITUTE(D:D, "" ex"", """"), TEXTJOIN(""|"", TRUE, SPLIT(M48, "" ""))), 1 / COUNTIFS(SUBSTITUTE(D:D, "" ex"", """"), SUBSTITUTE(D:D, "" ex"", """"), E:E, K51), 0))), 0)
"),0.0)</f>
        <v>0</v>
      </c>
      <c r="M51" s="155">
        <f>IFERROR(__xludf.DUMMYFUNCTION("IF(SUM(ARRAYFORMULA(IF((E:E = K51) * REGEXMATCH(SUBSTITUTE(D:D, "" ex"", """"), TEXTJOIN(""|"", TRUE, SPLIT(M48, "" ""))), 1 / COUNTIFS(SUBSTITUTE(D:D, "" ex"", """"), SUBSTITUTE(D:D, "" ex"", """"), E:E, K51), 0))) &gt; 0,
SUM(ARRAYFORMULA(IF((A:A = FALSE) "&amp;"* (E:E = K51) * REGEXMATCH(SUBSTITUTE(D:D, "" ex"", """"), TEXTJOIN(""|"", TRUE, SPLIT(M48, "" ""))) * (COUNTIFS(SUBSTITUTE(D:D, "" ex"", """"), SUBSTITUTE(D:D, "" ex"", """"), A:A, TRUE) = 0), 1 / COUNTIFS(SUBSTITUTE(D:D, "" ex"", """"), SUBSTITUTE(D:D, "&amp;""" ex"", """"), E:E, K51), 0))) /
SUM(ARRAYFORMULA(IF((E:E = K51) * REGEXMATCH(SUBSTITUTE(D:D, "" ex"", """"), TEXTJOIN(""|"", TRUE, SPLIT(M48, "" ""))), 1 / COUNTIFS(SUBSTITUTE(D:D, "" ex"", """"), SUBSTITUTE(D:D, "" ex"", """"), E:E, K51), 0))), 0)
"),1.0)</f>
        <v>1</v>
      </c>
      <c r="N51" s="224" t="str">
        <f>IFERROR(__xludf.DUMMYFUNCTION("(SUM(ARRAYFORMULA(IF((E:E = K51) * REGEXMATCH(SUBSTITUTE(D:D, "" ex"", """"), TEXTJOIN(""|"", TRUE, SPLIT(M48, "" ""))), 1 / COUNTIFS(SUBSTITUTE(D:D, "" ex"", """"), SUBSTITUTE(D:D, "" ex"", """"), E:E, K51), 0))) - 
SUM(ARRAYFORMULA(IF((A:A = FALSE) * (E"&amp;":E = K51) * REGEXMATCH(SUBSTITUTE(D:D, "" ex"", """"), TEXTJOIN(""|"", TRUE, SPLIT(M48, "" ""))) * (COUNTIFS(SUBSTITUTE(D:D, "" ex"", """"), SUBSTITUTE(D:D, "" ex"", """"), A:A, TRUE) = 0), 1 / COUNTIFS(SUBSTITUTE(D:D, "" ex"", """"), SUBSTITUTE(D:D, "" e"&amp;"x"", """"), E:E, K51), 0)))) &amp; 
""/"" &amp; 
SUM(ARRAYFORMULA(IF((E:E = K51) * REGEXMATCH(SUBSTITUTE(D:D, "" ex"", """"), TEXTJOIN(""|"", TRUE, SPLIT(M48, "" ""))), 1 / COUNTIFS(SUBSTITUTE(D:D, "" ex"", """"), SUBSTITUTE(D:D, "" ex"", """"), E:E, K51), 0)))
"),"0/45")</f>
        <v>0/45</v>
      </c>
    </row>
    <row r="52">
      <c r="A52" s="125" t="b">
        <f t="shared" si="1"/>
        <v>0</v>
      </c>
      <c r="B52" s="126">
        <v>0.0</v>
      </c>
      <c r="C52" s="127" t="s">
        <v>198</v>
      </c>
      <c r="D52" s="127" t="s">
        <v>199</v>
      </c>
      <c r="E52" s="128" t="s">
        <v>137</v>
      </c>
      <c r="F52" s="127" t="s">
        <v>44</v>
      </c>
      <c r="G52" s="129">
        <f>IF(F52="♢", ((L3 * 100) / (COUNTIFS(F:F, "♢", E:E, E52) + COUNTIFS(F:F, "♢", E:E, "A1") + IF(E52="A1", COUNTIFS(F:F, "♢", E:E, E2), 0) - IF(E52="A1", COUNTIFS(F:F, "♢", E:E, "A1"), 0)))/100, "")
</f>
        <v>0.02</v>
      </c>
      <c r="H52" s="130" t="str">
        <f>IF(F52="♢♢", ((M4 * 100) / (COUNTIFS(F:F, "♢♢", E:E, E52) + COUNTIFS(F:F, "♢♢", E:E, "A1") + IF(E52="A1", COUNTIFS(F:F, "♢♢", E:E, E2), 0) - IF(E52="A1", COUNTIFS(F:F, "♢♢", E:E, "A1"), 0)))/100, 
   IF(F52="♢♢♢", ((M5 * 100) / (COUNTIFS(F:F, "♢♢♢", E:E, E52) + COUNTIFS(F:F, "♢♢♢", E:E, "A1") + IF(E52="A1", COUNTIFS(F:F, "♢♢♢", E:E, E2), 0) - IF(E52="A1", COUNTIFS(F:F, "♢♢♢", E:E, "A1"), 0)))/100, 
   IF(F52="♢♢♢♢", ((M6 * 100) / (COUNTIFS(F:F, "♢♢♢♢", E:E, E52) + COUNTIFS(F:F, "♢♢♢♢", E:E, "A1") + IF(E52="A1", COUNTIFS(F:F, "♢♢♢♢", E:E, E2), 0) - IF(E52="A1", COUNTIFS(F:F, "♢♢♢♢", E:E, "A1"), 0)))/100, 
   IF(F52="☆", ((M7 * 100) / (COUNTIFS(F:F, "☆", E:E, E52) + COUNTIFS(F:F, "☆", E:E, "A1") + IF(E52="A1", COUNTIFS(F:F, "☆", E:E, E2), 0) - IF(E52="A1", COUNTIFS(F:F, "☆", E:E, "A1"), 0)))/100, 
   IF(F52="☆☆", ((M8 * 100) / (COUNTIFS(F:F, "☆☆", E:E, E52) + COUNTIFS(F:F, "☆☆", E:E, "A1") + IF(E52="A1", COUNTIFS(F:F, "☆☆", E:E, E2), 0) - IF(E52="A1", COUNTIFS(F:F, "☆☆", E:E, "A1"), 0)))/100, 
   IF(F52="☆☆☆", ((M9 * 100) / (COUNTIFS(F:F, "☆☆☆", E:E, E52) + COUNTIFS(F:F, "☆☆☆", E:E, "A1") + IF(E52="A1", COUNTIFS(F:F, "☆☆☆", E:E, E2), 0) - IF(E52="A1", COUNTIFS(F:F, "☆☆☆", E:E, "A1"), 0)))/100, 
   IF(F52="♛", ((M10 * 100) / (COUNTIFS(F:F, "♛", E:E, E52) + COUNTIFS(F:F, "♛", E:E, "A1") + IF(E52="A1", COUNTIFS(F:F, "♛", E:E, E2), 0) - IF(E52="A1", COUNTIFS(F:F, "♛", E:E, "A1"), 0)))/100, "")))))))
</f>
        <v/>
      </c>
      <c r="I52" s="130" t="str">
        <f>IF(F52="♢♢", ((N4 * 100) / (COUNTIFS(F:F, "♢♢", E:E, E52) + COUNTIFS(F:F, "♢♢", E:E, "A1") + IF(E52="A1", COUNTIFS(F:F, "♢♢", E:E, E2), 0) - IF(E52="A1", COUNTIFS(F:F, "♢♢", E:E, "A1"), 0)))/100, 
   IF(F52="♢♢♢", ((N5 * 100) / (COUNTIFS(F:F, "♢♢♢", E:E, E52) + COUNTIFS(F:F, "♢♢♢", E:E, "A1") + IF(E52="A1", COUNTIFS(F:F, "♢♢♢", E:E, E2), 0) - IF(E52="A1", COUNTIFS(F:F, "♢♢♢", E:E, "A1"), 0)))/100, 
   IF(F52="♢♢♢♢", ((N6 * 100) / (COUNTIFS(F:F, "♢♢♢♢", E:E, E52) + COUNTIFS(F:F, "♢♢♢♢", E:E, "A1") + IF(E52="A1", COUNTIFS(F:F, "♢♢♢♢", E:E, E2), 0) - IF(E52="A1", COUNTIFS(F:F, "♢♢♢♢", E:E, "A1"), 0)))/100, 
   IF(F52="☆", ((N7 * 100) / (COUNTIFS(F:F, "☆", E:E, E52) + COUNTIFS(F:F, "☆", E:E, "A1") + IF(E52="A1", COUNTIFS(F:F, "☆", E:E, E2), 0) - IF(E52="A1", COUNTIFS(F:F, "☆", E:E, "A1"), 0)))/100, 
   IF(F52="☆☆", ((N8 * 100) / (COUNTIFS(F:F, "☆☆", E:E, E52) + COUNTIFS(F:F, "☆☆", E:E, "A1") + IF(E52="A1", COUNTIFS(F:F, "☆☆", E:E, E2), 0) - IF(E52="A1", COUNTIFS(F:F, "☆☆", E:E, "A1"), 0)))/100, 
   IF(F52="☆☆☆", ((N9 * 100) / (COUNTIFS(F:F, "☆☆☆", E:E, E52) + COUNTIFS(F:F, "☆☆☆", E:E, "A1") + IF(E52="A1", COUNTIFS(F:F, "☆☆☆", E:E, E2), 0) - IF(E52="A1", COUNTIFS(F:F, "☆☆☆", E:E, "A1"), 0)))/100, 
   IF(F52="♛", ((N10 * 100) / (COUNTIFS(F:F, "♛", E:E, E52) + COUNTIFS(F:F, "♛", E:E, "A1") + IF(E52="A1", COUNTIFS(F:F, "♛", E:E, E2), 0) - IF(E52="A1", COUNTIFS(F:F, "♛", E:E, "A1"), 0)))/100, "")))))))
</f>
        <v/>
      </c>
      <c r="J52" s="214"/>
      <c r="K52" s="225" t="s">
        <v>31</v>
      </c>
      <c r="L52" s="222">
        <f>IFERROR(__xludf.DUMMYFUNCTION("IF(SUM(ARRAYFORMULA(IF((E:E = K52) * REGEXMATCH(SUBSTITUTE(D:D, "" ex"", """"), TEXTJOIN(""|"", TRUE, SPLIT(M48, "" ""))), 1 / COUNTIFS(SUBSTITUTE(D:D, "" ex"", """"), SUBSTITUTE(D:D, "" ex"", """"), E:E, K52), 0))) &gt; 0,
(SUM(ARRAYFORMULA(IF((E:E = K52) *"&amp;" REGEXMATCH(SUBSTITUTE(D:D, "" ex"", """"), TEXTJOIN(""|"", TRUE, SPLIT(M48, "" ""))), 1 / COUNTIFS(SUBSTITUTE(D:D, "" ex"", """"), SUBSTITUTE(D:D, "" ex"", """"), E:E, K52), 0))) - 
SUM(ARRAYFORMULA(IF((A:A = FALSE) * (E:E = K52) * REGEXMATCH(SUBSTITUTE("&amp;"D:D, "" ex"", """"), TEXTJOIN(""|"", TRUE, SPLIT(M48, "" ""))) * (COUNTIFS(SUBSTITUTE(D:D, "" ex"", """"), SUBSTITUTE(D:D, "" ex"", """"), A:A, TRUE) = 0), 1 / COUNTIFS(SUBSTITUTE(D:D, "" ex"", """"), SUBSTITUTE(D:D, "" ex"", """"), E:E, K52), 0)))) / 
SU"&amp;"M(ARRAYFORMULA(IF((E:E = K52) * REGEXMATCH(SUBSTITUTE(D:D, "" ex"", """"), TEXTJOIN(""|"", TRUE, SPLIT(M48, "" ""))), 1 / COUNTIFS(SUBSTITUTE(D:D, "" ex"", """"), SUBSTITUTE(D:D, "" ex"", """"), E:E, K52), 0))), 0)
"),0.0)</f>
        <v>0</v>
      </c>
      <c r="M52" s="222">
        <f>IFERROR(__xludf.DUMMYFUNCTION("IF(SUM(ARRAYFORMULA(IF((E:E = K52) * REGEXMATCH(SUBSTITUTE(D:D, "" ex"", """"), TEXTJOIN(""|"", TRUE, SPLIT(M48, "" ""))), 1 / COUNTIFS(SUBSTITUTE(D:D, "" ex"", """"), SUBSTITUTE(D:D, "" ex"", """"), E:E, K52), 0))) &gt; 0,
SUM(ARRAYFORMULA(IF((A:A = FALSE) "&amp;"* (E:E = K52) * REGEXMATCH(SUBSTITUTE(D:D, "" ex"", """"), TEXTJOIN(""|"", TRUE, SPLIT(M48, "" ""))) * (COUNTIFS(SUBSTITUTE(D:D, "" ex"", """"), SUBSTITUTE(D:D, "" ex"", """"), A:A, TRUE) = 0), 1 / COUNTIFS(SUBSTITUTE(D:D, "" ex"", """"), SUBSTITUTE(D:D, "&amp;""" ex"", """"), E:E, K52), 0))) /
SUM(ARRAYFORMULA(IF((E:E = K52) * REGEXMATCH(SUBSTITUTE(D:D, "" ex"", """"), TEXTJOIN(""|"", TRUE, SPLIT(M48, "" ""))), 1 / COUNTIFS(SUBSTITUTE(D:D, "" ex"", """"), SUBSTITUTE(D:D, "" ex"", """"), E:E, K52), 0))), 0)
"),1.0)</f>
        <v>1</v>
      </c>
      <c r="N52" s="226" t="str">
        <f>IFERROR(__xludf.DUMMYFUNCTION("TEXT(SUM(ARRAYFORMULA(IF((E:E = K52) * REGEXMATCH(SUBSTITUTE(D:D, "" ex"", """"), TEXTJOIN(""|"", TRUE, SPLIT(M48, "" ""))), 1 / COUNTIFS(SUBSTITUTE(D:D, "" ex"", """"), SUBSTITUTE(D:D, "" ex"", """"), E:E, K52), 0))) - 
SUM(ARRAYFORMULA(IF((A:A = FALSE) "&amp;"* (E:E = K52) * REGEXMATCH(SUBSTITUTE(D:D, "" ex"", """"), TEXTJOIN(""|"", TRUE, SPLIT(M48, "" ""))) * (COUNTIFS(SUBSTITUTE(D:D, "" ex"", """"), SUBSTITUTE(D:D, "" ex"", """"), A:A, TRUE) = 0), 1 / COUNTIFS(SUBSTITUTE(D:D, "" ex"", """"), SUBSTITUTE(D:D, "&amp;""" ex"", """"), E:E, K52), 0))), ""0"") &amp; 
""/"" &amp; 
TEXT(SUM(ARRAYFORMULA(IF((E:E = K52) * REGEXMATCH(SUBSTITUTE(D:D, "" ex"", """"), TEXTJOIN(""|"", TRUE, SPLIT(M48, "" ""))), 1 / COUNTIFS(SUBSTITUTE(D:D, "" ex"", """"), SUBSTITUTE(D:D, "" ex"", """"), E"&amp;":E, K52), 0))), ""0"")
"),"0/50")</f>
        <v>0/50</v>
      </c>
    </row>
    <row r="53">
      <c r="A53" s="125" t="b">
        <f t="shared" si="1"/>
        <v>0</v>
      </c>
      <c r="B53" s="126">
        <v>0.0</v>
      </c>
      <c r="C53" s="127" t="s">
        <v>200</v>
      </c>
      <c r="D53" s="127" t="s">
        <v>201</v>
      </c>
      <c r="E53" s="128" t="s">
        <v>137</v>
      </c>
      <c r="F53" s="127" t="s">
        <v>46</v>
      </c>
      <c r="G53" s="130" t="str">
        <f>IF(F53="♢", ((L3 * 100) / (COUNTIFS(F:F, "♢", E:E, E53) + COUNTIFS(F:F, "♢", E:E, "A1") + IF(E53="A1", COUNTIFS(F:F, "♢", E:E, E2), 0) - IF(E53="A1", COUNTIFS(F:F, "♢", E:E, "A1"), 0)))/100, "")
</f>
        <v/>
      </c>
      <c r="H53" s="129">
        <f>IF(F53="♢♢", ((M4 * 100) / (COUNTIFS(F:F, "♢♢", E:E, E53) + COUNTIFS(F:F, "♢♢", E:E, "A1") + IF(E53="A1", COUNTIFS(F:F, "♢♢", E:E, E2), 0) - IF(E53="A1", COUNTIFS(F:F, "♢♢", E:E, "A1"), 0)))/100, 
   IF(F53="♢♢♢", ((M5 * 100) / (COUNTIFS(F:F, "♢♢♢", E:E, E53) + COUNTIFS(F:F, "♢♢♢", E:E, "A1") + IF(E53="A1", COUNTIFS(F:F, "♢♢♢", E:E, E2), 0) - IF(E53="A1", COUNTIFS(F:F, "♢♢♢", E:E, "A1"), 0)))/100, 
   IF(F53="♢♢♢♢", ((M6 * 100) / (COUNTIFS(F:F, "♢♢♢♢", E:E, E53) + COUNTIFS(F:F, "♢♢♢♢", E:E, "A1") + IF(E53="A1", COUNTIFS(F:F, "♢♢♢♢", E:E, E2), 0) - IF(E53="A1", COUNTIFS(F:F, "♢♢♢♢", E:E, "A1"), 0)))/100, 
   IF(F53="☆", ((M7 * 100) / (COUNTIFS(F:F, "☆", E:E, E53) + COUNTIFS(F:F, "☆", E:E, "A1") + IF(E53="A1", COUNTIFS(F:F, "☆", E:E, E2), 0) - IF(E53="A1", COUNTIFS(F:F, "☆", E:E, "A1"), 0)))/100, 
   IF(F53="☆☆", ((M8 * 100) / (COUNTIFS(F:F, "☆☆", E:E, E53) + COUNTIFS(F:F, "☆☆", E:E, "A1") + IF(E53="A1", COUNTIFS(F:F, "☆☆", E:E, E2), 0) - IF(E53="A1", COUNTIFS(F:F, "☆☆", E:E, "A1"), 0)))/100, 
   IF(F53="☆☆☆", ((M9 * 100) / (COUNTIFS(F:F, "☆☆☆", E:E, E53) + COUNTIFS(F:F, "☆☆☆", E:E, "A1") + IF(E53="A1", COUNTIFS(F:F, "☆☆☆", E:E, E2), 0) - IF(E53="A1", COUNTIFS(F:F, "☆☆☆", E:E, "A1"), 0)))/100, 
   IF(F53="♛", ((M10 * 100) / (COUNTIFS(F:F, "♛", E:E, E53) + COUNTIFS(F:F, "♛", E:E, "A1") + IF(E53="A1", COUNTIFS(F:F, "♛", E:E, E2), 0) - IF(E53="A1", COUNTIFS(F:F, "♛", E:E, "A1"), 0)))/100, "")))))))
</f>
        <v>0.02571428571</v>
      </c>
      <c r="I53" s="129">
        <f>IF(F53="♢♢", ((N4 * 100) / (COUNTIFS(F:F, "♢♢", E:E, E53) + COUNTIFS(F:F, "♢♢", E:E, "A1") + IF(E53="A1", COUNTIFS(F:F, "♢♢", E:E, E2), 0) - IF(E53="A1", COUNTIFS(F:F, "♢♢", E:E, "A1"), 0)))/100, 
   IF(F53="♢♢♢", ((N5 * 100) / (COUNTIFS(F:F, "♢♢♢", E:E, E53) + COUNTIFS(F:F, "♢♢♢", E:E, "A1") + IF(E53="A1", COUNTIFS(F:F, "♢♢♢", E:E, E2), 0) - IF(E53="A1", COUNTIFS(F:F, "♢♢♢", E:E, "A1"), 0)))/100, 
   IF(F53="♢♢♢♢", ((N6 * 100) / (COUNTIFS(F:F, "♢♢♢♢", E:E, E53) + COUNTIFS(F:F, "♢♢♢♢", E:E, "A1") + IF(E53="A1", COUNTIFS(F:F, "♢♢♢♢", E:E, E2), 0) - IF(E53="A1", COUNTIFS(F:F, "♢♢♢♢", E:E, "A1"), 0)))/100, 
   IF(F53="☆", ((N7 * 100) / (COUNTIFS(F:F, "☆", E:E, E53) + COUNTIFS(F:F, "☆", E:E, "A1") + IF(E53="A1", COUNTIFS(F:F, "☆", E:E, E2), 0) - IF(E53="A1", COUNTIFS(F:F, "☆", E:E, "A1"), 0)))/100, 
   IF(F53="☆☆", ((N8 * 100) / (COUNTIFS(F:F, "☆☆", E:E, E53) + COUNTIFS(F:F, "☆☆", E:E, "A1") + IF(E53="A1", COUNTIFS(F:F, "☆☆", E:E, E2), 0) - IF(E53="A1", COUNTIFS(F:F, "☆☆", E:E, "A1"), 0)))/100, 
   IF(F53="☆☆☆", ((N9 * 100) / (COUNTIFS(F:F, "☆☆☆", E:E, E53) + COUNTIFS(F:F, "☆☆☆", E:E, "A1") + IF(E53="A1", COUNTIFS(F:F, "☆☆☆", E:E, E2), 0) - IF(E53="A1", COUNTIFS(F:F, "☆☆☆", E:E, "A1"), 0)))/100, 
   IF(F53="♛", ((N10 * 100) / (COUNTIFS(F:F, "♛", E:E, E53) + COUNTIFS(F:F, "♛", E:E, "A1") + IF(E53="A1", COUNTIFS(F:F, "♛", E:E, E2), 0) - IF(E53="A1", COUNTIFS(F:F, "♛", E:E, "A1"), 0)))/100, "")))))))
</f>
        <v>0.01714285714</v>
      </c>
      <c r="J53" s="214"/>
      <c r="K53" s="227" t="s">
        <v>32</v>
      </c>
      <c r="L53" s="222">
        <f>IFERROR(__xludf.DUMMYFUNCTION("IF(SUM(ARRAYFORMULA(IF((E:E = K53) * REGEXMATCH(SUBSTITUTE(D:D, "" ex"", """"), TEXTJOIN(""|"", TRUE, SPLIT(M48, "" ""))), 1 / COUNTIFS(SUBSTITUTE(D:D, "" ex"", """"), SUBSTITUTE(D:D, "" ex"", """"), E:E, K53), 0))) &gt; 0,
(SUM(ARRAYFORMULA(IF((E:E = K53) *"&amp;" REGEXMATCH(SUBSTITUTE(D:D, "" ex"", """"), TEXTJOIN(""|"", TRUE, SPLIT(M48, "" ""))), 1 / COUNTIFS(SUBSTITUTE(D:D, "" ex"", """"), SUBSTITUTE(D:D, "" ex"", """"), E:E, K53), 0))) - 
SUM(ARRAYFORMULA(IF((A:A = FALSE) * (E:E = K53) * REGEXMATCH(SUBSTITUTE("&amp;"D:D, "" ex"", """"), TEXTJOIN(""|"", TRUE, SPLIT(M48, "" ""))) * (COUNTIFS(SUBSTITUTE(D:D, "" ex"", """"), SUBSTITUTE(D:D, "" ex"", """"), A:A, TRUE) = 0), 1 / COUNTIFS(SUBSTITUTE(D:D, "" ex"", """"), SUBSTITUTE(D:D, "" ex"", """"), E:E, K53), 0)))) / 
SU"&amp;"M(ARRAYFORMULA(IF((E:E = K53) * REGEXMATCH(SUBSTITUTE(D:D, "" ex"", """"), TEXTJOIN(""|"", TRUE, SPLIT(M48, "" ""))), 1 / COUNTIFS(SUBSTITUTE(D:D, "" ex"", """"), SUBSTITUTE(D:D, "" ex"", """"), E:E, K53), 0))), 0)
"),0.0)</f>
        <v>0</v>
      </c>
      <c r="M53" s="222">
        <f>IFERROR(__xludf.DUMMYFUNCTION("IF(SUM(ARRAYFORMULA(IF((E:E = K53) * REGEXMATCH(SUBSTITUTE(D:D, "" ex"", """"), TEXTJOIN(""|"", TRUE, SPLIT(M48, "" ""))), 1 / COUNTIFS(SUBSTITUTE(D:D, "" ex"", """"), SUBSTITUTE(D:D, "" ex"", """"), E:E, K53), 0))) &gt; 0,
SUM(ARRAYFORMULA(IF((A:A = FALSE) "&amp;"* (E:E = K53) * REGEXMATCH(SUBSTITUTE(D:D, "" ex"", """"), TEXTJOIN(""|"", TRUE, SPLIT(M48, "" ""))) * (COUNTIFS(SUBSTITUTE(D:D, "" ex"", """"), SUBSTITUTE(D:D, "" ex"", """"), A:A, TRUE) = 0), 1 / COUNTIFS(SUBSTITUTE(D:D, "" ex"", """"), SUBSTITUTE(D:D, "&amp;""" ex"", """"), E:E, K53), 0))) /
SUM(ARRAYFORMULA(IF((E:E = K53) * REGEXMATCH(SUBSTITUTE(D:D, "" ex"", """"), TEXTJOIN(""|"", TRUE, SPLIT(M48, "" ""))), 1 / COUNTIFS(SUBSTITUTE(D:D, "" ex"", """"), SUBSTITUTE(D:D, "" ex"", """"), E:E, K53), 0))), 0)
"),1.0)</f>
        <v>1</v>
      </c>
      <c r="N53" s="220" t="str">
        <f>IFERROR(__xludf.DUMMYFUNCTION("(SUM(ARRAYFORMULA(IF((E:E = K53) * REGEXMATCH(SUBSTITUTE(D:D, "" ex"", """"), TEXTJOIN(""|"", TRUE, SPLIT(M48, "" ""))), 1 / COUNTIFS(SUBSTITUTE(D:D, "" ex"", """"), SUBSTITUTE(D:D, "" ex"", """"), E:E, K53), 0))) - 
SUM(ARRAYFORMULA(IF((A:A = FALSE) * (E"&amp;":E = K53) * REGEXMATCH(SUBSTITUTE(D:D, "" ex"", """"), TEXTJOIN(""|"", TRUE, SPLIT(M48, "" ""))) * (COUNTIFS(SUBSTITUTE(D:D, "" ex"", """"), SUBSTITUTE(D:D, "" ex"", """"), A:A, TRUE) = 0), 1 / COUNTIFS(SUBSTITUTE(D:D, "" ex"", """"), SUBSTITUTE(D:D, "" e"&amp;"x"", """"), E:E, K53), 0)))) &amp; 
""/"" &amp; 
SUM(ARRAYFORMULA(IF((E:E = K53) * REGEXMATCH(SUBSTITUTE(D:D, "" ex"", """"), TEXTJOIN(""|"", TRUE, SPLIT(M48, "" ""))), 1 / COUNTIFS(SUBSTITUTE(D:D, "" ex"", """"), SUBSTITUTE(D:D, "" ex"", """"), E:E, K53), 0)))
"),"0/44")</f>
        <v>0/44</v>
      </c>
    </row>
    <row r="54">
      <c r="A54" s="125" t="b">
        <f t="shared" si="1"/>
        <v>0</v>
      </c>
      <c r="B54" s="126">
        <v>0.0</v>
      </c>
      <c r="C54" s="127" t="s">
        <v>202</v>
      </c>
      <c r="D54" s="127" t="s">
        <v>203</v>
      </c>
      <c r="E54" s="128" t="s">
        <v>31</v>
      </c>
      <c r="F54" s="127" t="s">
        <v>44</v>
      </c>
      <c r="G54" s="129">
        <f>IF(F54="♢", ((L3 * 100) / (COUNTIFS(F:F, "♢", E:E, E54) + COUNTIFS(F:F, "♢", E:E, "A1") + IF(E54="A1", COUNTIFS(F:F, "♢", E:E, E2), 0) - IF(E54="A1", COUNTIFS(F:F, "♢", E:E, "A1"), 0)))/100, "")
</f>
        <v>0.02</v>
      </c>
      <c r="H54" s="130" t="str">
        <f>IF(F54="♢♢", ((M4 * 100) / (COUNTIFS(F:F, "♢♢", E:E, E54) + COUNTIFS(F:F, "♢♢", E:E, "A1") + IF(E54="A1", COUNTIFS(F:F, "♢♢", E:E, E2), 0) - IF(E54="A1", COUNTIFS(F:F, "♢♢", E:E, "A1"), 0)))/100, 
   IF(F54="♢♢♢", ((M5 * 100) / (COUNTIFS(F:F, "♢♢♢", E:E, E54) + COUNTIFS(F:F, "♢♢♢", E:E, "A1") + IF(E54="A1", COUNTIFS(F:F, "♢♢♢", E:E, E2), 0) - IF(E54="A1", COUNTIFS(F:F, "♢♢♢", E:E, "A1"), 0)))/100, 
   IF(F54="♢♢♢♢", ((M6 * 100) / (COUNTIFS(F:F, "♢♢♢♢", E:E, E54) + COUNTIFS(F:F, "♢♢♢♢", E:E, "A1") + IF(E54="A1", COUNTIFS(F:F, "♢♢♢♢", E:E, E2), 0) - IF(E54="A1", COUNTIFS(F:F, "♢♢♢♢", E:E, "A1"), 0)))/100, 
   IF(F54="☆", ((M7 * 100) / (COUNTIFS(F:F, "☆", E:E, E54) + COUNTIFS(F:F, "☆", E:E, "A1") + IF(E54="A1", COUNTIFS(F:F, "☆", E:E, E2), 0) - IF(E54="A1", COUNTIFS(F:F, "☆", E:E, "A1"), 0)))/100, 
   IF(F54="☆☆", ((M8 * 100) / (COUNTIFS(F:F, "☆☆", E:E, E54) + COUNTIFS(F:F, "☆☆", E:E, "A1") + IF(E54="A1", COUNTIFS(F:F, "☆☆", E:E, E2), 0) - IF(E54="A1", COUNTIFS(F:F, "☆☆", E:E, "A1"), 0)))/100, 
   IF(F54="☆☆☆", ((M9 * 100) / (COUNTIFS(F:F, "☆☆☆", E:E, E54) + COUNTIFS(F:F, "☆☆☆", E:E, "A1") + IF(E54="A1", COUNTIFS(F:F, "☆☆☆", E:E, E2), 0) - IF(E54="A1", COUNTIFS(F:F, "☆☆☆", E:E, "A1"), 0)))/100, 
   IF(F54="♛", ((M10 * 100) / (COUNTIFS(F:F, "♛", E:E, E54) + COUNTIFS(F:F, "♛", E:E, "A1") + IF(E54="A1", COUNTIFS(F:F, "♛", E:E, E2), 0) - IF(E54="A1", COUNTIFS(F:F, "♛", E:E, "A1"), 0)))/100, "")))))))
</f>
        <v/>
      </c>
      <c r="I54" s="130" t="str">
        <f>IF(F54="♢♢", ((N4 * 100) / (COUNTIFS(F:F, "♢♢", E:E, E54) + COUNTIFS(F:F, "♢♢", E:E, "A1") + IF(E54="A1", COUNTIFS(F:F, "♢♢", E:E, E2), 0) - IF(E54="A1", COUNTIFS(F:F, "♢♢", E:E, "A1"), 0)))/100, 
   IF(F54="♢♢♢", ((N5 * 100) / (COUNTIFS(F:F, "♢♢♢", E:E, E54) + COUNTIFS(F:F, "♢♢♢", E:E, "A1") + IF(E54="A1", COUNTIFS(F:F, "♢♢♢", E:E, E2), 0) - IF(E54="A1", COUNTIFS(F:F, "♢♢♢", E:E, "A1"), 0)))/100, 
   IF(F54="♢♢♢♢", ((N6 * 100) / (COUNTIFS(F:F, "♢♢♢♢", E:E, E54) + COUNTIFS(F:F, "♢♢♢♢", E:E, "A1") + IF(E54="A1", COUNTIFS(F:F, "♢♢♢♢", E:E, E2), 0) - IF(E54="A1", COUNTIFS(F:F, "♢♢♢♢", E:E, "A1"), 0)))/100, 
   IF(F54="☆", ((N7 * 100) / (COUNTIFS(F:F, "☆", E:E, E54) + COUNTIFS(F:F, "☆", E:E, "A1") + IF(E54="A1", COUNTIFS(F:F, "☆", E:E, E2), 0) - IF(E54="A1", COUNTIFS(F:F, "☆", E:E, "A1"), 0)))/100, 
   IF(F54="☆☆", ((N8 * 100) / (COUNTIFS(F:F, "☆☆", E:E, E54) + COUNTIFS(F:F, "☆☆", E:E, "A1") + IF(E54="A1", COUNTIFS(F:F, "☆☆", E:E, E2), 0) - IF(E54="A1", COUNTIFS(F:F, "☆☆", E:E, "A1"), 0)))/100, 
   IF(F54="☆☆☆", ((N9 * 100) / (COUNTIFS(F:F, "☆☆☆", E:E, E54) + COUNTIFS(F:F, "☆☆☆", E:E, "A1") + IF(E54="A1", COUNTIFS(F:F, "☆☆☆", E:E, E2), 0) - IF(E54="A1", COUNTIFS(F:F, "☆☆☆", E:E, "A1"), 0)))/100, 
   IF(F54="♛", ((N10 * 100) / (COUNTIFS(F:F, "♛", E:E, E54) + COUNTIFS(F:F, "♛", E:E, "A1") + IF(E54="A1", COUNTIFS(F:F, "♛", E:E, E2), 0) - IF(E54="A1", COUNTIFS(F:F, "♛", E:E, "A1"), 0)))/100, "")))))))
</f>
        <v/>
      </c>
      <c r="J54" s="214"/>
      <c r="K54" s="228" t="s">
        <v>204</v>
      </c>
      <c r="L54" s="222">
        <f>IFERROR(__xludf.DUMMYFUNCTION("IF(SUM(ARRAYFORMULA(IF((E:E = K54) * REGEXMATCH(SUBSTITUTE(D:D, "" ex"", """"), TEXTJOIN(""|"", TRUE, SPLIT(M48, "" ""))), 1 / COUNTIFS(SUBSTITUTE(D:D, "" ex"", """"), SUBSTITUTE(D:D, "" ex"", """"), E:E, K54), 0))) &gt; 0,
(SUM(ARRAYFORMULA(IF((E:E = K54) *"&amp;" REGEXMATCH(SUBSTITUTE(D:D, "" ex"", """"), TEXTJOIN(""|"", TRUE, SPLIT(M48, "" ""))), 1 / COUNTIFS(SUBSTITUTE(D:D, "" ex"", """"), SUBSTITUTE(D:D, "" ex"", """"), E:E, K54), 0))) - 
SUM(ARRAYFORMULA(IF((A:A = FALSE) * (E:E = K54) * REGEXMATCH(SUBSTITUTE("&amp;"D:D, "" ex"", """"), TEXTJOIN(""|"", TRUE, SPLIT(M48, "" ""))) * (COUNTIFS(SUBSTITUTE(D:D, "" ex"", """"), SUBSTITUTE(D:D, "" ex"", """"), A:A, TRUE) = 0), 1 / COUNTIFS(SUBSTITUTE(D:D, "" ex"", """"), SUBSTITUTE(D:D, "" ex"", """"), E:E, K54), 0)))) / 
SU"&amp;"M(ARRAYFORMULA(IF((E:E = K54) * REGEXMATCH(SUBSTITUTE(D:D, "" ex"", """"), TEXTJOIN(""|"", TRUE, SPLIT(M48, "" ""))), 1 / COUNTIFS(SUBSTITUTE(D:D, "" ex"", """"), SUBSTITUTE(D:D, "" ex"", """"), E:E, K54), 0))), 0)
"),0.0)</f>
        <v>0</v>
      </c>
      <c r="M54" s="222">
        <f>IFERROR(__xludf.DUMMYFUNCTION("IF(SUM(ARRAYFORMULA(IF((E:E = K54) * REGEXMATCH(SUBSTITUTE(D:D, "" ex"", """"), TEXTJOIN(""|"", TRUE, SPLIT(M48, "" ""))), 1 / COUNTIFS(SUBSTITUTE(D:D, "" ex"", """"), SUBSTITUTE(D:D, "" ex"", """"), E:E, K54), 0))) &gt; 0,
SUM(ARRAYFORMULA(IF((A:A = FALSE) "&amp;"* (E:E = K54) * REGEXMATCH(SUBSTITUTE(D:D, "" ex"", """"), TEXTJOIN(""|"", TRUE, SPLIT(M48, "" ""))) * (COUNTIFS(SUBSTITUTE(D:D, "" ex"", """"), SUBSTITUTE(D:D, "" ex"", """"), A:A, TRUE) = 0), 1 / COUNTIFS(SUBSTITUTE(D:D, "" ex"", """"), SUBSTITUTE(D:D, "&amp;""" ex"", """"), E:E, K54), 0))) /
SUM(ARRAYFORMULA(IF((E:E = K54) * REGEXMATCH(SUBSTITUTE(D:D, "" ex"", """"), TEXTJOIN(""|"", TRUE, SPLIT(M48, "" ""))), 1 / COUNTIFS(SUBSTITUTE(D:D, "" ex"", """"), SUBSTITUTE(D:D, "" ex"", """"), E:E, K54), 0))), 0)
"),0.0)</f>
        <v>0</v>
      </c>
      <c r="N54" s="220" t="str">
        <f>IFERROR(__xludf.DUMMYFUNCTION("(SUM(ARRAYFORMULA(IF((E:E = K54) * REGEXMATCH(SUBSTITUTE(D:D, "" ex"", """"), TEXTJOIN(""|"", TRUE, SPLIT(M48, "" ""))), 1 / COUNTIFS(SUBSTITUTE(D:D, "" ex"", """"), SUBSTITUTE(D:D, "" ex"", """"), E:E, K54), 0))) - 
SUM(ARRAYFORMULA(IF((A:A = FALSE) * (E"&amp;":E = K54) * REGEXMATCH(SUBSTITUTE(D:D, "" ex"", """"), TEXTJOIN(""|"", TRUE, SPLIT(M48, "" ""))) * (COUNTIFS(SUBSTITUTE(D:D, "" ex"", """"), SUBSTITUTE(D:D, "" ex"", """"), A:A, TRUE) = 0), 1 / COUNTIFS(SUBSTITUTE(D:D, "" ex"", """"), SUBSTITUTE(D:D, "" e"&amp;"x"", """"), E:E, K54), 0)))) &amp; 
""/"" &amp; 
SUM(ARRAYFORMULA(IF((E:E = K54) * REGEXMATCH(SUBSTITUTE(D:D, "" ex"", """"), TEXTJOIN(""|"", TRUE, SPLIT(M48, "" ""))), 1 / COUNTIFS(SUBSTITUTE(D:D, "" ex"", """"), SUBSTITUTE(D:D, "" ex"", """"), E:E, K54), 0)))
"),"0/0")</f>
        <v>0/0</v>
      </c>
    </row>
    <row r="55">
      <c r="A55" s="125" t="b">
        <f t="shared" si="1"/>
        <v>0</v>
      </c>
      <c r="B55" s="126">
        <v>0.0</v>
      </c>
      <c r="C55" s="127" t="s">
        <v>205</v>
      </c>
      <c r="D55" s="127" t="s">
        <v>206</v>
      </c>
      <c r="E55" s="128" t="s">
        <v>31</v>
      </c>
      <c r="F55" s="127" t="s">
        <v>46</v>
      </c>
      <c r="G55" s="130" t="str">
        <f>IF(F55="♢", ((L3 * 100) / (COUNTIFS(F:F, "♢", E:E, E55) + COUNTIFS(F:F, "♢", E:E, "A1") + IF(E55="A1", COUNTIFS(F:F, "♢", E:E, E2), 0) - IF(E55="A1", COUNTIFS(F:F, "♢", E:E, "A1"), 0)))/100, "")
</f>
        <v/>
      </c>
      <c r="H55" s="129">
        <f>IF(F55="♢♢", ((M4 * 100) / (COUNTIFS(F:F, "♢♢", E:E, E55) + COUNTIFS(F:F, "♢♢", E:E, "A1") + IF(E55="A1", COUNTIFS(F:F, "♢♢", E:E, E2), 0) - IF(E55="A1", COUNTIFS(F:F, "♢♢", E:E, "A1"), 0)))/100, 
   IF(F55="♢♢♢", ((M5 * 100) / (COUNTIFS(F:F, "♢♢♢", E:E, E55) + COUNTIFS(F:F, "♢♢♢", E:E, "A1") + IF(E55="A1", COUNTIFS(F:F, "♢♢♢", E:E, E2), 0) - IF(E55="A1", COUNTIFS(F:F, "♢♢♢", E:E, "A1"), 0)))/100, 
   IF(F55="♢♢♢♢", ((M6 * 100) / (COUNTIFS(F:F, "♢♢♢♢", E:E, E55) + COUNTIFS(F:F, "♢♢♢♢", E:E, "A1") + IF(E55="A1", COUNTIFS(F:F, "♢♢♢♢", E:E, E2), 0) - IF(E55="A1", COUNTIFS(F:F, "♢♢♢♢", E:E, "A1"), 0)))/100, 
   IF(F55="☆", ((M7 * 100) / (COUNTIFS(F:F, "☆", E:E, E55) + COUNTIFS(F:F, "☆", E:E, "A1") + IF(E55="A1", COUNTIFS(F:F, "☆", E:E, E2), 0) - IF(E55="A1", COUNTIFS(F:F, "☆", E:E, "A1"), 0)))/100, 
   IF(F55="☆☆", ((M8 * 100) / (COUNTIFS(F:F, "☆☆", E:E, E55) + COUNTIFS(F:F, "☆☆", E:E, "A1") + IF(E55="A1", COUNTIFS(F:F, "☆☆", E:E, E2), 0) - IF(E55="A1", COUNTIFS(F:F, "☆☆", E:E, "A1"), 0)))/100, 
   IF(F55="☆☆☆", ((M9 * 100) / (COUNTIFS(F:F, "☆☆☆", E:E, E55) + COUNTIFS(F:F, "☆☆☆", E:E, "A1") + IF(E55="A1", COUNTIFS(F:F, "☆☆☆", E:E, E2), 0) - IF(E55="A1", COUNTIFS(F:F, "☆☆☆", E:E, "A1"), 0)))/100, 
   IF(F55="♛", ((M10 * 100) / (COUNTIFS(F:F, "♛", E:E, E55) + COUNTIFS(F:F, "♛", E:E, "A1") + IF(E55="A1", COUNTIFS(F:F, "♛", E:E, E2), 0) - IF(E55="A1", COUNTIFS(F:F, "♛", E:E, "A1"), 0)))/100, "")))))))
</f>
        <v>0.02571428571</v>
      </c>
      <c r="I55" s="129">
        <f>IF(F55="♢♢", ((N4 * 100) / (COUNTIFS(F:F, "♢♢", E:E, E55) + COUNTIFS(F:F, "♢♢", E:E, "A1") + IF(E55="A1", COUNTIFS(F:F, "♢♢", E:E, E2), 0) - IF(E55="A1", COUNTIFS(F:F, "♢♢", E:E, "A1"), 0)))/100, 
   IF(F55="♢♢♢", ((N5 * 100) / (COUNTIFS(F:F, "♢♢♢", E:E, E55) + COUNTIFS(F:F, "♢♢♢", E:E, "A1") + IF(E55="A1", COUNTIFS(F:F, "♢♢♢", E:E, E2), 0) - IF(E55="A1", COUNTIFS(F:F, "♢♢♢", E:E, "A1"), 0)))/100, 
   IF(F55="♢♢♢♢", ((N6 * 100) / (COUNTIFS(F:F, "♢♢♢♢", E:E, E55) + COUNTIFS(F:F, "♢♢♢♢", E:E, "A1") + IF(E55="A1", COUNTIFS(F:F, "♢♢♢♢", E:E, E2), 0) - IF(E55="A1", COUNTIFS(F:F, "♢♢♢♢", E:E, "A1"), 0)))/100, 
   IF(F55="☆", ((N7 * 100) / (COUNTIFS(F:F, "☆", E:E, E55) + COUNTIFS(F:F, "☆", E:E, "A1") + IF(E55="A1", COUNTIFS(F:F, "☆", E:E, E2), 0) - IF(E55="A1", COUNTIFS(F:F, "☆", E:E, "A1"), 0)))/100, 
   IF(F55="☆☆", ((N8 * 100) / (COUNTIFS(F:F, "☆☆", E:E, E55) + COUNTIFS(F:F, "☆☆", E:E, "A1") + IF(E55="A1", COUNTIFS(F:F, "☆☆", E:E, E2), 0) - IF(E55="A1", COUNTIFS(F:F, "☆☆", E:E, "A1"), 0)))/100, 
   IF(F55="☆☆☆", ((N9 * 100) / (COUNTIFS(F:F, "☆☆☆", E:E, E55) + COUNTIFS(F:F, "☆☆☆", E:E, "A1") + IF(E55="A1", COUNTIFS(F:F, "☆☆☆", E:E, E2), 0) - IF(E55="A1", COUNTIFS(F:F, "☆☆☆", E:E, "A1"), 0)))/100, 
   IF(F55="♛", ((N10 * 100) / (COUNTIFS(F:F, "♛", E:E, E55) + COUNTIFS(F:F, "♛", E:E, "A1") + IF(E55="A1", COUNTIFS(F:F, "♛", E:E, E2), 0) - IF(E55="A1", COUNTIFS(F:F, "♛", E:E, "A1"), 0)))/100, "")))))))
</f>
        <v>0.01714285714</v>
      </c>
      <c r="J55" s="214"/>
      <c r="K55" s="229" t="s">
        <v>115</v>
      </c>
      <c r="L55" s="164" t="str">
        <f>IF(M51 = MAX(M51:M53), K51, IF(M52 = MAX(M51:M53), K52, K53))</f>
        <v>A1-Mewtwo</v>
      </c>
      <c r="N55" s="216"/>
    </row>
    <row r="56">
      <c r="A56" s="125" t="b">
        <f t="shared" si="1"/>
        <v>0</v>
      </c>
      <c r="B56" s="126">
        <v>0.0</v>
      </c>
      <c r="C56" s="127" t="s">
        <v>207</v>
      </c>
      <c r="D56" s="127" t="s">
        <v>208</v>
      </c>
      <c r="E56" s="128" t="s">
        <v>31</v>
      </c>
      <c r="F56" s="127" t="s">
        <v>48</v>
      </c>
      <c r="G56" s="130" t="str">
        <f>IF(F56="♢", ((L3 * 100) / (COUNTIFS(F:F, "♢", E:E, E56) + COUNTIFS(F:F, "♢", E:E, "A1") + IF(E56="A1", COUNTIFS(F:F, "♢", E:E, E2), 0) - IF(E56="A1", COUNTIFS(F:F, "♢", E:E, "A1"), 0)))/100, "")
</f>
        <v/>
      </c>
      <c r="H56" s="129">
        <f>IF(F56="♢♢", ((M4 * 100) / (COUNTIFS(F:F, "♢♢", E:E, E56) + COUNTIFS(F:F, "♢♢", E:E, "A1") + IF(E56="A1", COUNTIFS(F:F, "♢♢", E:E, E2), 0) - IF(E56="A1", COUNTIFS(F:F, "♢♢", E:E, "A1"), 0)))/100, 
   IF(F56="♢♢♢", ((M5 * 100) / (COUNTIFS(F:F, "♢♢♢", E:E, E56) + COUNTIFS(F:F, "♢♢♢", E:E, "A1") + IF(E56="A1", COUNTIFS(F:F, "♢♢♢", E:E, E2), 0) - IF(E56="A1", COUNTIFS(F:F, "♢♢♢", E:E, "A1"), 0)))/100, 
   IF(F56="♢♢♢♢", ((M6 * 100) / (COUNTIFS(F:F, "♢♢♢♢", E:E, E56) + COUNTIFS(F:F, "♢♢♢♢", E:E, "A1") + IF(E56="A1", COUNTIFS(F:F, "♢♢♢♢", E:E, E2), 0) - IF(E56="A1", COUNTIFS(F:F, "♢♢♢♢", E:E, "A1"), 0)))/100, 
   IF(F56="☆", ((M7 * 100) / (COUNTIFS(F:F, "☆", E:E, E56) + COUNTIFS(F:F, "☆", E:E, "A1") + IF(E56="A1", COUNTIFS(F:F, "☆", E:E, E2), 0) - IF(E56="A1", COUNTIFS(F:F, "☆", E:E, "A1"), 0)))/100, 
   IF(F56="☆☆", ((M8 * 100) / (COUNTIFS(F:F, "☆☆", E:E, E56) + COUNTIFS(F:F, "☆☆", E:E, "A1") + IF(E56="A1", COUNTIFS(F:F, "☆☆", E:E, E2), 0) - IF(E56="A1", COUNTIFS(F:F, "☆☆", E:E, "A1"), 0)))/100, 
   IF(F56="☆☆☆", ((M9 * 100) / (COUNTIFS(F:F, "☆☆☆", E:E, E56) + COUNTIFS(F:F, "☆☆☆", E:E, "A1") + IF(E56="A1", COUNTIFS(F:F, "☆☆☆", E:E, E2), 0) - IF(E56="A1", COUNTIFS(F:F, "☆☆☆", E:E, "A1"), 0)))/100, 
   IF(F56="♛", ((M10 * 100) / (COUNTIFS(F:F, "♛", E:E, E56) + COUNTIFS(F:F, "♛", E:E, "A1") + IF(E56="A1", COUNTIFS(F:F, "♛", E:E, E2), 0) - IF(E56="A1", COUNTIFS(F:F, "♛", E:E, "A1"), 0)))/100, "")))))))
</f>
        <v>0.003571428571</v>
      </c>
      <c r="I56" s="129">
        <f>IF(F56="♢♢", ((N4 * 100) / (COUNTIFS(F:F, "♢♢", E:E, E56) + COUNTIFS(F:F, "♢♢", E:E, "A1") + IF(E56="A1", COUNTIFS(F:F, "♢♢", E:E, E2), 0) - IF(E56="A1", COUNTIFS(F:F, "♢♢", E:E, "A1"), 0)))/100, 
   IF(F56="♢♢♢", ((N5 * 100) / (COUNTIFS(F:F, "♢♢♢", E:E, E56) + COUNTIFS(F:F, "♢♢♢", E:E, "A1") + IF(E56="A1", COUNTIFS(F:F, "♢♢♢", E:E, E2), 0) - IF(E56="A1", COUNTIFS(F:F, "♢♢♢", E:E, "A1"), 0)))/100, 
   IF(F56="♢♢♢♢", ((N6 * 100) / (COUNTIFS(F:F, "♢♢♢♢", E:E, E56) + COUNTIFS(F:F, "♢♢♢♢", E:E, "A1") + IF(E56="A1", COUNTIFS(F:F, "♢♢♢♢", E:E, E2), 0) - IF(E56="A1", COUNTIFS(F:F, "♢♢♢♢", E:E, "A1"), 0)))/100, 
   IF(F56="☆", ((N7 * 100) / (COUNTIFS(F:F, "☆", E:E, E56) + COUNTIFS(F:F, "☆", E:E, "A1") + IF(E56="A1", COUNTIFS(F:F, "☆", E:E, E2), 0) - IF(E56="A1", COUNTIFS(F:F, "☆", E:E, "A1"), 0)))/100, 
   IF(F56="☆☆", ((N8 * 100) / (COUNTIFS(F:F, "☆☆", E:E, E56) + COUNTIFS(F:F, "☆☆", E:E, "A1") + IF(E56="A1", COUNTIFS(F:F, "☆☆", E:E, E2), 0) - IF(E56="A1", COUNTIFS(F:F, "☆☆", E:E, "A1"), 0)))/100, 
   IF(F56="☆☆☆", ((N9 * 100) / (COUNTIFS(F:F, "☆☆☆", E:E, E56) + COUNTIFS(F:F, "☆☆☆", E:E, "A1") + IF(E56="A1", COUNTIFS(F:F, "☆☆☆", E:E, E2), 0) - IF(E56="A1", COUNTIFS(F:F, "☆☆☆", E:E, "A1"), 0)))/100, 
   IF(F56="♛", ((N10 * 100) / (COUNTIFS(F:F, "♛", E:E, E56) + COUNTIFS(F:F, "♛", E:E, "A1") + IF(E56="A1", COUNTIFS(F:F, "♛", E:E, E2), 0) - IF(E56="A1", COUNTIFS(F:F, "♛", E:E, "A1"), 0)))/100, "")))))))
</f>
        <v>0.01428571429</v>
      </c>
      <c r="J56" s="214"/>
      <c r="K56" s="10"/>
      <c r="L56" s="10"/>
      <c r="M56" s="10"/>
      <c r="N56" s="230"/>
    </row>
    <row r="57">
      <c r="A57" s="125" t="b">
        <f t="shared" si="1"/>
        <v>0</v>
      </c>
      <c r="B57" s="126">
        <v>0.0</v>
      </c>
      <c r="C57" s="127" t="s">
        <v>209</v>
      </c>
      <c r="D57" s="128" t="s">
        <v>210</v>
      </c>
      <c r="E57" s="128" t="s">
        <v>31</v>
      </c>
      <c r="F57" s="127" t="s">
        <v>51</v>
      </c>
      <c r="G57" s="130" t="str">
        <f>IF(F57="♢", ((L3 * 100) / (COUNTIFS(F:F, "♢", E:E, E57) + COUNTIFS(F:F, "♢", E:E, "A1") + IF(E57="A1", COUNTIFS(F:F, "♢", E:E, E2), 0) - IF(E57="A1", COUNTIFS(F:F, "♢", E:E, "A1"), 0)))/100, "")
</f>
        <v/>
      </c>
      <c r="H57" s="129">
        <f>IF(F57="♢♢", ((M4 * 100) / (COUNTIFS(F:F, "♢♢", E:E, E57) + COUNTIFS(F:F, "♢♢", E:E, "A1") + IF(E57="A1", COUNTIFS(F:F, "♢♢", E:E, E2), 0) - IF(E57="A1", COUNTIFS(F:F, "♢♢", E:E, "A1"), 0)))/100, 
   IF(F57="♢♢♢", ((M5 * 100) / (COUNTIFS(F:F, "♢♢♢", E:E, E57) + COUNTIFS(F:F, "♢♢♢", E:E, "A1") + IF(E57="A1", COUNTIFS(F:F, "♢♢♢", E:E, E2), 0) - IF(E57="A1", COUNTIFS(F:F, "♢♢♢", E:E, "A1"), 0)))/100, 
   IF(F57="♢♢♢♢", ((M6 * 100) / (COUNTIFS(F:F, "♢♢♢♢", E:E, E57) + COUNTIFS(F:F, "♢♢♢♢", E:E, "A1") + IF(E57="A1", COUNTIFS(F:F, "♢♢♢♢", E:E, E2), 0) - IF(E57="A1", COUNTIFS(F:F, "♢♢♢♢", E:E, "A1"), 0)))/100, 
   IF(F57="☆", ((M7 * 100) / (COUNTIFS(F:F, "☆", E:E, E57) + COUNTIFS(F:F, "☆", E:E, "A1") + IF(E57="A1", COUNTIFS(F:F, "☆", E:E, E2), 0) - IF(E57="A1", COUNTIFS(F:F, "☆", E:E, "A1"), 0)))/100, 
   IF(F57="☆☆", ((M8 * 100) / (COUNTIFS(F:F, "☆☆", E:E, E57) + COUNTIFS(F:F, "☆☆", E:E, "A1") + IF(E57="A1", COUNTIFS(F:F, "☆☆", E:E, E2), 0) - IF(E57="A1", COUNTIFS(F:F, "☆☆", E:E, "A1"), 0)))/100, 
   IF(F57="☆☆☆", ((M9 * 100) / (COUNTIFS(F:F, "☆☆☆", E:E, E57) + COUNTIFS(F:F, "☆☆☆", E:E, "A1") + IF(E57="A1", COUNTIFS(F:F, "☆☆☆", E:E, E2), 0) - IF(E57="A1", COUNTIFS(F:F, "☆☆☆", E:E, "A1"), 0)))/100, 
   IF(F57="♛", ((M10 * 100) / (COUNTIFS(F:F, "♛", E:E, E57) + COUNTIFS(F:F, "♛", E:E, "A1") + IF(E57="A1", COUNTIFS(F:F, "♛", E:E, E2), 0) - IF(E57="A1", COUNTIFS(F:F, "♛", E:E, "A1"), 0)))/100, "")))))))
</f>
        <v>0.003332</v>
      </c>
      <c r="I57" s="129">
        <f>IF(F57="♢♢", ((N4 * 100) / (COUNTIFS(F:F, "♢♢", E:E, E57) + COUNTIFS(F:F, "♢♢", E:E, "A1") + IF(E57="A1", COUNTIFS(F:F, "♢♢", E:E, E2), 0) - IF(E57="A1", COUNTIFS(F:F, "♢♢", E:E, "A1"), 0)))/100, 
   IF(F57="♢♢♢", ((N5 * 100) / (COUNTIFS(F:F, "♢♢♢", E:E, E57) + COUNTIFS(F:F, "♢♢♢", E:E, "A1") + IF(E57="A1", COUNTIFS(F:F, "♢♢♢", E:E, E2), 0) - IF(E57="A1", COUNTIFS(F:F, "♢♢♢", E:E, "A1"), 0)))/100, 
   IF(F57="♢♢♢♢", ((N6 * 100) / (COUNTIFS(F:F, "♢♢♢♢", E:E, E57) + COUNTIFS(F:F, "♢♢♢♢", E:E, "A1") + IF(E57="A1", COUNTIFS(F:F, "♢♢♢♢", E:E, E2), 0) - IF(E57="A1", COUNTIFS(F:F, "♢♢♢♢", E:E, "A1"), 0)))/100, 
   IF(F57="☆", ((N7 * 100) / (COUNTIFS(F:F, "☆", E:E, E57) + COUNTIFS(F:F, "☆", E:E, "A1") + IF(E57="A1", COUNTIFS(F:F, "☆", E:E, E2), 0) - IF(E57="A1", COUNTIFS(F:F, "☆", E:E, "A1"), 0)))/100, 
   IF(F57="☆☆", ((N8 * 100) / (COUNTIFS(F:F, "☆☆", E:E, E57) + COUNTIFS(F:F, "☆☆", E:E, "A1") + IF(E57="A1", COUNTIFS(F:F, "☆☆", E:E, E2), 0) - IF(E57="A1", COUNTIFS(F:F, "☆☆", E:E, "A1"), 0)))/100, 
   IF(F57="☆☆☆", ((N9 * 100) / (COUNTIFS(F:F, "☆☆☆", E:E, E57) + COUNTIFS(F:F, "☆☆☆", E:E, "A1") + IF(E57="A1", COUNTIFS(F:F, "☆☆☆", E:E, E2), 0) - IF(E57="A1", COUNTIFS(F:F, "☆☆☆", E:E, "A1"), 0)))/100, 
   IF(F57="♛", ((N10 * 100) / (COUNTIFS(F:F, "♛", E:E, E57) + COUNTIFS(F:F, "♛", E:E, "A1") + IF(E57="A1", COUNTIFS(F:F, "♛", E:E, E2), 0) - IF(E57="A1", COUNTIFS(F:F, "♛", E:E, "A1"), 0)))/100, "")))))))
</f>
        <v>0.013328</v>
      </c>
      <c r="J57" s="214"/>
      <c r="K57" s="231" t="s">
        <v>211</v>
      </c>
      <c r="N57" s="216"/>
      <c r="O57" s="232" t="s">
        <v>212</v>
      </c>
    </row>
    <row r="58">
      <c r="A58" s="125" t="b">
        <f t="shared" si="1"/>
        <v>0</v>
      </c>
      <c r="B58" s="126">
        <v>0.0</v>
      </c>
      <c r="C58" s="127" t="s">
        <v>213</v>
      </c>
      <c r="D58" s="127" t="s">
        <v>214</v>
      </c>
      <c r="E58" s="128" t="s">
        <v>137</v>
      </c>
      <c r="F58" s="127" t="s">
        <v>44</v>
      </c>
      <c r="G58" s="129">
        <f>IF(F58="♢", ((L3 * 100) / (COUNTIFS(F:F, "♢", E:E, E58) + COUNTIFS(F:F, "♢", E:E, "A1") + IF(E58="A1", COUNTIFS(F:F, "♢", E:E, E2), 0) - IF(E58="A1", COUNTIFS(F:F, "♢", E:E, "A1"), 0)))/100, "")
</f>
        <v>0.02</v>
      </c>
      <c r="H58" s="130" t="str">
        <f>IF(F58="♢♢", ((M4 * 100) / (COUNTIFS(F:F, "♢♢", E:E, E58) + COUNTIFS(F:F, "♢♢", E:E, "A1") + IF(E58="A1", COUNTIFS(F:F, "♢♢", E:E, E2), 0) - IF(E58="A1", COUNTIFS(F:F, "♢♢", E:E, "A1"), 0)))/100, 
   IF(F58="♢♢♢", ((M5 * 100) / (COUNTIFS(F:F, "♢♢♢", E:E, E58) + COUNTIFS(F:F, "♢♢♢", E:E, "A1") + IF(E58="A1", COUNTIFS(F:F, "♢♢♢", E:E, E2), 0) - IF(E58="A1", COUNTIFS(F:F, "♢♢♢", E:E, "A1"), 0)))/100, 
   IF(F58="♢♢♢♢", ((M6 * 100) / (COUNTIFS(F:F, "♢♢♢♢", E:E, E58) + COUNTIFS(F:F, "♢♢♢♢", E:E, "A1") + IF(E58="A1", COUNTIFS(F:F, "♢♢♢♢", E:E, E2), 0) - IF(E58="A1", COUNTIFS(F:F, "♢♢♢♢", E:E, "A1"), 0)))/100, 
   IF(F58="☆", ((M7 * 100) / (COUNTIFS(F:F, "☆", E:E, E58) + COUNTIFS(F:F, "☆", E:E, "A1") + IF(E58="A1", COUNTIFS(F:F, "☆", E:E, E2), 0) - IF(E58="A1", COUNTIFS(F:F, "☆", E:E, "A1"), 0)))/100, 
   IF(F58="☆☆", ((M8 * 100) / (COUNTIFS(F:F, "☆☆", E:E, E58) + COUNTIFS(F:F, "☆☆", E:E, "A1") + IF(E58="A1", COUNTIFS(F:F, "☆☆", E:E, E2), 0) - IF(E58="A1", COUNTIFS(F:F, "☆☆", E:E, "A1"), 0)))/100, 
   IF(F58="☆☆☆", ((M9 * 100) / (COUNTIFS(F:F, "☆☆☆", E:E, E58) + COUNTIFS(F:F, "☆☆☆", E:E, "A1") + IF(E58="A1", COUNTIFS(F:F, "☆☆☆", E:E, E2), 0) - IF(E58="A1", COUNTIFS(F:F, "☆☆☆", E:E, "A1"), 0)))/100, 
   IF(F58="♛", ((M10 * 100) / (COUNTIFS(F:F, "♛", E:E, E58) + COUNTIFS(F:F, "♛", E:E, "A1") + IF(E58="A1", COUNTIFS(F:F, "♛", E:E, E2), 0) - IF(E58="A1", COUNTIFS(F:F, "♛", E:E, "A1"), 0)))/100, "")))))))
</f>
        <v/>
      </c>
      <c r="I58" s="130" t="str">
        <f>IF(F58="♢♢", ((N4 * 100) / (COUNTIFS(F:F, "♢♢", E:E, E58) + COUNTIFS(F:F, "♢♢", E:E, "A1") + IF(E58="A1", COUNTIFS(F:F, "♢♢", E:E, E2), 0) - IF(E58="A1", COUNTIFS(F:F, "♢♢", E:E, "A1"), 0)))/100, 
   IF(F58="♢♢♢", ((N5 * 100) / (COUNTIFS(F:F, "♢♢♢", E:E, E58) + COUNTIFS(F:F, "♢♢♢", E:E, "A1") + IF(E58="A1", COUNTIFS(F:F, "♢♢♢", E:E, E2), 0) - IF(E58="A1", COUNTIFS(F:F, "♢♢♢", E:E, "A1"), 0)))/100, 
   IF(F58="♢♢♢♢", ((N6 * 100) / (COUNTIFS(F:F, "♢♢♢♢", E:E, E58) + COUNTIFS(F:F, "♢♢♢♢", E:E, "A1") + IF(E58="A1", COUNTIFS(F:F, "♢♢♢♢", E:E, E2), 0) - IF(E58="A1", COUNTIFS(F:F, "♢♢♢♢", E:E, "A1"), 0)))/100, 
   IF(F58="☆", ((N7 * 100) / (COUNTIFS(F:F, "☆", E:E, E58) + COUNTIFS(F:F, "☆", E:E, "A1") + IF(E58="A1", COUNTIFS(F:F, "☆", E:E, E2), 0) - IF(E58="A1", COUNTIFS(F:F, "☆", E:E, "A1"), 0)))/100, 
   IF(F58="☆☆", ((N8 * 100) / (COUNTIFS(F:F, "☆☆", E:E, E58) + COUNTIFS(F:F, "☆☆", E:E, "A1") + IF(E58="A1", COUNTIFS(F:F, "☆☆", E:E, E2), 0) - IF(E58="A1", COUNTIFS(F:F, "☆☆", E:E, "A1"), 0)))/100, 
   IF(F58="☆☆☆", ((N9 * 100) / (COUNTIFS(F:F, "☆☆☆", E:E, E58) + COUNTIFS(F:F, "☆☆☆", E:E, "A1") + IF(E58="A1", COUNTIFS(F:F, "☆☆☆", E:E, E2), 0) - IF(E58="A1", COUNTIFS(F:F, "☆☆☆", E:E, "A1"), 0)))/100, 
   IF(F58="♛", ((N10 * 100) / (COUNTIFS(F:F, "♛", E:E, E58) + COUNTIFS(F:F, "♛", E:E, "A1") + IF(E58="A1", COUNTIFS(F:F, "♛", E:E, E2), 0) - IF(E58="A1", COUNTIFS(F:F, "♛", E:E, "A1"), 0)))/100, "")))))))
</f>
        <v/>
      </c>
      <c r="J58" s="214"/>
      <c r="K58" s="219" t="s">
        <v>103</v>
      </c>
      <c r="L58" s="148" t="s">
        <v>67</v>
      </c>
      <c r="M58" s="148" t="s">
        <v>68</v>
      </c>
      <c r="N58" s="233" t="s">
        <v>69</v>
      </c>
    </row>
    <row r="59">
      <c r="A59" s="125" t="b">
        <f t="shared" si="1"/>
        <v>0</v>
      </c>
      <c r="B59" s="126">
        <v>0.0</v>
      </c>
      <c r="C59" s="127" t="s">
        <v>215</v>
      </c>
      <c r="D59" s="127" t="s">
        <v>216</v>
      </c>
      <c r="E59" s="128" t="s">
        <v>137</v>
      </c>
      <c r="F59" s="127" t="s">
        <v>46</v>
      </c>
      <c r="G59" s="130" t="str">
        <f>IF(F59="♢", ((L3 * 100) / (COUNTIFS(F:F, "♢", E:E, E59) + COUNTIFS(F:F, "♢", E:E, "A1") + IF(E59="A1", COUNTIFS(F:F, "♢", E:E, E2), 0) - IF(E59="A1", COUNTIFS(F:F, "♢", E:E, "A1"), 0)))/100, "")
</f>
        <v/>
      </c>
      <c r="H59" s="129">
        <f>IF(F59="♢♢", ((M4 * 100) / (COUNTIFS(F:F, "♢♢", E:E, E59) + COUNTIFS(F:F, "♢♢", E:E, "A1") + IF(E59="A1", COUNTIFS(F:F, "♢♢", E:E, E2), 0) - IF(E59="A1", COUNTIFS(F:F, "♢♢", E:E, "A1"), 0)))/100, 
   IF(F59="♢♢♢", ((M5 * 100) / (COUNTIFS(F:F, "♢♢♢", E:E, E59) + COUNTIFS(F:F, "♢♢♢", E:E, "A1") + IF(E59="A1", COUNTIFS(F:F, "♢♢♢", E:E, E2), 0) - IF(E59="A1", COUNTIFS(F:F, "♢♢♢", E:E, "A1"), 0)))/100, 
   IF(F59="♢♢♢♢", ((M6 * 100) / (COUNTIFS(F:F, "♢♢♢♢", E:E, E59) + COUNTIFS(F:F, "♢♢♢♢", E:E, "A1") + IF(E59="A1", COUNTIFS(F:F, "♢♢♢♢", E:E, E2), 0) - IF(E59="A1", COUNTIFS(F:F, "♢♢♢♢", E:E, "A1"), 0)))/100, 
   IF(F59="☆", ((M7 * 100) / (COUNTIFS(F:F, "☆", E:E, E59) + COUNTIFS(F:F, "☆", E:E, "A1") + IF(E59="A1", COUNTIFS(F:F, "☆", E:E, E2), 0) - IF(E59="A1", COUNTIFS(F:F, "☆", E:E, "A1"), 0)))/100, 
   IF(F59="☆☆", ((M8 * 100) / (COUNTIFS(F:F, "☆☆", E:E, E59) + COUNTIFS(F:F, "☆☆", E:E, "A1") + IF(E59="A1", COUNTIFS(F:F, "☆☆", E:E, E2), 0) - IF(E59="A1", COUNTIFS(F:F, "☆☆", E:E, "A1"), 0)))/100, 
   IF(F59="☆☆☆", ((M9 * 100) / (COUNTIFS(F:F, "☆☆☆", E:E, E59) + COUNTIFS(F:F, "☆☆☆", E:E, "A1") + IF(E59="A1", COUNTIFS(F:F, "☆☆☆", E:E, E2), 0) - IF(E59="A1", COUNTIFS(F:F, "☆☆☆", E:E, "A1"), 0)))/100, 
   IF(F59="♛", ((M10 * 100) / (COUNTIFS(F:F, "♛", E:E, E59) + COUNTIFS(F:F, "♛", E:E, "A1") + IF(E59="A1", COUNTIFS(F:F, "♛", E:E, E2), 0) - IF(E59="A1", COUNTIFS(F:F, "♛", E:E, "A1"), 0)))/100, "")))))))
</f>
        <v>0.02571428571</v>
      </c>
      <c r="I59" s="129">
        <f>IF(F59="♢♢", ((N4 * 100) / (COUNTIFS(F:F, "♢♢", E:E, E59) + COUNTIFS(F:F, "♢♢", E:E, "A1") + IF(E59="A1", COUNTIFS(F:F, "♢♢", E:E, E2), 0) - IF(E59="A1", COUNTIFS(F:F, "♢♢", E:E, "A1"), 0)))/100, 
   IF(F59="♢♢♢", ((N5 * 100) / (COUNTIFS(F:F, "♢♢♢", E:E, E59) + COUNTIFS(F:F, "♢♢♢", E:E, "A1") + IF(E59="A1", COUNTIFS(F:F, "♢♢♢", E:E, E2), 0) - IF(E59="A1", COUNTIFS(F:F, "♢♢♢", E:E, "A1"), 0)))/100, 
   IF(F59="♢♢♢♢", ((N6 * 100) / (COUNTIFS(F:F, "♢♢♢♢", E:E, E59) + COUNTIFS(F:F, "♢♢♢♢", E:E, "A1") + IF(E59="A1", COUNTIFS(F:F, "♢♢♢♢", E:E, E2), 0) - IF(E59="A1", COUNTIFS(F:F, "♢♢♢♢", E:E, "A1"), 0)))/100, 
   IF(F59="☆", ((N7 * 100) / (COUNTIFS(F:F, "☆", E:E, E59) + COUNTIFS(F:F, "☆", E:E, "A1") + IF(E59="A1", COUNTIFS(F:F, "☆", E:E, E2), 0) - IF(E59="A1", COUNTIFS(F:F, "☆", E:E, "A1"), 0)))/100, 
   IF(F59="☆☆", ((N8 * 100) / (COUNTIFS(F:F, "☆☆", E:E, E59) + COUNTIFS(F:F, "☆☆", E:E, "A1") + IF(E59="A1", COUNTIFS(F:F, "☆☆", E:E, E2), 0) - IF(E59="A1", COUNTIFS(F:F, "☆☆", E:E, "A1"), 0)))/100, 
   IF(F59="☆☆☆", ((N9 * 100) / (COUNTIFS(F:F, "☆☆☆", E:E, E59) + COUNTIFS(F:F, "☆☆☆", E:E, "A1") + IF(E59="A1", COUNTIFS(F:F, "☆☆☆", E:E, E2), 0) - IF(E59="A1", COUNTIFS(F:F, "☆☆☆", E:E, "A1"), 0)))/100, 
   IF(F59="♛", ((N10 * 100) / (COUNTIFS(F:F, "♛", E:E, E59) + COUNTIFS(F:F, "♛", E:E, "A1") + IF(E59="A1", COUNTIFS(F:F, "♛", E:E, E2), 0) - IF(E59="A1", COUNTIFS(F:F, "♛", E:E, "A1"), 0)))/100, "")))))))
</f>
        <v>0.01714285714</v>
      </c>
      <c r="J59" s="214"/>
      <c r="K59" s="223" t="s">
        <v>29</v>
      </c>
      <c r="L59" s="234">
        <f>IFERROR(__xludf.DUMMYFUNCTION("SUM(ARRAYFORMULA(IF((A:A = FALSE) * ((E:E = K59) + (E:E = K54)) * REGEXMATCH(SUBSTITUTE(D:D, "" ex"", """"), TEXTJOIN(""|"", TRUE, SPLIT(M48, "" "")))*(COUNTIFS(SUBSTITUTE(D:D, "" ex"", """"), SUBSTITUTE(D:D, "" ex"", """"), A:A, TRUE) = 0), G:G, 0)))"),0.4000000000000001)</f>
        <v>0.4</v>
      </c>
      <c r="M59" s="234">
        <f>IFERROR(__xludf.DUMMYFUNCTION("SUM(ARRAYFORMULA(IF((A:A = FALSE) * ((E:E = K59) + (E:E = K54)) * REGEXMATCH(SUBSTITUTE(D:D, "" ex"", """"), TEXTJOIN(""|"", TRUE, SPLIT(M48, "" "")))*(COUNTIFS(SUBSTITUTE(D:D, "" ex"", """"), SUBSTITUTE(D:D, "" ex"", """"), A:A, TRUE) = 0), H:H, 0)))"),0.4256317460317459)</f>
        <v>0.425631746</v>
      </c>
      <c r="N59" s="235">
        <f>IFERROR(__xludf.DUMMYFUNCTION("SUM(ARRAYFORMULA(IF((A:A = FALSE) * ((E:E = K59) + (E:E = K54)) * REGEXMATCH(SUBSTITUTE(D:D, "" ex"", """"), TEXTJOIN(""|"", TRUE, SPLIT(M48, "" "")))*(COUNTIFS(SUBSTITUTE(D:D, "" ex"", """"), SUBSTITUTE(D:D, "" ex"", """"), A:A, TRUE) = 0), I:I, 0)))"),0.5882412698412698)</f>
        <v>0.5882412698</v>
      </c>
    </row>
    <row r="60">
      <c r="A60" s="125" t="b">
        <f t="shared" si="1"/>
        <v>0</v>
      </c>
      <c r="B60" s="126">
        <v>0.0</v>
      </c>
      <c r="C60" s="127" t="s">
        <v>217</v>
      </c>
      <c r="D60" s="127" t="s">
        <v>218</v>
      </c>
      <c r="E60" s="128" t="s">
        <v>32</v>
      </c>
      <c r="F60" s="127" t="s">
        <v>44</v>
      </c>
      <c r="G60" s="129">
        <f>IF(F60="♢", ((L3 * 100) / (COUNTIFS(F:F, "♢", E:E, E60) + COUNTIFS(F:F, "♢", E:E, "A1") + IF(E60="A1", COUNTIFS(F:F, "♢", E:E, E2), 0) - IF(E60="A1", COUNTIFS(F:F, "♢", E:E, "A1"), 0)))/100, "")
</f>
        <v>0.02</v>
      </c>
      <c r="H60" s="130" t="str">
        <f>IF(F60="♢♢", ((M4 * 100) / (COUNTIFS(F:F, "♢♢", E:E, E60) + COUNTIFS(F:F, "♢♢", E:E, "A1") + IF(E60="A1", COUNTIFS(F:F, "♢♢", E:E, E2), 0) - IF(E60="A1", COUNTIFS(F:F, "♢♢", E:E, "A1"), 0)))/100, 
   IF(F60="♢♢♢", ((M5 * 100) / (COUNTIFS(F:F, "♢♢♢", E:E, E60) + COUNTIFS(F:F, "♢♢♢", E:E, "A1") + IF(E60="A1", COUNTIFS(F:F, "♢♢♢", E:E, E2), 0) - IF(E60="A1", COUNTIFS(F:F, "♢♢♢", E:E, "A1"), 0)))/100, 
   IF(F60="♢♢♢♢", ((M6 * 100) / (COUNTIFS(F:F, "♢♢♢♢", E:E, E60) + COUNTIFS(F:F, "♢♢♢♢", E:E, "A1") + IF(E60="A1", COUNTIFS(F:F, "♢♢♢♢", E:E, E2), 0) - IF(E60="A1", COUNTIFS(F:F, "♢♢♢♢", E:E, "A1"), 0)))/100, 
   IF(F60="☆", ((M7 * 100) / (COUNTIFS(F:F, "☆", E:E, E60) + COUNTIFS(F:F, "☆", E:E, "A1") + IF(E60="A1", COUNTIFS(F:F, "☆", E:E, E2), 0) - IF(E60="A1", COUNTIFS(F:F, "☆", E:E, "A1"), 0)))/100, 
   IF(F60="☆☆", ((M8 * 100) / (COUNTIFS(F:F, "☆☆", E:E, E60) + COUNTIFS(F:F, "☆☆", E:E, "A1") + IF(E60="A1", COUNTIFS(F:F, "☆☆", E:E, E2), 0) - IF(E60="A1", COUNTIFS(F:F, "☆☆", E:E, "A1"), 0)))/100, 
   IF(F60="☆☆☆", ((M9 * 100) / (COUNTIFS(F:F, "☆☆☆", E:E, E60) + COUNTIFS(F:F, "☆☆☆", E:E, "A1") + IF(E60="A1", COUNTIFS(F:F, "☆☆☆", E:E, E2), 0) - IF(E60="A1", COUNTIFS(F:F, "☆☆☆", E:E, "A1"), 0)))/100, 
   IF(F60="♛", ((M10 * 100) / (COUNTIFS(F:F, "♛", E:E, E60) + COUNTIFS(F:F, "♛", E:E, "A1") + IF(E60="A1", COUNTIFS(F:F, "♛", E:E, E2), 0) - IF(E60="A1", COUNTIFS(F:F, "♛", E:E, "A1"), 0)))/100, "")))))))
</f>
        <v/>
      </c>
      <c r="I60" s="130" t="str">
        <f>IF(F60="♢♢", ((N4 * 100) / (COUNTIFS(F:F, "♢♢", E:E, E60) + COUNTIFS(F:F, "♢♢", E:E, "A1") + IF(E60="A1", COUNTIFS(F:F, "♢♢", E:E, E2), 0) - IF(E60="A1", COUNTIFS(F:F, "♢♢", E:E, "A1"), 0)))/100, 
   IF(F60="♢♢♢", ((N5 * 100) / (COUNTIFS(F:F, "♢♢♢", E:E, E60) + COUNTIFS(F:F, "♢♢♢", E:E, "A1") + IF(E60="A1", COUNTIFS(F:F, "♢♢♢", E:E, E2), 0) - IF(E60="A1", COUNTIFS(F:F, "♢♢♢", E:E, "A1"), 0)))/100, 
   IF(F60="♢♢♢♢", ((N6 * 100) / (COUNTIFS(F:F, "♢♢♢♢", E:E, E60) + COUNTIFS(F:F, "♢♢♢♢", E:E, "A1") + IF(E60="A1", COUNTIFS(F:F, "♢♢♢♢", E:E, E2), 0) - IF(E60="A1", COUNTIFS(F:F, "♢♢♢♢", E:E, "A1"), 0)))/100, 
   IF(F60="☆", ((N7 * 100) / (COUNTIFS(F:F, "☆", E:E, E60) + COUNTIFS(F:F, "☆", E:E, "A1") + IF(E60="A1", COUNTIFS(F:F, "☆", E:E, E2), 0) - IF(E60="A1", COUNTIFS(F:F, "☆", E:E, "A1"), 0)))/100, 
   IF(F60="☆☆", ((N8 * 100) / (COUNTIFS(F:F, "☆☆", E:E, E60) + COUNTIFS(F:F, "☆☆", E:E, "A1") + IF(E60="A1", COUNTIFS(F:F, "☆☆", E:E, E2), 0) - IF(E60="A1", COUNTIFS(F:F, "☆☆", E:E, "A1"), 0)))/100, 
   IF(F60="☆☆☆", ((N9 * 100) / (COUNTIFS(F:F, "☆☆☆", E:E, E60) + COUNTIFS(F:F, "☆☆☆", E:E, "A1") + IF(E60="A1", COUNTIFS(F:F, "☆☆☆", E:E, E2), 0) - IF(E60="A1", COUNTIFS(F:F, "☆☆☆", E:E, "A1"), 0)))/100, 
   IF(F60="♛", ((N10 * 100) / (COUNTIFS(F:F, "♛", E:E, E60) + COUNTIFS(F:F, "♛", E:E, "A1") + IF(E60="A1", COUNTIFS(F:F, "♛", E:E, E2), 0) - IF(E60="A1", COUNTIFS(F:F, "♛", E:E, "A1"), 0)))/100, "")))))))
</f>
        <v/>
      </c>
      <c r="J60" s="214"/>
      <c r="K60" s="225" t="s">
        <v>31</v>
      </c>
      <c r="L60" s="158">
        <f>IFERROR(__xludf.DUMMYFUNCTION("SUM(ARRAYFORMULA(IF((A:A = FALSE) * ((E:E = K60) + (E:E = K54)) * REGEXMATCH(SUBSTITUTE(D:D, "" ex"", """"), TEXTJOIN(""|"", TRUE, SPLIT(M48, "" "")))*(COUNTIFS(SUBSTITUTE(D:D, "" ex"", """"), SUBSTITUTE(D:D, "" ex"", """"), A:A, TRUE) = 0), G:G, 0)))"),0.46000000000000013)</f>
        <v>0.46</v>
      </c>
      <c r="M60" s="158">
        <f>IFERROR(__xludf.DUMMYFUNCTION("SUM(ARRAYFORMULA(IF((A:A = FALSE) * ((E:E = K60) + (E:E = K54)) * REGEXMATCH(SUBSTITUTE(D:D, "" ex"", """"), TEXTJOIN(""|"", TRUE, SPLIT(M48, "" "")))*(COUNTIFS(SUBSTITUTE(D:D, "" ex"", """"), SUBSTITUTE(D:D, "" ex"", """"), A:A, TRUE) = 0), H:H, 0)))"),0.4323857142857143)</f>
        <v>0.4323857143</v>
      </c>
      <c r="N60" s="236">
        <f>IFERROR(__xludf.DUMMYFUNCTION("SUM(ARRAYFORMULA(IF((A:A = FALSE) * ((E:E = K60) + (E:E = K54)) * REGEXMATCH(SUBSTITUTE(D:D, "" ex"", """"), TEXTJOIN(""|"", TRUE, SPLIT(M48, "" "")))*(COUNTIFS(SUBSTITUTE(D:D, "" ex"", """"), SUBSTITUTE(D:D, "" ex"", """"), A:A, TRUE) = 0), I:I, 0)))"),0.6152571428571427)</f>
        <v>0.6152571429</v>
      </c>
    </row>
    <row r="61">
      <c r="A61" s="125" t="b">
        <f t="shared" si="1"/>
        <v>0</v>
      </c>
      <c r="B61" s="126">
        <v>0.0</v>
      </c>
      <c r="C61" s="127" t="s">
        <v>219</v>
      </c>
      <c r="D61" s="127" t="s">
        <v>220</v>
      </c>
      <c r="E61" s="128" t="s">
        <v>32</v>
      </c>
      <c r="F61" s="127" t="s">
        <v>46</v>
      </c>
      <c r="G61" s="130" t="str">
        <f>IF(F61="♢", ((L3 * 100) / (COUNTIFS(F:F, "♢", E:E, E61) + COUNTIFS(F:F, "♢", E:E, "A1") + IF(E61="A1", COUNTIFS(F:F, "♢", E:E, E2), 0) - IF(E61="A1", COUNTIFS(F:F, "♢", E:E, "A1"), 0)))/100, "")
</f>
        <v/>
      </c>
      <c r="H61" s="129">
        <f>IF(F61="♢♢", ((M4 * 100) / (COUNTIFS(F:F, "♢♢", E:E, E61) + COUNTIFS(F:F, "♢♢", E:E, "A1") + IF(E61="A1", COUNTIFS(F:F, "♢♢", E:E, E2), 0) - IF(E61="A1", COUNTIFS(F:F, "♢♢", E:E, "A1"), 0)))/100, 
   IF(F61="♢♢♢", ((M5 * 100) / (COUNTIFS(F:F, "♢♢♢", E:E, E61) + COUNTIFS(F:F, "♢♢♢", E:E, "A1") + IF(E61="A1", COUNTIFS(F:F, "♢♢♢", E:E, E2), 0) - IF(E61="A1", COUNTIFS(F:F, "♢♢♢", E:E, "A1"), 0)))/100, 
   IF(F61="♢♢♢♢", ((M6 * 100) / (COUNTIFS(F:F, "♢♢♢♢", E:E, E61) + COUNTIFS(F:F, "♢♢♢♢", E:E, "A1") + IF(E61="A1", COUNTIFS(F:F, "♢♢♢♢", E:E, E2), 0) - IF(E61="A1", COUNTIFS(F:F, "♢♢♢♢", E:E, "A1"), 0)))/100, 
   IF(F61="☆", ((M7 * 100) / (COUNTIFS(F:F, "☆", E:E, E61) + COUNTIFS(F:F, "☆", E:E, "A1") + IF(E61="A1", COUNTIFS(F:F, "☆", E:E, E2), 0) - IF(E61="A1", COUNTIFS(F:F, "☆", E:E, "A1"), 0)))/100, 
   IF(F61="☆☆", ((M8 * 100) / (COUNTIFS(F:F, "☆☆", E:E, E61) + COUNTIFS(F:F, "☆☆", E:E, "A1") + IF(E61="A1", COUNTIFS(F:F, "☆☆", E:E, E2), 0) - IF(E61="A1", COUNTIFS(F:F, "☆☆", E:E, "A1"), 0)))/100, 
   IF(F61="☆☆☆", ((M9 * 100) / (COUNTIFS(F:F, "☆☆☆", E:E, E61) + COUNTIFS(F:F, "☆☆☆", E:E, "A1") + IF(E61="A1", COUNTIFS(F:F, "☆☆☆", E:E, E2), 0) - IF(E61="A1", COUNTIFS(F:F, "☆☆☆", E:E, "A1"), 0)))/100, 
   IF(F61="♛", ((M10 * 100) / (COUNTIFS(F:F, "♛", E:E, E61) + COUNTIFS(F:F, "♛", E:E, "A1") + IF(E61="A1", COUNTIFS(F:F, "♛", E:E, E2), 0) - IF(E61="A1", COUNTIFS(F:F, "♛", E:E, "A1"), 0)))/100, "")))))))
</f>
        <v>0.02571428571</v>
      </c>
      <c r="I61" s="129">
        <f>IF(F61="♢♢", ((N4 * 100) / (COUNTIFS(F:F, "♢♢", E:E, E61) + COUNTIFS(F:F, "♢♢", E:E, "A1") + IF(E61="A1", COUNTIFS(F:F, "♢♢", E:E, E2), 0) - IF(E61="A1", COUNTIFS(F:F, "♢♢", E:E, "A1"), 0)))/100, 
   IF(F61="♢♢♢", ((N5 * 100) / (COUNTIFS(F:F, "♢♢♢", E:E, E61) + COUNTIFS(F:F, "♢♢♢", E:E, "A1") + IF(E61="A1", COUNTIFS(F:F, "♢♢♢", E:E, E2), 0) - IF(E61="A1", COUNTIFS(F:F, "♢♢♢", E:E, "A1"), 0)))/100, 
   IF(F61="♢♢♢♢", ((N6 * 100) / (COUNTIFS(F:F, "♢♢♢♢", E:E, E61) + COUNTIFS(F:F, "♢♢♢♢", E:E, "A1") + IF(E61="A1", COUNTIFS(F:F, "♢♢♢♢", E:E, E2), 0) - IF(E61="A1", COUNTIFS(F:F, "♢♢♢♢", E:E, "A1"), 0)))/100, 
   IF(F61="☆", ((N7 * 100) / (COUNTIFS(F:F, "☆", E:E, E61) + COUNTIFS(F:F, "☆", E:E, "A1") + IF(E61="A1", COUNTIFS(F:F, "☆", E:E, E2), 0) - IF(E61="A1", COUNTIFS(F:F, "☆", E:E, "A1"), 0)))/100, 
   IF(F61="☆☆", ((N8 * 100) / (COUNTIFS(F:F, "☆☆", E:E, E61) + COUNTIFS(F:F, "☆☆", E:E, "A1") + IF(E61="A1", COUNTIFS(F:F, "☆☆", E:E, E2), 0) - IF(E61="A1", COUNTIFS(F:F, "☆☆", E:E, "A1"), 0)))/100, 
   IF(F61="☆☆☆", ((N9 * 100) / (COUNTIFS(F:F, "☆☆☆", E:E, E61) + COUNTIFS(F:F, "☆☆☆", E:E, "A1") + IF(E61="A1", COUNTIFS(F:F, "☆☆☆", E:E, E2), 0) - IF(E61="A1", COUNTIFS(F:F, "☆☆☆", E:E, "A1"), 0)))/100, 
   IF(F61="♛", ((N10 * 100) / (COUNTIFS(F:F, "♛", E:E, E61) + COUNTIFS(F:F, "♛", E:E, "A1") + IF(E61="A1", COUNTIFS(F:F, "♛", E:E, E2), 0) - IF(E61="A1", COUNTIFS(F:F, "♛", E:E, "A1"), 0)))/100, "")))))))
</f>
        <v>0.01714285714</v>
      </c>
      <c r="J61" s="214"/>
      <c r="K61" s="227" t="s">
        <v>32</v>
      </c>
      <c r="L61" s="161">
        <f>IFERROR(__xludf.DUMMYFUNCTION("SUM(ARRAYFORMULA(IF((A:A = FALSE) * ((E:E = K61) + (E:E = K54)) * REGEXMATCH(SUBSTITUTE(D:D, "" ex"", """"), TEXTJOIN(""|"", TRUE, SPLIT(M48, "" "")))*(COUNTIFS(SUBSTITUTE(D:D, "" ex"", """"), SUBSTITUTE(D:D, "" ex"", """"), A:A, TRUE) = 0), G:G, 0)))"),0.34)</f>
        <v>0.34</v>
      </c>
      <c r="M61" s="161">
        <f>IFERROR(__xludf.DUMMYFUNCTION("SUM(ARRAYFORMULA(IF((A:A = FALSE) * ((E:E = K61) + (E:E = K54)) * REGEXMATCH(SUBSTITUTE(D:D, "" ex"", """"), TEXTJOIN(""|"", TRUE, SPLIT(M48, "" "")))*(COUNTIFS(SUBSTITUTE(D:D, "" ex"", """"), SUBSTITUTE(D:D, "" ex"", """"), A:A, TRUE) = 0), H:H, 0)))"),0.3995285714285715)</f>
        <v>0.3995285714</v>
      </c>
      <c r="N61" s="237">
        <f>IFERROR(__xludf.DUMMYFUNCTION("SUM(ARRAYFORMULA(IF((A:A = FALSE) * ((E:E = K61) + (E:E = K54)) * REGEXMATCH(SUBSTITUTE(D:D, "" ex"", """"), TEXTJOIN(""|"", TRUE, SPLIT(M48, "" "")))*(COUNTIFS(SUBSTITUTE(D:D, "" ex"", """"), SUBSTITUTE(D:D, "" ex"", """"), A:A, TRUE) = 0), I:I, 0)))"),0.569542857142857)</f>
        <v>0.5695428571</v>
      </c>
    </row>
    <row r="62">
      <c r="A62" s="125" t="b">
        <f t="shared" si="1"/>
        <v>0</v>
      </c>
      <c r="B62" s="126">
        <v>0.0</v>
      </c>
      <c r="C62" s="127" t="s">
        <v>221</v>
      </c>
      <c r="D62" s="127" t="s">
        <v>222</v>
      </c>
      <c r="E62" s="128" t="s">
        <v>32</v>
      </c>
      <c r="F62" s="127" t="s">
        <v>48</v>
      </c>
      <c r="G62" s="130" t="str">
        <f>IF(F62="♢", ((L3 * 100) / (COUNTIFS(F:F, "♢", E:E, E62) + COUNTIFS(F:F, "♢", E:E, "A1") + IF(E62="A1", COUNTIFS(F:F, "♢", E:E, E2), 0) - IF(E62="A1", COUNTIFS(F:F, "♢", E:E, "A1"), 0)))/100, "")
</f>
        <v/>
      </c>
      <c r="H62" s="129">
        <f>IF(F62="♢♢", ((M4 * 100) / (COUNTIFS(F:F, "♢♢", E:E, E62) + COUNTIFS(F:F, "♢♢", E:E, "A1") + IF(E62="A1", COUNTIFS(F:F, "♢♢", E:E, E2), 0) - IF(E62="A1", COUNTIFS(F:F, "♢♢", E:E, "A1"), 0)))/100, 
   IF(F62="♢♢♢", ((M5 * 100) / (COUNTIFS(F:F, "♢♢♢", E:E, E62) + COUNTIFS(F:F, "♢♢♢", E:E, "A1") + IF(E62="A1", COUNTIFS(F:F, "♢♢♢", E:E, E2), 0) - IF(E62="A1", COUNTIFS(F:F, "♢♢♢", E:E, "A1"), 0)))/100, 
   IF(F62="♢♢♢♢", ((M6 * 100) / (COUNTIFS(F:F, "♢♢♢♢", E:E, E62) + COUNTIFS(F:F, "♢♢♢♢", E:E, "A1") + IF(E62="A1", COUNTIFS(F:F, "♢♢♢♢", E:E, E2), 0) - IF(E62="A1", COUNTIFS(F:F, "♢♢♢♢", E:E, "A1"), 0)))/100, 
   IF(F62="☆", ((M7 * 100) / (COUNTIFS(F:F, "☆", E:E, E62) + COUNTIFS(F:F, "☆", E:E, "A1") + IF(E62="A1", COUNTIFS(F:F, "☆", E:E, E2), 0) - IF(E62="A1", COUNTIFS(F:F, "☆", E:E, "A1"), 0)))/100, 
   IF(F62="☆☆", ((M8 * 100) / (COUNTIFS(F:F, "☆☆", E:E, E62) + COUNTIFS(F:F, "☆☆", E:E, "A1") + IF(E62="A1", COUNTIFS(F:F, "☆☆", E:E, E2), 0) - IF(E62="A1", COUNTIFS(F:F, "☆☆", E:E, "A1"), 0)))/100, 
   IF(F62="☆☆☆", ((M9 * 100) / (COUNTIFS(F:F, "☆☆☆", E:E, E62) + COUNTIFS(F:F, "☆☆☆", E:E, "A1") + IF(E62="A1", COUNTIFS(F:F, "☆☆☆", E:E, E2), 0) - IF(E62="A1", COUNTIFS(F:F, "☆☆☆", E:E, "A1"), 0)))/100, 
   IF(F62="♛", ((M10 * 100) / (COUNTIFS(F:F, "♛", E:E, E62) + COUNTIFS(F:F, "♛", E:E, "A1") + IF(E62="A1", COUNTIFS(F:F, "♛", E:E, E2), 0) - IF(E62="A1", COUNTIFS(F:F, "♛", E:E, "A1"), 0)))/100, "")))))))
</f>
        <v>0.003571428571</v>
      </c>
      <c r="I62" s="129">
        <f>IF(F62="♢♢", ((N4 * 100) / (COUNTIFS(F:F, "♢♢", E:E, E62) + COUNTIFS(F:F, "♢♢", E:E, "A1") + IF(E62="A1", COUNTIFS(F:F, "♢♢", E:E, E2), 0) - IF(E62="A1", COUNTIFS(F:F, "♢♢", E:E, "A1"), 0)))/100, 
   IF(F62="♢♢♢", ((N5 * 100) / (COUNTIFS(F:F, "♢♢♢", E:E, E62) + COUNTIFS(F:F, "♢♢♢", E:E, "A1") + IF(E62="A1", COUNTIFS(F:F, "♢♢♢", E:E, E2), 0) - IF(E62="A1", COUNTIFS(F:F, "♢♢♢", E:E, "A1"), 0)))/100, 
   IF(F62="♢♢♢♢", ((N6 * 100) / (COUNTIFS(F:F, "♢♢♢♢", E:E, E62) + COUNTIFS(F:F, "♢♢♢♢", E:E, "A1") + IF(E62="A1", COUNTIFS(F:F, "♢♢♢♢", E:E, E2), 0) - IF(E62="A1", COUNTIFS(F:F, "♢♢♢♢", E:E, "A1"), 0)))/100, 
   IF(F62="☆", ((N7 * 100) / (COUNTIFS(F:F, "☆", E:E, E62) + COUNTIFS(F:F, "☆", E:E, "A1") + IF(E62="A1", COUNTIFS(F:F, "☆", E:E, E2), 0) - IF(E62="A1", COUNTIFS(F:F, "☆", E:E, "A1"), 0)))/100, 
   IF(F62="☆☆", ((N8 * 100) / (COUNTIFS(F:F, "☆☆", E:E, E62) + COUNTIFS(F:F, "☆☆", E:E, "A1") + IF(E62="A1", COUNTIFS(F:F, "☆☆", E:E, E2), 0) - IF(E62="A1", COUNTIFS(F:F, "☆☆", E:E, "A1"), 0)))/100, 
   IF(F62="☆☆☆", ((N9 * 100) / (COUNTIFS(F:F, "☆☆☆", E:E, E62) + COUNTIFS(F:F, "☆☆☆", E:E, "A1") + IF(E62="A1", COUNTIFS(F:F, "☆☆☆", E:E, E2), 0) - IF(E62="A1", COUNTIFS(F:F, "☆☆☆", E:E, "A1"), 0)))/100, 
   IF(F62="♛", ((N10 * 100) / (COUNTIFS(F:F, "♛", E:E, E62) + COUNTIFS(F:F, "♛", E:E, "A1") + IF(E62="A1", COUNTIFS(F:F, "♛", E:E, E2), 0) - IF(E62="A1", COUNTIFS(F:F, "♛", E:E, "A1"), 0)))/100, "")))))))
</f>
        <v>0.01428571429</v>
      </c>
      <c r="J62" s="214"/>
      <c r="K62" s="238" t="s">
        <v>167</v>
      </c>
      <c r="L62" s="239" t="str">
        <f>IF(L59 = MAX(L59:L61), K59, IF(L60 = MAX(L59:L61), K60, K61))</f>
        <v>A1-Pikachu</v>
      </c>
      <c r="M62" s="239" t="str">
        <f>IF(M59 = MAX(M59:M61), K59, IF(M60 = MAX(M59:M61), K60, K61))</f>
        <v>A1-Pikachu</v>
      </c>
      <c r="N62" s="240" t="str">
        <f>IF(N59 = MAX(N59:N61), K59, IF(N60 = MAX(N59:N61), K60, K61))</f>
        <v>A1-Pikachu</v>
      </c>
    </row>
    <row r="63">
      <c r="A63" s="125" t="b">
        <f t="shared" si="1"/>
        <v>0</v>
      </c>
      <c r="B63" s="126">
        <v>0.0</v>
      </c>
      <c r="C63" s="127" t="s">
        <v>223</v>
      </c>
      <c r="D63" s="127" t="s">
        <v>224</v>
      </c>
      <c r="E63" s="128" t="s">
        <v>29</v>
      </c>
      <c r="F63" s="127" t="s">
        <v>44</v>
      </c>
      <c r="G63" s="129">
        <f>IF(F63="♢", ((L3 * 100) / (COUNTIFS(F:F, "♢", E:E, E63) + COUNTIFS(F:F, "♢", E:E, "A1") + IF(E63="A1", COUNTIFS(F:F, "♢", E:E, E2), 0) - IF(E63="A1", COUNTIFS(F:F, "♢", E:E, "A1"), 0)))/100, "")
</f>
        <v>0.02</v>
      </c>
      <c r="H63" s="130" t="str">
        <f>IF(F63="♢♢", ((M4 * 100) / (COUNTIFS(F:F, "♢♢", E:E, E63) + COUNTIFS(F:F, "♢♢", E:E, "A1") + IF(E63="A1", COUNTIFS(F:F, "♢♢", E:E, E2), 0) - IF(E63="A1", COUNTIFS(F:F, "♢♢", E:E, "A1"), 0)))/100, 
   IF(F63="♢♢♢", ((M5 * 100) / (COUNTIFS(F:F, "♢♢♢", E:E, E63) + COUNTIFS(F:F, "♢♢♢", E:E, "A1") + IF(E63="A1", COUNTIFS(F:F, "♢♢♢", E:E, E2), 0) - IF(E63="A1", COUNTIFS(F:F, "♢♢♢", E:E, "A1"), 0)))/100, 
   IF(F63="♢♢♢♢", ((M6 * 100) / (COUNTIFS(F:F, "♢♢♢♢", E:E, E63) + COUNTIFS(F:F, "♢♢♢♢", E:E, "A1") + IF(E63="A1", COUNTIFS(F:F, "♢♢♢♢", E:E, E2), 0) - IF(E63="A1", COUNTIFS(F:F, "♢♢♢♢", E:E, "A1"), 0)))/100, 
   IF(F63="☆", ((M7 * 100) / (COUNTIFS(F:F, "☆", E:E, E63) + COUNTIFS(F:F, "☆", E:E, "A1") + IF(E63="A1", COUNTIFS(F:F, "☆", E:E, E2), 0) - IF(E63="A1", COUNTIFS(F:F, "☆", E:E, "A1"), 0)))/100, 
   IF(F63="☆☆", ((M8 * 100) / (COUNTIFS(F:F, "☆☆", E:E, E63) + COUNTIFS(F:F, "☆☆", E:E, "A1") + IF(E63="A1", COUNTIFS(F:F, "☆☆", E:E, E2), 0) - IF(E63="A1", COUNTIFS(F:F, "☆☆", E:E, "A1"), 0)))/100, 
   IF(F63="☆☆☆", ((M9 * 100) / (COUNTIFS(F:F, "☆☆☆", E:E, E63) + COUNTIFS(F:F, "☆☆☆", E:E, "A1") + IF(E63="A1", COUNTIFS(F:F, "☆☆☆", E:E, E2), 0) - IF(E63="A1", COUNTIFS(F:F, "☆☆☆", E:E, "A1"), 0)))/100, 
   IF(F63="♛", ((M10 * 100) / (COUNTIFS(F:F, "♛", E:E, E63) + COUNTIFS(F:F, "♛", E:E, "A1") + IF(E63="A1", COUNTIFS(F:F, "♛", E:E, E2), 0) - IF(E63="A1", COUNTIFS(F:F, "♛", E:E, "A1"), 0)))/100, "")))))))
</f>
        <v/>
      </c>
      <c r="I63" s="130" t="str">
        <f>IF(F63="♢♢", ((N4 * 100) / (COUNTIFS(F:F, "♢♢", E:E, E63) + COUNTIFS(F:F, "♢♢", E:E, "A1") + IF(E63="A1", COUNTIFS(F:F, "♢♢", E:E, E2), 0) - IF(E63="A1", COUNTIFS(F:F, "♢♢", E:E, "A1"), 0)))/100, 
   IF(F63="♢♢♢", ((N5 * 100) / (COUNTIFS(F:F, "♢♢♢", E:E, E63) + COUNTIFS(F:F, "♢♢♢", E:E, "A1") + IF(E63="A1", COUNTIFS(F:F, "♢♢♢", E:E, E2), 0) - IF(E63="A1", COUNTIFS(F:F, "♢♢♢", E:E, "A1"), 0)))/100, 
   IF(F63="♢♢♢♢", ((N6 * 100) / (COUNTIFS(F:F, "♢♢♢♢", E:E, E63) + COUNTIFS(F:F, "♢♢♢♢", E:E, "A1") + IF(E63="A1", COUNTIFS(F:F, "♢♢♢♢", E:E, E2), 0) - IF(E63="A1", COUNTIFS(F:F, "♢♢♢♢", E:E, "A1"), 0)))/100, 
   IF(F63="☆", ((N7 * 100) / (COUNTIFS(F:F, "☆", E:E, E63) + COUNTIFS(F:F, "☆", E:E, "A1") + IF(E63="A1", COUNTIFS(F:F, "☆", E:E, E2), 0) - IF(E63="A1", COUNTIFS(F:F, "☆", E:E, "A1"), 0)))/100, 
   IF(F63="☆☆", ((N8 * 100) / (COUNTIFS(F:F, "☆☆", E:E, E63) + COUNTIFS(F:F, "☆☆", E:E, "A1") + IF(E63="A1", COUNTIFS(F:F, "☆☆", E:E, E2), 0) - IF(E63="A1", COUNTIFS(F:F, "☆☆", E:E, "A1"), 0)))/100, 
   IF(F63="☆☆☆", ((N9 * 100) / (COUNTIFS(F:F, "☆☆☆", E:E, E63) + COUNTIFS(F:F, "☆☆☆", E:E, "A1") + IF(E63="A1", COUNTIFS(F:F, "☆☆☆", E:E, E2), 0) - IF(E63="A1", COUNTIFS(F:F, "☆☆☆", E:E, "A1"), 0)))/100, 
   IF(F63="♛", ((N10 * 100) / (COUNTIFS(F:F, "♛", E:E, E63) + COUNTIFS(F:F, "♛", E:E, "A1") + IF(E63="A1", COUNTIFS(F:F, "♛", E:E, E2), 0) - IF(E63="A1", COUNTIFS(F:F, "♛", E:E, "A1"), 0)))/100, "")))))))
</f>
        <v/>
      </c>
      <c r="J63" s="214"/>
      <c r="K63" s="10"/>
      <c r="L63" s="10"/>
      <c r="M63" s="10"/>
      <c r="N63" s="230"/>
    </row>
    <row r="64">
      <c r="A64" s="125" t="b">
        <f t="shared" si="1"/>
        <v>0</v>
      </c>
      <c r="B64" s="126">
        <v>0.0</v>
      </c>
      <c r="C64" s="127" t="s">
        <v>225</v>
      </c>
      <c r="D64" s="127" t="s">
        <v>226</v>
      </c>
      <c r="E64" s="128" t="s">
        <v>29</v>
      </c>
      <c r="F64" s="127" t="s">
        <v>46</v>
      </c>
      <c r="G64" s="130" t="str">
        <f>IF(F64="♢", ((L3 * 100) / (COUNTIFS(F:F, "♢", E:E, E64) + COUNTIFS(F:F, "♢", E:E, "A1") + IF(E64="A1", COUNTIFS(F:F, "♢", E:E, E2), 0) - IF(E64="A1", COUNTIFS(F:F, "♢", E:E, "A1"), 0)))/100, "")
</f>
        <v/>
      </c>
      <c r="H64" s="129">
        <f>IF(F64="♢♢", ((M4 * 100) / (COUNTIFS(F:F, "♢♢", E:E, E64) + COUNTIFS(F:F, "♢♢", E:E, "A1") + IF(E64="A1", COUNTIFS(F:F, "♢♢", E:E, E2), 0) - IF(E64="A1", COUNTIFS(F:F, "♢♢", E:E, "A1"), 0)))/100, 
   IF(F64="♢♢♢", ((M5 * 100) / (COUNTIFS(F:F, "♢♢♢", E:E, E64) + COUNTIFS(F:F, "♢♢♢", E:E, "A1") + IF(E64="A1", COUNTIFS(F:F, "♢♢♢", E:E, E2), 0) - IF(E64="A1", COUNTIFS(F:F, "♢♢♢", E:E, "A1"), 0)))/100, 
   IF(F64="♢♢♢♢", ((M6 * 100) / (COUNTIFS(F:F, "♢♢♢♢", E:E, E64) + COUNTIFS(F:F, "♢♢♢♢", E:E, "A1") + IF(E64="A1", COUNTIFS(F:F, "♢♢♢♢", E:E, E2), 0) - IF(E64="A1", COUNTIFS(F:F, "♢♢♢♢", E:E, "A1"), 0)))/100, 
   IF(F64="☆", ((M7 * 100) / (COUNTIFS(F:F, "☆", E:E, E64) + COUNTIFS(F:F, "☆", E:E, "A1") + IF(E64="A1", COUNTIFS(F:F, "☆", E:E, E2), 0) - IF(E64="A1", COUNTIFS(F:F, "☆", E:E, "A1"), 0)))/100, 
   IF(F64="☆☆", ((M8 * 100) / (COUNTIFS(F:F, "☆☆", E:E, E64) + COUNTIFS(F:F, "☆☆", E:E, "A1") + IF(E64="A1", COUNTIFS(F:F, "☆☆", E:E, E2), 0) - IF(E64="A1", COUNTIFS(F:F, "☆☆", E:E, "A1"), 0)))/100, 
   IF(F64="☆☆☆", ((M9 * 100) / (COUNTIFS(F:F, "☆☆☆", E:E, E64) + COUNTIFS(F:F, "☆☆☆", E:E, "A1") + IF(E64="A1", COUNTIFS(F:F, "☆☆☆", E:E, E2), 0) - IF(E64="A1", COUNTIFS(F:F, "☆☆☆", E:E, "A1"), 0)))/100, 
   IF(F64="♛", ((M10 * 100) / (COUNTIFS(F:F, "♛", E:E, E64) + COUNTIFS(F:F, "♛", E:E, "A1") + IF(E64="A1", COUNTIFS(F:F, "♛", E:E, E2), 0) - IF(E64="A1", COUNTIFS(F:F, "♛", E:E, "A1"), 0)))/100, "")))))))
</f>
        <v>0.02571428571</v>
      </c>
      <c r="I64" s="129">
        <f>IF(F64="♢♢", ((N4 * 100) / (COUNTIFS(F:F, "♢♢", E:E, E64) + COUNTIFS(F:F, "♢♢", E:E, "A1") + IF(E64="A1", COUNTIFS(F:F, "♢♢", E:E, E2), 0) - IF(E64="A1", COUNTIFS(F:F, "♢♢", E:E, "A1"), 0)))/100, 
   IF(F64="♢♢♢", ((N5 * 100) / (COUNTIFS(F:F, "♢♢♢", E:E, E64) + COUNTIFS(F:F, "♢♢♢", E:E, "A1") + IF(E64="A1", COUNTIFS(F:F, "♢♢♢", E:E, E2), 0) - IF(E64="A1", COUNTIFS(F:F, "♢♢♢", E:E, "A1"), 0)))/100, 
   IF(F64="♢♢♢♢", ((N6 * 100) / (COUNTIFS(F:F, "♢♢♢♢", E:E, E64) + COUNTIFS(F:F, "♢♢♢♢", E:E, "A1") + IF(E64="A1", COUNTIFS(F:F, "♢♢♢♢", E:E, E2), 0) - IF(E64="A1", COUNTIFS(F:F, "♢♢♢♢", E:E, "A1"), 0)))/100, 
   IF(F64="☆", ((N7 * 100) / (COUNTIFS(F:F, "☆", E:E, E64) + COUNTIFS(F:F, "☆", E:E, "A1") + IF(E64="A1", COUNTIFS(F:F, "☆", E:E, E2), 0) - IF(E64="A1", COUNTIFS(F:F, "☆", E:E, "A1"), 0)))/100, 
   IF(F64="☆☆", ((N8 * 100) / (COUNTIFS(F:F, "☆☆", E:E, E64) + COUNTIFS(F:F, "☆☆", E:E, "A1") + IF(E64="A1", COUNTIFS(F:F, "☆☆", E:E, E2), 0) - IF(E64="A1", COUNTIFS(F:F, "☆☆", E:E, "A1"), 0)))/100, 
   IF(F64="☆☆☆", ((N9 * 100) / (COUNTIFS(F:F, "☆☆☆", E:E, E64) + COUNTIFS(F:F, "☆☆☆", E:E, "A1") + IF(E64="A1", COUNTIFS(F:F, "☆☆☆", E:E, E2), 0) - IF(E64="A1", COUNTIFS(F:F, "☆☆☆", E:E, "A1"), 0)))/100, 
   IF(F64="♛", ((N10 * 100) / (COUNTIFS(F:F, "♛", E:E, E64) + COUNTIFS(F:F, "♛", E:E, "A1") + IF(E64="A1", COUNTIFS(F:F, "♛", E:E, E2), 0) - IF(E64="A1", COUNTIFS(F:F, "♛", E:E, "A1"), 0)))/100, "")))))))
</f>
        <v>0.01714285714</v>
      </c>
      <c r="J64" s="214"/>
      <c r="K64" s="231" t="s">
        <v>227</v>
      </c>
      <c r="N64" s="216"/>
      <c r="O64" s="124" t="s">
        <v>228</v>
      </c>
    </row>
    <row r="65">
      <c r="A65" s="125" t="b">
        <f t="shared" si="1"/>
        <v>0</v>
      </c>
      <c r="B65" s="126">
        <v>0.0</v>
      </c>
      <c r="C65" s="127" t="s">
        <v>229</v>
      </c>
      <c r="D65" s="127" t="s">
        <v>230</v>
      </c>
      <c r="E65" s="128" t="s">
        <v>31</v>
      </c>
      <c r="F65" s="127" t="s">
        <v>44</v>
      </c>
      <c r="G65" s="129">
        <f>IF(F65="♢", ((L3 * 100) / (COUNTIFS(F:F, "♢", E:E, E65) + COUNTIFS(F:F, "♢", E:E, "A1") + IF(E65="A1", COUNTIFS(F:F, "♢", E:E, E2), 0) - IF(E65="A1", COUNTIFS(F:F, "♢", E:E, "A1"), 0)))/100, "")
</f>
        <v>0.02</v>
      </c>
      <c r="H65" s="130" t="str">
        <f>IF(F65="♢♢", ((M4 * 100) / (COUNTIFS(F:F, "♢♢", E:E, E65) + COUNTIFS(F:F, "♢♢", E:E, "A1") + IF(E65="A1", COUNTIFS(F:F, "♢♢", E:E, E2), 0) - IF(E65="A1", COUNTIFS(F:F, "♢♢", E:E, "A1"), 0)))/100, 
   IF(F65="♢♢♢", ((M5 * 100) / (COUNTIFS(F:F, "♢♢♢", E:E, E65) + COUNTIFS(F:F, "♢♢♢", E:E, "A1") + IF(E65="A1", COUNTIFS(F:F, "♢♢♢", E:E, E2), 0) - IF(E65="A1", COUNTIFS(F:F, "♢♢♢", E:E, "A1"), 0)))/100, 
   IF(F65="♢♢♢♢", ((M6 * 100) / (COUNTIFS(F:F, "♢♢♢♢", E:E, E65) + COUNTIFS(F:F, "♢♢♢♢", E:E, "A1") + IF(E65="A1", COUNTIFS(F:F, "♢♢♢♢", E:E, E2), 0) - IF(E65="A1", COUNTIFS(F:F, "♢♢♢♢", E:E, "A1"), 0)))/100, 
   IF(F65="☆", ((M7 * 100) / (COUNTIFS(F:F, "☆", E:E, E65) + COUNTIFS(F:F, "☆", E:E, "A1") + IF(E65="A1", COUNTIFS(F:F, "☆", E:E, E2), 0) - IF(E65="A1", COUNTIFS(F:F, "☆", E:E, "A1"), 0)))/100, 
   IF(F65="☆☆", ((M8 * 100) / (COUNTIFS(F:F, "☆☆", E:E, E65) + COUNTIFS(F:F, "☆☆", E:E, "A1") + IF(E65="A1", COUNTIFS(F:F, "☆☆", E:E, E2), 0) - IF(E65="A1", COUNTIFS(F:F, "☆☆", E:E, "A1"), 0)))/100, 
   IF(F65="☆☆☆", ((M9 * 100) / (COUNTIFS(F:F, "☆☆☆", E:E, E65) + COUNTIFS(F:F, "☆☆☆", E:E, "A1") + IF(E65="A1", COUNTIFS(F:F, "☆☆☆", E:E, E2), 0) - IF(E65="A1", COUNTIFS(F:F, "☆☆☆", E:E, "A1"), 0)))/100, 
   IF(F65="♛", ((M10 * 100) / (COUNTIFS(F:F, "♛", E:E, E65) + COUNTIFS(F:F, "♛", E:E, "A1") + IF(E65="A1", COUNTIFS(F:F, "♛", E:E, E2), 0) - IF(E65="A1", COUNTIFS(F:F, "♛", E:E, "A1"), 0)))/100, "")))))))
</f>
        <v/>
      </c>
      <c r="I65" s="130" t="str">
        <f>IF(F65="♢♢", ((N4 * 100) / (COUNTIFS(F:F, "♢♢", E:E, E65) + COUNTIFS(F:F, "♢♢", E:E, "A1") + IF(E65="A1", COUNTIFS(F:F, "♢♢", E:E, E2), 0) - IF(E65="A1", COUNTIFS(F:F, "♢♢", E:E, "A1"), 0)))/100, 
   IF(F65="♢♢♢", ((N5 * 100) / (COUNTIFS(F:F, "♢♢♢", E:E, E65) + COUNTIFS(F:F, "♢♢♢", E:E, "A1") + IF(E65="A1", COUNTIFS(F:F, "♢♢♢", E:E, E2), 0) - IF(E65="A1", COUNTIFS(F:F, "♢♢♢", E:E, "A1"), 0)))/100, 
   IF(F65="♢♢♢♢", ((N6 * 100) / (COUNTIFS(F:F, "♢♢♢♢", E:E, E65) + COUNTIFS(F:F, "♢♢♢♢", E:E, "A1") + IF(E65="A1", COUNTIFS(F:F, "♢♢♢♢", E:E, E2), 0) - IF(E65="A1", COUNTIFS(F:F, "♢♢♢♢", E:E, "A1"), 0)))/100, 
   IF(F65="☆", ((N7 * 100) / (COUNTIFS(F:F, "☆", E:E, E65) + COUNTIFS(F:F, "☆", E:E, "A1") + IF(E65="A1", COUNTIFS(F:F, "☆", E:E, E2), 0) - IF(E65="A1", COUNTIFS(F:F, "☆", E:E, "A1"), 0)))/100, 
   IF(F65="☆☆", ((N8 * 100) / (COUNTIFS(F:F, "☆☆", E:E, E65) + COUNTIFS(F:F, "☆☆", E:E, "A1") + IF(E65="A1", COUNTIFS(F:F, "☆☆", E:E, E2), 0) - IF(E65="A1", COUNTIFS(F:F, "☆☆", E:E, "A1"), 0)))/100, 
   IF(F65="☆☆☆", ((N9 * 100) / (COUNTIFS(F:F, "☆☆☆", E:E, E65) + COUNTIFS(F:F, "☆☆☆", E:E, "A1") + IF(E65="A1", COUNTIFS(F:F, "☆☆☆", E:E, E2), 0) - IF(E65="A1", COUNTIFS(F:F, "☆☆☆", E:E, "A1"), 0)))/100, 
   IF(F65="♛", ((N10 * 100) / (COUNTIFS(F:F, "♛", E:E, E65) + COUNTIFS(F:F, "♛", E:E, "A1") + IF(E65="A1", COUNTIFS(F:F, "♛", E:E, E2), 0) - IF(E65="A1", COUNTIFS(F:F, "♛", E:E, "A1"), 0)))/100, "")))))))
</f>
        <v/>
      </c>
      <c r="J65" s="214"/>
      <c r="K65" s="223" t="s">
        <v>29</v>
      </c>
      <c r="L65" s="208">
        <f t="shared" ref="L65:L67" si="6">1-((1-L59)^3*(1-M59)*(1-N59))</f>
        <v>0.9489157531</v>
      </c>
      <c r="M65" s="241" t="s">
        <v>231</v>
      </c>
      <c r="N65" s="216"/>
    </row>
    <row r="66">
      <c r="A66" s="125" t="b">
        <f t="shared" si="1"/>
        <v>0</v>
      </c>
      <c r="B66" s="126">
        <v>0.0</v>
      </c>
      <c r="C66" s="127" t="s">
        <v>232</v>
      </c>
      <c r="D66" s="127" t="s">
        <v>233</v>
      </c>
      <c r="E66" s="128" t="s">
        <v>31</v>
      </c>
      <c r="F66" s="127" t="s">
        <v>46</v>
      </c>
      <c r="G66" s="130" t="str">
        <f>IF(F66="♢", ((L3 * 100) / (COUNTIFS(F:F, "♢", E:E, E66) + COUNTIFS(F:F, "♢", E:E, "A1") + IF(E66="A1", COUNTIFS(F:F, "♢", E:E, E2), 0) - IF(E66="A1", COUNTIFS(F:F, "♢", E:E, "A1"), 0)))/100, "")
</f>
        <v/>
      </c>
      <c r="H66" s="129">
        <f>IF(F66="♢♢", ((M4 * 100) / (COUNTIFS(F:F, "♢♢", E:E, E66) + COUNTIFS(F:F, "♢♢", E:E, "A1") + IF(E66="A1", COUNTIFS(F:F, "♢♢", E:E, E2), 0) - IF(E66="A1", COUNTIFS(F:F, "♢♢", E:E, "A1"), 0)))/100, 
   IF(F66="♢♢♢", ((M5 * 100) / (COUNTIFS(F:F, "♢♢♢", E:E, E66) + COUNTIFS(F:F, "♢♢♢", E:E, "A1") + IF(E66="A1", COUNTIFS(F:F, "♢♢♢", E:E, E2), 0) - IF(E66="A1", COUNTIFS(F:F, "♢♢♢", E:E, "A1"), 0)))/100, 
   IF(F66="♢♢♢♢", ((M6 * 100) / (COUNTIFS(F:F, "♢♢♢♢", E:E, E66) + COUNTIFS(F:F, "♢♢♢♢", E:E, "A1") + IF(E66="A1", COUNTIFS(F:F, "♢♢♢♢", E:E, E2), 0) - IF(E66="A1", COUNTIFS(F:F, "♢♢♢♢", E:E, "A1"), 0)))/100, 
   IF(F66="☆", ((M7 * 100) / (COUNTIFS(F:F, "☆", E:E, E66) + COUNTIFS(F:F, "☆", E:E, "A1") + IF(E66="A1", COUNTIFS(F:F, "☆", E:E, E2), 0) - IF(E66="A1", COUNTIFS(F:F, "☆", E:E, "A1"), 0)))/100, 
   IF(F66="☆☆", ((M8 * 100) / (COUNTIFS(F:F, "☆☆", E:E, E66) + COUNTIFS(F:F, "☆☆", E:E, "A1") + IF(E66="A1", COUNTIFS(F:F, "☆☆", E:E, E2), 0) - IF(E66="A1", COUNTIFS(F:F, "☆☆", E:E, "A1"), 0)))/100, 
   IF(F66="☆☆☆", ((M9 * 100) / (COUNTIFS(F:F, "☆☆☆", E:E, E66) + COUNTIFS(F:F, "☆☆☆", E:E, "A1") + IF(E66="A1", COUNTIFS(F:F, "☆☆☆", E:E, E2), 0) - IF(E66="A1", COUNTIFS(F:F, "☆☆☆", E:E, "A1"), 0)))/100, 
   IF(F66="♛", ((M10 * 100) / (COUNTIFS(F:F, "♛", E:E, E66) + COUNTIFS(F:F, "♛", E:E, "A1") + IF(E66="A1", COUNTIFS(F:F, "♛", E:E, E2), 0) - IF(E66="A1", COUNTIFS(F:F, "♛", E:E, "A1"), 0)))/100, "")))))))
</f>
        <v>0.02571428571</v>
      </c>
      <c r="I66" s="129">
        <f>IF(F66="♢♢", ((N4 * 100) / (COUNTIFS(F:F, "♢♢", E:E, E66) + COUNTIFS(F:F, "♢♢", E:E, "A1") + IF(E66="A1", COUNTIFS(F:F, "♢♢", E:E, E2), 0) - IF(E66="A1", COUNTIFS(F:F, "♢♢", E:E, "A1"), 0)))/100, 
   IF(F66="♢♢♢", ((N5 * 100) / (COUNTIFS(F:F, "♢♢♢", E:E, E66) + COUNTIFS(F:F, "♢♢♢", E:E, "A1") + IF(E66="A1", COUNTIFS(F:F, "♢♢♢", E:E, E2), 0) - IF(E66="A1", COUNTIFS(F:F, "♢♢♢", E:E, "A1"), 0)))/100, 
   IF(F66="♢♢♢♢", ((N6 * 100) / (COUNTIFS(F:F, "♢♢♢♢", E:E, E66) + COUNTIFS(F:F, "♢♢♢♢", E:E, "A1") + IF(E66="A1", COUNTIFS(F:F, "♢♢♢♢", E:E, E2), 0) - IF(E66="A1", COUNTIFS(F:F, "♢♢♢♢", E:E, "A1"), 0)))/100, 
   IF(F66="☆", ((N7 * 100) / (COUNTIFS(F:F, "☆", E:E, E66) + COUNTIFS(F:F, "☆", E:E, "A1") + IF(E66="A1", COUNTIFS(F:F, "☆", E:E, E2), 0) - IF(E66="A1", COUNTIFS(F:F, "☆", E:E, "A1"), 0)))/100, 
   IF(F66="☆☆", ((N8 * 100) / (COUNTIFS(F:F, "☆☆", E:E, E66) + COUNTIFS(F:F, "☆☆", E:E, "A1") + IF(E66="A1", COUNTIFS(F:F, "☆☆", E:E, E2), 0) - IF(E66="A1", COUNTIFS(F:F, "☆☆", E:E, "A1"), 0)))/100, 
   IF(F66="☆☆☆", ((N9 * 100) / (COUNTIFS(F:F, "☆☆☆", E:E, E66) + COUNTIFS(F:F, "☆☆☆", E:E, "A1") + IF(E66="A1", COUNTIFS(F:F, "☆☆☆", E:E, E2), 0) - IF(E66="A1", COUNTIFS(F:F, "☆☆☆", E:E, "A1"), 0)))/100, 
   IF(F66="♛", ((N10 * 100) / (COUNTIFS(F:F, "♛", E:E, E66) + COUNTIFS(F:F, "♛", E:E, "A1") + IF(E66="A1", COUNTIFS(F:F, "♛", E:E, E2), 0) - IF(E66="A1", COUNTIFS(F:F, "♛", E:E, "A1"), 0)))/100, "")))))))
</f>
        <v>0.01714285714</v>
      </c>
      <c r="J66" s="214"/>
      <c r="K66" s="225" t="s">
        <v>31</v>
      </c>
      <c r="L66" s="210">
        <f t="shared" si="6"/>
        <v>0.965612139</v>
      </c>
      <c r="M66" s="164" t="str">
        <f>IF(L65 = MAX(L65:L67), K65, IF(L66 = MAX(L65:L67), K66, K67))</f>
        <v>A1-Pikachu</v>
      </c>
      <c r="N66" s="216"/>
    </row>
    <row r="67">
      <c r="A67" s="125" t="b">
        <f t="shared" si="1"/>
        <v>0</v>
      </c>
      <c r="B67" s="126">
        <v>0.0</v>
      </c>
      <c r="C67" s="127" t="s">
        <v>234</v>
      </c>
      <c r="D67" s="128" t="s">
        <v>235</v>
      </c>
      <c r="E67" s="128" t="s">
        <v>29</v>
      </c>
      <c r="F67" s="127" t="s">
        <v>44</v>
      </c>
      <c r="G67" s="129">
        <f>IF(F67="♢", ((L3 * 100) / (COUNTIFS(F:F, "♢", E:E, E67) + COUNTIFS(F:F, "♢", E:E, "A1") + IF(E67="A1", COUNTIFS(F:F, "♢", E:E, E2), 0) - IF(E67="A1", COUNTIFS(F:F, "♢", E:E, "A1"), 0)))/100, "")
</f>
        <v>0.02</v>
      </c>
      <c r="H67" s="130" t="str">
        <f>IF(F67="♢♢", ((M4 * 100) / (COUNTIFS(F:F, "♢♢", E:E, E67) + COUNTIFS(F:F, "♢♢", E:E, "A1") + IF(E67="A1", COUNTIFS(F:F, "♢♢", E:E, E2), 0) - IF(E67="A1", COUNTIFS(F:F, "♢♢", E:E, "A1"), 0)))/100, 
   IF(F67="♢♢♢", ((M5 * 100) / (COUNTIFS(F:F, "♢♢♢", E:E, E67) + COUNTIFS(F:F, "♢♢♢", E:E, "A1") + IF(E67="A1", COUNTIFS(F:F, "♢♢♢", E:E, E2), 0) - IF(E67="A1", COUNTIFS(F:F, "♢♢♢", E:E, "A1"), 0)))/100, 
   IF(F67="♢♢♢♢", ((M6 * 100) / (COUNTIFS(F:F, "♢♢♢♢", E:E, E67) + COUNTIFS(F:F, "♢♢♢♢", E:E, "A1") + IF(E67="A1", COUNTIFS(F:F, "♢♢♢♢", E:E, E2), 0) - IF(E67="A1", COUNTIFS(F:F, "♢♢♢♢", E:E, "A1"), 0)))/100, 
   IF(F67="☆", ((M7 * 100) / (COUNTIFS(F:F, "☆", E:E, E67) + COUNTIFS(F:F, "☆", E:E, "A1") + IF(E67="A1", COUNTIFS(F:F, "☆", E:E, E2), 0) - IF(E67="A1", COUNTIFS(F:F, "☆", E:E, "A1"), 0)))/100, 
   IF(F67="☆☆", ((M8 * 100) / (COUNTIFS(F:F, "☆☆", E:E, E67) + COUNTIFS(F:F, "☆☆", E:E, "A1") + IF(E67="A1", COUNTIFS(F:F, "☆☆", E:E, E2), 0) - IF(E67="A1", COUNTIFS(F:F, "☆☆", E:E, "A1"), 0)))/100, 
   IF(F67="☆☆☆", ((M9 * 100) / (COUNTIFS(F:F, "☆☆☆", E:E, E67) + COUNTIFS(F:F, "☆☆☆", E:E, "A1") + IF(E67="A1", COUNTIFS(F:F, "☆☆☆", E:E, E2), 0) - IF(E67="A1", COUNTIFS(F:F, "☆☆☆", E:E, "A1"), 0)))/100, 
   IF(F67="♛", ((M10 * 100) / (COUNTIFS(F:F, "♛", E:E, E67) + COUNTIFS(F:F, "♛", E:E, "A1") + IF(E67="A1", COUNTIFS(F:F, "♛", E:E, E2), 0) - IF(E67="A1", COUNTIFS(F:F, "♛", E:E, "A1"), 0)))/100, "")))))))
</f>
        <v/>
      </c>
      <c r="I67" s="130" t="str">
        <f>IF(F67="♢♢", ((N4 * 100) / (COUNTIFS(F:F, "♢♢", E:E, E67) + COUNTIFS(F:F, "♢♢", E:E, "A1") + IF(E67="A1", COUNTIFS(F:F, "♢♢", E:E, E2), 0) - IF(E67="A1", COUNTIFS(F:F, "♢♢", E:E, "A1"), 0)))/100, 
   IF(F67="♢♢♢", ((N5 * 100) / (COUNTIFS(F:F, "♢♢♢", E:E, E67) + COUNTIFS(F:F, "♢♢♢", E:E, "A1") + IF(E67="A1", COUNTIFS(F:F, "♢♢♢", E:E, E2), 0) - IF(E67="A1", COUNTIFS(F:F, "♢♢♢", E:E, "A1"), 0)))/100, 
   IF(F67="♢♢♢♢", ((N6 * 100) / (COUNTIFS(F:F, "♢♢♢♢", E:E, E67) + COUNTIFS(F:F, "♢♢♢♢", E:E, "A1") + IF(E67="A1", COUNTIFS(F:F, "♢♢♢♢", E:E, E2), 0) - IF(E67="A1", COUNTIFS(F:F, "♢♢♢♢", E:E, "A1"), 0)))/100, 
   IF(F67="☆", ((N7 * 100) / (COUNTIFS(F:F, "☆", E:E, E67) + COUNTIFS(F:F, "☆", E:E, "A1") + IF(E67="A1", COUNTIFS(F:F, "☆", E:E, E2), 0) - IF(E67="A1", COUNTIFS(F:F, "☆", E:E, "A1"), 0)))/100, 
   IF(F67="☆☆", ((N8 * 100) / (COUNTIFS(F:F, "☆☆", E:E, E67) + COUNTIFS(F:F, "☆☆", E:E, "A1") + IF(E67="A1", COUNTIFS(F:F, "☆☆", E:E, E2), 0) - IF(E67="A1", COUNTIFS(F:F, "☆☆", E:E, "A1"), 0)))/100, 
   IF(F67="☆☆☆", ((N9 * 100) / (COUNTIFS(F:F, "☆☆☆", E:E, E67) + COUNTIFS(F:F, "☆☆☆", E:E, "A1") + IF(E67="A1", COUNTIFS(F:F, "☆☆☆", E:E, E2), 0) - IF(E67="A1", COUNTIFS(F:F, "☆☆☆", E:E, "A1"), 0)))/100, 
   IF(F67="♛", ((N10 * 100) / (COUNTIFS(F:F, "♛", E:E, E67) + COUNTIFS(F:F, "♛", E:E, "A1") + IF(E67="A1", COUNTIFS(F:F, "♛", E:E, E2), 0) - IF(E67="A1", COUNTIFS(F:F, "♛", E:E, "A1"), 0)))/100, "")))))))
</f>
        <v/>
      </c>
      <c r="J67" s="214"/>
      <c r="K67" s="242" t="s">
        <v>32</v>
      </c>
      <c r="L67" s="243">
        <f t="shared" si="6"/>
        <v>0.9256888344</v>
      </c>
      <c r="M67" s="244"/>
      <c r="N67" s="245"/>
    </row>
    <row r="68">
      <c r="A68" s="125" t="b">
        <f t="shared" si="1"/>
        <v>0</v>
      </c>
      <c r="B68" s="126">
        <v>0.0</v>
      </c>
      <c r="C68" s="127" t="s">
        <v>236</v>
      </c>
      <c r="D68" s="127" t="s">
        <v>237</v>
      </c>
      <c r="E68" s="128" t="s">
        <v>29</v>
      </c>
      <c r="F68" s="127" t="s">
        <v>46</v>
      </c>
      <c r="G68" s="130" t="str">
        <f>IF(F68="♢", ((L3 * 100) / (COUNTIFS(F:F, "♢", E:E, E68) + COUNTIFS(F:F, "♢", E:E, "A1") + IF(E68="A1", COUNTIFS(F:F, "♢", E:E, E2), 0) - IF(E68="A1", COUNTIFS(F:F, "♢", E:E, "A1"), 0)))/100, "")
</f>
        <v/>
      </c>
      <c r="H68" s="129">
        <f>IF(F68="♢♢", ((M4 * 100) / (COUNTIFS(F:F, "♢♢", E:E, E68) + COUNTIFS(F:F, "♢♢", E:E, "A1") + IF(E68="A1", COUNTIFS(F:F, "♢♢", E:E, E2), 0) - IF(E68="A1", COUNTIFS(F:F, "♢♢", E:E, "A1"), 0)))/100, 
   IF(F68="♢♢♢", ((M5 * 100) / (COUNTIFS(F:F, "♢♢♢", E:E, E68) + COUNTIFS(F:F, "♢♢♢", E:E, "A1") + IF(E68="A1", COUNTIFS(F:F, "♢♢♢", E:E, E2), 0) - IF(E68="A1", COUNTIFS(F:F, "♢♢♢", E:E, "A1"), 0)))/100, 
   IF(F68="♢♢♢♢", ((M6 * 100) / (COUNTIFS(F:F, "♢♢♢♢", E:E, E68) + COUNTIFS(F:F, "♢♢♢♢", E:E, "A1") + IF(E68="A1", COUNTIFS(F:F, "♢♢♢♢", E:E, E2), 0) - IF(E68="A1", COUNTIFS(F:F, "♢♢♢♢", E:E, "A1"), 0)))/100, 
   IF(F68="☆", ((M7 * 100) / (COUNTIFS(F:F, "☆", E:E, E68) + COUNTIFS(F:F, "☆", E:E, "A1") + IF(E68="A1", COUNTIFS(F:F, "☆", E:E, E2), 0) - IF(E68="A1", COUNTIFS(F:F, "☆", E:E, "A1"), 0)))/100, 
   IF(F68="☆☆", ((M8 * 100) / (COUNTIFS(F:F, "☆☆", E:E, E68) + COUNTIFS(F:F, "☆☆", E:E, "A1") + IF(E68="A1", COUNTIFS(F:F, "☆☆", E:E, E2), 0) - IF(E68="A1", COUNTIFS(F:F, "☆☆", E:E, "A1"), 0)))/100, 
   IF(F68="☆☆☆", ((M9 * 100) / (COUNTIFS(F:F, "☆☆☆", E:E, E68) + COUNTIFS(F:F, "☆☆☆", E:E, "A1") + IF(E68="A1", COUNTIFS(F:F, "☆☆☆", E:E, E2), 0) - IF(E68="A1", COUNTIFS(F:F, "☆☆☆", E:E, "A1"), 0)))/100, 
   IF(F68="♛", ((M10 * 100) / (COUNTIFS(F:F, "♛", E:E, E68) + COUNTIFS(F:F, "♛", E:E, "A1") + IF(E68="A1", COUNTIFS(F:F, "♛", E:E, E2), 0) - IF(E68="A1", COUNTIFS(F:F, "♛", E:E, "A1"), 0)))/100, "")))))))
</f>
        <v>0.02571428571</v>
      </c>
      <c r="I68" s="129">
        <f>IF(F68="♢♢", ((N4 * 100) / (COUNTIFS(F:F, "♢♢", E:E, E68) + COUNTIFS(F:F, "♢♢", E:E, "A1") + IF(E68="A1", COUNTIFS(F:F, "♢♢", E:E, E2), 0) - IF(E68="A1", COUNTIFS(F:F, "♢♢", E:E, "A1"), 0)))/100, 
   IF(F68="♢♢♢", ((N5 * 100) / (COUNTIFS(F:F, "♢♢♢", E:E, E68) + COUNTIFS(F:F, "♢♢♢", E:E, "A1") + IF(E68="A1", COUNTIFS(F:F, "♢♢♢", E:E, E2), 0) - IF(E68="A1", COUNTIFS(F:F, "♢♢♢", E:E, "A1"), 0)))/100, 
   IF(F68="♢♢♢♢", ((N6 * 100) / (COUNTIFS(F:F, "♢♢♢♢", E:E, E68) + COUNTIFS(F:F, "♢♢♢♢", E:E, "A1") + IF(E68="A1", COUNTIFS(F:F, "♢♢♢♢", E:E, E2), 0) - IF(E68="A1", COUNTIFS(F:F, "♢♢♢♢", E:E, "A1"), 0)))/100, 
   IF(F68="☆", ((N7 * 100) / (COUNTIFS(F:F, "☆", E:E, E68) + COUNTIFS(F:F, "☆", E:E, "A1") + IF(E68="A1", COUNTIFS(F:F, "☆", E:E, E2), 0) - IF(E68="A1", COUNTIFS(F:F, "☆", E:E, "A1"), 0)))/100, 
   IF(F68="☆☆", ((N8 * 100) / (COUNTIFS(F:F, "☆☆", E:E, E68) + COUNTIFS(F:F, "☆☆", E:E, "A1") + IF(E68="A1", COUNTIFS(F:F, "☆☆", E:E, E2), 0) - IF(E68="A1", COUNTIFS(F:F, "☆☆", E:E, "A1"), 0)))/100, 
   IF(F68="☆☆☆", ((N9 * 100) / (COUNTIFS(F:F, "☆☆☆", E:E, E68) + COUNTIFS(F:F, "☆☆☆", E:E, "A1") + IF(E68="A1", COUNTIFS(F:F, "☆☆☆", E:E, E2), 0) - IF(E68="A1", COUNTIFS(F:F, "☆☆☆", E:E, "A1"), 0)))/100, 
   IF(F68="♛", ((N10 * 100) / (COUNTIFS(F:F, "♛", E:E, E68) + COUNTIFS(F:F, "♛", E:E, "A1") + IF(E68="A1", COUNTIFS(F:F, "♛", E:E, E2), 0) - IF(E68="A1", COUNTIFS(F:F, "♛", E:E, "A1"), 0)))/100, "")))))))
</f>
        <v>0.01714285714</v>
      </c>
      <c r="J68" s="214"/>
      <c r="K68" s="148"/>
      <c r="L68" s="222"/>
      <c r="M68" s="222"/>
      <c r="N68" s="20"/>
      <c r="O68" s="246" t="s">
        <v>238</v>
      </c>
    </row>
    <row r="69">
      <c r="A69" s="125" t="b">
        <f t="shared" si="1"/>
        <v>0</v>
      </c>
      <c r="B69" s="126">
        <v>0.0</v>
      </c>
      <c r="C69" s="127" t="s">
        <v>239</v>
      </c>
      <c r="D69" s="127" t="s">
        <v>240</v>
      </c>
      <c r="E69" s="128" t="s">
        <v>29</v>
      </c>
      <c r="F69" s="127" t="s">
        <v>44</v>
      </c>
      <c r="G69" s="129">
        <f>IF(F69="♢", ((L3 * 100) / (COUNTIFS(F:F, "♢", E:E, E69) + COUNTIFS(F:F, "♢", E:E, "A1") + IF(E69="A1", COUNTIFS(F:F, "♢", E:E, E2), 0) - IF(E69="A1", COUNTIFS(F:F, "♢", E:E, "A1"), 0)))/100, "")
</f>
        <v>0.02</v>
      </c>
      <c r="H69" s="130" t="str">
        <f>IF(F69="♢♢", ((M4 * 100) / (COUNTIFS(F:F, "♢♢", E:E, E69) + COUNTIFS(F:F, "♢♢", E:E, "A1") + IF(E69="A1", COUNTIFS(F:F, "♢♢", E:E, E2), 0) - IF(E69="A1", COUNTIFS(F:F, "♢♢", E:E, "A1"), 0)))/100, 
   IF(F69="♢♢♢", ((M5 * 100) / (COUNTIFS(F:F, "♢♢♢", E:E, E69) + COUNTIFS(F:F, "♢♢♢", E:E, "A1") + IF(E69="A1", COUNTIFS(F:F, "♢♢♢", E:E, E2), 0) - IF(E69="A1", COUNTIFS(F:F, "♢♢♢", E:E, "A1"), 0)))/100, 
   IF(F69="♢♢♢♢", ((M6 * 100) / (COUNTIFS(F:F, "♢♢♢♢", E:E, E69) + COUNTIFS(F:F, "♢♢♢♢", E:E, "A1") + IF(E69="A1", COUNTIFS(F:F, "♢♢♢♢", E:E, E2), 0) - IF(E69="A1", COUNTIFS(F:F, "♢♢♢♢", E:E, "A1"), 0)))/100, 
   IF(F69="☆", ((M7 * 100) / (COUNTIFS(F:F, "☆", E:E, E69) + COUNTIFS(F:F, "☆", E:E, "A1") + IF(E69="A1", COUNTIFS(F:F, "☆", E:E, E2), 0) - IF(E69="A1", COUNTIFS(F:F, "☆", E:E, "A1"), 0)))/100, 
   IF(F69="☆☆", ((M8 * 100) / (COUNTIFS(F:F, "☆☆", E:E, E69) + COUNTIFS(F:F, "☆☆", E:E, "A1") + IF(E69="A1", COUNTIFS(F:F, "☆☆", E:E, E2), 0) - IF(E69="A1", COUNTIFS(F:F, "☆☆", E:E, "A1"), 0)))/100, 
   IF(F69="☆☆☆", ((M9 * 100) / (COUNTIFS(F:F, "☆☆☆", E:E, E69) + COUNTIFS(F:F, "☆☆☆", E:E, "A1") + IF(E69="A1", COUNTIFS(F:F, "☆☆☆", E:E, E2), 0) - IF(E69="A1", COUNTIFS(F:F, "☆☆☆", E:E, "A1"), 0)))/100, 
   IF(F69="♛", ((M10 * 100) / (COUNTIFS(F:F, "♛", E:E, E69) + COUNTIFS(F:F, "♛", E:E, "A1") + IF(E69="A1", COUNTIFS(F:F, "♛", E:E, E2), 0) - IF(E69="A1", COUNTIFS(F:F, "♛", E:E, "A1"), 0)))/100, "")))))))
</f>
        <v/>
      </c>
      <c r="I69" s="130" t="str">
        <f>IF(F69="♢♢", ((N4 * 100) / (COUNTIFS(F:F, "♢♢", E:E, E69) + COUNTIFS(F:F, "♢♢", E:E, "A1") + IF(E69="A1", COUNTIFS(F:F, "♢♢", E:E, E2), 0) - IF(E69="A1", COUNTIFS(F:F, "♢♢", E:E, "A1"), 0)))/100, 
   IF(F69="♢♢♢", ((N5 * 100) / (COUNTIFS(F:F, "♢♢♢", E:E, E69) + COUNTIFS(F:F, "♢♢♢", E:E, "A1") + IF(E69="A1", COUNTIFS(F:F, "♢♢♢", E:E, E2), 0) - IF(E69="A1", COUNTIFS(F:F, "♢♢♢", E:E, "A1"), 0)))/100, 
   IF(F69="♢♢♢♢", ((N6 * 100) / (COUNTIFS(F:F, "♢♢♢♢", E:E, E69) + COUNTIFS(F:F, "♢♢♢♢", E:E, "A1") + IF(E69="A1", COUNTIFS(F:F, "♢♢♢♢", E:E, E2), 0) - IF(E69="A1", COUNTIFS(F:F, "♢♢♢♢", E:E, "A1"), 0)))/100, 
   IF(F69="☆", ((N7 * 100) / (COUNTIFS(F:F, "☆", E:E, E69) + COUNTIFS(F:F, "☆", E:E, "A1") + IF(E69="A1", COUNTIFS(F:F, "☆", E:E, E2), 0) - IF(E69="A1", COUNTIFS(F:F, "☆", E:E, "A1"), 0)))/100, 
   IF(F69="☆☆", ((N8 * 100) / (COUNTIFS(F:F, "☆☆", E:E, E69) + COUNTIFS(F:F, "☆☆", E:E, "A1") + IF(E69="A1", COUNTIFS(F:F, "☆☆", E:E, E2), 0) - IF(E69="A1", COUNTIFS(F:F, "☆☆", E:E, "A1"), 0)))/100, 
   IF(F69="☆☆☆", ((N9 * 100) / (COUNTIFS(F:F, "☆☆☆", E:E, E69) + COUNTIFS(F:F, "☆☆☆", E:E, "A1") + IF(E69="A1", COUNTIFS(F:F, "☆☆☆", E:E, E2), 0) - IF(E69="A1", COUNTIFS(F:F, "☆☆☆", E:E, "A1"), 0)))/100, 
   IF(F69="♛", ((N10 * 100) / (COUNTIFS(F:F, "♛", E:E, E69) + COUNTIFS(F:F, "♛", E:E, "A1") + IF(E69="A1", COUNTIFS(F:F, "♛", E:E, E2), 0) - IF(E69="A1", COUNTIFS(F:F, "♛", E:E, "A1"), 0)))/100, "")))))))
</f>
        <v/>
      </c>
      <c r="J69" s="131"/>
      <c r="K69" s="150"/>
      <c r="L69" s="148"/>
      <c r="M69" s="20"/>
      <c r="N69" s="20"/>
    </row>
    <row r="70">
      <c r="A70" s="125" t="b">
        <f t="shared" si="1"/>
        <v>0</v>
      </c>
      <c r="B70" s="126">
        <v>0.0</v>
      </c>
      <c r="C70" s="127" t="s">
        <v>241</v>
      </c>
      <c r="D70" s="127" t="s">
        <v>242</v>
      </c>
      <c r="E70" s="128" t="s">
        <v>29</v>
      </c>
      <c r="F70" s="127" t="s">
        <v>46</v>
      </c>
      <c r="G70" s="130" t="str">
        <f>IF(F70="♢", ((L3 * 100) / (COUNTIFS(F:F, "♢", E:E, E70) + COUNTIFS(F:F, "♢", E:E, "A1") + IF(E70="A1", COUNTIFS(F:F, "♢", E:E, E2), 0) - IF(E70="A1", COUNTIFS(F:F, "♢", E:E, "A1"), 0)))/100, "")
</f>
        <v/>
      </c>
      <c r="H70" s="129">
        <f>IF(F70="♢♢", ((M4 * 100) / (COUNTIFS(F:F, "♢♢", E:E, E70) + COUNTIFS(F:F, "♢♢", E:E, "A1") + IF(E70="A1", COUNTIFS(F:F, "♢♢", E:E, E2), 0) - IF(E70="A1", COUNTIFS(F:F, "♢♢", E:E, "A1"), 0)))/100, 
   IF(F70="♢♢♢", ((M5 * 100) / (COUNTIFS(F:F, "♢♢♢", E:E, E70) + COUNTIFS(F:F, "♢♢♢", E:E, "A1") + IF(E70="A1", COUNTIFS(F:F, "♢♢♢", E:E, E2), 0) - IF(E70="A1", COUNTIFS(F:F, "♢♢♢", E:E, "A1"), 0)))/100, 
   IF(F70="♢♢♢♢", ((M6 * 100) / (COUNTIFS(F:F, "♢♢♢♢", E:E, E70) + COUNTIFS(F:F, "♢♢♢♢", E:E, "A1") + IF(E70="A1", COUNTIFS(F:F, "♢♢♢♢", E:E, E2), 0) - IF(E70="A1", COUNTIFS(F:F, "♢♢♢♢", E:E, "A1"), 0)))/100, 
   IF(F70="☆", ((M7 * 100) / (COUNTIFS(F:F, "☆", E:E, E70) + COUNTIFS(F:F, "☆", E:E, "A1") + IF(E70="A1", COUNTIFS(F:F, "☆", E:E, E2), 0) - IF(E70="A1", COUNTIFS(F:F, "☆", E:E, "A1"), 0)))/100, 
   IF(F70="☆☆", ((M8 * 100) / (COUNTIFS(F:F, "☆☆", E:E, E70) + COUNTIFS(F:F, "☆☆", E:E, "A1") + IF(E70="A1", COUNTIFS(F:F, "☆☆", E:E, E2), 0) - IF(E70="A1", COUNTIFS(F:F, "☆☆", E:E, "A1"), 0)))/100, 
   IF(F70="☆☆☆", ((M9 * 100) / (COUNTIFS(F:F, "☆☆☆", E:E, E70) + COUNTIFS(F:F, "☆☆☆", E:E, "A1") + IF(E70="A1", COUNTIFS(F:F, "☆☆☆", E:E, E2), 0) - IF(E70="A1", COUNTIFS(F:F, "☆☆☆", E:E, "A1"), 0)))/100, 
   IF(F70="♛", ((M10 * 100) / (COUNTIFS(F:F, "♛", E:E, E70) + COUNTIFS(F:F, "♛", E:E, "A1") + IF(E70="A1", COUNTIFS(F:F, "♛", E:E, E2), 0) - IF(E70="A1", COUNTIFS(F:F, "♛", E:E, "A1"), 0)))/100, "")))))))
</f>
        <v>0.02571428571</v>
      </c>
      <c r="I70" s="129">
        <f>IF(F70="♢♢", ((N4 * 100) / (COUNTIFS(F:F, "♢♢", E:E, E70) + COUNTIFS(F:F, "♢♢", E:E, "A1") + IF(E70="A1", COUNTIFS(F:F, "♢♢", E:E, E2), 0) - IF(E70="A1", COUNTIFS(F:F, "♢♢", E:E, "A1"), 0)))/100, 
   IF(F70="♢♢♢", ((N5 * 100) / (COUNTIFS(F:F, "♢♢♢", E:E, E70) + COUNTIFS(F:F, "♢♢♢", E:E, "A1") + IF(E70="A1", COUNTIFS(F:F, "♢♢♢", E:E, E2), 0) - IF(E70="A1", COUNTIFS(F:F, "♢♢♢", E:E, "A1"), 0)))/100, 
   IF(F70="♢♢♢♢", ((N6 * 100) / (COUNTIFS(F:F, "♢♢♢♢", E:E, E70) + COUNTIFS(F:F, "♢♢♢♢", E:E, "A1") + IF(E70="A1", COUNTIFS(F:F, "♢♢♢♢", E:E, E2), 0) - IF(E70="A1", COUNTIFS(F:F, "♢♢♢♢", E:E, "A1"), 0)))/100, 
   IF(F70="☆", ((N7 * 100) / (COUNTIFS(F:F, "☆", E:E, E70) + COUNTIFS(F:F, "☆", E:E, "A1") + IF(E70="A1", COUNTIFS(F:F, "☆", E:E, E2), 0) - IF(E70="A1", COUNTIFS(F:F, "☆", E:E, "A1"), 0)))/100, 
   IF(F70="☆☆", ((N8 * 100) / (COUNTIFS(F:F, "☆☆", E:E, E70) + COUNTIFS(F:F, "☆☆", E:E, "A1") + IF(E70="A1", COUNTIFS(F:F, "☆☆", E:E, E2), 0) - IF(E70="A1", COUNTIFS(F:F, "☆☆", E:E, "A1"), 0)))/100, 
   IF(F70="☆☆☆", ((N9 * 100) / (COUNTIFS(F:F, "☆☆☆", E:E, E70) + COUNTIFS(F:F, "☆☆☆", E:E, "A1") + IF(E70="A1", COUNTIFS(F:F, "☆☆☆", E:E, E2), 0) - IF(E70="A1", COUNTIFS(F:F, "☆☆☆", E:E, "A1"), 0)))/100, 
   IF(F70="♛", ((N10 * 100) / (COUNTIFS(F:F, "♛", E:E, E70) + COUNTIFS(F:F, "♛", E:E, "A1") + IF(E70="A1", COUNTIFS(F:F, "♛", E:E, E2), 0) - IF(E70="A1", COUNTIFS(F:F, "♛", E:E, "A1"), 0)))/100, "")))))))
</f>
        <v>0.01714285714</v>
      </c>
      <c r="J70" s="131"/>
      <c r="K70" s="247"/>
      <c r="L70" s="20"/>
      <c r="M70" s="20"/>
      <c r="N70" s="20"/>
      <c r="O70" s="124" t="s">
        <v>243</v>
      </c>
    </row>
    <row r="71">
      <c r="A71" s="125" t="b">
        <f t="shared" si="1"/>
        <v>0</v>
      </c>
      <c r="B71" s="126">
        <v>0.0</v>
      </c>
      <c r="C71" s="127" t="s">
        <v>244</v>
      </c>
      <c r="D71" s="127" t="s">
        <v>245</v>
      </c>
      <c r="E71" s="128" t="s">
        <v>31</v>
      </c>
      <c r="F71" s="127" t="s">
        <v>44</v>
      </c>
      <c r="G71" s="129">
        <f>IF(F71="♢", ((L3 * 100) / (COUNTIFS(F:F, "♢", E:E, E71) + COUNTIFS(F:F, "♢", E:E, "A1") + IF(E71="A1", COUNTIFS(F:F, "♢", E:E, E2), 0) - IF(E71="A1", COUNTIFS(F:F, "♢", E:E, "A1"), 0)))/100, "")
</f>
        <v>0.02</v>
      </c>
      <c r="H71" s="130" t="str">
        <f>IF(F71="♢♢", ((M4 * 100) / (COUNTIFS(F:F, "♢♢", E:E, E71) + COUNTIFS(F:F, "♢♢", E:E, "A1") + IF(E71="A1", COUNTIFS(F:F, "♢♢", E:E, E2), 0) - IF(E71="A1", COUNTIFS(F:F, "♢♢", E:E, "A1"), 0)))/100, 
   IF(F71="♢♢♢", ((M5 * 100) / (COUNTIFS(F:F, "♢♢♢", E:E, E71) + COUNTIFS(F:F, "♢♢♢", E:E, "A1") + IF(E71="A1", COUNTIFS(F:F, "♢♢♢", E:E, E2), 0) - IF(E71="A1", COUNTIFS(F:F, "♢♢♢", E:E, "A1"), 0)))/100, 
   IF(F71="♢♢♢♢", ((M6 * 100) / (COUNTIFS(F:F, "♢♢♢♢", E:E, E71) + COUNTIFS(F:F, "♢♢♢♢", E:E, "A1") + IF(E71="A1", COUNTIFS(F:F, "♢♢♢♢", E:E, E2), 0) - IF(E71="A1", COUNTIFS(F:F, "♢♢♢♢", E:E, "A1"), 0)))/100, 
   IF(F71="☆", ((M7 * 100) / (COUNTIFS(F:F, "☆", E:E, E71) + COUNTIFS(F:F, "☆", E:E, "A1") + IF(E71="A1", COUNTIFS(F:F, "☆", E:E, E2), 0) - IF(E71="A1", COUNTIFS(F:F, "☆", E:E, "A1"), 0)))/100, 
   IF(F71="☆☆", ((M8 * 100) / (COUNTIFS(F:F, "☆☆", E:E, E71) + COUNTIFS(F:F, "☆☆", E:E, "A1") + IF(E71="A1", COUNTIFS(F:F, "☆☆", E:E, E2), 0) - IF(E71="A1", COUNTIFS(F:F, "☆☆", E:E, "A1"), 0)))/100, 
   IF(F71="☆☆☆", ((M9 * 100) / (COUNTIFS(F:F, "☆☆☆", E:E, E71) + COUNTIFS(F:F, "☆☆☆", E:E, "A1") + IF(E71="A1", COUNTIFS(F:F, "☆☆☆", E:E, E2), 0) - IF(E71="A1", COUNTIFS(F:F, "☆☆☆", E:E, "A1"), 0)))/100, 
   IF(F71="♛", ((M10 * 100) / (COUNTIFS(F:F, "♛", E:E, E71) + COUNTIFS(F:F, "♛", E:E, "A1") + IF(E71="A1", COUNTIFS(F:F, "♛", E:E, E2), 0) - IF(E71="A1", COUNTIFS(F:F, "♛", E:E, "A1"), 0)))/100, "")))))))
</f>
        <v/>
      </c>
      <c r="I71" s="130" t="str">
        <f>IF(F71="♢♢", ((N4 * 100) / (COUNTIFS(F:F, "♢♢", E:E, E71) + COUNTIFS(F:F, "♢♢", E:E, "A1") + IF(E71="A1", COUNTIFS(F:F, "♢♢", E:E, E2), 0) - IF(E71="A1", COUNTIFS(F:F, "♢♢", E:E, "A1"), 0)))/100, 
   IF(F71="♢♢♢", ((N5 * 100) / (COUNTIFS(F:F, "♢♢♢", E:E, E71) + COUNTIFS(F:F, "♢♢♢", E:E, "A1") + IF(E71="A1", COUNTIFS(F:F, "♢♢♢", E:E, E2), 0) - IF(E71="A1", COUNTIFS(F:F, "♢♢♢", E:E, "A1"), 0)))/100, 
   IF(F71="♢♢♢♢", ((N6 * 100) / (COUNTIFS(F:F, "♢♢♢♢", E:E, E71) + COUNTIFS(F:F, "♢♢♢♢", E:E, "A1") + IF(E71="A1", COUNTIFS(F:F, "♢♢♢♢", E:E, E2), 0) - IF(E71="A1", COUNTIFS(F:F, "♢♢♢♢", E:E, "A1"), 0)))/100, 
   IF(F71="☆", ((N7 * 100) / (COUNTIFS(F:F, "☆", E:E, E71) + COUNTIFS(F:F, "☆", E:E, "A1") + IF(E71="A1", COUNTIFS(F:F, "☆", E:E, E2), 0) - IF(E71="A1", COUNTIFS(F:F, "☆", E:E, "A1"), 0)))/100, 
   IF(F71="☆☆", ((N8 * 100) / (COUNTIFS(F:F, "☆☆", E:E, E71) + COUNTIFS(F:F, "☆☆", E:E, "A1") + IF(E71="A1", COUNTIFS(F:F, "☆☆", E:E, E2), 0) - IF(E71="A1", COUNTIFS(F:F, "☆☆", E:E, "A1"), 0)))/100, 
   IF(F71="☆☆☆", ((N9 * 100) / (COUNTIFS(F:F, "☆☆☆", E:E, E71) + COUNTIFS(F:F, "☆☆☆", E:E, "A1") + IF(E71="A1", COUNTIFS(F:F, "☆☆☆", E:E, E2), 0) - IF(E71="A1", COUNTIFS(F:F, "☆☆☆", E:E, "A1"), 0)))/100, 
   IF(F71="♛", ((N10 * 100) / (COUNTIFS(F:F, "♛", E:E, E71) + COUNTIFS(F:F, "♛", E:E, "A1") + IF(E71="A1", COUNTIFS(F:F, "♛", E:E, E2), 0) - IF(E71="A1", COUNTIFS(F:F, "♛", E:E, "A1"), 0)))/100, "")))))))
</f>
        <v/>
      </c>
      <c r="J71" s="131"/>
      <c r="K71" s="247"/>
      <c r="L71" s="148"/>
      <c r="M71" s="148"/>
      <c r="N71" s="20"/>
    </row>
    <row r="72">
      <c r="A72" s="125" t="b">
        <f t="shared" si="1"/>
        <v>0</v>
      </c>
      <c r="B72" s="126">
        <v>0.0</v>
      </c>
      <c r="C72" s="127" t="s">
        <v>246</v>
      </c>
      <c r="D72" s="127" t="s">
        <v>247</v>
      </c>
      <c r="E72" s="128" t="s">
        <v>31</v>
      </c>
      <c r="F72" s="127" t="s">
        <v>46</v>
      </c>
      <c r="G72" s="130" t="str">
        <f>IF(F72="♢", ((L3 * 100) / (COUNTIFS(F:F, "♢", E:E, E72) + COUNTIFS(F:F, "♢", E:E, "A1") + IF(E72="A1", COUNTIFS(F:F, "♢", E:E, E2), 0) - IF(E72="A1", COUNTIFS(F:F, "♢", E:E, "A1"), 0)))/100, "")
</f>
        <v/>
      </c>
      <c r="H72" s="129">
        <f>IF(F72="♢♢", ((M4 * 100) / (COUNTIFS(F:F, "♢♢", E:E, E72) + COUNTIFS(F:F, "♢♢", E:E, "A1") + IF(E72="A1", COUNTIFS(F:F, "♢♢", E:E, E2), 0) - IF(E72="A1", COUNTIFS(F:F, "♢♢", E:E, "A1"), 0)))/100, 
   IF(F72="♢♢♢", ((M5 * 100) / (COUNTIFS(F:F, "♢♢♢", E:E, E72) + COUNTIFS(F:F, "♢♢♢", E:E, "A1") + IF(E72="A1", COUNTIFS(F:F, "♢♢♢", E:E, E2), 0) - IF(E72="A1", COUNTIFS(F:F, "♢♢♢", E:E, "A1"), 0)))/100, 
   IF(F72="♢♢♢♢", ((M6 * 100) / (COUNTIFS(F:F, "♢♢♢♢", E:E, E72) + COUNTIFS(F:F, "♢♢♢♢", E:E, "A1") + IF(E72="A1", COUNTIFS(F:F, "♢♢♢♢", E:E, E2), 0) - IF(E72="A1", COUNTIFS(F:F, "♢♢♢♢", E:E, "A1"), 0)))/100, 
   IF(F72="☆", ((M7 * 100) / (COUNTIFS(F:F, "☆", E:E, E72) + COUNTIFS(F:F, "☆", E:E, "A1") + IF(E72="A1", COUNTIFS(F:F, "☆", E:E, E2), 0) - IF(E72="A1", COUNTIFS(F:F, "☆", E:E, "A1"), 0)))/100, 
   IF(F72="☆☆", ((M8 * 100) / (COUNTIFS(F:F, "☆☆", E:E, E72) + COUNTIFS(F:F, "☆☆", E:E, "A1") + IF(E72="A1", COUNTIFS(F:F, "☆☆", E:E, E2), 0) - IF(E72="A1", COUNTIFS(F:F, "☆☆", E:E, "A1"), 0)))/100, 
   IF(F72="☆☆☆", ((M9 * 100) / (COUNTIFS(F:F, "☆☆☆", E:E, E72) + COUNTIFS(F:F, "☆☆☆", E:E, "A1") + IF(E72="A1", COUNTIFS(F:F, "☆☆☆", E:E, E2), 0) - IF(E72="A1", COUNTIFS(F:F, "☆☆☆", E:E, "A1"), 0)))/100, 
   IF(F72="♛", ((M10 * 100) / (COUNTIFS(F:F, "♛", E:E, E72) + COUNTIFS(F:F, "♛", E:E, "A1") + IF(E72="A1", COUNTIFS(F:F, "♛", E:E, E2), 0) - IF(E72="A1", COUNTIFS(F:F, "♛", E:E, "A1"), 0)))/100, "")))))))
</f>
        <v>0.02571428571</v>
      </c>
      <c r="I72" s="129">
        <f>IF(F72="♢♢", ((N4 * 100) / (COUNTIFS(F:F, "♢♢", E:E, E72) + COUNTIFS(F:F, "♢♢", E:E, "A1") + IF(E72="A1", COUNTIFS(F:F, "♢♢", E:E, E2), 0) - IF(E72="A1", COUNTIFS(F:F, "♢♢", E:E, "A1"), 0)))/100, 
   IF(F72="♢♢♢", ((N5 * 100) / (COUNTIFS(F:F, "♢♢♢", E:E, E72) + COUNTIFS(F:F, "♢♢♢", E:E, "A1") + IF(E72="A1", COUNTIFS(F:F, "♢♢♢", E:E, E2), 0) - IF(E72="A1", COUNTIFS(F:F, "♢♢♢", E:E, "A1"), 0)))/100, 
   IF(F72="♢♢♢♢", ((N6 * 100) / (COUNTIFS(F:F, "♢♢♢♢", E:E, E72) + COUNTIFS(F:F, "♢♢♢♢", E:E, "A1") + IF(E72="A1", COUNTIFS(F:F, "♢♢♢♢", E:E, E2), 0) - IF(E72="A1", COUNTIFS(F:F, "♢♢♢♢", E:E, "A1"), 0)))/100, 
   IF(F72="☆", ((N7 * 100) / (COUNTIFS(F:F, "☆", E:E, E72) + COUNTIFS(F:F, "☆", E:E, "A1") + IF(E72="A1", COUNTIFS(F:F, "☆", E:E, E2), 0) - IF(E72="A1", COUNTIFS(F:F, "☆", E:E, "A1"), 0)))/100, 
   IF(F72="☆☆", ((N8 * 100) / (COUNTIFS(F:F, "☆☆", E:E, E72) + COUNTIFS(F:F, "☆☆", E:E, "A1") + IF(E72="A1", COUNTIFS(F:F, "☆☆", E:E, E2), 0) - IF(E72="A1", COUNTIFS(F:F, "☆☆", E:E, "A1"), 0)))/100, 
   IF(F72="☆☆☆", ((N9 * 100) / (COUNTIFS(F:F, "☆☆☆", E:E, E72) + COUNTIFS(F:F, "☆☆☆", E:E, "A1") + IF(E72="A1", COUNTIFS(F:F, "☆☆☆", E:E, E2), 0) - IF(E72="A1", COUNTIFS(F:F, "☆☆☆", E:E, "A1"), 0)))/100, 
   IF(F72="♛", ((N10 * 100) / (COUNTIFS(F:F, "♛", E:E, E72) + COUNTIFS(F:F, "♛", E:E, "A1") + IF(E72="A1", COUNTIFS(F:F, "♛", E:E, E2), 0) - IF(E72="A1", COUNTIFS(F:F, "♛", E:E, "A1"), 0)))/100, "")))))))
</f>
        <v>0.01714285714</v>
      </c>
      <c r="J72" s="131"/>
      <c r="K72" s="247"/>
      <c r="L72" s="20"/>
      <c r="M72" s="20"/>
      <c r="N72" s="20"/>
    </row>
    <row r="73">
      <c r="A73" s="125" t="b">
        <f t="shared" si="1"/>
        <v>0</v>
      </c>
      <c r="B73" s="126">
        <v>0.0</v>
      </c>
      <c r="C73" s="127" t="s">
        <v>248</v>
      </c>
      <c r="D73" s="127" t="s">
        <v>249</v>
      </c>
      <c r="E73" s="128" t="s">
        <v>31</v>
      </c>
      <c r="F73" s="127" t="s">
        <v>44</v>
      </c>
      <c r="G73" s="129">
        <f>IF(F73="♢", ((L3 * 100) / (COUNTIFS(F:F, "♢", E:E, E73) + COUNTIFS(F:F, "♢", E:E, "A1") + IF(E73="A1", COUNTIFS(F:F, "♢", E:E, E2), 0) - IF(E73="A1", COUNTIFS(F:F, "♢", E:E, "A1"), 0)))/100, "")
</f>
        <v>0.02</v>
      </c>
      <c r="H73" s="130" t="str">
        <f>IF(F73="♢♢", ((M4 * 100) / (COUNTIFS(F:F, "♢♢", E:E, E73) + COUNTIFS(F:F, "♢♢", E:E, "A1") + IF(E73="A1", COUNTIFS(F:F, "♢♢", E:E, E2), 0) - IF(E73="A1", COUNTIFS(F:F, "♢♢", E:E, "A1"), 0)))/100, 
   IF(F73="♢♢♢", ((M5 * 100) / (COUNTIFS(F:F, "♢♢♢", E:E, E73) + COUNTIFS(F:F, "♢♢♢", E:E, "A1") + IF(E73="A1", COUNTIFS(F:F, "♢♢♢", E:E, E2), 0) - IF(E73="A1", COUNTIFS(F:F, "♢♢♢", E:E, "A1"), 0)))/100, 
   IF(F73="♢♢♢♢", ((M6 * 100) / (COUNTIFS(F:F, "♢♢♢♢", E:E, E73) + COUNTIFS(F:F, "♢♢♢♢", E:E, "A1") + IF(E73="A1", COUNTIFS(F:F, "♢♢♢♢", E:E, E2), 0) - IF(E73="A1", COUNTIFS(F:F, "♢♢♢♢", E:E, "A1"), 0)))/100, 
   IF(F73="☆", ((M7 * 100) / (COUNTIFS(F:F, "☆", E:E, E73) + COUNTIFS(F:F, "☆", E:E, "A1") + IF(E73="A1", COUNTIFS(F:F, "☆", E:E, E2), 0) - IF(E73="A1", COUNTIFS(F:F, "☆", E:E, "A1"), 0)))/100, 
   IF(F73="☆☆", ((M8 * 100) / (COUNTIFS(F:F, "☆☆", E:E, E73) + COUNTIFS(F:F, "☆☆", E:E, "A1") + IF(E73="A1", COUNTIFS(F:F, "☆☆", E:E, E2), 0) - IF(E73="A1", COUNTIFS(F:F, "☆☆", E:E, "A1"), 0)))/100, 
   IF(F73="☆☆☆", ((M9 * 100) / (COUNTIFS(F:F, "☆☆☆", E:E, E73) + COUNTIFS(F:F, "☆☆☆", E:E, "A1") + IF(E73="A1", COUNTIFS(F:F, "☆☆☆", E:E, E2), 0) - IF(E73="A1", COUNTIFS(F:F, "☆☆☆", E:E, "A1"), 0)))/100, 
   IF(F73="♛", ((M10 * 100) / (COUNTIFS(F:F, "♛", E:E, E73) + COUNTIFS(F:F, "♛", E:E, "A1") + IF(E73="A1", COUNTIFS(F:F, "♛", E:E, E2), 0) - IF(E73="A1", COUNTIFS(F:F, "♛", E:E, "A1"), 0)))/100, "")))))))
</f>
        <v/>
      </c>
      <c r="I73" s="130" t="str">
        <f>IF(F73="♢♢", ((N4 * 100) / (COUNTIFS(F:F, "♢♢", E:E, E73) + COUNTIFS(F:F, "♢♢", E:E, "A1") + IF(E73="A1", COUNTIFS(F:F, "♢♢", E:E, E2), 0) - IF(E73="A1", COUNTIFS(F:F, "♢♢", E:E, "A1"), 0)))/100, 
   IF(F73="♢♢♢", ((N5 * 100) / (COUNTIFS(F:F, "♢♢♢", E:E, E73) + COUNTIFS(F:F, "♢♢♢", E:E, "A1") + IF(E73="A1", COUNTIFS(F:F, "♢♢♢", E:E, E2), 0) - IF(E73="A1", COUNTIFS(F:F, "♢♢♢", E:E, "A1"), 0)))/100, 
   IF(F73="♢♢♢♢", ((N6 * 100) / (COUNTIFS(F:F, "♢♢♢♢", E:E, E73) + COUNTIFS(F:F, "♢♢♢♢", E:E, "A1") + IF(E73="A1", COUNTIFS(F:F, "♢♢♢♢", E:E, E2), 0) - IF(E73="A1", COUNTIFS(F:F, "♢♢♢♢", E:E, "A1"), 0)))/100, 
   IF(F73="☆", ((N7 * 100) / (COUNTIFS(F:F, "☆", E:E, E73) + COUNTIFS(F:F, "☆", E:E, "A1") + IF(E73="A1", COUNTIFS(F:F, "☆", E:E, E2), 0) - IF(E73="A1", COUNTIFS(F:F, "☆", E:E, "A1"), 0)))/100, 
   IF(F73="☆☆", ((N8 * 100) / (COUNTIFS(F:F, "☆☆", E:E, E73) + COUNTIFS(F:F, "☆☆", E:E, "A1") + IF(E73="A1", COUNTIFS(F:F, "☆☆", E:E, E2), 0) - IF(E73="A1", COUNTIFS(F:F, "☆☆", E:E, "A1"), 0)))/100, 
   IF(F73="☆☆☆", ((N9 * 100) / (COUNTIFS(F:F, "☆☆☆", E:E, E73) + COUNTIFS(F:F, "☆☆☆", E:E, "A1") + IF(E73="A1", COUNTIFS(F:F, "☆☆☆", E:E, E2), 0) - IF(E73="A1", COUNTIFS(F:F, "☆☆☆", E:E, "A1"), 0)))/100, 
   IF(F73="♛", ((N10 * 100) / (COUNTIFS(F:F, "♛", E:E, E73) + COUNTIFS(F:F, "♛", E:E, "A1") + IF(E73="A1", COUNTIFS(F:F, "♛", E:E, E2), 0) - IF(E73="A1", COUNTIFS(F:F, "♛", E:E, "A1"), 0)))/100, "")))))))
</f>
        <v/>
      </c>
      <c r="J73" s="131"/>
      <c r="K73" s="247"/>
      <c r="L73" s="20"/>
      <c r="M73" s="20"/>
      <c r="N73" s="20"/>
    </row>
    <row r="74">
      <c r="A74" s="125" t="b">
        <f t="shared" si="1"/>
        <v>0</v>
      </c>
      <c r="B74" s="126">
        <v>0.0</v>
      </c>
      <c r="C74" s="127" t="s">
        <v>250</v>
      </c>
      <c r="D74" s="127" t="s">
        <v>251</v>
      </c>
      <c r="E74" s="128" t="s">
        <v>31</v>
      </c>
      <c r="F74" s="127" t="s">
        <v>44</v>
      </c>
      <c r="G74" s="129">
        <f>IF(F74="♢", ((L3 * 100) / (COUNTIFS(F:F, "♢", E:E, E74) + COUNTIFS(F:F, "♢", E:E, "A1") + IF(E74="A1", COUNTIFS(F:F, "♢", E:E, E2), 0) - IF(E74="A1", COUNTIFS(F:F, "♢", E:E, "A1"), 0)))/100, "")
</f>
        <v>0.02</v>
      </c>
      <c r="H74" s="130" t="str">
        <f>IF(F74="♢♢", ((M4 * 100) / (COUNTIFS(F:F, "♢♢", E:E, E74) + COUNTIFS(F:F, "♢♢", E:E, "A1") + IF(E74="A1", COUNTIFS(F:F, "♢♢", E:E, E2), 0) - IF(E74="A1", COUNTIFS(F:F, "♢♢", E:E, "A1"), 0)))/100, 
   IF(F74="♢♢♢", ((M5 * 100) / (COUNTIFS(F:F, "♢♢♢", E:E, E74) + COUNTIFS(F:F, "♢♢♢", E:E, "A1") + IF(E74="A1", COUNTIFS(F:F, "♢♢♢", E:E, E2), 0) - IF(E74="A1", COUNTIFS(F:F, "♢♢♢", E:E, "A1"), 0)))/100, 
   IF(F74="♢♢♢♢", ((M6 * 100) / (COUNTIFS(F:F, "♢♢♢♢", E:E, E74) + COUNTIFS(F:F, "♢♢♢♢", E:E, "A1") + IF(E74="A1", COUNTIFS(F:F, "♢♢♢♢", E:E, E2), 0) - IF(E74="A1", COUNTIFS(F:F, "♢♢♢♢", E:E, "A1"), 0)))/100, 
   IF(F74="☆", ((M7 * 100) / (COUNTIFS(F:F, "☆", E:E, E74) + COUNTIFS(F:F, "☆", E:E, "A1") + IF(E74="A1", COUNTIFS(F:F, "☆", E:E, E2), 0) - IF(E74="A1", COUNTIFS(F:F, "☆", E:E, "A1"), 0)))/100, 
   IF(F74="☆☆", ((M8 * 100) / (COUNTIFS(F:F, "☆☆", E:E, E74) + COUNTIFS(F:F, "☆☆", E:E, "A1") + IF(E74="A1", COUNTIFS(F:F, "☆☆", E:E, E2), 0) - IF(E74="A1", COUNTIFS(F:F, "☆☆", E:E, "A1"), 0)))/100, 
   IF(F74="☆☆☆", ((M9 * 100) / (COUNTIFS(F:F, "☆☆☆", E:E, E74) + COUNTIFS(F:F, "☆☆☆", E:E, "A1") + IF(E74="A1", COUNTIFS(F:F, "☆☆☆", E:E, E2), 0) - IF(E74="A1", COUNTIFS(F:F, "☆☆☆", E:E, "A1"), 0)))/100, 
   IF(F74="♛", ((M10 * 100) / (COUNTIFS(F:F, "♛", E:E, E74) + COUNTIFS(F:F, "♛", E:E, "A1") + IF(E74="A1", COUNTIFS(F:F, "♛", E:E, E2), 0) - IF(E74="A1", COUNTIFS(F:F, "♛", E:E, "A1"), 0)))/100, "")))))))
</f>
        <v/>
      </c>
      <c r="I74" s="130" t="str">
        <f>IF(F74="♢♢", ((N4 * 100) / (COUNTIFS(F:F, "♢♢", E:E, E74) + COUNTIFS(F:F, "♢♢", E:E, "A1") + IF(E74="A1", COUNTIFS(F:F, "♢♢", E:E, E2), 0) - IF(E74="A1", COUNTIFS(F:F, "♢♢", E:E, "A1"), 0)))/100, 
   IF(F74="♢♢♢", ((N5 * 100) / (COUNTIFS(F:F, "♢♢♢", E:E, E74) + COUNTIFS(F:F, "♢♢♢", E:E, "A1") + IF(E74="A1", COUNTIFS(F:F, "♢♢♢", E:E, E2), 0) - IF(E74="A1", COUNTIFS(F:F, "♢♢♢", E:E, "A1"), 0)))/100, 
   IF(F74="♢♢♢♢", ((N6 * 100) / (COUNTIFS(F:F, "♢♢♢♢", E:E, E74) + COUNTIFS(F:F, "♢♢♢♢", E:E, "A1") + IF(E74="A1", COUNTIFS(F:F, "♢♢♢♢", E:E, E2), 0) - IF(E74="A1", COUNTIFS(F:F, "♢♢♢♢", E:E, "A1"), 0)))/100, 
   IF(F74="☆", ((N7 * 100) / (COUNTIFS(F:F, "☆", E:E, E74) + COUNTIFS(F:F, "☆", E:E, "A1") + IF(E74="A1", COUNTIFS(F:F, "☆", E:E, E2), 0) - IF(E74="A1", COUNTIFS(F:F, "☆", E:E, "A1"), 0)))/100, 
   IF(F74="☆☆", ((N8 * 100) / (COUNTIFS(F:F, "☆☆", E:E, E74) + COUNTIFS(F:F, "☆☆", E:E, "A1") + IF(E74="A1", COUNTIFS(F:F, "☆☆", E:E, E2), 0) - IF(E74="A1", COUNTIFS(F:F, "☆☆", E:E, "A1"), 0)))/100, 
   IF(F74="☆☆☆", ((N9 * 100) / (COUNTIFS(F:F, "☆☆☆", E:E, E74) + COUNTIFS(F:F, "☆☆☆", E:E, "A1") + IF(E74="A1", COUNTIFS(F:F, "☆☆☆", E:E, E2), 0) - IF(E74="A1", COUNTIFS(F:F, "☆☆☆", E:E, "A1"), 0)))/100, 
   IF(F74="♛", ((N10 * 100) / (COUNTIFS(F:F, "♛", E:E, E74) + COUNTIFS(F:F, "♛", E:E, "A1") + IF(E74="A1", COUNTIFS(F:F, "♛", E:E, E2), 0) - IF(E74="A1", COUNTIFS(F:F, "♛", E:E, "A1"), 0)))/100, "")))))))
</f>
        <v/>
      </c>
      <c r="J74" s="131"/>
      <c r="K74" s="247"/>
      <c r="L74" s="20"/>
      <c r="M74" s="20"/>
      <c r="N74" s="20"/>
    </row>
    <row r="75">
      <c r="A75" s="125" t="b">
        <f t="shared" si="1"/>
        <v>0</v>
      </c>
      <c r="B75" s="126">
        <v>0.0</v>
      </c>
      <c r="C75" s="127" t="s">
        <v>252</v>
      </c>
      <c r="D75" s="127" t="s">
        <v>253</v>
      </c>
      <c r="E75" s="128" t="s">
        <v>32</v>
      </c>
      <c r="F75" s="127" t="s">
        <v>44</v>
      </c>
      <c r="G75" s="129">
        <f>IF(F75="♢", ((L3 * 100) / (COUNTIFS(F:F, "♢", E:E, E75) + COUNTIFS(F:F, "♢", E:E, "A1") + IF(E75="A1", COUNTIFS(F:F, "♢", E:E, E2), 0) - IF(E75="A1", COUNTIFS(F:F, "♢", E:E, "A1"), 0)))/100, "")
</f>
        <v>0.02</v>
      </c>
      <c r="H75" s="130" t="str">
        <f>IF(F75="♢♢", ((M4 * 100) / (COUNTIFS(F:F, "♢♢", E:E, E75) + COUNTIFS(F:F, "♢♢", E:E, "A1") + IF(E75="A1", COUNTIFS(F:F, "♢♢", E:E, E2), 0) - IF(E75="A1", COUNTIFS(F:F, "♢♢", E:E, "A1"), 0)))/100, 
   IF(F75="♢♢♢", ((M5 * 100) / (COUNTIFS(F:F, "♢♢♢", E:E, E75) + COUNTIFS(F:F, "♢♢♢", E:E, "A1") + IF(E75="A1", COUNTIFS(F:F, "♢♢♢", E:E, E2), 0) - IF(E75="A1", COUNTIFS(F:F, "♢♢♢", E:E, "A1"), 0)))/100, 
   IF(F75="♢♢♢♢", ((M6 * 100) / (COUNTIFS(F:F, "♢♢♢♢", E:E, E75) + COUNTIFS(F:F, "♢♢♢♢", E:E, "A1") + IF(E75="A1", COUNTIFS(F:F, "♢♢♢♢", E:E, E2), 0) - IF(E75="A1", COUNTIFS(F:F, "♢♢♢♢", E:E, "A1"), 0)))/100, 
   IF(F75="☆", ((M7 * 100) / (COUNTIFS(F:F, "☆", E:E, E75) + COUNTIFS(F:F, "☆", E:E, "A1") + IF(E75="A1", COUNTIFS(F:F, "☆", E:E, E2), 0) - IF(E75="A1", COUNTIFS(F:F, "☆", E:E, "A1"), 0)))/100, 
   IF(F75="☆☆", ((M8 * 100) / (COUNTIFS(F:F, "☆☆", E:E, E75) + COUNTIFS(F:F, "☆☆", E:E, "A1") + IF(E75="A1", COUNTIFS(F:F, "☆☆", E:E, E2), 0) - IF(E75="A1", COUNTIFS(F:F, "☆☆", E:E, "A1"), 0)))/100, 
   IF(F75="☆☆☆", ((M9 * 100) / (COUNTIFS(F:F, "☆☆☆", E:E, E75) + COUNTIFS(F:F, "☆☆☆", E:E, "A1") + IF(E75="A1", COUNTIFS(F:F, "☆☆☆", E:E, E2), 0) - IF(E75="A1", COUNTIFS(F:F, "☆☆☆", E:E, "A1"), 0)))/100, 
   IF(F75="♛", ((M10 * 100) / (COUNTIFS(F:F, "♛", E:E, E75) + COUNTIFS(F:F, "♛", E:E, "A1") + IF(E75="A1", COUNTIFS(F:F, "♛", E:E, E2), 0) - IF(E75="A1", COUNTIFS(F:F, "♛", E:E, "A1"), 0)))/100, "")))))))
</f>
        <v/>
      </c>
      <c r="I75" s="130" t="str">
        <f>IF(F75="♢♢", ((N4 * 100) / (COUNTIFS(F:F, "♢♢", E:E, E75) + COUNTIFS(F:F, "♢♢", E:E, "A1") + IF(E75="A1", COUNTIFS(F:F, "♢♢", E:E, E2), 0) - IF(E75="A1", COUNTIFS(F:F, "♢♢", E:E, "A1"), 0)))/100, 
   IF(F75="♢♢♢", ((N5 * 100) / (COUNTIFS(F:F, "♢♢♢", E:E, E75) + COUNTIFS(F:F, "♢♢♢", E:E, "A1") + IF(E75="A1", COUNTIFS(F:F, "♢♢♢", E:E, E2), 0) - IF(E75="A1", COUNTIFS(F:F, "♢♢♢", E:E, "A1"), 0)))/100, 
   IF(F75="♢♢♢♢", ((N6 * 100) / (COUNTIFS(F:F, "♢♢♢♢", E:E, E75) + COUNTIFS(F:F, "♢♢♢♢", E:E, "A1") + IF(E75="A1", COUNTIFS(F:F, "♢♢♢♢", E:E, E2), 0) - IF(E75="A1", COUNTIFS(F:F, "♢♢♢♢", E:E, "A1"), 0)))/100, 
   IF(F75="☆", ((N7 * 100) / (COUNTIFS(F:F, "☆", E:E, E75) + COUNTIFS(F:F, "☆", E:E, "A1") + IF(E75="A1", COUNTIFS(F:F, "☆", E:E, E2), 0) - IF(E75="A1", COUNTIFS(F:F, "☆", E:E, "A1"), 0)))/100, 
   IF(F75="☆☆", ((N8 * 100) / (COUNTIFS(F:F, "☆☆", E:E, E75) + COUNTIFS(F:F, "☆☆", E:E, "A1") + IF(E75="A1", COUNTIFS(F:F, "☆☆", E:E, E2), 0) - IF(E75="A1", COUNTIFS(F:F, "☆☆", E:E, "A1"), 0)))/100, 
   IF(F75="☆☆☆", ((N9 * 100) / (COUNTIFS(F:F, "☆☆☆", E:E, E75) + COUNTIFS(F:F, "☆☆☆", E:E, "A1") + IF(E75="A1", COUNTIFS(F:F, "☆☆☆", E:E, E2), 0) - IF(E75="A1", COUNTIFS(F:F, "☆☆☆", E:E, "A1"), 0)))/100, 
   IF(F75="♛", ((N10 * 100) / (COUNTIFS(F:F, "♛", E:E, E75) + COUNTIFS(F:F, "♛", E:E, "A1") + IF(E75="A1", COUNTIFS(F:F, "♛", E:E, E2), 0) - IF(E75="A1", COUNTIFS(F:F, "♛", E:E, "A1"), 0)))/100, "")))))))
</f>
        <v/>
      </c>
      <c r="J75" s="131"/>
      <c r="K75" s="247"/>
      <c r="L75" s="20"/>
      <c r="M75" s="20"/>
      <c r="N75" s="20"/>
    </row>
    <row r="76">
      <c r="A76" s="125" t="b">
        <f t="shared" si="1"/>
        <v>0</v>
      </c>
      <c r="B76" s="126">
        <v>0.0</v>
      </c>
      <c r="C76" s="127" t="s">
        <v>254</v>
      </c>
      <c r="D76" s="127" t="s">
        <v>255</v>
      </c>
      <c r="E76" s="128" t="s">
        <v>32</v>
      </c>
      <c r="F76" s="127" t="s">
        <v>46</v>
      </c>
      <c r="G76" s="130" t="str">
        <f>IF(F76="♢", ((L3 * 100) / (COUNTIFS(F:F, "♢", E:E, E76) + COUNTIFS(F:F, "♢", E:E, "A1") + IF(E76="A1", COUNTIFS(F:F, "♢", E:E, E2), 0) - IF(E76="A1", COUNTIFS(F:F, "♢", E:E, "A1"), 0)))/100, "")
</f>
        <v/>
      </c>
      <c r="H76" s="129">
        <f>IF(F76="♢♢", ((M4 * 100) / (COUNTIFS(F:F, "♢♢", E:E, E76) + COUNTIFS(F:F, "♢♢", E:E, "A1") + IF(E76="A1", COUNTIFS(F:F, "♢♢", E:E, E2), 0) - IF(E76="A1", COUNTIFS(F:F, "♢♢", E:E, "A1"), 0)))/100, 
   IF(F76="♢♢♢", ((M5 * 100) / (COUNTIFS(F:F, "♢♢♢", E:E, E76) + COUNTIFS(F:F, "♢♢♢", E:E, "A1") + IF(E76="A1", COUNTIFS(F:F, "♢♢♢", E:E, E2), 0) - IF(E76="A1", COUNTIFS(F:F, "♢♢♢", E:E, "A1"), 0)))/100, 
   IF(F76="♢♢♢♢", ((M6 * 100) / (COUNTIFS(F:F, "♢♢♢♢", E:E, E76) + COUNTIFS(F:F, "♢♢♢♢", E:E, "A1") + IF(E76="A1", COUNTIFS(F:F, "♢♢♢♢", E:E, E2), 0) - IF(E76="A1", COUNTIFS(F:F, "♢♢♢♢", E:E, "A1"), 0)))/100, 
   IF(F76="☆", ((M7 * 100) / (COUNTIFS(F:F, "☆", E:E, E76) + COUNTIFS(F:F, "☆", E:E, "A1") + IF(E76="A1", COUNTIFS(F:F, "☆", E:E, E2), 0) - IF(E76="A1", COUNTIFS(F:F, "☆", E:E, "A1"), 0)))/100, 
   IF(F76="☆☆", ((M8 * 100) / (COUNTIFS(F:F, "☆☆", E:E, E76) + COUNTIFS(F:F, "☆☆", E:E, "A1") + IF(E76="A1", COUNTIFS(F:F, "☆☆", E:E, E2), 0) - IF(E76="A1", COUNTIFS(F:F, "☆☆", E:E, "A1"), 0)))/100, 
   IF(F76="☆☆☆", ((M9 * 100) / (COUNTIFS(F:F, "☆☆☆", E:E, E76) + COUNTIFS(F:F, "☆☆☆", E:E, "A1") + IF(E76="A1", COUNTIFS(F:F, "☆☆☆", E:E, E2), 0) - IF(E76="A1", COUNTIFS(F:F, "☆☆☆", E:E, "A1"), 0)))/100, 
   IF(F76="♛", ((M10 * 100) / (COUNTIFS(F:F, "♛", E:E, E76) + COUNTIFS(F:F, "♛", E:E, "A1") + IF(E76="A1", COUNTIFS(F:F, "♛", E:E, E2), 0) - IF(E76="A1", COUNTIFS(F:F, "♛", E:E, "A1"), 0)))/100, "")))))))
</f>
        <v>0.02571428571</v>
      </c>
      <c r="I76" s="129">
        <f>IF(F76="♢♢", ((N4 * 100) / (COUNTIFS(F:F, "♢♢", E:E, E76) + COUNTIFS(F:F, "♢♢", E:E, "A1") + IF(E76="A1", COUNTIFS(F:F, "♢♢", E:E, E2), 0) - IF(E76="A1", COUNTIFS(F:F, "♢♢", E:E, "A1"), 0)))/100, 
   IF(F76="♢♢♢", ((N5 * 100) / (COUNTIFS(F:F, "♢♢♢", E:E, E76) + COUNTIFS(F:F, "♢♢♢", E:E, "A1") + IF(E76="A1", COUNTIFS(F:F, "♢♢♢", E:E, E2), 0) - IF(E76="A1", COUNTIFS(F:F, "♢♢♢", E:E, "A1"), 0)))/100, 
   IF(F76="♢♢♢♢", ((N6 * 100) / (COUNTIFS(F:F, "♢♢♢♢", E:E, E76) + COUNTIFS(F:F, "♢♢♢♢", E:E, "A1") + IF(E76="A1", COUNTIFS(F:F, "♢♢♢♢", E:E, E2), 0) - IF(E76="A1", COUNTIFS(F:F, "♢♢♢♢", E:E, "A1"), 0)))/100, 
   IF(F76="☆", ((N7 * 100) / (COUNTIFS(F:F, "☆", E:E, E76) + COUNTIFS(F:F, "☆", E:E, "A1") + IF(E76="A1", COUNTIFS(F:F, "☆", E:E, E2), 0) - IF(E76="A1", COUNTIFS(F:F, "☆", E:E, "A1"), 0)))/100, 
   IF(F76="☆☆", ((N8 * 100) / (COUNTIFS(F:F, "☆☆", E:E, E76) + COUNTIFS(F:F, "☆☆", E:E, "A1") + IF(E76="A1", COUNTIFS(F:F, "☆☆", E:E, E2), 0) - IF(E76="A1", COUNTIFS(F:F, "☆☆", E:E, "A1"), 0)))/100, 
   IF(F76="☆☆☆", ((N9 * 100) / (COUNTIFS(F:F, "☆☆☆", E:E, E76) + COUNTIFS(F:F, "☆☆☆", E:E, "A1") + IF(E76="A1", COUNTIFS(F:F, "☆☆☆", E:E, E2), 0) - IF(E76="A1", COUNTIFS(F:F, "☆☆☆", E:E, "A1"), 0)))/100, 
   IF(F76="♛", ((N10 * 100) / (COUNTIFS(F:F, "♛", E:E, E76) + COUNTIFS(F:F, "♛", E:E, "A1") + IF(E76="A1", COUNTIFS(F:F, "♛", E:E, E2), 0) - IF(E76="A1", COUNTIFS(F:F, "♛", E:E, "A1"), 0)))/100, "")))))))
</f>
        <v>0.01714285714</v>
      </c>
      <c r="J76" s="131"/>
      <c r="K76" s="247"/>
      <c r="L76" s="20"/>
      <c r="M76" s="20"/>
      <c r="N76" s="20"/>
      <c r="O76" s="124" t="s">
        <v>256</v>
      </c>
    </row>
    <row r="77">
      <c r="A77" s="125" t="b">
        <f t="shared" si="1"/>
        <v>0</v>
      </c>
      <c r="B77" s="126">
        <v>0.0</v>
      </c>
      <c r="C77" s="127" t="s">
        <v>257</v>
      </c>
      <c r="D77" s="128" t="s">
        <v>258</v>
      </c>
      <c r="E77" s="128" t="s">
        <v>32</v>
      </c>
      <c r="F77" s="127" t="s">
        <v>51</v>
      </c>
      <c r="G77" s="130" t="str">
        <f>IF(F77="♢", ((L3 * 100) / (COUNTIFS(F:F, "♢", E:E, E77) + COUNTIFS(F:F, "♢", E:E, "A1") + IF(E77="A1", COUNTIFS(F:F, "♢", E:E, E2), 0) - IF(E77="A1", COUNTIFS(F:F, "♢", E:E, "A1"), 0)))/100, "")
</f>
        <v/>
      </c>
      <c r="H77" s="129">
        <f>IF(F77="♢♢", ((M4 * 100) / (COUNTIFS(F:F, "♢♢", E:E, E77) + COUNTIFS(F:F, "♢♢", E:E, "A1") + IF(E77="A1", COUNTIFS(F:F, "♢♢", E:E, E2), 0) - IF(E77="A1", COUNTIFS(F:F, "♢♢", E:E, "A1"), 0)))/100, 
   IF(F77="♢♢♢", ((M5 * 100) / (COUNTIFS(F:F, "♢♢♢", E:E, E77) + COUNTIFS(F:F, "♢♢♢", E:E, "A1") + IF(E77="A1", COUNTIFS(F:F, "♢♢♢", E:E, E2), 0) - IF(E77="A1", COUNTIFS(F:F, "♢♢♢", E:E, "A1"), 0)))/100, 
   IF(F77="♢♢♢♢", ((M6 * 100) / (COUNTIFS(F:F, "♢♢♢♢", E:E, E77) + COUNTIFS(F:F, "♢♢♢♢", E:E, "A1") + IF(E77="A1", COUNTIFS(F:F, "♢♢♢♢", E:E, E2), 0) - IF(E77="A1", COUNTIFS(F:F, "♢♢♢♢", E:E, "A1"), 0)))/100, 
   IF(F77="☆", ((M7 * 100) / (COUNTIFS(F:F, "☆", E:E, E77) + COUNTIFS(F:F, "☆", E:E, "A1") + IF(E77="A1", COUNTIFS(F:F, "☆", E:E, E2), 0) - IF(E77="A1", COUNTIFS(F:F, "☆", E:E, "A1"), 0)))/100, 
   IF(F77="☆☆", ((M8 * 100) / (COUNTIFS(F:F, "☆☆", E:E, E77) + COUNTIFS(F:F, "☆☆", E:E, "A1") + IF(E77="A1", COUNTIFS(F:F, "☆☆", E:E, E2), 0) - IF(E77="A1", COUNTIFS(F:F, "☆☆", E:E, "A1"), 0)))/100, 
   IF(F77="☆☆☆", ((M9 * 100) / (COUNTIFS(F:F, "☆☆☆", E:E, E77) + COUNTIFS(F:F, "☆☆☆", E:E, "A1") + IF(E77="A1", COUNTIFS(F:F, "☆☆☆", E:E, E2), 0) - IF(E77="A1", COUNTIFS(F:F, "☆☆☆", E:E, "A1"), 0)))/100, 
   IF(F77="♛", ((M10 * 100) / (COUNTIFS(F:F, "♛", E:E, E77) + COUNTIFS(F:F, "♛", E:E, "A1") + IF(E77="A1", COUNTIFS(F:F, "♛", E:E, E2), 0) - IF(E77="A1", COUNTIFS(F:F, "♛", E:E, "A1"), 0)))/100, "")))))))
</f>
        <v>0.003332</v>
      </c>
      <c r="I77" s="129">
        <f>IF(F77="♢♢", ((N4 * 100) / (COUNTIFS(F:F, "♢♢", E:E, E77) + COUNTIFS(F:F, "♢♢", E:E, "A1") + IF(E77="A1", COUNTIFS(F:F, "♢♢", E:E, E2), 0) - IF(E77="A1", COUNTIFS(F:F, "♢♢", E:E, "A1"), 0)))/100, 
   IF(F77="♢♢♢", ((N5 * 100) / (COUNTIFS(F:F, "♢♢♢", E:E, E77) + COUNTIFS(F:F, "♢♢♢", E:E, "A1") + IF(E77="A1", COUNTIFS(F:F, "♢♢♢", E:E, E2), 0) - IF(E77="A1", COUNTIFS(F:F, "♢♢♢", E:E, "A1"), 0)))/100, 
   IF(F77="♢♢♢♢", ((N6 * 100) / (COUNTIFS(F:F, "♢♢♢♢", E:E, E77) + COUNTIFS(F:F, "♢♢♢♢", E:E, "A1") + IF(E77="A1", COUNTIFS(F:F, "♢♢♢♢", E:E, E2), 0) - IF(E77="A1", COUNTIFS(F:F, "♢♢♢♢", E:E, "A1"), 0)))/100, 
   IF(F77="☆", ((N7 * 100) / (COUNTIFS(F:F, "☆", E:E, E77) + COUNTIFS(F:F, "☆", E:E, "A1") + IF(E77="A1", COUNTIFS(F:F, "☆", E:E, E2), 0) - IF(E77="A1", COUNTIFS(F:F, "☆", E:E, "A1"), 0)))/100, 
   IF(F77="☆☆", ((N8 * 100) / (COUNTIFS(F:F, "☆☆", E:E, E77) + COUNTIFS(F:F, "☆☆", E:E, "A1") + IF(E77="A1", COUNTIFS(F:F, "☆☆", E:E, E2), 0) - IF(E77="A1", COUNTIFS(F:F, "☆☆", E:E, "A1"), 0)))/100, 
   IF(F77="☆☆☆", ((N9 * 100) / (COUNTIFS(F:F, "☆☆☆", E:E, E77) + COUNTIFS(F:F, "☆☆☆", E:E, "A1") + IF(E77="A1", COUNTIFS(F:F, "☆☆☆", E:E, E2), 0) - IF(E77="A1", COUNTIFS(F:F, "☆☆☆", E:E, "A1"), 0)))/100, 
   IF(F77="♛", ((N10 * 100) / (COUNTIFS(F:F, "♛", E:E, E77) + COUNTIFS(F:F, "♛", E:E, "A1") + IF(E77="A1", COUNTIFS(F:F, "♛", E:E, E2), 0) - IF(E77="A1", COUNTIFS(F:F, "♛", E:E, "A1"), 0)))/100, "")))))))
</f>
        <v>0.013328</v>
      </c>
      <c r="J77" s="131"/>
      <c r="K77" s="247"/>
      <c r="L77" s="20"/>
      <c r="M77" s="20"/>
      <c r="N77" s="20"/>
    </row>
    <row r="78">
      <c r="A78" s="125" t="b">
        <f t="shared" si="1"/>
        <v>0</v>
      </c>
      <c r="B78" s="126">
        <v>0.0</v>
      </c>
      <c r="C78" s="127" t="s">
        <v>259</v>
      </c>
      <c r="D78" s="127" t="s">
        <v>260</v>
      </c>
      <c r="E78" s="128" t="s">
        <v>31</v>
      </c>
      <c r="F78" s="127" t="s">
        <v>44</v>
      </c>
      <c r="G78" s="129">
        <f>IF(F78="♢", ((L3 * 100) / (COUNTIFS(F:F, "♢", E:E, E78) + COUNTIFS(F:F, "♢", E:E, "A1") + IF(E78="A1", COUNTIFS(F:F, "♢", E:E, E2), 0) - IF(E78="A1", COUNTIFS(F:F, "♢", E:E, "A1"), 0)))/100, "")
</f>
        <v>0.02</v>
      </c>
      <c r="H78" s="130" t="str">
        <f>IF(F78="♢♢", ((M4 * 100) / (COUNTIFS(F:F, "♢♢", E:E, E78) + COUNTIFS(F:F, "♢♢", E:E, "A1") + IF(E78="A1", COUNTIFS(F:F, "♢♢", E:E, E2), 0) - IF(E78="A1", COUNTIFS(F:F, "♢♢", E:E, "A1"), 0)))/100, 
   IF(F78="♢♢♢", ((M5 * 100) / (COUNTIFS(F:F, "♢♢♢", E:E, E78) + COUNTIFS(F:F, "♢♢♢", E:E, "A1") + IF(E78="A1", COUNTIFS(F:F, "♢♢♢", E:E, E2), 0) - IF(E78="A1", COUNTIFS(F:F, "♢♢♢", E:E, "A1"), 0)))/100, 
   IF(F78="♢♢♢♢", ((M6 * 100) / (COUNTIFS(F:F, "♢♢♢♢", E:E, E78) + COUNTIFS(F:F, "♢♢♢♢", E:E, "A1") + IF(E78="A1", COUNTIFS(F:F, "♢♢♢♢", E:E, E2), 0) - IF(E78="A1", COUNTIFS(F:F, "♢♢♢♢", E:E, "A1"), 0)))/100, 
   IF(F78="☆", ((M7 * 100) / (COUNTIFS(F:F, "☆", E:E, E78) + COUNTIFS(F:F, "☆", E:E, "A1") + IF(E78="A1", COUNTIFS(F:F, "☆", E:E, E2), 0) - IF(E78="A1", COUNTIFS(F:F, "☆", E:E, "A1"), 0)))/100, 
   IF(F78="☆☆", ((M8 * 100) / (COUNTIFS(F:F, "☆☆", E:E, E78) + COUNTIFS(F:F, "☆☆", E:E, "A1") + IF(E78="A1", COUNTIFS(F:F, "☆☆", E:E, E2), 0) - IF(E78="A1", COUNTIFS(F:F, "☆☆", E:E, "A1"), 0)))/100, 
   IF(F78="☆☆☆", ((M9 * 100) / (COUNTIFS(F:F, "☆☆☆", E:E, E78) + COUNTIFS(F:F, "☆☆☆", E:E, "A1") + IF(E78="A1", COUNTIFS(F:F, "☆☆☆", E:E, E2), 0) - IF(E78="A1", COUNTIFS(F:F, "☆☆☆", E:E, "A1"), 0)))/100, 
   IF(F78="♛", ((M10 * 100) / (COUNTIFS(F:F, "♛", E:E, E78) + COUNTIFS(F:F, "♛", E:E, "A1") + IF(E78="A1", COUNTIFS(F:F, "♛", E:E, E2), 0) - IF(E78="A1", COUNTIFS(F:F, "♛", E:E, "A1"), 0)))/100, "")))))))
</f>
        <v/>
      </c>
      <c r="I78" s="130" t="str">
        <f>IF(F78="♢♢", ((N4 * 100) / (COUNTIFS(F:F, "♢♢", E:E, E78) + COUNTIFS(F:F, "♢♢", E:E, "A1") + IF(E78="A1", COUNTIFS(F:F, "♢♢", E:E, E2), 0) - IF(E78="A1", COUNTIFS(F:F, "♢♢", E:E, "A1"), 0)))/100, 
   IF(F78="♢♢♢", ((N5 * 100) / (COUNTIFS(F:F, "♢♢♢", E:E, E78) + COUNTIFS(F:F, "♢♢♢", E:E, "A1") + IF(E78="A1", COUNTIFS(F:F, "♢♢♢", E:E, E2), 0) - IF(E78="A1", COUNTIFS(F:F, "♢♢♢", E:E, "A1"), 0)))/100, 
   IF(F78="♢♢♢♢", ((N6 * 100) / (COUNTIFS(F:F, "♢♢♢♢", E:E, E78) + COUNTIFS(F:F, "♢♢♢♢", E:E, "A1") + IF(E78="A1", COUNTIFS(F:F, "♢♢♢♢", E:E, E2), 0) - IF(E78="A1", COUNTIFS(F:F, "♢♢♢♢", E:E, "A1"), 0)))/100, 
   IF(F78="☆", ((N7 * 100) / (COUNTIFS(F:F, "☆", E:E, E78) + COUNTIFS(F:F, "☆", E:E, "A1") + IF(E78="A1", COUNTIFS(F:F, "☆", E:E, E2), 0) - IF(E78="A1", COUNTIFS(F:F, "☆", E:E, "A1"), 0)))/100, 
   IF(F78="☆☆", ((N8 * 100) / (COUNTIFS(F:F, "☆☆", E:E, E78) + COUNTIFS(F:F, "☆☆", E:E, "A1") + IF(E78="A1", COUNTIFS(F:F, "☆☆", E:E, E2), 0) - IF(E78="A1", COUNTIFS(F:F, "☆☆", E:E, "A1"), 0)))/100, 
   IF(F78="☆☆☆", ((N9 * 100) / (COUNTIFS(F:F, "☆☆☆", E:E, E78) + COUNTIFS(F:F, "☆☆☆", E:E, "A1") + IF(E78="A1", COUNTIFS(F:F, "☆☆☆", E:E, E2), 0) - IF(E78="A1", COUNTIFS(F:F, "☆☆☆", E:E, "A1"), 0)))/100, 
   IF(F78="♛", ((N10 * 100) / (COUNTIFS(F:F, "♛", E:E, E78) + COUNTIFS(F:F, "♛", E:E, "A1") + IF(E78="A1", COUNTIFS(F:F, "♛", E:E, E2), 0) - IF(E78="A1", COUNTIFS(F:F, "♛", E:E, "A1"), 0)))/100, "")))))))
</f>
        <v/>
      </c>
      <c r="J78" s="131"/>
      <c r="K78" s="247"/>
      <c r="L78" s="20"/>
      <c r="M78" s="20"/>
      <c r="N78" s="20"/>
    </row>
    <row r="79">
      <c r="A79" s="125" t="b">
        <f t="shared" si="1"/>
        <v>0</v>
      </c>
      <c r="B79" s="126">
        <v>0.0</v>
      </c>
      <c r="C79" s="127" t="s">
        <v>261</v>
      </c>
      <c r="D79" s="127" t="s">
        <v>262</v>
      </c>
      <c r="E79" s="128" t="s">
        <v>31</v>
      </c>
      <c r="F79" s="127" t="s">
        <v>48</v>
      </c>
      <c r="G79" s="130" t="str">
        <f>IF(F79="♢", ((L3 * 100) / (COUNTIFS(F:F, "♢", E:E, E79) + COUNTIFS(F:F, "♢", E:E, "A1") + IF(E79="A1", COUNTIFS(F:F, "♢", E:E, E2), 0) - IF(E79="A1", COUNTIFS(F:F, "♢", E:E, "A1"), 0)))/100, "")
</f>
        <v/>
      </c>
      <c r="H79" s="129">
        <f>IF(F79="♢♢", ((M4 * 100) / (COUNTIFS(F:F, "♢♢", E:E, E79) + COUNTIFS(F:F, "♢♢", E:E, "A1") + IF(E79="A1", COUNTIFS(F:F, "♢♢", E:E, E2), 0) - IF(E79="A1", COUNTIFS(F:F, "♢♢", E:E, "A1"), 0)))/100, 
   IF(F79="♢♢♢", ((M5 * 100) / (COUNTIFS(F:F, "♢♢♢", E:E, E79) + COUNTIFS(F:F, "♢♢♢", E:E, "A1") + IF(E79="A1", COUNTIFS(F:F, "♢♢♢", E:E, E2), 0) - IF(E79="A1", COUNTIFS(F:F, "♢♢♢", E:E, "A1"), 0)))/100, 
   IF(F79="♢♢♢♢", ((M6 * 100) / (COUNTIFS(F:F, "♢♢♢♢", E:E, E79) + COUNTIFS(F:F, "♢♢♢♢", E:E, "A1") + IF(E79="A1", COUNTIFS(F:F, "♢♢♢♢", E:E, E2), 0) - IF(E79="A1", COUNTIFS(F:F, "♢♢♢♢", E:E, "A1"), 0)))/100, 
   IF(F79="☆", ((M7 * 100) / (COUNTIFS(F:F, "☆", E:E, E79) + COUNTIFS(F:F, "☆", E:E, "A1") + IF(E79="A1", COUNTIFS(F:F, "☆", E:E, E2), 0) - IF(E79="A1", COUNTIFS(F:F, "☆", E:E, "A1"), 0)))/100, 
   IF(F79="☆☆", ((M8 * 100) / (COUNTIFS(F:F, "☆☆", E:E, E79) + COUNTIFS(F:F, "☆☆", E:E, "A1") + IF(E79="A1", COUNTIFS(F:F, "☆☆", E:E, E2), 0) - IF(E79="A1", COUNTIFS(F:F, "☆☆", E:E, "A1"), 0)))/100, 
   IF(F79="☆☆☆", ((M9 * 100) / (COUNTIFS(F:F, "☆☆☆", E:E, E79) + COUNTIFS(F:F, "☆☆☆", E:E, "A1") + IF(E79="A1", COUNTIFS(F:F, "☆☆☆", E:E, E2), 0) - IF(E79="A1", COUNTIFS(F:F, "☆☆☆", E:E, "A1"), 0)))/100, 
   IF(F79="♛", ((M10 * 100) / (COUNTIFS(F:F, "♛", E:E, E79) + COUNTIFS(F:F, "♛", E:E, "A1") + IF(E79="A1", COUNTIFS(F:F, "♛", E:E, E2), 0) - IF(E79="A1", COUNTIFS(F:F, "♛", E:E, "A1"), 0)))/100, "")))))))
</f>
        <v>0.003571428571</v>
      </c>
      <c r="I79" s="129">
        <f>IF(F79="♢♢", ((N4 * 100) / (COUNTIFS(F:F, "♢♢", E:E, E79) + COUNTIFS(F:F, "♢♢", E:E, "A1") + IF(E79="A1", COUNTIFS(F:F, "♢♢", E:E, E2), 0) - IF(E79="A1", COUNTIFS(F:F, "♢♢", E:E, "A1"), 0)))/100, 
   IF(F79="♢♢♢", ((N5 * 100) / (COUNTIFS(F:F, "♢♢♢", E:E, E79) + COUNTIFS(F:F, "♢♢♢", E:E, "A1") + IF(E79="A1", COUNTIFS(F:F, "♢♢♢", E:E, E2), 0) - IF(E79="A1", COUNTIFS(F:F, "♢♢♢", E:E, "A1"), 0)))/100, 
   IF(F79="♢♢♢♢", ((N6 * 100) / (COUNTIFS(F:F, "♢♢♢♢", E:E, E79) + COUNTIFS(F:F, "♢♢♢♢", E:E, "A1") + IF(E79="A1", COUNTIFS(F:F, "♢♢♢♢", E:E, E2), 0) - IF(E79="A1", COUNTIFS(F:F, "♢♢♢♢", E:E, "A1"), 0)))/100, 
   IF(F79="☆", ((N7 * 100) / (COUNTIFS(F:F, "☆", E:E, E79) + COUNTIFS(F:F, "☆", E:E, "A1") + IF(E79="A1", COUNTIFS(F:F, "☆", E:E, E2), 0) - IF(E79="A1", COUNTIFS(F:F, "☆", E:E, "A1"), 0)))/100, 
   IF(F79="☆☆", ((N8 * 100) / (COUNTIFS(F:F, "☆☆", E:E, E79) + COUNTIFS(F:F, "☆☆", E:E, "A1") + IF(E79="A1", COUNTIFS(F:F, "☆☆", E:E, E2), 0) - IF(E79="A1", COUNTIFS(F:F, "☆☆", E:E, "A1"), 0)))/100, 
   IF(F79="☆☆☆", ((N9 * 100) / (COUNTIFS(F:F, "☆☆☆", E:E, E79) + COUNTIFS(F:F, "☆☆☆", E:E, "A1") + IF(E79="A1", COUNTIFS(F:F, "☆☆☆", E:E, E2), 0) - IF(E79="A1", COUNTIFS(F:F, "☆☆☆", E:E, "A1"), 0)))/100, 
   IF(F79="♛", ((N10 * 100) / (COUNTIFS(F:F, "♛", E:E, E79) + COUNTIFS(F:F, "♛", E:E, "A1") + IF(E79="A1", COUNTIFS(F:F, "♛", E:E, E2), 0) - IF(E79="A1", COUNTIFS(F:F, "♛", E:E, "A1"), 0)))/100, "")))))))
</f>
        <v>0.01428571429</v>
      </c>
      <c r="J79" s="131"/>
      <c r="K79" s="247"/>
      <c r="L79" s="20"/>
      <c r="M79" s="20"/>
      <c r="N79" s="20"/>
    </row>
    <row r="80">
      <c r="A80" s="125" t="b">
        <f t="shared" si="1"/>
        <v>0</v>
      </c>
      <c r="B80" s="126">
        <v>0.0</v>
      </c>
      <c r="C80" s="127" t="s">
        <v>263</v>
      </c>
      <c r="D80" s="127" t="s">
        <v>264</v>
      </c>
      <c r="E80" s="128" t="s">
        <v>32</v>
      </c>
      <c r="F80" s="127" t="s">
        <v>48</v>
      </c>
      <c r="G80" s="130" t="str">
        <f>IF(F80="♢", ((L3 * 100) / (COUNTIFS(F:F, "♢", E:E, E80) + COUNTIFS(F:F, "♢", E:E, "A1") + IF(E80="A1", COUNTIFS(F:F, "♢", E:E, E2), 0) - IF(E80="A1", COUNTIFS(F:F, "♢", E:E, "A1"), 0)))/100, "")
</f>
        <v/>
      </c>
      <c r="H80" s="129">
        <f>IF(F80="♢♢", ((M4 * 100) / (COUNTIFS(F:F, "♢♢", E:E, E80) + COUNTIFS(F:F, "♢♢", E:E, "A1") + IF(E80="A1", COUNTIFS(F:F, "♢♢", E:E, E2), 0) - IF(E80="A1", COUNTIFS(F:F, "♢♢", E:E, "A1"), 0)))/100, 
   IF(F80="♢♢♢", ((M5 * 100) / (COUNTIFS(F:F, "♢♢♢", E:E, E80) + COUNTIFS(F:F, "♢♢♢", E:E, "A1") + IF(E80="A1", COUNTIFS(F:F, "♢♢♢", E:E, E2), 0) - IF(E80="A1", COUNTIFS(F:F, "♢♢♢", E:E, "A1"), 0)))/100, 
   IF(F80="♢♢♢♢", ((M6 * 100) / (COUNTIFS(F:F, "♢♢♢♢", E:E, E80) + COUNTIFS(F:F, "♢♢♢♢", E:E, "A1") + IF(E80="A1", COUNTIFS(F:F, "♢♢♢♢", E:E, E2), 0) - IF(E80="A1", COUNTIFS(F:F, "♢♢♢♢", E:E, "A1"), 0)))/100, 
   IF(F80="☆", ((M7 * 100) / (COUNTIFS(F:F, "☆", E:E, E80) + COUNTIFS(F:F, "☆", E:E, "A1") + IF(E80="A1", COUNTIFS(F:F, "☆", E:E, E2), 0) - IF(E80="A1", COUNTIFS(F:F, "☆", E:E, "A1"), 0)))/100, 
   IF(F80="☆☆", ((M8 * 100) / (COUNTIFS(F:F, "☆☆", E:E, E80) + COUNTIFS(F:F, "☆☆", E:E, "A1") + IF(E80="A1", COUNTIFS(F:F, "☆☆", E:E, E2), 0) - IF(E80="A1", COUNTIFS(F:F, "☆☆", E:E, "A1"), 0)))/100, 
   IF(F80="☆☆☆", ((M9 * 100) / (COUNTIFS(F:F, "☆☆☆", E:E, E80) + COUNTIFS(F:F, "☆☆☆", E:E, "A1") + IF(E80="A1", COUNTIFS(F:F, "☆☆☆", E:E, E2), 0) - IF(E80="A1", COUNTIFS(F:F, "☆☆☆", E:E, "A1"), 0)))/100, 
   IF(F80="♛", ((M10 * 100) / (COUNTIFS(F:F, "♛", E:E, E80) + COUNTIFS(F:F, "♛", E:E, "A1") + IF(E80="A1", COUNTIFS(F:F, "♛", E:E, E2), 0) - IF(E80="A1", COUNTIFS(F:F, "♛", E:E, "A1"), 0)))/100, "")))))))
</f>
        <v>0.003571428571</v>
      </c>
      <c r="I80" s="129">
        <f>IF(F80="♢♢", ((N4 * 100) / (COUNTIFS(F:F, "♢♢", E:E, E80) + COUNTIFS(F:F, "♢♢", E:E, "A1") + IF(E80="A1", COUNTIFS(F:F, "♢♢", E:E, E2), 0) - IF(E80="A1", COUNTIFS(F:F, "♢♢", E:E, "A1"), 0)))/100, 
   IF(F80="♢♢♢", ((N5 * 100) / (COUNTIFS(F:F, "♢♢♢", E:E, E80) + COUNTIFS(F:F, "♢♢♢", E:E, "A1") + IF(E80="A1", COUNTIFS(F:F, "♢♢♢", E:E, E2), 0) - IF(E80="A1", COUNTIFS(F:F, "♢♢♢", E:E, "A1"), 0)))/100, 
   IF(F80="♢♢♢♢", ((N6 * 100) / (COUNTIFS(F:F, "♢♢♢♢", E:E, E80) + COUNTIFS(F:F, "♢♢♢♢", E:E, "A1") + IF(E80="A1", COUNTIFS(F:F, "♢♢♢♢", E:E, E2), 0) - IF(E80="A1", COUNTIFS(F:F, "♢♢♢♢", E:E, "A1"), 0)))/100, 
   IF(F80="☆", ((N7 * 100) / (COUNTIFS(F:F, "☆", E:E, E80) + COUNTIFS(F:F, "☆", E:E, "A1") + IF(E80="A1", COUNTIFS(F:F, "☆", E:E, E2), 0) - IF(E80="A1", COUNTIFS(F:F, "☆", E:E, "A1"), 0)))/100, 
   IF(F80="☆☆", ((N8 * 100) / (COUNTIFS(F:F, "☆☆", E:E, E80) + COUNTIFS(F:F, "☆☆", E:E, "A1") + IF(E80="A1", COUNTIFS(F:F, "☆☆", E:E, E2), 0) - IF(E80="A1", COUNTIFS(F:F, "☆☆", E:E, "A1"), 0)))/100, 
   IF(F80="☆☆☆", ((N9 * 100) / (COUNTIFS(F:F, "☆☆☆", E:E, E80) + COUNTIFS(F:F, "☆☆☆", E:E, "A1") + IF(E80="A1", COUNTIFS(F:F, "☆☆☆", E:E, E2), 0) - IF(E80="A1", COUNTIFS(F:F, "☆☆☆", E:E, "A1"), 0)))/100, 
   IF(F80="♛", ((N10 * 100) / (COUNTIFS(F:F, "♛", E:E, E80) + COUNTIFS(F:F, "♛", E:E, "A1") + IF(E80="A1", COUNTIFS(F:F, "♛", E:E, E2), 0) - IF(E80="A1", COUNTIFS(F:F, "♛", E:E, "A1"), 0)))/100, "")))))))
</f>
        <v>0.01428571429</v>
      </c>
      <c r="J80" s="131"/>
      <c r="K80" s="247"/>
      <c r="L80" s="20"/>
      <c r="M80" s="20"/>
      <c r="N80" s="20"/>
      <c r="O80" s="248" t="s">
        <v>265</v>
      </c>
    </row>
    <row r="81">
      <c r="A81" s="125" t="b">
        <f t="shared" si="1"/>
        <v>0</v>
      </c>
      <c r="B81" s="126">
        <v>0.0</v>
      </c>
      <c r="C81" s="127" t="s">
        <v>266</v>
      </c>
      <c r="D81" s="127" t="s">
        <v>267</v>
      </c>
      <c r="E81" s="128" t="s">
        <v>29</v>
      </c>
      <c r="F81" s="127" t="s">
        <v>48</v>
      </c>
      <c r="G81" s="130" t="str">
        <f>IF(F81="♢", ((L3 * 100) / (COUNTIFS(F:F, "♢", E:E, E81) + COUNTIFS(F:F, "♢", E:E, "A1") + IF(E81="A1", COUNTIFS(F:F, "♢", E:E, E2), 0) - IF(E81="A1", COUNTIFS(F:F, "♢", E:E, "A1"), 0)))/100, "")
</f>
        <v/>
      </c>
      <c r="H81" s="129">
        <f>IF(F81="♢♢", ((M4 * 100) / (COUNTIFS(F:F, "♢♢", E:E, E81) + COUNTIFS(F:F, "♢♢", E:E, "A1") + IF(E81="A1", COUNTIFS(F:F, "♢♢", E:E, E2), 0) - IF(E81="A1", COUNTIFS(F:F, "♢♢", E:E, "A1"), 0)))/100, 
   IF(F81="♢♢♢", ((M5 * 100) / (COUNTIFS(F:F, "♢♢♢", E:E, E81) + COUNTIFS(F:F, "♢♢♢", E:E, "A1") + IF(E81="A1", COUNTIFS(F:F, "♢♢♢", E:E, E2), 0) - IF(E81="A1", COUNTIFS(F:F, "♢♢♢", E:E, "A1"), 0)))/100, 
   IF(F81="♢♢♢♢", ((M6 * 100) / (COUNTIFS(F:F, "♢♢♢♢", E:E, E81) + COUNTIFS(F:F, "♢♢♢♢", E:E, "A1") + IF(E81="A1", COUNTIFS(F:F, "♢♢♢♢", E:E, E2), 0) - IF(E81="A1", COUNTIFS(F:F, "♢♢♢♢", E:E, "A1"), 0)))/100, 
   IF(F81="☆", ((M7 * 100) / (COUNTIFS(F:F, "☆", E:E, E81) + COUNTIFS(F:F, "☆", E:E, "A1") + IF(E81="A1", COUNTIFS(F:F, "☆", E:E, E2), 0) - IF(E81="A1", COUNTIFS(F:F, "☆", E:E, "A1"), 0)))/100, 
   IF(F81="☆☆", ((M8 * 100) / (COUNTIFS(F:F, "☆☆", E:E, E81) + COUNTIFS(F:F, "☆☆", E:E, "A1") + IF(E81="A1", COUNTIFS(F:F, "☆☆", E:E, E2), 0) - IF(E81="A1", COUNTIFS(F:F, "☆☆", E:E, "A1"), 0)))/100, 
   IF(F81="☆☆☆", ((M9 * 100) / (COUNTIFS(F:F, "☆☆☆", E:E, E81) + COUNTIFS(F:F, "☆☆☆", E:E, "A1") + IF(E81="A1", COUNTIFS(F:F, "☆☆☆", E:E, E2), 0) - IF(E81="A1", COUNTIFS(F:F, "☆☆☆", E:E, "A1"), 0)))/100, 
   IF(F81="♛", ((M10 * 100) / (COUNTIFS(F:F, "♛", E:E, E81) + COUNTIFS(F:F, "♛", E:E, "A1") + IF(E81="A1", COUNTIFS(F:F, "♛", E:E, E2), 0) - IF(E81="A1", COUNTIFS(F:F, "♛", E:E, "A1"), 0)))/100, "")))))))
</f>
        <v>0.003571428571</v>
      </c>
      <c r="I81" s="129">
        <f>IF(F81="♢♢", ((N4 * 100) / (COUNTIFS(F:F, "♢♢", E:E, E81) + COUNTIFS(F:F, "♢♢", E:E, "A1") + IF(E81="A1", COUNTIFS(F:F, "♢♢", E:E, E2), 0) - IF(E81="A1", COUNTIFS(F:F, "♢♢", E:E, "A1"), 0)))/100, 
   IF(F81="♢♢♢", ((N5 * 100) / (COUNTIFS(F:F, "♢♢♢", E:E, E81) + COUNTIFS(F:F, "♢♢♢", E:E, "A1") + IF(E81="A1", COUNTIFS(F:F, "♢♢♢", E:E, E2), 0) - IF(E81="A1", COUNTIFS(F:F, "♢♢♢", E:E, "A1"), 0)))/100, 
   IF(F81="♢♢♢♢", ((N6 * 100) / (COUNTIFS(F:F, "♢♢♢♢", E:E, E81) + COUNTIFS(F:F, "♢♢♢♢", E:E, "A1") + IF(E81="A1", COUNTIFS(F:F, "♢♢♢♢", E:E, E2), 0) - IF(E81="A1", COUNTIFS(F:F, "♢♢♢♢", E:E, "A1"), 0)))/100, 
   IF(F81="☆", ((N7 * 100) / (COUNTIFS(F:F, "☆", E:E, E81) + COUNTIFS(F:F, "☆", E:E, "A1") + IF(E81="A1", COUNTIFS(F:F, "☆", E:E, E2), 0) - IF(E81="A1", COUNTIFS(F:F, "☆", E:E, "A1"), 0)))/100, 
   IF(F81="☆☆", ((N8 * 100) / (COUNTIFS(F:F, "☆☆", E:E, E81) + COUNTIFS(F:F, "☆☆", E:E, "A1") + IF(E81="A1", COUNTIFS(F:F, "☆☆", E:E, E2), 0) - IF(E81="A1", COUNTIFS(F:F, "☆☆", E:E, "A1"), 0)))/100, 
   IF(F81="☆☆☆", ((N9 * 100) / (COUNTIFS(F:F, "☆☆☆", E:E, E81) + COUNTIFS(F:F, "☆☆☆", E:E, "A1") + IF(E81="A1", COUNTIFS(F:F, "☆☆☆", E:E, E2), 0) - IF(E81="A1", COUNTIFS(F:F, "☆☆☆", E:E, "A1"), 0)))/100, 
   IF(F81="♛", ((N10 * 100) / (COUNTIFS(F:F, "♛", E:E, E81) + COUNTIFS(F:F, "♛", E:E, "A1") + IF(E81="A1", COUNTIFS(F:F, "♛", E:E, E2), 0) - IF(E81="A1", COUNTIFS(F:F, "♛", E:E, "A1"), 0)))/100, "")))))))
</f>
        <v>0.01428571429</v>
      </c>
      <c r="J81" s="131"/>
      <c r="K81" s="247"/>
      <c r="L81" s="20"/>
      <c r="M81" s="20"/>
      <c r="N81" s="20"/>
    </row>
    <row r="82">
      <c r="A82" s="125" t="b">
        <f t="shared" si="1"/>
        <v>0</v>
      </c>
      <c r="B82" s="126">
        <v>0.0</v>
      </c>
      <c r="C82" s="127" t="s">
        <v>268</v>
      </c>
      <c r="D82" s="127" t="s">
        <v>269</v>
      </c>
      <c r="E82" s="128" t="s">
        <v>31</v>
      </c>
      <c r="F82" s="127" t="s">
        <v>46</v>
      </c>
      <c r="G82" s="130" t="str">
        <f>IF(F82="♢", ((L3 * 100) / (COUNTIFS(F:F, "♢", E:E, E82) + COUNTIFS(F:F, "♢", E:E, "A1") + IF(E82="A1", COUNTIFS(F:F, "♢", E:E, E2), 0) - IF(E82="A1", COUNTIFS(F:F, "♢", E:E, "A1"), 0)))/100, "")
</f>
        <v/>
      </c>
      <c r="H82" s="129">
        <f>IF(F82="♢♢", ((M4 * 100) / (COUNTIFS(F:F, "♢♢", E:E, E82) + COUNTIFS(F:F, "♢♢", E:E, "A1") + IF(E82="A1", COUNTIFS(F:F, "♢♢", E:E, E2), 0) - IF(E82="A1", COUNTIFS(F:F, "♢♢", E:E, "A1"), 0)))/100, 
   IF(F82="♢♢♢", ((M5 * 100) / (COUNTIFS(F:F, "♢♢♢", E:E, E82) + COUNTIFS(F:F, "♢♢♢", E:E, "A1") + IF(E82="A1", COUNTIFS(F:F, "♢♢♢", E:E, E2), 0) - IF(E82="A1", COUNTIFS(F:F, "♢♢♢", E:E, "A1"), 0)))/100, 
   IF(F82="♢♢♢♢", ((M6 * 100) / (COUNTIFS(F:F, "♢♢♢♢", E:E, E82) + COUNTIFS(F:F, "♢♢♢♢", E:E, "A1") + IF(E82="A1", COUNTIFS(F:F, "♢♢♢♢", E:E, E2), 0) - IF(E82="A1", COUNTIFS(F:F, "♢♢♢♢", E:E, "A1"), 0)))/100, 
   IF(F82="☆", ((M7 * 100) / (COUNTIFS(F:F, "☆", E:E, E82) + COUNTIFS(F:F, "☆", E:E, "A1") + IF(E82="A1", COUNTIFS(F:F, "☆", E:E, E2), 0) - IF(E82="A1", COUNTIFS(F:F, "☆", E:E, "A1"), 0)))/100, 
   IF(F82="☆☆", ((M8 * 100) / (COUNTIFS(F:F, "☆☆", E:E, E82) + COUNTIFS(F:F, "☆☆", E:E, "A1") + IF(E82="A1", COUNTIFS(F:F, "☆☆", E:E, E2), 0) - IF(E82="A1", COUNTIFS(F:F, "☆☆", E:E, "A1"), 0)))/100, 
   IF(F82="☆☆☆", ((M9 * 100) / (COUNTIFS(F:F, "☆☆☆", E:E, E82) + COUNTIFS(F:F, "☆☆☆", E:E, "A1") + IF(E82="A1", COUNTIFS(F:F, "☆☆☆", E:E, E2), 0) - IF(E82="A1", COUNTIFS(F:F, "☆☆☆", E:E, "A1"), 0)))/100, 
   IF(F82="♛", ((M10 * 100) / (COUNTIFS(F:F, "♛", E:E, E82) + COUNTIFS(F:F, "♛", E:E, "A1") + IF(E82="A1", COUNTIFS(F:F, "♛", E:E, E2), 0) - IF(E82="A1", COUNTIFS(F:F, "♛", E:E, "A1"), 0)))/100, "")))))))
</f>
        <v>0.02571428571</v>
      </c>
      <c r="I82" s="129">
        <f>IF(F82="♢♢", ((N4 * 100) / (COUNTIFS(F:F, "♢♢", E:E, E82) + COUNTIFS(F:F, "♢♢", E:E, "A1") + IF(E82="A1", COUNTIFS(F:F, "♢♢", E:E, E2), 0) - IF(E82="A1", COUNTIFS(F:F, "♢♢", E:E, "A1"), 0)))/100, 
   IF(F82="♢♢♢", ((N5 * 100) / (COUNTIFS(F:F, "♢♢♢", E:E, E82) + COUNTIFS(F:F, "♢♢♢", E:E, "A1") + IF(E82="A1", COUNTIFS(F:F, "♢♢♢", E:E, E2), 0) - IF(E82="A1", COUNTIFS(F:F, "♢♢♢", E:E, "A1"), 0)))/100, 
   IF(F82="♢♢♢♢", ((N6 * 100) / (COUNTIFS(F:F, "♢♢♢♢", E:E, E82) + COUNTIFS(F:F, "♢♢♢♢", E:E, "A1") + IF(E82="A1", COUNTIFS(F:F, "♢♢♢♢", E:E, E2), 0) - IF(E82="A1", COUNTIFS(F:F, "♢♢♢♢", E:E, "A1"), 0)))/100, 
   IF(F82="☆", ((N7 * 100) / (COUNTIFS(F:F, "☆", E:E, E82) + COUNTIFS(F:F, "☆", E:E, "A1") + IF(E82="A1", COUNTIFS(F:F, "☆", E:E, E2), 0) - IF(E82="A1", COUNTIFS(F:F, "☆", E:E, "A1"), 0)))/100, 
   IF(F82="☆☆", ((N8 * 100) / (COUNTIFS(F:F, "☆☆", E:E, E82) + COUNTIFS(F:F, "☆☆", E:E, "A1") + IF(E82="A1", COUNTIFS(F:F, "☆☆", E:E, E2), 0) - IF(E82="A1", COUNTIFS(F:F, "☆☆", E:E, "A1"), 0)))/100, 
   IF(F82="☆☆☆", ((N9 * 100) / (COUNTIFS(F:F, "☆☆☆", E:E, E82) + COUNTIFS(F:F, "☆☆☆", E:E, "A1") + IF(E82="A1", COUNTIFS(F:F, "☆☆☆", E:E, E2), 0) - IF(E82="A1", COUNTIFS(F:F, "☆☆☆", E:E, "A1"), 0)))/100, 
   IF(F82="♛", ((N10 * 100) / (COUNTIFS(F:F, "♛", E:E, E82) + COUNTIFS(F:F, "♛", E:E, "A1") + IF(E82="A1", COUNTIFS(F:F, "♛", E:E, E2), 0) - IF(E82="A1", COUNTIFS(F:F, "♛", E:E, "A1"), 0)))/100, "")))))))
</f>
        <v>0.01714285714</v>
      </c>
      <c r="J82" s="131"/>
      <c r="K82" s="247"/>
      <c r="L82" s="20"/>
      <c r="M82" s="20"/>
      <c r="N82" s="20"/>
      <c r="O82" s="124" t="s">
        <v>270</v>
      </c>
    </row>
    <row r="83">
      <c r="A83" s="125" t="b">
        <f t="shared" si="1"/>
        <v>0</v>
      </c>
      <c r="B83" s="126">
        <v>0.0</v>
      </c>
      <c r="C83" s="127" t="s">
        <v>271</v>
      </c>
      <c r="D83" s="127" t="s">
        <v>272</v>
      </c>
      <c r="E83" s="128" t="s">
        <v>31</v>
      </c>
      <c r="F83" s="127" t="s">
        <v>48</v>
      </c>
      <c r="G83" s="130" t="str">
        <f>IF(F83="♢", ((L3 * 100) / (COUNTIFS(F:F, "♢", E:E, E83) + COUNTIFS(F:F, "♢", E:E, "A1") + IF(E83="A1", COUNTIFS(F:F, "♢", E:E, E2), 0) - IF(E83="A1", COUNTIFS(F:F, "♢", E:E, "A1"), 0)))/100, "")
</f>
        <v/>
      </c>
      <c r="H83" s="129">
        <f>IF(F83="♢♢", ((M4 * 100) / (COUNTIFS(F:F, "♢♢", E:E, E83) + COUNTIFS(F:F, "♢♢", E:E, "A1") + IF(E83="A1", COUNTIFS(F:F, "♢♢", E:E, E2), 0) - IF(E83="A1", COUNTIFS(F:F, "♢♢", E:E, "A1"), 0)))/100, 
   IF(F83="♢♢♢", ((M5 * 100) / (COUNTIFS(F:F, "♢♢♢", E:E, E83) + COUNTIFS(F:F, "♢♢♢", E:E, "A1") + IF(E83="A1", COUNTIFS(F:F, "♢♢♢", E:E, E2), 0) - IF(E83="A1", COUNTIFS(F:F, "♢♢♢", E:E, "A1"), 0)))/100, 
   IF(F83="♢♢♢♢", ((M6 * 100) / (COUNTIFS(F:F, "♢♢♢♢", E:E, E83) + COUNTIFS(F:F, "♢♢♢♢", E:E, "A1") + IF(E83="A1", COUNTIFS(F:F, "♢♢♢♢", E:E, E2), 0) - IF(E83="A1", COUNTIFS(F:F, "♢♢♢♢", E:E, "A1"), 0)))/100, 
   IF(F83="☆", ((M7 * 100) / (COUNTIFS(F:F, "☆", E:E, E83) + COUNTIFS(F:F, "☆", E:E, "A1") + IF(E83="A1", COUNTIFS(F:F, "☆", E:E, E2), 0) - IF(E83="A1", COUNTIFS(F:F, "☆", E:E, "A1"), 0)))/100, 
   IF(F83="☆☆", ((M8 * 100) / (COUNTIFS(F:F, "☆☆", E:E, E83) + COUNTIFS(F:F, "☆☆", E:E, "A1") + IF(E83="A1", COUNTIFS(F:F, "☆☆", E:E, E2), 0) - IF(E83="A1", COUNTIFS(F:F, "☆☆", E:E, "A1"), 0)))/100, 
   IF(F83="☆☆☆", ((M9 * 100) / (COUNTIFS(F:F, "☆☆☆", E:E, E83) + COUNTIFS(F:F, "☆☆☆", E:E, "A1") + IF(E83="A1", COUNTIFS(F:F, "☆☆☆", E:E, E2), 0) - IF(E83="A1", COUNTIFS(F:F, "☆☆☆", E:E, "A1"), 0)))/100, 
   IF(F83="♛", ((M10 * 100) / (COUNTIFS(F:F, "♛", E:E, E83) + COUNTIFS(F:F, "♛", E:E, "A1") + IF(E83="A1", COUNTIFS(F:F, "♛", E:E, E2), 0) - IF(E83="A1", COUNTIFS(F:F, "♛", E:E, "A1"), 0)))/100, "")))))))
</f>
        <v>0.003571428571</v>
      </c>
      <c r="I83" s="129">
        <f>IF(F83="♢♢", ((N4 * 100) / (COUNTIFS(F:F, "♢♢", E:E, E83) + COUNTIFS(F:F, "♢♢", E:E, "A1") + IF(E83="A1", COUNTIFS(F:F, "♢♢", E:E, E2), 0) - IF(E83="A1", COUNTIFS(F:F, "♢♢", E:E, "A1"), 0)))/100, 
   IF(F83="♢♢♢", ((N5 * 100) / (COUNTIFS(F:F, "♢♢♢", E:E, E83) + COUNTIFS(F:F, "♢♢♢", E:E, "A1") + IF(E83="A1", COUNTIFS(F:F, "♢♢♢", E:E, E2), 0) - IF(E83="A1", COUNTIFS(F:F, "♢♢♢", E:E, "A1"), 0)))/100, 
   IF(F83="♢♢♢♢", ((N6 * 100) / (COUNTIFS(F:F, "♢♢♢♢", E:E, E83) + COUNTIFS(F:F, "♢♢♢♢", E:E, "A1") + IF(E83="A1", COUNTIFS(F:F, "♢♢♢♢", E:E, E2), 0) - IF(E83="A1", COUNTIFS(F:F, "♢♢♢♢", E:E, "A1"), 0)))/100, 
   IF(F83="☆", ((N7 * 100) / (COUNTIFS(F:F, "☆", E:E, E83) + COUNTIFS(F:F, "☆", E:E, "A1") + IF(E83="A1", COUNTIFS(F:F, "☆", E:E, E2), 0) - IF(E83="A1", COUNTIFS(F:F, "☆", E:E, "A1"), 0)))/100, 
   IF(F83="☆☆", ((N8 * 100) / (COUNTIFS(F:F, "☆☆", E:E, E83) + COUNTIFS(F:F, "☆☆", E:E, "A1") + IF(E83="A1", COUNTIFS(F:F, "☆☆", E:E, E2), 0) - IF(E83="A1", COUNTIFS(F:F, "☆☆", E:E, "A1"), 0)))/100, 
   IF(F83="☆☆☆", ((N9 * 100) / (COUNTIFS(F:F, "☆☆☆", E:E, E83) + COUNTIFS(F:F, "☆☆☆", E:E, "A1") + IF(E83="A1", COUNTIFS(F:F, "☆☆☆", E:E, E2), 0) - IF(E83="A1", COUNTIFS(F:F, "☆☆☆", E:E, "A1"), 0)))/100, 
   IF(F83="♛", ((N10 * 100) / (COUNTIFS(F:F, "♛", E:E, E83) + COUNTIFS(F:F, "♛", E:E, "A1") + IF(E83="A1", COUNTIFS(F:F, "♛", E:E, E2), 0) - IF(E83="A1", COUNTIFS(F:F, "♛", E:E, "A1"), 0)))/100, "")))))))
</f>
        <v>0.01428571429</v>
      </c>
      <c r="J83" s="131"/>
      <c r="K83" s="247"/>
      <c r="L83" s="20"/>
      <c r="M83" s="20"/>
      <c r="N83" s="20"/>
    </row>
    <row r="84">
      <c r="A84" s="125" t="b">
        <f t="shared" si="1"/>
        <v>0</v>
      </c>
      <c r="B84" s="126">
        <v>0.0</v>
      </c>
      <c r="C84" s="127" t="s">
        <v>273</v>
      </c>
      <c r="D84" s="127" t="s">
        <v>274</v>
      </c>
      <c r="E84" s="128" t="s">
        <v>29</v>
      </c>
      <c r="F84" s="127" t="s">
        <v>48</v>
      </c>
      <c r="G84" s="130" t="str">
        <f>IF(F84="♢", ((L3 * 100) / (COUNTIFS(F:F, "♢", E:E, E84) + COUNTIFS(F:F, "♢", E:E, "A1") + IF(E84="A1", COUNTIFS(F:F, "♢", E:E, E2), 0) - IF(E84="A1", COUNTIFS(F:F, "♢", E:E, "A1"), 0)))/100, "")
</f>
        <v/>
      </c>
      <c r="H84" s="129">
        <f>IF(F84="♢♢", ((M4 * 100) / (COUNTIFS(F:F, "♢♢", E:E, E84) + COUNTIFS(F:F, "♢♢", E:E, "A1") + IF(E84="A1", COUNTIFS(F:F, "♢♢", E:E, E2), 0) - IF(E84="A1", COUNTIFS(F:F, "♢♢", E:E, "A1"), 0)))/100, 
   IF(F84="♢♢♢", ((M5 * 100) / (COUNTIFS(F:F, "♢♢♢", E:E, E84) + COUNTIFS(F:F, "♢♢♢", E:E, "A1") + IF(E84="A1", COUNTIFS(F:F, "♢♢♢", E:E, E2), 0) - IF(E84="A1", COUNTIFS(F:F, "♢♢♢", E:E, "A1"), 0)))/100, 
   IF(F84="♢♢♢♢", ((M6 * 100) / (COUNTIFS(F:F, "♢♢♢♢", E:E, E84) + COUNTIFS(F:F, "♢♢♢♢", E:E, "A1") + IF(E84="A1", COUNTIFS(F:F, "♢♢♢♢", E:E, E2), 0) - IF(E84="A1", COUNTIFS(F:F, "♢♢♢♢", E:E, "A1"), 0)))/100, 
   IF(F84="☆", ((M7 * 100) / (COUNTIFS(F:F, "☆", E:E, E84) + COUNTIFS(F:F, "☆", E:E, "A1") + IF(E84="A1", COUNTIFS(F:F, "☆", E:E, E2), 0) - IF(E84="A1", COUNTIFS(F:F, "☆", E:E, "A1"), 0)))/100, 
   IF(F84="☆☆", ((M8 * 100) / (COUNTIFS(F:F, "☆☆", E:E, E84) + COUNTIFS(F:F, "☆☆", E:E, "A1") + IF(E84="A1", COUNTIFS(F:F, "☆☆", E:E, E2), 0) - IF(E84="A1", COUNTIFS(F:F, "☆☆", E:E, "A1"), 0)))/100, 
   IF(F84="☆☆☆", ((M9 * 100) / (COUNTIFS(F:F, "☆☆☆", E:E, E84) + COUNTIFS(F:F, "☆☆☆", E:E, "A1") + IF(E84="A1", COUNTIFS(F:F, "☆☆☆", E:E, E2), 0) - IF(E84="A1", COUNTIFS(F:F, "☆☆☆", E:E, "A1"), 0)))/100, 
   IF(F84="♛", ((M10 * 100) / (COUNTIFS(F:F, "♛", E:E, E84) + COUNTIFS(F:F, "♛", E:E, "A1") + IF(E84="A1", COUNTIFS(F:F, "♛", E:E, E2), 0) - IF(E84="A1", COUNTIFS(F:F, "♛", E:E, "A1"), 0)))/100, "")))))))
</f>
        <v>0.003571428571</v>
      </c>
      <c r="I84" s="129">
        <f>IF(F84="♢♢", ((N4 * 100) / (COUNTIFS(F:F, "♢♢", E:E, E84) + COUNTIFS(F:F, "♢♢", E:E, "A1") + IF(E84="A1", COUNTIFS(F:F, "♢♢", E:E, E2), 0) - IF(E84="A1", COUNTIFS(F:F, "♢♢", E:E, "A1"), 0)))/100, 
   IF(F84="♢♢♢", ((N5 * 100) / (COUNTIFS(F:F, "♢♢♢", E:E, E84) + COUNTIFS(F:F, "♢♢♢", E:E, "A1") + IF(E84="A1", COUNTIFS(F:F, "♢♢♢", E:E, E2), 0) - IF(E84="A1", COUNTIFS(F:F, "♢♢♢", E:E, "A1"), 0)))/100, 
   IF(F84="♢♢♢♢", ((N6 * 100) / (COUNTIFS(F:F, "♢♢♢♢", E:E, E84) + COUNTIFS(F:F, "♢♢♢♢", E:E, "A1") + IF(E84="A1", COUNTIFS(F:F, "♢♢♢♢", E:E, E2), 0) - IF(E84="A1", COUNTIFS(F:F, "♢♢♢♢", E:E, "A1"), 0)))/100, 
   IF(F84="☆", ((N7 * 100) / (COUNTIFS(F:F, "☆", E:E, E84) + COUNTIFS(F:F, "☆", E:E, "A1") + IF(E84="A1", COUNTIFS(F:F, "☆", E:E, E2), 0) - IF(E84="A1", COUNTIFS(F:F, "☆", E:E, "A1"), 0)))/100, 
   IF(F84="☆☆", ((N8 * 100) / (COUNTIFS(F:F, "☆☆", E:E, E84) + COUNTIFS(F:F, "☆☆", E:E, "A1") + IF(E84="A1", COUNTIFS(F:F, "☆☆", E:E, E2), 0) - IF(E84="A1", COUNTIFS(F:F, "☆☆", E:E, "A1"), 0)))/100, 
   IF(F84="☆☆☆", ((N9 * 100) / (COUNTIFS(F:F, "☆☆☆", E:E, E84) + COUNTIFS(F:F, "☆☆☆", E:E, "A1") + IF(E84="A1", COUNTIFS(F:F, "☆☆☆", E:E, E2), 0) - IF(E84="A1", COUNTIFS(F:F, "☆☆☆", E:E, "A1"), 0)))/100, 
   IF(F84="♛", ((N10 * 100) / (COUNTIFS(F:F, "♛", E:E, E84) + COUNTIFS(F:F, "♛", E:E, "A1") + IF(E84="A1", COUNTIFS(F:F, "♛", E:E, E2), 0) - IF(E84="A1", COUNTIFS(F:F, "♛", E:E, "A1"), 0)))/100, "")))))))
</f>
        <v>0.01428571429</v>
      </c>
      <c r="J84" s="131"/>
      <c r="K84" s="247"/>
      <c r="L84" s="20"/>
      <c r="M84" s="20"/>
      <c r="N84" s="20"/>
    </row>
    <row r="85">
      <c r="A85" s="125" t="b">
        <f t="shared" si="1"/>
        <v>0</v>
      </c>
      <c r="B85" s="126">
        <v>0.0</v>
      </c>
      <c r="C85" s="127" t="s">
        <v>275</v>
      </c>
      <c r="D85" s="128" t="s">
        <v>276</v>
      </c>
      <c r="E85" s="128" t="s">
        <v>29</v>
      </c>
      <c r="F85" s="127" t="s">
        <v>51</v>
      </c>
      <c r="G85" s="130" t="str">
        <f>IF(F85="♢", ((L3 * 100) / (COUNTIFS(F:F, "♢", E:E, E85) + COUNTIFS(F:F, "♢", E:E, "A1") + IF(E85="A1", COUNTIFS(F:F, "♢", E:E, E2), 0) - IF(E85="A1", COUNTIFS(F:F, "♢", E:E, "A1"), 0)))/100, "")
</f>
        <v/>
      </c>
      <c r="H85" s="129">
        <f>IF(F85="♢♢", ((M4 * 100) / (COUNTIFS(F:F, "♢♢", E:E, E85) + COUNTIFS(F:F, "♢♢", E:E, "A1") + IF(E85="A1", COUNTIFS(F:F, "♢♢", E:E, E2), 0) - IF(E85="A1", COUNTIFS(F:F, "♢♢", E:E, "A1"), 0)))/100, 
   IF(F85="♢♢♢", ((M5 * 100) / (COUNTIFS(F:F, "♢♢♢", E:E, E85) + COUNTIFS(F:F, "♢♢♢", E:E, "A1") + IF(E85="A1", COUNTIFS(F:F, "♢♢♢", E:E, E2), 0) - IF(E85="A1", COUNTIFS(F:F, "♢♢♢", E:E, "A1"), 0)))/100, 
   IF(F85="♢♢♢♢", ((M6 * 100) / (COUNTIFS(F:F, "♢♢♢♢", E:E, E85) + COUNTIFS(F:F, "♢♢♢♢", E:E, "A1") + IF(E85="A1", COUNTIFS(F:F, "♢♢♢♢", E:E, E2), 0) - IF(E85="A1", COUNTIFS(F:F, "♢♢♢♢", E:E, "A1"), 0)))/100, 
   IF(F85="☆", ((M7 * 100) / (COUNTIFS(F:F, "☆", E:E, E85) + COUNTIFS(F:F, "☆", E:E, "A1") + IF(E85="A1", COUNTIFS(F:F, "☆", E:E, E2), 0) - IF(E85="A1", COUNTIFS(F:F, "☆", E:E, "A1"), 0)))/100, 
   IF(F85="☆☆", ((M8 * 100) / (COUNTIFS(F:F, "☆☆", E:E, E85) + COUNTIFS(F:F, "☆☆", E:E, "A1") + IF(E85="A1", COUNTIFS(F:F, "☆☆", E:E, E2), 0) - IF(E85="A1", COUNTIFS(F:F, "☆☆", E:E, "A1"), 0)))/100, 
   IF(F85="☆☆☆", ((M9 * 100) / (COUNTIFS(F:F, "☆☆☆", E:E, E85) + COUNTIFS(F:F, "☆☆☆", E:E, "A1") + IF(E85="A1", COUNTIFS(F:F, "☆☆☆", E:E, E2), 0) - IF(E85="A1", COUNTIFS(F:F, "☆☆☆", E:E, "A1"), 0)))/100, 
   IF(F85="♛", ((M10 * 100) / (COUNTIFS(F:F, "♛", E:E, E85) + COUNTIFS(F:F, "♛", E:E, "A1") + IF(E85="A1", COUNTIFS(F:F, "♛", E:E, E2), 0) - IF(E85="A1", COUNTIFS(F:F, "♛", E:E, "A1"), 0)))/100, "")))))))
</f>
        <v>0.003332</v>
      </c>
      <c r="I85" s="129">
        <f>IF(F85="♢♢", ((N4 * 100) / (COUNTIFS(F:F, "♢♢", E:E, E85) + COUNTIFS(F:F, "♢♢", E:E, "A1") + IF(E85="A1", COUNTIFS(F:F, "♢♢", E:E, E2), 0) - IF(E85="A1", COUNTIFS(F:F, "♢♢", E:E, "A1"), 0)))/100, 
   IF(F85="♢♢♢", ((N5 * 100) / (COUNTIFS(F:F, "♢♢♢", E:E, E85) + COUNTIFS(F:F, "♢♢♢", E:E, "A1") + IF(E85="A1", COUNTIFS(F:F, "♢♢♢", E:E, E2), 0) - IF(E85="A1", COUNTIFS(F:F, "♢♢♢", E:E, "A1"), 0)))/100, 
   IF(F85="♢♢♢♢", ((N6 * 100) / (COUNTIFS(F:F, "♢♢♢♢", E:E, E85) + COUNTIFS(F:F, "♢♢♢♢", E:E, "A1") + IF(E85="A1", COUNTIFS(F:F, "♢♢♢♢", E:E, E2), 0) - IF(E85="A1", COUNTIFS(F:F, "♢♢♢♢", E:E, "A1"), 0)))/100, 
   IF(F85="☆", ((N7 * 100) / (COUNTIFS(F:F, "☆", E:E, E85) + COUNTIFS(F:F, "☆", E:E, "A1") + IF(E85="A1", COUNTIFS(F:F, "☆", E:E, E2), 0) - IF(E85="A1", COUNTIFS(F:F, "☆", E:E, "A1"), 0)))/100, 
   IF(F85="☆☆", ((N8 * 100) / (COUNTIFS(F:F, "☆☆", E:E, E85) + COUNTIFS(F:F, "☆☆", E:E, "A1") + IF(E85="A1", COUNTIFS(F:F, "☆☆", E:E, E2), 0) - IF(E85="A1", COUNTIFS(F:F, "☆☆", E:E, "A1"), 0)))/100, 
   IF(F85="☆☆☆", ((N9 * 100) / (COUNTIFS(F:F, "☆☆☆", E:E, E85) + COUNTIFS(F:F, "☆☆☆", E:E, "A1") + IF(E85="A1", COUNTIFS(F:F, "☆☆☆", E:E, E2), 0) - IF(E85="A1", COUNTIFS(F:F, "☆☆☆", E:E, "A1"), 0)))/100, 
   IF(F85="♛", ((N10 * 100) / (COUNTIFS(F:F, "♛", E:E, E85) + COUNTIFS(F:F, "♛", E:E, "A1") + IF(E85="A1", COUNTIFS(F:F, "♛", E:E, E2), 0) - IF(E85="A1", COUNTIFS(F:F, "♛", E:E, "A1"), 0)))/100, "")))))))
</f>
        <v>0.013328</v>
      </c>
      <c r="J85" s="131"/>
      <c r="K85" s="247"/>
      <c r="L85" s="20"/>
      <c r="M85" s="20"/>
      <c r="N85" s="20"/>
    </row>
    <row r="86">
      <c r="A86" s="125" t="b">
        <f t="shared" si="1"/>
        <v>0</v>
      </c>
      <c r="B86" s="126">
        <v>0.0</v>
      </c>
      <c r="C86" s="127" t="s">
        <v>277</v>
      </c>
      <c r="D86" s="127" t="s">
        <v>278</v>
      </c>
      <c r="E86" s="128" t="s">
        <v>32</v>
      </c>
      <c r="F86" s="127" t="s">
        <v>44</v>
      </c>
      <c r="G86" s="129">
        <f>IF(F86="♢", ((L3 * 100) / (COUNTIFS(F:F, "♢", E:E, E86) + COUNTIFS(F:F, "♢", E:E, "A1") + IF(E86="A1", COUNTIFS(F:F, "♢", E:E, E2), 0) - IF(E86="A1", COUNTIFS(F:F, "♢", E:E, "A1"), 0)))/100, "")
</f>
        <v>0.02</v>
      </c>
      <c r="H86" s="130" t="str">
        <f>IF(F86="♢♢", ((M4 * 100) / (COUNTIFS(F:F, "♢♢", E:E, E86) + COUNTIFS(F:F, "♢♢", E:E, "A1") + IF(E86="A1", COUNTIFS(F:F, "♢♢", E:E, E2), 0) - IF(E86="A1", COUNTIFS(F:F, "♢♢", E:E, "A1"), 0)))/100, 
   IF(F86="♢♢♢", ((M5 * 100) / (COUNTIFS(F:F, "♢♢♢", E:E, E86) + COUNTIFS(F:F, "♢♢♢", E:E, "A1") + IF(E86="A1", COUNTIFS(F:F, "♢♢♢", E:E, E2), 0) - IF(E86="A1", COUNTIFS(F:F, "♢♢♢", E:E, "A1"), 0)))/100, 
   IF(F86="♢♢♢♢", ((M6 * 100) / (COUNTIFS(F:F, "♢♢♢♢", E:E, E86) + COUNTIFS(F:F, "♢♢♢♢", E:E, "A1") + IF(E86="A1", COUNTIFS(F:F, "♢♢♢♢", E:E, E2), 0) - IF(E86="A1", COUNTIFS(F:F, "♢♢♢♢", E:E, "A1"), 0)))/100, 
   IF(F86="☆", ((M7 * 100) / (COUNTIFS(F:F, "☆", E:E, E86) + COUNTIFS(F:F, "☆", E:E, "A1") + IF(E86="A1", COUNTIFS(F:F, "☆", E:E, E2), 0) - IF(E86="A1", COUNTIFS(F:F, "☆", E:E, "A1"), 0)))/100, 
   IF(F86="☆☆", ((M8 * 100) / (COUNTIFS(F:F, "☆☆", E:E, E86) + COUNTIFS(F:F, "☆☆", E:E, "A1") + IF(E86="A1", COUNTIFS(F:F, "☆☆", E:E, E2), 0) - IF(E86="A1", COUNTIFS(F:F, "☆☆", E:E, "A1"), 0)))/100, 
   IF(F86="☆☆☆", ((M9 * 100) / (COUNTIFS(F:F, "☆☆☆", E:E, E86) + COUNTIFS(F:F, "☆☆☆", E:E, "A1") + IF(E86="A1", COUNTIFS(F:F, "☆☆☆", E:E, E2), 0) - IF(E86="A1", COUNTIFS(F:F, "☆☆☆", E:E, "A1"), 0)))/100, 
   IF(F86="♛", ((M10 * 100) / (COUNTIFS(F:F, "♛", E:E, E86) + COUNTIFS(F:F, "♛", E:E, "A1") + IF(E86="A1", COUNTIFS(F:F, "♛", E:E, E2), 0) - IF(E86="A1", COUNTIFS(F:F, "♛", E:E, "A1"), 0)))/100, "")))))))
</f>
        <v/>
      </c>
      <c r="I86" s="130" t="str">
        <f>IF(F86="♢♢", ((N4 * 100) / (COUNTIFS(F:F, "♢♢", E:E, E86) + COUNTIFS(F:F, "♢♢", E:E, "A1") + IF(E86="A1", COUNTIFS(F:F, "♢♢", E:E, E2), 0) - IF(E86="A1", COUNTIFS(F:F, "♢♢", E:E, "A1"), 0)))/100, 
   IF(F86="♢♢♢", ((N5 * 100) / (COUNTIFS(F:F, "♢♢♢", E:E, E86) + COUNTIFS(F:F, "♢♢♢", E:E, "A1") + IF(E86="A1", COUNTIFS(F:F, "♢♢♢", E:E, E2), 0) - IF(E86="A1", COUNTIFS(F:F, "♢♢♢", E:E, "A1"), 0)))/100, 
   IF(F86="♢♢♢♢", ((N6 * 100) / (COUNTIFS(F:F, "♢♢♢♢", E:E, E86) + COUNTIFS(F:F, "♢♢♢♢", E:E, "A1") + IF(E86="A1", COUNTIFS(F:F, "♢♢♢♢", E:E, E2), 0) - IF(E86="A1", COUNTIFS(F:F, "♢♢♢♢", E:E, "A1"), 0)))/100, 
   IF(F86="☆", ((N7 * 100) / (COUNTIFS(F:F, "☆", E:E, E86) + COUNTIFS(F:F, "☆", E:E, "A1") + IF(E86="A1", COUNTIFS(F:F, "☆", E:E, E2), 0) - IF(E86="A1", COUNTIFS(F:F, "☆", E:E, "A1"), 0)))/100, 
   IF(F86="☆☆", ((N8 * 100) / (COUNTIFS(F:F, "☆☆", E:E, E86) + COUNTIFS(F:F, "☆☆", E:E, "A1") + IF(E86="A1", COUNTIFS(F:F, "☆☆", E:E, E2), 0) - IF(E86="A1", COUNTIFS(F:F, "☆☆", E:E, "A1"), 0)))/100, 
   IF(F86="☆☆☆", ((N9 * 100) / (COUNTIFS(F:F, "☆☆☆", E:E, E86) + COUNTIFS(F:F, "☆☆☆", E:E, "A1") + IF(E86="A1", COUNTIFS(F:F, "☆☆☆", E:E, E2), 0) - IF(E86="A1", COUNTIFS(F:F, "☆☆☆", E:E, "A1"), 0)))/100, 
   IF(F86="♛", ((N10 * 100) / (COUNTIFS(F:F, "♛", E:E, E86) + COUNTIFS(F:F, "♛", E:E, "A1") + IF(E86="A1", COUNTIFS(F:F, "♛", E:E, E2), 0) - IF(E86="A1", COUNTIFS(F:F, "♛", E:E, "A1"), 0)))/100, "")))))))
</f>
        <v/>
      </c>
      <c r="J86" s="131"/>
      <c r="K86" s="247"/>
      <c r="L86" s="20"/>
      <c r="M86" s="20"/>
      <c r="N86" s="20"/>
    </row>
    <row r="87">
      <c r="A87" s="125" t="b">
        <f t="shared" si="1"/>
        <v>0</v>
      </c>
      <c r="B87" s="126">
        <v>0.0</v>
      </c>
      <c r="C87" s="127" t="s">
        <v>279</v>
      </c>
      <c r="D87" s="127" t="s">
        <v>280</v>
      </c>
      <c r="E87" s="128" t="s">
        <v>32</v>
      </c>
      <c r="F87" s="127" t="s">
        <v>46</v>
      </c>
      <c r="G87" s="130" t="str">
        <f>IF(F87="♢", ((L3 * 100) / (COUNTIFS(F:F, "♢", E:E, E87) + COUNTIFS(F:F, "♢", E:E, "A1") + IF(E87="A1", COUNTIFS(F:F, "♢", E:E, E2), 0) - IF(E87="A1", COUNTIFS(F:F, "♢", E:E, "A1"), 0)))/100, "")
</f>
        <v/>
      </c>
      <c r="H87" s="129">
        <f>IF(F87="♢♢", ((M4 * 100) / (COUNTIFS(F:F, "♢♢", E:E, E87) + COUNTIFS(F:F, "♢♢", E:E, "A1") + IF(E87="A1", COUNTIFS(F:F, "♢♢", E:E, E2), 0) - IF(E87="A1", COUNTIFS(F:F, "♢♢", E:E, "A1"), 0)))/100, 
   IF(F87="♢♢♢", ((M5 * 100) / (COUNTIFS(F:F, "♢♢♢", E:E, E87) + COUNTIFS(F:F, "♢♢♢", E:E, "A1") + IF(E87="A1", COUNTIFS(F:F, "♢♢♢", E:E, E2), 0) - IF(E87="A1", COUNTIFS(F:F, "♢♢♢", E:E, "A1"), 0)))/100, 
   IF(F87="♢♢♢♢", ((M6 * 100) / (COUNTIFS(F:F, "♢♢♢♢", E:E, E87) + COUNTIFS(F:F, "♢♢♢♢", E:E, "A1") + IF(E87="A1", COUNTIFS(F:F, "♢♢♢♢", E:E, E2), 0) - IF(E87="A1", COUNTIFS(F:F, "♢♢♢♢", E:E, "A1"), 0)))/100, 
   IF(F87="☆", ((M7 * 100) / (COUNTIFS(F:F, "☆", E:E, E87) + COUNTIFS(F:F, "☆", E:E, "A1") + IF(E87="A1", COUNTIFS(F:F, "☆", E:E, E2), 0) - IF(E87="A1", COUNTIFS(F:F, "☆", E:E, "A1"), 0)))/100, 
   IF(F87="☆☆", ((M8 * 100) / (COUNTIFS(F:F, "☆☆", E:E, E87) + COUNTIFS(F:F, "☆☆", E:E, "A1") + IF(E87="A1", COUNTIFS(F:F, "☆☆", E:E, E2), 0) - IF(E87="A1", COUNTIFS(F:F, "☆☆", E:E, "A1"), 0)))/100, 
   IF(F87="☆☆☆", ((M9 * 100) / (COUNTIFS(F:F, "☆☆☆", E:E, E87) + COUNTIFS(F:F, "☆☆☆", E:E, "A1") + IF(E87="A1", COUNTIFS(F:F, "☆☆☆", E:E, E2), 0) - IF(E87="A1", COUNTIFS(F:F, "☆☆☆", E:E, "A1"), 0)))/100, 
   IF(F87="♛", ((M10 * 100) / (COUNTIFS(F:F, "♛", E:E, E87) + COUNTIFS(F:F, "♛", E:E, "A1") + IF(E87="A1", COUNTIFS(F:F, "♛", E:E, E2), 0) - IF(E87="A1", COUNTIFS(F:F, "♛", E:E, "A1"), 0)))/100, "")))))))
</f>
        <v>0.02571428571</v>
      </c>
      <c r="I87" s="129">
        <f>IF(F87="♢♢", ((N4 * 100) / (COUNTIFS(F:F, "♢♢", E:E, E87) + COUNTIFS(F:F, "♢♢", E:E, "A1") + IF(E87="A1", COUNTIFS(F:F, "♢♢", E:E, E2), 0) - IF(E87="A1", COUNTIFS(F:F, "♢♢", E:E, "A1"), 0)))/100, 
   IF(F87="♢♢♢", ((N5 * 100) / (COUNTIFS(F:F, "♢♢♢", E:E, E87) + COUNTIFS(F:F, "♢♢♢", E:E, "A1") + IF(E87="A1", COUNTIFS(F:F, "♢♢♢", E:E, E2), 0) - IF(E87="A1", COUNTIFS(F:F, "♢♢♢", E:E, "A1"), 0)))/100, 
   IF(F87="♢♢♢♢", ((N6 * 100) / (COUNTIFS(F:F, "♢♢♢♢", E:E, E87) + COUNTIFS(F:F, "♢♢♢♢", E:E, "A1") + IF(E87="A1", COUNTIFS(F:F, "♢♢♢♢", E:E, E2), 0) - IF(E87="A1", COUNTIFS(F:F, "♢♢♢♢", E:E, "A1"), 0)))/100, 
   IF(F87="☆", ((N7 * 100) / (COUNTIFS(F:F, "☆", E:E, E87) + COUNTIFS(F:F, "☆", E:E, "A1") + IF(E87="A1", COUNTIFS(F:F, "☆", E:E, E2), 0) - IF(E87="A1", COUNTIFS(F:F, "☆", E:E, "A1"), 0)))/100, 
   IF(F87="☆☆", ((N8 * 100) / (COUNTIFS(F:F, "☆☆", E:E, E87) + COUNTIFS(F:F, "☆☆", E:E, "A1") + IF(E87="A1", COUNTIFS(F:F, "☆☆", E:E, E2), 0) - IF(E87="A1", COUNTIFS(F:F, "☆☆", E:E, "A1"), 0)))/100, 
   IF(F87="☆☆☆", ((N9 * 100) / (COUNTIFS(F:F, "☆☆☆", E:E, E87) + COUNTIFS(F:F, "☆☆☆", E:E, "A1") + IF(E87="A1", COUNTIFS(F:F, "☆☆☆", E:E, E2), 0) - IF(E87="A1", COUNTIFS(F:F, "☆☆☆", E:E, "A1"), 0)))/100, 
   IF(F87="♛", ((N10 * 100) / (COUNTIFS(F:F, "♛", E:E, E87) + COUNTIFS(F:F, "♛", E:E, "A1") + IF(E87="A1", COUNTIFS(F:F, "♛", E:E, E2), 0) - IF(E87="A1", COUNTIFS(F:F, "♛", E:E, "A1"), 0)))/100, "")))))))
</f>
        <v>0.01714285714</v>
      </c>
      <c r="J87" s="131"/>
      <c r="K87" s="247"/>
      <c r="L87" s="20"/>
      <c r="M87" s="20"/>
      <c r="N87" s="20"/>
    </row>
    <row r="88">
      <c r="A88" s="125" t="b">
        <f t="shared" si="1"/>
        <v>0</v>
      </c>
      <c r="B88" s="126">
        <v>0.0</v>
      </c>
      <c r="C88" s="127" t="s">
        <v>281</v>
      </c>
      <c r="D88" s="127" t="s">
        <v>282</v>
      </c>
      <c r="E88" s="128" t="s">
        <v>32</v>
      </c>
      <c r="F88" s="127" t="s">
        <v>44</v>
      </c>
      <c r="G88" s="129">
        <f>IF(F88="♢", ((L3 * 100) / (COUNTIFS(F:F, "♢", E:E, E88) + COUNTIFS(F:F, "♢", E:E, "A1") + IF(E88="A1", COUNTIFS(F:F, "♢", E:E, E2), 0) - IF(E88="A1", COUNTIFS(F:F, "♢", E:E, "A1"), 0)))/100, "")
</f>
        <v>0.02</v>
      </c>
      <c r="H88" s="130" t="str">
        <f>IF(F88="♢♢", ((M4 * 100) / (COUNTIFS(F:F, "♢♢", E:E, E88) + COUNTIFS(F:F, "♢♢", E:E, "A1") + IF(E88="A1", COUNTIFS(F:F, "♢♢", E:E, E2), 0) - IF(E88="A1", COUNTIFS(F:F, "♢♢", E:E, "A1"), 0)))/100, 
   IF(F88="♢♢♢", ((M5 * 100) / (COUNTIFS(F:F, "♢♢♢", E:E, E88) + COUNTIFS(F:F, "♢♢♢", E:E, "A1") + IF(E88="A1", COUNTIFS(F:F, "♢♢♢", E:E, E2), 0) - IF(E88="A1", COUNTIFS(F:F, "♢♢♢", E:E, "A1"), 0)))/100, 
   IF(F88="♢♢♢♢", ((M6 * 100) / (COUNTIFS(F:F, "♢♢♢♢", E:E, E88) + COUNTIFS(F:F, "♢♢♢♢", E:E, "A1") + IF(E88="A1", COUNTIFS(F:F, "♢♢♢♢", E:E, E2), 0) - IF(E88="A1", COUNTIFS(F:F, "♢♢♢♢", E:E, "A1"), 0)))/100, 
   IF(F88="☆", ((M7 * 100) / (COUNTIFS(F:F, "☆", E:E, E88) + COUNTIFS(F:F, "☆", E:E, "A1") + IF(E88="A1", COUNTIFS(F:F, "☆", E:E, E2), 0) - IF(E88="A1", COUNTIFS(F:F, "☆", E:E, "A1"), 0)))/100, 
   IF(F88="☆☆", ((M8 * 100) / (COUNTIFS(F:F, "☆☆", E:E, E88) + COUNTIFS(F:F, "☆☆", E:E, "A1") + IF(E88="A1", COUNTIFS(F:F, "☆☆", E:E, E2), 0) - IF(E88="A1", COUNTIFS(F:F, "☆☆", E:E, "A1"), 0)))/100, 
   IF(F88="☆☆☆", ((M9 * 100) / (COUNTIFS(F:F, "☆☆☆", E:E, E88) + COUNTIFS(F:F, "☆☆☆", E:E, "A1") + IF(E88="A1", COUNTIFS(F:F, "☆☆☆", E:E, E2), 0) - IF(E88="A1", COUNTIFS(F:F, "☆☆☆", E:E, "A1"), 0)))/100, 
   IF(F88="♛", ((M10 * 100) / (COUNTIFS(F:F, "♛", E:E, E88) + COUNTIFS(F:F, "♛", E:E, "A1") + IF(E88="A1", COUNTIFS(F:F, "♛", E:E, E2), 0) - IF(E88="A1", COUNTIFS(F:F, "♛", E:E, "A1"), 0)))/100, "")))))))
</f>
        <v/>
      </c>
      <c r="I88" s="130" t="str">
        <f>IF(F88="♢♢", ((N4 * 100) / (COUNTIFS(F:F, "♢♢", E:E, E88) + COUNTIFS(F:F, "♢♢", E:E, "A1") + IF(E88="A1", COUNTIFS(F:F, "♢♢", E:E, E2), 0) - IF(E88="A1", COUNTIFS(F:F, "♢♢", E:E, "A1"), 0)))/100, 
   IF(F88="♢♢♢", ((N5 * 100) / (COUNTIFS(F:F, "♢♢♢", E:E, E88) + COUNTIFS(F:F, "♢♢♢", E:E, "A1") + IF(E88="A1", COUNTIFS(F:F, "♢♢♢", E:E, E2), 0) - IF(E88="A1", COUNTIFS(F:F, "♢♢♢", E:E, "A1"), 0)))/100, 
   IF(F88="♢♢♢♢", ((N6 * 100) / (COUNTIFS(F:F, "♢♢♢♢", E:E, E88) + COUNTIFS(F:F, "♢♢♢♢", E:E, "A1") + IF(E88="A1", COUNTIFS(F:F, "♢♢♢♢", E:E, E2), 0) - IF(E88="A1", COUNTIFS(F:F, "♢♢♢♢", E:E, "A1"), 0)))/100, 
   IF(F88="☆", ((N7 * 100) / (COUNTIFS(F:F, "☆", E:E, E88) + COUNTIFS(F:F, "☆", E:E, "A1") + IF(E88="A1", COUNTIFS(F:F, "☆", E:E, E2), 0) - IF(E88="A1", COUNTIFS(F:F, "☆", E:E, "A1"), 0)))/100, 
   IF(F88="☆☆", ((N8 * 100) / (COUNTIFS(F:F, "☆☆", E:E, E88) + COUNTIFS(F:F, "☆☆", E:E, "A1") + IF(E88="A1", COUNTIFS(F:F, "☆☆", E:E, E2), 0) - IF(E88="A1", COUNTIFS(F:F, "☆☆", E:E, "A1"), 0)))/100, 
   IF(F88="☆☆☆", ((N9 * 100) / (COUNTIFS(F:F, "☆☆☆", E:E, E88) + COUNTIFS(F:F, "☆☆☆", E:E, "A1") + IF(E88="A1", COUNTIFS(F:F, "☆☆☆", E:E, E2), 0) - IF(E88="A1", COUNTIFS(F:F, "☆☆☆", E:E, "A1"), 0)))/100, 
   IF(F88="♛", ((N10 * 100) / (COUNTIFS(F:F, "♛", E:E, E88) + COUNTIFS(F:F, "♛", E:E, "A1") + IF(E88="A1", COUNTIFS(F:F, "♛", E:E, E2), 0) - IF(E88="A1", COUNTIFS(F:F, "♛", E:E, "A1"), 0)))/100, "")))))))
</f>
        <v/>
      </c>
      <c r="J88" s="131"/>
      <c r="K88" s="247"/>
      <c r="L88" s="20"/>
      <c r="M88" s="20"/>
      <c r="N88" s="20"/>
    </row>
    <row r="89">
      <c r="A89" s="125" t="b">
        <f t="shared" si="1"/>
        <v>0</v>
      </c>
      <c r="B89" s="126">
        <v>0.0</v>
      </c>
      <c r="C89" s="127" t="s">
        <v>283</v>
      </c>
      <c r="D89" s="128" t="s">
        <v>284</v>
      </c>
      <c r="E89" s="128" t="s">
        <v>32</v>
      </c>
      <c r="F89" s="127" t="s">
        <v>46</v>
      </c>
      <c r="G89" s="130" t="str">
        <f>IF(F89="♢", ((L3 * 100) / (COUNTIFS(F:F, "♢", E:E, E89) + COUNTIFS(F:F, "♢", E:E, "A1") + IF(E89="A1", COUNTIFS(F:F, "♢", E:E, E2), 0) - IF(E89="A1", COUNTIFS(F:F, "♢", E:E, "A1"), 0)))/100, "")
</f>
        <v/>
      </c>
      <c r="H89" s="129">
        <f>IF(F89="♢♢", ((M4 * 100) / (COUNTIFS(F:F, "♢♢", E:E, E89) + COUNTIFS(F:F, "♢♢", E:E, "A1") + IF(E89="A1", COUNTIFS(F:F, "♢♢", E:E, E2), 0) - IF(E89="A1", COUNTIFS(F:F, "♢♢", E:E, "A1"), 0)))/100, 
   IF(F89="♢♢♢", ((M5 * 100) / (COUNTIFS(F:F, "♢♢♢", E:E, E89) + COUNTIFS(F:F, "♢♢♢", E:E, "A1") + IF(E89="A1", COUNTIFS(F:F, "♢♢♢", E:E, E2), 0) - IF(E89="A1", COUNTIFS(F:F, "♢♢♢", E:E, "A1"), 0)))/100, 
   IF(F89="♢♢♢♢", ((M6 * 100) / (COUNTIFS(F:F, "♢♢♢♢", E:E, E89) + COUNTIFS(F:F, "♢♢♢♢", E:E, "A1") + IF(E89="A1", COUNTIFS(F:F, "♢♢♢♢", E:E, E2), 0) - IF(E89="A1", COUNTIFS(F:F, "♢♢♢♢", E:E, "A1"), 0)))/100, 
   IF(F89="☆", ((M7 * 100) / (COUNTIFS(F:F, "☆", E:E, E89) + COUNTIFS(F:F, "☆", E:E, "A1") + IF(E89="A1", COUNTIFS(F:F, "☆", E:E, E2), 0) - IF(E89="A1", COUNTIFS(F:F, "☆", E:E, "A1"), 0)))/100, 
   IF(F89="☆☆", ((M8 * 100) / (COUNTIFS(F:F, "☆☆", E:E, E89) + COUNTIFS(F:F, "☆☆", E:E, "A1") + IF(E89="A1", COUNTIFS(F:F, "☆☆", E:E, E2), 0) - IF(E89="A1", COUNTIFS(F:F, "☆☆", E:E, "A1"), 0)))/100, 
   IF(F89="☆☆☆", ((M9 * 100) / (COUNTIFS(F:F, "☆☆☆", E:E, E89) + COUNTIFS(F:F, "☆☆☆", E:E, "A1") + IF(E89="A1", COUNTIFS(F:F, "☆☆☆", E:E, E2), 0) - IF(E89="A1", COUNTIFS(F:F, "☆☆☆", E:E, "A1"), 0)))/100, 
   IF(F89="♛", ((M10 * 100) / (COUNTIFS(F:F, "♛", E:E, E89) + COUNTIFS(F:F, "♛", E:E, "A1") + IF(E89="A1", COUNTIFS(F:F, "♛", E:E, E2), 0) - IF(E89="A1", COUNTIFS(F:F, "♛", E:E, "A1"), 0)))/100, "")))))))
</f>
        <v>0.02571428571</v>
      </c>
      <c r="I89" s="129">
        <f>IF(F89="♢♢", ((N4 * 100) / (COUNTIFS(F:F, "♢♢", E:E, E89) + COUNTIFS(F:F, "♢♢", E:E, "A1") + IF(E89="A1", COUNTIFS(F:F, "♢♢", E:E, E2), 0) - IF(E89="A1", COUNTIFS(F:F, "♢♢", E:E, "A1"), 0)))/100, 
   IF(F89="♢♢♢", ((N5 * 100) / (COUNTIFS(F:F, "♢♢♢", E:E, E89) + COUNTIFS(F:F, "♢♢♢", E:E, "A1") + IF(E89="A1", COUNTIFS(F:F, "♢♢♢", E:E, E2), 0) - IF(E89="A1", COUNTIFS(F:F, "♢♢♢", E:E, "A1"), 0)))/100, 
   IF(F89="♢♢♢♢", ((N6 * 100) / (COUNTIFS(F:F, "♢♢♢♢", E:E, E89) + COUNTIFS(F:F, "♢♢♢♢", E:E, "A1") + IF(E89="A1", COUNTIFS(F:F, "♢♢♢♢", E:E, E2), 0) - IF(E89="A1", COUNTIFS(F:F, "♢♢♢♢", E:E, "A1"), 0)))/100, 
   IF(F89="☆", ((N7 * 100) / (COUNTIFS(F:F, "☆", E:E, E89) + COUNTIFS(F:F, "☆", E:E, "A1") + IF(E89="A1", COUNTIFS(F:F, "☆", E:E, E2), 0) - IF(E89="A1", COUNTIFS(F:F, "☆", E:E, "A1"), 0)))/100, 
   IF(F89="☆☆", ((N8 * 100) / (COUNTIFS(F:F, "☆☆", E:E, E89) + COUNTIFS(F:F, "☆☆", E:E, "A1") + IF(E89="A1", COUNTIFS(F:F, "☆☆", E:E, E2), 0) - IF(E89="A1", COUNTIFS(F:F, "☆☆", E:E, "A1"), 0)))/100, 
   IF(F89="☆☆☆", ((N9 * 100) / (COUNTIFS(F:F, "☆☆☆", E:E, E89) + COUNTIFS(F:F, "☆☆☆", E:E, "A1") + IF(E89="A1", COUNTIFS(F:F, "☆☆☆", E:E, E2), 0) - IF(E89="A1", COUNTIFS(F:F, "☆☆☆", E:E, "A1"), 0)))/100, 
   IF(F89="♛", ((N10 * 100) / (COUNTIFS(F:F, "♛", E:E, E89) + COUNTIFS(F:F, "♛", E:E, "A1") + IF(E89="A1", COUNTIFS(F:F, "♛", E:E, E2), 0) - IF(E89="A1", COUNTIFS(F:F, "♛", E:E, "A1"), 0)))/100, "")))))))
</f>
        <v>0.01714285714</v>
      </c>
      <c r="J89" s="131"/>
      <c r="K89" s="247"/>
      <c r="L89" s="20"/>
      <c r="M89" s="20"/>
      <c r="N89" s="20"/>
      <c r="O89" s="248" t="s">
        <v>285</v>
      </c>
    </row>
    <row r="90">
      <c r="A90" s="125" t="b">
        <f t="shared" si="1"/>
        <v>0</v>
      </c>
      <c r="B90" s="126">
        <v>0.0</v>
      </c>
      <c r="C90" s="127" t="s">
        <v>286</v>
      </c>
      <c r="D90" s="127" t="s">
        <v>287</v>
      </c>
      <c r="E90" s="128" t="s">
        <v>32</v>
      </c>
      <c r="F90" s="127" t="s">
        <v>48</v>
      </c>
      <c r="G90" s="130" t="str">
        <f>IF(F90="♢", ((L3 * 100) / (COUNTIFS(F:F, "♢", E:E, E90) + COUNTIFS(F:F, "♢", E:E, "A1") + IF(E90="A1", COUNTIFS(F:F, "♢", E:E, E2), 0) - IF(E90="A1", COUNTIFS(F:F, "♢", E:E, "A1"), 0)))/100, "")
</f>
        <v/>
      </c>
      <c r="H90" s="129">
        <f>IF(F90="♢♢", ((M4 * 100) / (COUNTIFS(F:F, "♢♢", E:E, E90) + COUNTIFS(F:F, "♢♢", E:E, "A1") + IF(E90="A1", COUNTIFS(F:F, "♢♢", E:E, E2), 0) - IF(E90="A1", COUNTIFS(F:F, "♢♢", E:E, "A1"), 0)))/100, 
   IF(F90="♢♢♢", ((M5 * 100) / (COUNTIFS(F:F, "♢♢♢", E:E, E90) + COUNTIFS(F:F, "♢♢♢", E:E, "A1") + IF(E90="A1", COUNTIFS(F:F, "♢♢♢", E:E, E2), 0) - IF(E90="A1", COUNTIFS(F:F, "♢♢♢", E:E, "A1"), 0)))/100, 
   IF(F90="♢♢♢♢", ((M6 * 100) / (COUNTIFS(F:F, "♢♢♢♢", E:E, E90) + COUNTIFS(F:F, "♢♢♢♢", E:E, "A1") + IF(E90="A1", COUNTIFS(F:F, "♢♢♢♢", E:E, E2), 0) - IF(E90="A1", COUNTIFS(F:F, "♢♢♢♢", E:E, "A1"), 0)))/100, 
   IF(F90="☆", ((M7 * 100) / (COUNTIFS(F:F, "☆", E:E, E90) + COUNTIFS(F:F, "☆", E:E, "A1") + IF(E90="A1", COUNTIFS(F:F, "☆", E:E, E2), 0) - IF(E90="A1", COUNTIFS(F:F, "☆", E:E, "A1"), 0)))/100, 
   IF(F90="☆☆", ((M8 * 100) / (COUNTIFS(F:F, "☆☆", E:E, E90) + COUNTIFS(F:F, "☆☆", E:E, "A1") + IF(E90="A1", COUNTIFS(F:F, "☆☆", E:E, E2), 0) - IF(E90="A1", COUNTIFS(F:F, "☆☆", E:E, "A1"), 0)))/100, 
   IF(F90="☆☆☆", ((M9 * 100) / (COUNTIFS(F:F, "☆☆☆", E:E, E90) + COUNTIFS(F:F, "☆☆☆", E:E, "A1") + IF(E90="A1", COUNTIFS(F:F, "☆☆☆", E:E, E2), 0) - IF(E90="A1", COUNTIFS(F:F, "☆☆☆", E:E, "A1"), 0)))/100, 
   IF(F90="♛", ((M10 * 100) / (COUNTIFS(F:F, "♛", E:E, E90) + COUNTIFS(F:F, "♛", E:E, "A1") + IF(E90="A1", COUNTIFS(F:F, "♛", E:E, E2), 0) - IF(E90="A1", COUNTIFS(F:F, "♛", E:E, "A1"), 0)))/100, "")))))))
</f>
        <v>0.003571428571</v>
      </c>
      <c r="I90" s="129">
        <f>IF(F90="♢♢", ((N4 * 100) / (COUNTIFS(F:F, "♢♢", E:E, E90) + COUNTIFS(F:F, "♢♢", E:E, "A1") + IF(E90="A1", COUNTIFS(F:F, "♢♢", E:E, E2), 0) - IF(E90="A1", COUNTIFS(F:F, "♢♢", E:E, "A1"), 0)))/100, 
   IF(F90="♢♢♢", ((N5 * 100) / (COUNTIFS(F:F, "♢♢♢", E:E, E90) + COUNTIFS(F:F, "♢♢♢", E:E, "A1") + IF(E90="A1", COUNTIFS(F:F, "♢♢♢", E:E, E2), 0) - IF(E90="A1", COUNTIFS(F:F, "♢♢♢", E:E, "A1"), 0)))/100, 
   IF(F90="♢♢♢♢", ((N6 * 100) / (COUNTIFS(F:F, "♢♢♢♢", E:E, E90) + COUNTIFS(F:F, "♢♢♢♢", E:E, "A1") + IF(E90="A1", COUNTIFS(F:F, "♢♢♢♢", E:E, E2), 0) - IF(E90="A1", COUNTIFS(F:F, "♢♢♢♢", E:E, "A1"), 0)))/100, 
   IF(F90="☆", ((N7 * 100) / (COUNTIFS(F:F, "☆", E:E, E90) + COUNTIFS(F:F, "☆", E:E, "A1") + IF(E90="A1", COUNTIFS(F:F, "☆", E:E, E2), 0) - IF(E90="A1", COUNTIFS(F:F, "☆", E:E, "A1"), 0)))/100, 
   IF(F90="☆☆", ((N8 * 100) / (COUNTIFS(F:F, "☆☆", E:E, E90) + COUNTIFS(F:F, "☆☆", E:E, "A1") + IF(E90="A1", COUNTIFS(F:F, "☆☆", E:E, E2), 0) - IF(E90="A1", COUNTIFS(F:F, "☆☆", E:E, "A1"), 0)))/100, 
   IF(F90="☆☆☆", ((N9 * 100) / (COUNTIFS(F:F, "☆☆☆", E:E, E90) + COUNTIFS(F:F, "☆☆☆", E:E, "A1") + IF(E90="A1", COUNTIFS(F:F, "☆☆☆", E:E, E2), 0) - IF(E90="A1", COUNTIFS(F:F, "☆☆☆", E:E, "A1"), 0)))/100, 
   IF(F90="♛", ((N10 * 100) / (COUNTIFS(F:F, "♛", E:E, E90) + COUNTIFS(F:F, "♛", E:E, "A1") + IF(E90="A1", COUNTIFS(F:F, "♛", E:E, E2), 0) - IF(E90="A1", COUNTIFS(F:F, "♛", E:E, "A1"), 0)))/100, "")))))))
</f>
        <v>0.01428571429</v>
      </c>
      <c r="J90" s="131"/>
      <c r="K90" s="247"/>
      <c r="L90" s="20"/>
      <c r="M90" s="20"/>
      <c r="N90" s="20"/>
    </row>
    <row r="91">
      <c r="A91" s="125" t="b">
        <f t="shared" si="1"/>
        <v>0</v>
      </c>
      <c r="B91" s="126">
        <v>0.0</v>
      </c>
      <c r="C91" s="127" t="s">
        <v>288</v>
      </c>
      <c r="D91" s="127" t="s">
        <v>289</v>
      </c>
      <c r="E91" s="128" t="s">
        <v>32</v>
      </c>
      <c r="F91" s="127" t="s">
        <v>44</v>
      </c>
      <c r="G91" s="129">
        <f>IF(F91="♢", ((L3 * 100) / (COUNTIFS(F:F, "♢", E:E, E91) + COUNTIFS(F:F, "♢", E:E, "A1") + IF(E91="A1", COUNTIFS(F:F, "♢", E:E, E2), 0) - IF(E91="A1", COUNTIFS(F:F, "♢", E:E, "A1"), 0)))/100, "")
</f>
        <v>0.02</v>
      </c>
      <c r="H91" s="130" t="str">
        <f>IF(F91="♢♢", ((M4 * 100) / (COUNTIFS(F:F, "♢♢", E:E, E91) + COUNTIFS(F:F, "♢♢", E:E, "A1") + IF(E91="A1", COUNTIFS(F:F, "♢♢", E:E, E2), 0) - IF(E91="A1", COUNTIFS(F:F, "♢♢", E:E, "A1"), 0)))/100, 
   IF(F91="♢♢♢", ((M5 * 100) / (COUNTIFS(F:F, "♢♢♢", E:E, E91) + COUNTIFS(F:F, "♢♢♢", E:E, "A1") + IF(E91="A1", COUNTIFS(F:F, "♢♢♢", E:E, E2), 0) - IF(E91="A1", COUNTIFS(F:F, "♢♢♢", E:E, "A1"), 0)))/100, 
   IF(F91="♢♢♢♢", ((M6 * 100) / (COUNTIFS(F:F, "♢♢♢♢", E:E, E91) + COUNTIFS(F:F, "♢♢♢♢", E:E, "A1") + IF(E91="A1", COUNTIFS(F:F, "♢♢♢♢", E:E, E2), 0) - IF(E91="A1", COUNTIFS(F:F, "♢♢♢♢", E:E, "A1"), 0)))/100, 
   IF(F91="☆", ((M7 * 100) / (COUNTIFS(F:F, "☆", E:E, E91) + COUNTIFS(F:F, "☆", E:E, "A1") + IF(E91="A1", COUNTIFS(F:F, "☆", E:E, E2), 0) - IF(E91="A1", COUNTIFS(F:F, "☆", E:E, "A1"), 0)))/100, 
   IF(F91="☆☆", ((M8 * 100) / (COUNTIFS(F:F, "☆☆", E:E, E91) + COUNTIFS(F:F, "☆☆", E:E, "A1") + IF(E91="A1", COUNTIFS(F:F, "☆☆", E:E, E2), 0) - IF(E91="A1", COUNTIFS(F:F, "☆☆", E:E, "A1"), 0)))/100, 
   IF(F91="☆☆☆", ((M9 * 100) / (COUNTIFS(F:F, "☆☆☆", E:E, E91) + COUNTIFS(F:F, "☆☆☆", E:E, "A1") + IF(E91="A1", COUNTIFS(F:F, "☆☆☆", E:E, E2), 0) - IF(E91="A1", COUNTIFS(F:F, "☆☆☆", E:E, "A1"), 0)))/100, 
   IF(F91="♛", ((M10 * 100) / (COUNTIFS(F:F, "♛", E:E, E91) + COUNTIFS(F:F, "♛", E:E, "A1") + IF(E91="A1", COUNTIFS(F:F, "♛", E:E, E2), 0) - IF(E91="A1", COUNTIFS(F:F, "♛", E:E, "A1"), 0)))/100, "")))))))
</f>
        <v/>
      </c>
      <c r="I91" s="130" t="str">
        <f>IF(F91="♢♢", ((N4 * 100) / (COUNTIFS(F:F, "♢♢", E:E, E91) + COUNTIFS(F:F, "♢♢", E:E, "A1") + IF(E91="A1", COUNTIFS(F:F, "♢♢", E:E, E2), 0) - IF(E91="A1", COUNTIFS(F:F, "♢♢", E:E, "A1"), 0)))/100, 
   IF(F91="♢♢♢", ((N5 * 100) / (COUNTIFS(F:F, "♢♢♢", E:E, E91) + COUNTIFS(F:F, "♢♢♢", E:E, "A1") + IF(E91="A1", COUNTIFS(F:F, "♢♢♢", E:E, E2), 0) - IF(E91="A1", COUNTIFS(F:F, "♢♢♢", E:E, "A1"), 0)))/100, 
   IF(F91="♢♢♢♢", ((N6 * 100) / (COUNTIFS(F:F, "♢♢♢♢", E:E, E91) + COUNTIFS(F:F, "♢♢♢♢", E:E, "A1") + IF(E91="A1", COUNTIFS(F:F, "♢♢♢♢", E:E, E2), 0) - IF(E91="A1", COUNTIFS(F:F, "♢♢♢♢", E:E, "A1"), 0)))/100, 
   IF(F91="☆", ((N7 * 100) / (COUNTIFS(F:F, "☆", E:E, E91) + COUNTIFS(F:F, "☆", E:E, "A1") + IF(E91="A1", COUNTIFS(F:F, "☆", E:E, E2), 0) - IF(E91="A1", COUNTIFS(F:F, "☆", E:E, "A1"), 0)))/100, 
   IF(F91="☆☆", ((N8 * 100) / (COUNTIFS(F:F, "☆☆", E:E, E91) + COUNTIFS(F:F, "☆☆", E:E, "A1") + IF(E91="A1", COUNTIFS(F:F, "☆☆", E:E, E2), 0) - IF(E91="A1", COUNTIFS(F:F, "☆☆", E:E, "A1"), 0)))/100, 
   IF(F91="☆☆☆", ((N9 * 100) / (COUNTIFS(F:F, "☆☆☆", E:E, E91) + COUNTIFS(F:F, "☆☆☆", E:E, "A1") + IF(E91="A1", COUNTIFS(F:F, "☆☆☆", E:E, E2), 0) - IF(E91="A1", COUNTIFS(F:F, "☆☆☆", E:E, "A1"), 0)))/100, 
   IF(F91="♛", ((N10 * 100) / (COUNTIFS(F:F, "♛", E:E, E91) + COUNTIFS(F:F, "♛", E:E, "A1") + IF(E91="A1", COUNTIFS(F:F, "♛", E:E, E2), 0) - IF(E91="A1", COUNTIFS(F:F, "♛", E:E, "A1"), 0)))/100, "")))))))
</f>
        <v/>
      </c>
      <c r="J91" s="131"/>
      <c r="K91" s="247"/>
      <c r="L91" s="20"/>
      <c r="M91" s="20"/>
      <c r="N91" s="20"/>
      <c r="O91" s="124" t="s">
        <v>290</v>
      </c>
    </row>
    <row r="92">
      <c r="A92" s="125" t="b">
        <f t="shared" si="1"/>
        <v>0</v>
      </c>
      <c r="B92" s="126">
        <v>0.0</v>
      </c>
      <c r="C92" s="127" t="s">
        <v>291</v>
      </c>
      <c r="D92" s="127" t="s">
        <v>292</v>
      </c>
      <c r="E92" s="128" t="s">
        <v>137</v>
      </c>
      <c r="F92" s="127" t="s">
        <v>46</v>
      </c>
      <c r="G92" s="130" t="str">
        <f>IF(F92="♢", ((L3 * 100) / (COUNTIFS(F:F, "♢", E:E, E92) + COUNTIFS(F:F, "♢", E:E, "A1") + IF(E92="A1", COUNTIFS(F:F, "♢", E:E, E2), 0) - IF(E92="A1", COUNTIFS(F:F, "♢", E:E, "A1"), 0)))/100, "")
</f>
        <v/>
      </c>
      <c r="H92" s="129">
        <f>IF(F92="♢♢", ((M4 * 100) / (COUNTIFS(F:F, "♢♢", E:E, E92) + COUNTIFS(F:F, "♢♢", E:E, "A1") + IF(E92="A1", COUNTIFS(F:F, "♢♢", E:E, E2), 0) - IF(E92="A1", COUNTIFS(F:F, "♢♢", E:E, "A1"), 0)))/100, 
   IF(F92="♢♢♢", ((M5 * 100) / (COUNTIFS(F:F, "♢♢♢", E:E, E92) + COUNTIFS(F:F, "♢♢♢", E:E, "A1") + IF(E92="A1", COUNTIFS(F:F, "♢♢♢", E:E, E2), 0) - IF(E92="A1", COUNTIFS(F:F, "♢♢♢", E:E, "A1"), 0)))/100, 
   IF(F92="♢♢♢♢", ((M6 * 100) / (COUNTIFS(F:F, "♢♢♢♢", E:E, E92) + COUNTIFS(F:F, "♢♢♢♢", E:E, "A1") + IF(E92="A1", COUNTIFS(F:F, "♢♢♢♢", E:E, E2), 0) - IF(E92="A1", COUNTIFS(F:F, "♢♢♢♢", E:E, "A1"), 0)))/100, 
   IF(F92="☆", ((M7 * 100) / (COUNTIFS(F:F, "☆", E:E, E92) + COUNTIFS(F:F, "☆", E:E, "A1") + IF(E92="A1", COUNTIFS(F:F, "☆", E:E, E2), 0) - IF(E92="A1", COUNTIFS(F:F, "☆", E:E, "A1"), 0)))/100, 
   IF(F92="☆☆", ((M8 * 100) / (COUNTIFS(F:F, "☆☆", E:E, E92) + COUNTIFS(F:F, "☆☆", E:E, "A1") + IF(E92="A1", COUNTIFS(F:F, "☆☆", E:E, E2), 0) - IF(E92="A1", COUNTIFS(F:F, "☆☆", E:E, "A1"), 0)))/100, 
   IF(F92="☆☆☆", ((M9 * 100) / (COUNTIFS(F:F, "☆☆☆", E:E, E92) + COUNTIFS(F:F, "☆☆☆", E:E, "A1") + IF(E92="A1", COUNTIFS(F:F, "☆☆☆", E:E, E2), 0) - IF(E92="A1", COUNTIFS(F:F, "☆☆☆", E:E, "A1"), 0)))/100, 
   IF(F92="♛", ((M10 * 100) / (COUNTIFS(F:F, "♛", E:E, E92) + COUNTIFS(F:F, "♛", E:E, "A1") + IF(E92="A1", COUNTIFS(F:F, "♛", E:E, E2), 0) - IF(E92="A1", COUNTIFS(F:F, "♛", E:E, "A1"), 0)))/100, "")))))))
</f>
        <v>0.02571428571</v>
      </c>
      <c r="I92" s="129">
        <f>IF(F92="♢♢", ((N4 * 100) / (COUNTIFS(F:F, "♢♢", E:E, E92) + COUNTIFS(F:F, "♢♢", E:E, "A1") + IF(E92="A1", COUNTIFS(F:F, "♢♢", E:E, E2), 0) - IF(E92="A1", COUNTIFS(F:F, "♢♢", E:E, "A1"), 0)))/100, 
   IF(F92="♢♢♢", ((N5 * 100) / (COUNTIFS(F:F, "♢♢♢", E:E, E92) + COUNTIFS(F:F, "♢♢♢", E:E, "A1") + IF(E92="A1", COUNTIFS(F:F, "♢♢♢", E:E, E2), 0) - IF(E92="A1", COUNTIFS(F:F, "♢♢♢", E:E, "A1"), 0)))/100, 
   IF(F92="♢♢♢♢", ((N6 * 100) / (COUNTIFS(F:F, "♢♢♢♢", E:E, E92) + COUNTIFS(F:F, "♢♢♢♢", E:E, "A1") + IF(E92="A1", COUNTIFS(F:F, "♢♢♢♢", E:E, E2), 0) - IF(E92="A1", COUNTIFS(F:F, "♢♢♢♢", E:E, "A1"), 0)))/100, 
   IF(F92="☆", ((N7 * 100) / (COUNTIFS(F:F, "☆", E:E, E92) + COUNTIFS(F:F, "☆", E:E, "A1") + IF(E92="A1", COUNTIFS(F:F, "☆", E:E, E2), 0) - IF(E92="A1", COUNTIFS(F:F, "☆", E:E, "A1"), 0)))/100, 
   IF(F92="☆☆", ((N8 * 100) / (COUNTIFS(F:F, "☆☆", E:E, E92) + COUNTIFS(F:F, "☆☆", E:E, "A1") + IF(E92="A1", COUNTIFS(F:F, "☆☆", E:E, E2), 0) - IF(E92="A1", COUNTIFS(F:F, "☆☆", E:E, "A1"), 0)))/100, 
   IF(F92="☆☆☆", ((N9 * 100) / (COUNTIFS(F:F, "☆☆☆", E:E, E92) + COUNTIFS(F:F, "☆☆☆", E:E, "A1") + IF(E92="A1", COUNTIFS(F:F, "☆☆☆", E:E, E2), 0) - IF(E92="A1", COUNTIFS(F:F, "☆☆☆", E:E, "A1"), 0)))/100, 
   IF(F92="♛", ((N10 * 100) / (COUNTIFS(F:F, "♛", E:E, E92) + COUNTIFS(F:F, "♛", E:E, "A1") + IF(E92="A1", COUNTIFS(F:F, "♛", E:E, E2), 0) - IF(E92="A1", COUNTIFS(F:F, "♛", E:E, "A1"), 0)))/100, "")))))))
</f>
        <v>0.01714285714</v>
      </c>
      <c r="J92" s="131"/>
      <c r="K92" s="247"/>
      <c r="L92" s="20"/>
      <c r="M92" s="20"/>
      <c r="N92" s="20"/>
    </row>
    <row r="93">
      <c r="A93" s="125" t="b">
        <f t="shared" si="1"/>
        <v>0</v>
      </c>
      <c r="B93" s="126">
        <v>0.0</v>
      </c>
      <c r="C93" s="127" t="s">
        <v>293</v>
      </c>
      <c r="D93" s="127" t="s">
        <v>294</v>
      </c>
      <c r="E93" s="128" t="s">
        <v>137</v>
      </c>
      <c r="F93" s="127" t="s">
        <v>44</v>
      </c>
      <c r="G93" s="129">
        <f>IF(F93="♢", ((L3 * 100) / (COUNTIFS(F:F, "♢", E:E, E93) + COUNTIFS(F:F, "♢", E:E, "A1") + IF(E93="A1", COUNTIFS(F:F, "♢", E:E, E2), 0) - IF(E93="A1", COUNTIFS(F:F, "♢", E:E, "A1"), 0)))/100, "")
</f>
        <v>0.02</v>
      </c>
      <c r="H93" s="130" t="str">
        <f>IF(F93="♢♢", ((M4 * 100) / (COUNTIFS(F:F, "♢♢", E:E, E93) + COUNTIFS(F:F, "♢♢", E:E, "A1") + IF(E93="A1", COUNTIFS(F:F, "♢♢", E:E, E2), 0) - IF(E93="A1", COUNTIFS(F:F, "♢♢", E:E, "A1"), 0)))/100, 
   IF(F93="♢♢♢", ((M5 * 100) / (COUNTIFS(F:F, "♢♢♢", E:E, E93) + COUNTIFS(F:F, "♢♢♢", E:E, "A1") + IF(E93="A1", COUNTIFS(F:F, "♢♢♢", E:E, E2), 0) - IF(E93="A1", COUNTIFS(F:F, "♢♢♢", E:E, "A1"), 0)))/100, 
   IF(F93="♢♢♢♢", ((M6 * 100) / (COUNTIFS(F:F, "♢♢♢♢", E:E, E93) + COUNTIFS(F:F, "♢♢♢♢", E:E, "A1") + IF(E93="A1", COUNTIFS(F:F, "♢♢♢♢", E:E, E2), 0) - IF(E93="A1", COUNTIFS(F:F, "♢♢♢♢", E:E, "A1"), 0)))/100, 
   IF(F93="☆", ((M7 * 100) / (COUNTIFS(F:F, "☆", E:E, E93) + COUNTIFS(F:F, "☆", E:E, "A1") + IF(E93="A1", COUNTIFS(F:F, "☆", E:E, E2), 0) - IF(E93="A1", COUNTIFS(F:F, "☆", E:E, "A1"), 0)))/100, 
   IF(F93="☆☆", ((M8 * 100) / (COUNTIFS(F:F, "☆☆", E:E, E93) + COUNTIFS(F:F, "☆☆", E:E, "A1") + IF(E93="A1", COUNTIFS(F:F, "☆☆", E:E, E2), 0) - IF(E93="A1", COUNTIFS(F:F, "☆☆", E:E, "A1"), 0)))/100, 
   IF(F93="☆☆☆", ((M9 * 100) / (COUNTIFS(F:F, "☆☆☆", E:E, E93) + COUNTIFS(F:F, "☆☆☆", E:E, "A1") + IF(E93="A1", COUNTIFS(F:F, "☆☆☆", E:E, E2), 0) - IF(E93="A1", COUNTIFS(F:F, "☆☆☆", E:E, "A1"), 0)))/100, 
   IF(F93="♛", ((M10 * 100) / (COUNTIFS(F:F, "♛", E:E, E93) + COUNTIFS(F:F, "♛", E:E, "A1") + IF(E93="A1", COUNTIFS(F:F, "♛", E:E, E2), 0) - IF(E93="A1", COUNTIFS(F:F, "♛", E:E, "A1"), 0)))/100, "")))))))
</f>
        <v/>
      </c>
      <c r="I93" s="130" t="str">
        <f>IF(F93="♢♢", ((N4 * 100) / (COUNTIFS(F:F, "♢♢", E:E, E93) + COUNTIFS(F:F, "♢♢", E:E, "A1") + IF(E93="A1", COUNTIFS(F:F, "♢♢", E:E, E2), 0) - IF(E93="A1", COUNTIFS(F:F, "♢♢", E:E, "A1"), 0)))/100, 
   IF(F93="♢♢♢", ((N5 * 100) / (COUNTIFS(F:F, "♢♢♢", E:E, E93) + COUNTIFS(F:F, "♢♢♢", E:E, "A1") + IF(E93="A1", COUNTIFS(F:F, "♢♢♢", E:E, E2), 0) - IF(E93="A1", COUNTIFS(F:F, "♢♢♢", E:E, "A1"), 0)))/100, 
   IF(F93="♢♢♢♢", ((N6 * 100) / (COUNTIFS(F:F, "♢♢♢♢", E:E, E93) + COUNTIFS(F:F, "♢♢♢♢", E:E, "A1") + IF(E93="A1", COUNTIFS(F:F, "♢♢♢♢", E:E, E2), 0) - IF(E93="A1", COUNTIFS(F:F, "♢♢♢♢", E:E, "A1"), 0)))/100, 
   IF(F93="☆", ((N7 * 100) / (COUNTIFS(F:F, "☆", E:E, E93) + COUNTIFS(F:F, "☆", E:E, "A1") + IF(E93="A1", COUNTIFS(F:F, "☆", E:E, E2), 0) - IF(E93="A1", COUNTIFS(F:F, "☆", E:E, "A1"), 0)))/100, 
   IF(F93="☆☆", ((N8 * 100) / (COUNTIFS(F:F, "☆☆", E:E, E93) + COUNTIFS(F:F, "☆☆", E:E, "A1") + IF(E93="A1", COUNTIFS(F:F, "☆☆", E:E, E2), 0) - IF(E93="A1", COUNTIFS(F:F, "☆☆", E:E, "A1"), 0)))/100, 
   IF(F93="☆☆☆", ((N9 * 100) / (COUNTIFS(F:F, "☆☆☆", E:E, E93) + COUNTIFS(F:F, "☆☆☆", E:E, "A1") + IF(E93="A1", COUNTIFS(F:F, "☆☆☆", E:E, E2), 0) - IF(E93="A1", COUNTIFS(F:F, "☆☆☆", E:E, "A1"), 0)))/100, 
   IF(F93="♛", ((N10 * 100) / (COUNTIFS(F:F, "♛", E:E, E93) + COUNTIFS(F:F, "♛", E:E, "A1") + IF(E93="A1", COUNTIFS(F:F, "♛", E:E, E2), 0) - IF(E93="A1", COUNTIFS(F:F, "♛", E:E, "A1"), 0)))/100, "")))))))
</f>
        <v/>
      </c>
      <c r="J93" s="131"/>
      <c r="K93" s="247"/>
      <c r="L93" s="20"/>
      <c r="M93" s="20"/>
      <c r="N93" s="20"/>
    </row>
    <row r="94">
      <c r="A94" s="125" t="b">
        <f t="shared" si="1"/>
        <v>0</v>
      </c>
      <c r="B94" s="126">
        <v>0.0</v>
      </c>
      <c r="C94" s="127" t="s">
        <v>295</v>
      </c>
      <c r="D94" s="127" t="s">
        <v>296</v>
      </c>
      <c r="E94" s="128" t="s">
        <v>137</v>
      </c>
      <c r="F94" s="127" t="s">
        <v>46</v>
      </c>
      <c r="G94" s="130" t="str">
        <f>IF(F94="♢", ((L3 * 100) / (COUNTIFS(F:F, "♢", E:E, E94) + COUNTIFS(F:F, "♢", E:E, "A1") + IF(E94="A1", COUNTIFS(F:F, "♢", E:E, E2), 0) - IF(E94="A1", COUNTIFS(F:F, "♢", E:E, "A1"), 0)))/100, "")
</f>
        <v/>
      </c>
      <c r="H94" s="129">
        <f>IF(F94="♢♢", ((M4 * 100) / (COUNTIFS(F:F, "♢♢", E:E, E94) + COUNTIFS(F:F, "♢♢", E:E, "A1") + IF(E94="A1", COUNTIFS(F:F, "♢♢", E:E, E2), 0) - IF(E94="A1", COUNTIFS(F:F, "♢♢", E:E, "A1"), 0)))/100, 
   IF(F94="♢♢♢", ((M5 * 100) / (COUNTIFS(F:F, "♢♢♢", E:E, E94) + COUNTIFS(F:F, "♢♢♢", E:E, "A1") + IF(E94="A1", COUNTIFS(F:F, "♢♢♢", E:E, E2), 0) - IF(E94="A1", COUNTIFS(F:F, "♢♢♢", E:E, "A1"), 0)))/100, 
   IF(F94="♢♢♢♢", ((M6 * 100) / (COUNTIFS(F:F, "♢♢♢♢", E:E, E94) + COUNTIFS(F:F, "♢♢♢♢", E:E, "A1") + IF(E94="A1", COUNTIFS(F:F, "♢♢♢♢", E:E, E2), 0) - IF(E94="A1", COUNTIFS(F:F, "♢♢♢♢", E:E, "A1"), 0)))/100, 
   IF(F94="☆", ((M7 * 100) / (COUNTIFS(F:F, "☆", E:E, E94) + COUNTIFS(F:F, "☆", E:E, "A1") + IF(E94="A1", COUNTIFS(F:F, "☆", E:E, E2), 0) - IF(E94="A1", COUNTIFS(F:F, "☆", E:E, "A1"), 0)))/100, 
   IF(F94="☆☆", ((M8 * 100) / (COUNTIFS(F:F, "☆☆", E:E, E94) + COUNTIFS(F:F, "☆☆", E:E, "A1") + IF(E94="A1", COUNTIFS(F:F, "☆☆", E:E, E2), 0) - IF(E94="A1", COUNTIFS(F:F, "☆☆", E:E, "A1"), 0)))/100, 
   IF(F94="☆☆☆", ((M9 * 100) / (COUNTIFS(F:F, "☆☆☆", E:E, E94) + COUNTIFS(F:F, "☆☆☆", E:E, "A1") + IF(E94="A1", COUNTIFS(F:F, "☆☆☆", E:E, E2), 0) - IF(E94="A1", COUNTIFS(F:F, "☆☆☆", E:E, "A1"), 0)))/100, 
   IF(F94="♛", ((M10 * 100) / (COUNTIFS(F:F, "♛", E:E, E94) + COUNTIFS(F:F, "♛", E:E, "A1") + IF(E94="A1", COUNTIFS(F:F, "♛", E:E, E2), 0) - IF(E94="A1", COUNTIFS(F:F, "♛", E:E, "A1"), 0)))/100, "")))))))
</f>
        <v>0.02571428571</v>
      </c>
      <c r="I94" s="129">
        <f>IF(F94="♢♢", ((N4 * 100) / (COUNTIFS(F:F, "♢♢", E:E, E94) + COUNTIFS(F:F, "♢♢", E:E, "A1") + IF(E94="A1", COUNTIFS(F:F, "♢♢", E:E, E2), 0) - IF(E94="A1", COUNTIFS(F:F, "♢♢", E:E, "A1"), 0)))/100, 
   IF(F94="♢♢♢", ((N5 * 100) / (COUNTIFS(F:F, "♢♢♢", E:E, E94) + COUNTIFS(F:F, "♢♢♢", E:E, "A1") + IF(E94="A1", COUNTIFS(F:F, "♢♢♢", E:E, E2), 0) - IF(E94="A1", COUNTIFS(F:F, "♢♢♢", E:E, "A1"), 0)))/100, 
   IF(F94="♢♢♢♢", ((N6 * 100) / (COUNTIFS(F:F, "♢♢♢♢", E:E, E94) + COUNTIFS(F:F, "♢♢♢♢", E:E, "A1") + IF(E94="A1", COUNTIFS(F:F, "♢♢♢♢", E:E, E2), 0) - IF(E94="A1", COUNTIFS(F:F, "♢♢♢♢", E:E, "A1"), 0)))/100, 
   IF(F94="☆", ((N7 * 100) / (COUNTIFS(F:F, "☆", E:E, E94) + COUNTIFS(F:F, "☆", E:E, "A1") + IF(E94="A1", COUNTIFS(F:F, "☆", E:E, E2), 0) - IF(E94="A1", COUNTIFS(F:F, "☆", E:E, "A1"), 0)))/100, 
   IF(F94="☆☆", ((N8 * 100) / (COUNTIFS(F:F, "☆☆", E:E, E94) + COUNTIFS(F:F, "☆☆", E:E, "A1") + IF(E94="A1", COUNTIFS(F:F, "☆☆", E:E, E2), 0) - IF(E94="A1", COUNTIFS(F:F, "☆☆", E:E, "A1"), 0)))/100, 
   IF(F94="☆☆☆", ((N9 * 100) / (COUNTIFS(F:F, "☆☆☆", E:E, E94) + COUNTIFS(F:F, "☆☆☆", E:E, "A1") + IF(E94="A1", COUNTIFS(F:F, "☆☆☆", E:E, E2), 0) - IF(E94="A1", COUNTIFS(F:F, "☆☆☆", E:E, "A1"), 0)))/100, 
   IF(F94="♛", ((N10 * 100) / (COUNTIFS(F:F, "♛", E:E, E94) + COUNTIFS(F:F, "♛", E:E, "A1") + IF(E94="A1", COUNTIFS(F:F, "♛", E:E, E2), 0) - IF(E94="A1", COUNTIFS(F:F, "♛", E:E, "A1"), 0)))/100, "")))))))
</f>
        <v>0.01714285714</v>
      </c>
      <c r="J94" s="131"/>
      <c r="K94" s="247"/>
      <c r="L94" s="20"/>
      <c r="M94" s="20"/>
      <c r="N94" s="20"/>
    </row>
    <row r="95">
      <c r="A95" s="125" t="b">
        <f t="shared" si="1"/>
        <v>0</v>
      </c>
      <c r="B95" s="126">
        <v>0.0</v>
      </c>
      <c r="C95" s="127" t="s">
        <v>297</v>
      </c>
      <c r="D95" s="127" t="s">
        <v>298</v>
      </c>
      <c r="E95" s="128" t="s">
        <v>31</v>
      </c>
      <c r="F95" s="127" t="s">
        <v>44</v>
      </c>
      <c r="G95" s="129">
        <f>IF(F95="♢", ((L3 * 100) / (COUNTIFS(F:F, "♢", E:E, E95) + COUNTIFS(F:F, "♢", E:E, "A1") + IF(E95="A1", COUNTIFS(F:F, "♢", E:E, E2), 0) - IF(E95="A1", COUNTIFS(F:F, "♢", E:E, "A1"), 0)))/100, "")
</f>
        <v>0.02</v>
      </c>
      <c r="H95" s="130" t="str">
        <f>IF(F95="♢♢", ((M4 * 100) / (COUNTIFS(F:F, "♢♢", E:E, E95) + COUNTIFS(F:F, "♢♢", E:E, "A1") + IF(E95="A1", COUNTIFS(F:F, "♢♢", E:E, E2), 0) - IF(E95="A1", COUNTIFS(F:F, "♢♢", E:E, "A1"), 0)))/100, 
   IF(F95="♢♢♢", ((M5 * 100) / (COUNTIFS(F:F, "♢♢♢", E:E, E95) + COUNTIFS(F:F, "♢♢♢", E:E, "A1") + IF(E95="A1", COUNTIFS(F:F, "♢♢♢", E:E, E2), 0) - IF(E95="A1", COUNTIFS(F:F, "♢♢♢", E:E, "A1"), 0)))/100, 
   IF(F95="♢♢♢♢", ((M6 * 100) / (COUNTIFS(F:F, "♢♢♢♢", E:E, E95) + COUNTIFS(F:F, "♢♢♢♢", E:E, "A1") + IF(E95="A1", COUNTIFS(F:F, "♢♢♢♢", E:E, E2), 0) - IF(E95="A1", COUNTIFS(F:F, "♢♢♢♢", E:E, "A1"), 0)))/100, 
   IF(F95="☆", ((M7 * 100) / (COUNTIFS(F:F, "☆", E:E, E95) + COUNTIFS(F:F, "☆", E:E, "A1") + IF(E95="A1", COUNTIFS(F:F, "☆", E:E, E2), 0) - IF(E95="A1", COUNTIFS(F:F, "☆", E:E, "A1"), 0)))/100, 
   IF(F95="☆☆", ((M8 * 100) / (COUNTIFS(F:F, "☆☆", E:E, E95) + COUNTIFS(F:F, "☆☆", E:E, "A1") + IF(E95="A1", COUNTIFS(F:F, "☆☆", E:E, E2), 0) - IF(E95="A1", COUNTIFS(F:F, "☆☆", E:E, "A1"), 0)))/100, 
   IF(F95="☆☆☆", ((M9 * 100) / (COUNTIFS(F:F, "☆☆☆", E:E, E95) + COUNTIFS(F:F, "☆☆☆", E:E, "A1") + IF(E95="A1", COUNTIFS(F:F, "☆☆☆", E:E, E2), 0) - IF(E95="A1", COUNTIFS(F:F, "☆☆☆", E:E, "A1"), 0)))/100, 
   IF(F95="♛", ((M10 * 100) / (COUNTIFS(F:F, "♛", E:E, E95) + COUNTIFS(F:F, "♛", E:E, "A1") + IF(E95="A1", COUNTIFS(F:F, "♛", E:E, E2), 0) - IF(E95="A1", COUNTIFS(F:F, "♛", E:E, "A1"), 0)))/100, "")))))))
</f>
        <v/>
      </c>
      <c r="I95" s="130" t="str">
        <f>IF(F95="♢♢", ((N4 * 100) / (COUNTIFS(F:F, "♢♢", E:E, E95) + COUNTIFS(F:F, "♢♢", E:E, "A1") + IF(E95="A1", COUNTIFS(F:F, "♢♢", E:E, E2), 0) - IF(E95="A1", COUNTIFS(F:F, "♢♢", E:E, "A1"), 0)))/100, 
   IF(F95="♢♢♢", ((N5 * 100) / (COUNTIFS(F:F, "♢♢♢", E:E, E95) + COUNTIFS(F:F, "♢♢♢", E:E, "A1") + IF(E95="A1", COUNTIFS(F:F, "♢♢♢", E:E, E2), 0) - IF(E95="A1", COUNTIFS(F:F, "♢♢♢", E:E, "A1"), 0)))/100, 
   IF(F95="♢♢♢♢", ((N6 * 100) / (COUNTIFS(F:F, "♢♢♢♢", E:E, E95) + COUNTIFS(F:F, "♢♢♢♢", E:E, "A1") + IF(E95="A1", COUNTIFS(F:F, "♢♢♢♢", E:E, E2), 0) - IF(E95="A1", COUNTIFS(F:F, "♢♢♢♢", E:E, "A1"), 0)))/100, 
   IF(F95="☆", ((N7 * 100) / (COUNTIFS(F:F, "☆", E:E, E95) + COUNTIFS(F:F, "☆", E:E, "A1") + IF(E95="A1", COUNTIFS(F:F, "☆", E:E, E2), 0) - IF(E95="A1", COUNTIFS(F:F, "☆", E:E, "A1"), 0)))/100, 
   IF(F95="☆☆", ((N8 * 100) / (COUNTIFS(F:F, "☆☆", E:E, E95) + COUNTIFS(F:F, "☆☆", E:E, "A1") + IF(E95="A1", COUNTIFS(F:F, "☆☆", E:E, E2), 0) - IF(E95="A1", COUNTIFS(F:F, "☆☆", E:E, "A1"), 0)))/100, 
   IF(F95="☆☆☆", ((N9 * 100) / (COUNTIFS(F:F, "☆☆☆", E:E, E95) + COUNTIFS(F:F, "☆☆☆", E:E, "A1") + IF(E95="A1", COUNTIFS(F:F, "☆☆☆", E:E, E2), 0) - IF(E95="A1", COUNTIFS(F:F, "☆☆☆", E:E, "A1"), 0)))/100, 
   IF(F95="♛", ((N10 * 100) / (COUNTIFS(F:F, "♛", E:E, E95) + COUNTIFS(F:F, "♛", E:E, "A1") + IF(E95="A1", COUNTIFS(F:F, "♛", E:E, E2), 0) - IF(E95="A1", COUNTIFS(F:F, "♛", E:E, "A1"), 0)))/100, "")))))))
</f>
        <v/>
      </c>
      <c r="J95" s="131"/>
      <c r="K95" s="247"/>
      <c r="L95" s="20"/>
      <c r="M95" s="20"/>
      <c r="N95" s="20"/>
    </row>
    <row r="96">
      <c r="A96" s="125" t="b">
        <f t="shared" si="1"/>
        <v>0</v>
      </c>
      <c r="B96" s="126">
        <v>0.0</v>
      </c>
      <c r="C96" s="127" t="s">
        <v>299</v>
      </c>
      <c r="D96" s="127" t="s">
        <v>300</v>
      </c>
      <c r="E96" s="128" t="s">
        <v>31</v>
      </c>
      <c r="F96" s="127" t="s">
        <v>48</v>
      </c>
      <c r="G96" s="130" t="str">
        <f>IF(F96="♢", ((L3 * 100) / (COUNTIFS(F:F, "♢", E:E, E96) + COUNTIFS(F:F, "♢", E:E, "A1") + IF(E96="A1", COUNTIFS(F:F, "♢", E:E, E2), 0) - IF(E96="A1", COUNTIFS(F:F, "♢", E:E, "A1"), 0)))/100, "")
</f>
        <v/>
      </c>
      <c r="H96" s="129">
        <f>IF(F96="♢♢", ((M4 * 100) / (COUNTIFS(F:F, "♢♢", E:E, E96) + COUNTIFS(F:F, "♢♢", E:E, "A1") + IF(E96="A1", COUNTIFS(F:F, "♢♢", E:E, E2), 0) - IF(E96="A1", COUNTIFS(F:F, "♢♢", E:E, "A1"), 0)))/100, 
   IF(F96="♢♢♢", ((M5 * 100) / (COUNTIFS(F:F, "♢♢♢", E:E, E96) + COUNTIFS(F:F, "♢♢♢", E:E, "A1") + IF(E96="A1", COUNTIFS(F:F, "♢♢♢", E:E, E2), 0) - IF(E96="A1", COUNTIFS(F:F, "♢♢♢", E:E, "A1"), 0)))/100, 
   IF(F96="♢♢♢♢", ((M6 * 100) / (COUNTIFS(F:F, "♢♢♢♢", E:E, E96) + COUNTIFS(F:F, "♢♢♢♢", E:E, "A1") + IF(E96="A1", COUNTIFS(F:F, "♢♢♢♢", E:E, E2), 0) - IF(E96="A1", COUNTIFS(F:F, "♢♢♢♢", E:E, "A1"), 0)))/100, 
   IF(F96="☆", ((M7 * 100) / (COUNTIFS(F:F, "☆", E:E, E96) + COUNTIFS(F:F, "☆", E:E, "A1") + IF(E96="A1", COUNTIFS(F:F, "☆", E:E, E2), 0) - IF(E96="A1", COUNTIFS(F:F, "☆", E:E, "A1"), 0)))/100, 
   IF(F96="☆☆", ((M8 * 100) / (COUNTIFS(F:F, "☆☆", E:E, E96) + COUNTIFS(F:F, "☆☆", E:E, "A1") + IF(E96="A1", COUNTIFS(F:F, "☆☆", E:E, E2), 0) - IF(E96="A1", COUNTIFS(F:F, "☆☆", E:E, "A1"), 0)))/100, 
   IF(F96="☆☆☆", ((M9 * 100) / (COUNTIFS(F:F, "☆☆☆", E:E, E96) + COUNTIFS(F:F, "☆☆☆", E:E, "A1") + IF(E96="A1", COUNTIFS(F:F, "☆☆☆", E:E, E2), 0) - IF(E96="A1", COUNTIFS(F:F, "☆☆☆", E:E, "A1"), 0)))/100, 
   IF(F96="♛", ((M10 * 100) / (COUNTIFS(F:F, "♛", E:E, E96) + COUNTIFS(F:F, "♛", E:E, "A1") + IF(E96="A1", COUNTIFS(F:F, "♛", E:E, E2), 0) - IF(E96="A1", COUNTIFS(F:F, "♛", E:E, "A1"), 0)))/100, "")))))))
</f>
        <v>0.003571428571</v>
      </c>
      <c r="I96" s="129">
        <f>IF(F96="♢♢", ((N4 * 100) / (COUNTIFS(F:F, "♢♢", E:E, E96) + COUNTIFS(F:F, "♢♢", E:E, "A1") + IF(E96="A1", COUNTIFS(F:F, "♢♢", E:E, E2), 0) - IF(E96="A1", COUNTIFS(F:F, "♢♢", E:E, "A1"), 0)))/100, 
   IF(F96="♢♢♢", ((N5 * 100) / (COUNTIFS(F:F, "♢♢♢", E:E, E96) + COUNTIFS(F:F, "♢♢♢", E:E, "A1") + IF(E96="A1", COUNTIFS(F:F, "♢♢♢", E:E, E2), 0) - IF(E96="A1", COUNTIFS(F:F, "♢♢♢", E:E, "A1"), 0)))/100, 
   IF(F96="♢♢♢♢", ((N6 * 100) / (COUNTIFS(F:F, "♢♢♢♢", E:E, E96) + COUNTIFS(F:F, "♢♢♢♢", E:E, "A1") + IF(E96="A1", COUNTIFS(F:F, "♢♢♢♢", E:E, E2), 0) - IF(E96="A1", COUNTIFS(F:F, "♢♢♢♢", E:E, "A1"), 0)))/100, 
   IF(F96="☆", ((N7 * 100) / (COUNTIFS(F:F, "☆", E:E, E96) + COUNTIFS(F:F, "☆", E:E, "A1") + IF(E96="A1", COUNTIFS(F:F, "☆", E:E, E2), 0) - IF(E96="A1", COUNTIFS(F:F, "☆", E:E, "A1"), 0)))/100, 
   IF(F96="☆☆", ((N8 * 100) / (COUNTIFS(F:F, "☆☆", E:E, E96) + COUNTIFS(F:F, "☆☆", E:E, "A1") + IF(E96="A1", COUNTIFS(F:F, "☆☆", E:E, E2), 0) - IF(E96="A1", COUNTIFS(F:F, "☆☆", E:E, "A1"), 0)))/100, 
   IF(F96="☆☆☆", ((N9 * 100) / (COUNTIFS(F:F, "☆☆☆", E:E, E96) + COUNTIFS(F:F, "☆☆☆", E:E, "A1") + IF(E96="A1", COUNTIFS(F:F, "☆☆☆", E:E, E2), 0) - IF(E96="A1", COUNTIFS(F:F, "☆☆☆", E:E, "A1"), 0)))/100, 
   IF(F96="♛", ((N10 * 100) / (COUNTIFS(F:F, "♛", E:E, E96) + COUNTIFS(F:F, "♛", E:E, "A1") + IF(E96="A1", COUNTIFS(F:F, "♛", E:E, E2), 0) - IF(E96="A1", COUNTIFS(F:F, "♛", E:E, "A1"), 0)))/100, "")))))))
</f>
        <v>0.01428571429</v>
      </c>
      <c r="J96" s="131"/>
      <c r="K96" s="247"/>
      <c r="L96" s="20"/>
      <c r="M96" s="20"/>
      <c r="N96" s="20"/>
    </row>
    <row r="97">
      <c r="A97" s="125" t="b">
        <f t="shared" si="1"/>
        <v>0</v>
      </c>
      <c r="B97" s="126">
        <v>0.0</v>
      </c>
      <c r="C97" s="127" t="s">
        <v>301</v>
      </c>
      <c r="D97" s="128" t="s">
        <v>302</v>
      </c>
      <c r="E97" s="128" t="s">
        <v>31</v>
      </c>
      <c r="F97" s="127" t="s">
        <v>51</v>
      </c>
      <c r="G97" s="130" t="str">
        <f>IF(F97="♢", ((L3 * 100) / (COUNTIFS(F:F, "♢", E:E, E97) + COUNTIFS(F:F, "♢", E:E, "A1") + IF(E97="A1", COUNTIFS(F:F, "♢", E:E, E2), 0) - IF(E97="A1", COUNTIFS(F:F, "♢", E:E, "A1"), 0)))/100, "")
</f>
        <v/>
      </c>
      <c r="H97" s="129">
        <f>IF(F97="♢♢", ((M4 * 100) / (COUNTIFS(F:F, "♢♢", E:E, E97) + COUNTIFS(F:F, "♢♢", E:E, "A1") + IF(E97="A1", COUNTIFS(F:F, "♢♢", E:E, E2), 0) - IF(E97="A1", COUNTIFS(F:F, "♢♢", E:E, "A1"), 0)))/100, 
   IF(F97="♢♢♢", ((M5 * 100) / (COUNTIFS(F:F, "♢♢♢", E:E, E97) + COUNTIFS(F:F, "♢♢♢", E:E, "A1") + IF(E97="A1", COUNTIFS(F:F, "♢♢♢", E:E, E2), 0) - IF(E97="A1", COUNTIFS(F:F, "♢♢♢", E:E, "A1"), 0)))/100, 
   IF(F97="♢♢♢♢", ((M6 * 100) / (COUNTIFS(F:F, "♢♢♢♢", E:E, E97) + COUNTIFS(F:F, "♢♢♢♢", E:E, "A1") + IF(E97="A1", COUNTIFS(F:F, "♢♢♢♢", E:E, E2), 0) - IF(E97="A1", COUNTIFS(F:F, "♢♢♢♢", E:E, "A1"), 0)))/100, 
   IF(F97="☆", ((M7 * 100) / (COUNTIFS(F:F, "☆", E:E, E97) + COUNTIFS(F:F, "☆", E:E, "A1") + IF(E97="A1", COUNTIFS(F:F, "☆", E:E, E2), 0) - IF(E97="A1", COUNTIFS(F:F, "☆", E:E, "A1"), 0)))/100, 
   IF(F97="☆☆", ((M8 * 100) / (COUNTIFS(F:F, "☆☆", E:E, E97) + COUNTIFS(F:F, "☆☆", E:E, "A1") + IF(E97="A1", COUNTIFS(F:F, "☆☆", E:E, E2), 0) - IF(E97="A1", COUNTIFS(F:F, "☆☆", E:E, "A1"), 0)))/100, 
   IF(F97="☆☆☆", ((M9 * 100) / (COUNTIFS(F:F, "☆☆☆", E:E, E97) + COUNTIFS(F:F, "☆☆☆", E:E, "A1") + IF(E97="A1", COUNTIFS(F:F, "☆☆☆", E:E, E2), 0) - IF(E97="A1", COUNTIFS(F:F, "☆☆☆", E:E, "A1"), 0)))/100, 
   IF(F97="♛", ((M10 * 100) / (COUNTIFS(F:F, "♛", E:E, E97) + COUNTIFS(F:F, "♛", E:E, "A1") + IF(E97="A1", COUNTIFS(F:F, "♛", E:E, E2), 0) - IF(E97="A1", COUNTIFS(F:F, "♛", E:E, "A1"), 0)))/100, "")))))))
</f>
        <v>0.003332</v>
      </c>
      <c r="I97" s="129">
        <f>IF(F97="♢♢", ((N4 * 100) / (COUNTIFS(F:F, "♢♢", E:E, E97) + COUNTIFS(F:F, "♢♢", E:E, "A1") + IF(E97="A1", COUNTIFS(F:F, "♢♢", E:E, E2), 0) - IF(E97="A1", COUNTIFS(F:F, "♢♢", E:E, "A1"), 0)))/100, 
   IF(F97="♢♢♢", ((N5 * 100) / (COUNTIFS(F:F, "♢♢♢", E:E, E97) + COUNTIFS(F:F, "♢♢♢", E:E, "A1") + IF(E97="A1", COUNTIFS(F:F, "♢♢♢", E:E, E2), 0) - IF(E97="A1", COUNTIFS(F:F, "♢♢♢", E:E, "A1"), 0)))/100, 
   IF(F97="♢♢♢♢", ((N6 * 100) / (COUNTIFS(F:F, "♢♢♢♢", E:E, E97) + COUNTIFS(F:F, "♢♢♢♢", E:E, "A1") + IF(E97="A1", COUNTIFS(F:F, "♢♢♢♢", E:E, E2), 0) - IF(E97="A1", COUNTIFS(F:F, "♢♢♢♢", E:E, "A1"), 0)))/100, 
   IF(F97="☆", ((N7 * 100) / (COUNTIFS(F:F, "☆", E:E, E97) + COUNTIFS(F:F, "☆", E:E, "A1") + IF(E97="A1", COUNTIFS(F:F, "☆", E:E, E2), 0) - IF(E97="A1", COUNTIFS(F:F, "☆", E:E, "A1"), 0)))/100, 
   IF(F97="☆☆", ((N8 * 100) / (COUNTIFS(F:F, "☆☆", E:E, E97) + COUNTIFS(F:F, "☆☆", E:E, "A1") + IF(E97="A1", COUNTIFS(F:F, "☆☆", E:E, E2), 0) - IF(E97="A1", COUNTIFS(F:F, "☆☆", E:E, "A1"), 0)))/100, 
   IF(F97="☆☆☆", ((N9 * 100) / (COUNTIFS(F:F, "☆☆☆", E:E, E97) + COUNTIFS(F:F, "☆☆☆", E:E, "A1") + IF(E97="A1", COUNTIFS(F:F, "☆☆☆", E:E, E2), 0) - IF(E97="A1", COUNTIFS(F:F, "☆☆☆", E:E, "A1"), 0)))/100, 
   IF(F97="♛", ((N10 * 100) / (COUNTIFS(F:F, "♛", E:E, E97) + COUNTIFS(F:F, "♛", E:E, "A1") + IF(E97="A1", COUNTIFS(F:F, "♛", E:E, E2), 0) - IF(E97="A1", COUNTIFS(F:F, "♛", E:E, "A1"), 0)))/100, "")))))))
</f>
        <v>0.013328</v>
      </c>
      <c r="J97" s="131"/>
      <c r="K97" s="247"/>
      <c r="L97" s="20"/>
      <c r="M97" s="20"/>
      <c r="N97" s="20"/>
      <c r="O97" s="124" t="s">
        <v>303</v>
      </c>
    </row>
    <row r="98">
      <c r="A98" s="125" t="b">
        <f t="shared" si="1"/>
        <v>0</v>
      </c>
      <c r="B98" s="126">
        <v>0.0</v>
      </c>
      <c r="C98" s="127" t="s">
        <v>304</v>
      </c>
      <c r="D98" s="127" t="s">
        <v>305</v>
      </c>
      <c r="E98" s="128" t="s">
        <v>31</v>
      </c>
      <c r="F98" s="127" t="s">
        <v>44</v>
      </c>
      <c r="G98" s="129">
        <f>IF(F98="♢", ((L3 * 100) / (COUNTIFS(F:F, "♢", E:E, E98) + COUNTIFS(F:F, "♢", E:E, "A1") + IF(E98="A1", COUNTIFS(F:F, "♢", E:E, E2), 0) - IF(E98="A1", COUNTIFS(F:F, "♢", E:E, "A1"), 0)))/100, "")
</f>
        <v>0.02</v>
      </c>
      <c r="H98" s="130" t="str">
        <f>IF(F98="♢♢", ((M4 * 100) / (COUNTIFS(F:F, "♢♢", E:E, E98) + COUNTIFS(F:F, "♢♢", E:E, "A1") + IF(E98="A1", COUNTIFS(F:F, "♢♢", E:E, E2), 0) - IF(E98="A1", COUNTIFS(F:F, "♢♢", E:E, "A1"), 0)))/100, 
   IF(F98="♢♢♢", ((M5 * 100) / (COUNTIFS(F:F, "♢♢♢", E:E, E98) + COUNTIFS(F:F, "♢♢♢", E:E, "A1") + IF(E98="A1", COUNTIFS(F:F, "♢♢♢", E:E, E2), 0) - IF(E98="A1", COUNTIFS(F:F, "♢♢♢", E:E, "A1"), 0)))/100, 
   IF(F98="♢♢♢♢", ((M6 * 100) / (COUNTIFS(F:F, "♢♢♢♢", E:E, E98) + COUNTIFS(F:F, "♢♢♢♢", E:E, "A1") + IF(E98="A1", COUNTIFS(F:F, "♢♢♢♢", E:E, E2), 0) - IF(E98="A1", COUNTIFS(F:F, "♢♢♢♢", E:E, "A1"), 0)))/100, 
   IF(F98="☆", ((M7 * 100) / (COUNTIFS(F:F, "☆", E:E, E98) + COUNTIFS(F:F, "☆", E:E, "A1") + IF(E98="A1", COUNTIFS(F:F, "☆", E:E, E2), 0) - IF(E98="A1", COUNTIFS(F:F, "☆", E:E, "A1"), 0)))/100, 
   IF(F98="☆☆", ((M8 * 100) / (COUNTIFS(F:F, "☆☆", E:E, E98) + COUNTIFS(F:F, "☆☆", E:E, "A1") + IF(E98="A1", COUNTIFS(F:F, "☆☆", E:E, E2), 0) - IF(E98="A1", COUNTIFS(F:F, "☆☆", E:E, "A1"), 0)))/100, 
   IF(F98="☆☆☆", ((M9 * 100) / (COUNTIFS(F:F, "☆☆☆", E:E, E98) + COUNTIFS(F:F, "☆☆☆", E:E, "A1") + IF(E98="A1", COUNTIFS(F:F, "☆☆☆", E:E, E2), 0) - IF(E98="A1", COUNTIFS(F:F, "☆☆☆", E:E, "A1"), 0)))/100, 
   IF(F98="♛", ((M10 * 100) / (COUNTIFS(F:F, "♛", E:E, E98) + COUNTIFS(F:F, "♛", E:E, "A1") + IF(E98="A1", COUNTIFS(F:F, "♛", E:E, E2), 0) - IF(E98="A1", COUNTIFS(F:F, "♛", E:E, "A1"), 0)))/100, "")))))))
</f>
        <v/>
      </c>
      <c r="I98" s="130" t="str">
        <f>IF(F98="♢♢", ((N4 * 100) / (COUNTIFS(F:F, "♢♢", E:E, E98) + COUNTIFS(F:F, "♢♢", E:E, "A1") + IF(E98="A1", COUNTIFS(F:F, "♢♢", E:E, E2), 0) - IF(E98="A1", COUNTIFS(F:F, "♢♢", E:E, "A1"), 0)))/100, 
   IF(F98="♢♢♢", ((N5 * 100) / (COUNTIFS(F:F, "♢♢♢", E:E, E98) + COUNTIFS(F:F, "♢♢♢", E:E, "A1") + IF(E98="A1", COUNTIFS(F:F, "♢♢♢", E:E, E2), 0) - IF(E98="A1", COUNTIFS(F:F, "♢♢♢", E:E, "A1"), 0)))/100, 
   IF(F98="♢♢♢♢", ((N6 * 100) / (COUNTIFS(F:F, "♢♢♢♢", E:E, E98) + COUNTIFS(F:F, "♢♢♢♢", E:E, "A1") + IF(E98="A1", COUNTIFS(F:F, "♢♢♢♢", E:E, E2), 0) - IF(E98="A1", COUNTIFS(F:F, "♢♢♢♢", E:E, "A1"), 0)))/100, 
   IF(F98="☆", ((N7 * 100) / (COUNTIFS(F:F, "☆", E:E, E98) + COUNTIFS(F:F, "☆", E:E, "A1") + IF(E98="A1", COUNTIFS(F:F, "☆", E:E, E2), 0) - IF(E98="A1", COUNTIFS(F:F, "☆", E:E, "A1"), 0)))/100, 
   IF(F98="☆☆", ((N8 * 100) / (COUNTIFS(F:F, "☆☆", E:E, E98) + COUNTIFS(F:F, "☆☆", E:E, "A1") + IF(E98="A1", COUNTIFS(F:F, "☆☆", E:E, E2), 0) - IF(E98="A1", COUNTIFS(F:F, "☆☆", E:E, "A1"), 0)))/100, 
   IF(F98="☆☆☆", ((N9 * 100) / (COUNTIFS(F:F, "☆☆☆", E:E, E98) + COUNTIFS(F:F, "☆☆☆", E:E, "A1") + IF(E98="A1", COUNTIFS(F:F, "☆☆☆", E:E, E2), 0) - IF(E98="A1", COUNTIFS(F:F, "☆☆☆", E:E, "A1"), 0)))/100, 
   IF(F98="♛", ((N10 * 100) / (COUNTIFS(F:F, "♛", E:E, E98) + COUNTIFS(F:F, "♛", E:E, "A1") + IF(E98="A1", COUNTIFS(F:F, "♛", E:E, E2), 0) - IF(E98="A1", COUNTIFS(F:F, "♛", E:E, "A1"), 0)))/100, "")))))))
</f>
        <v/>
      </c>
      <c r="J98" s="131"/>
      <c r="K98" s="247"/>
      <c r="L98" s="20"/>
      <c r="M98" s="20"/>
      <c r="N98" s="20"/>
    </row>
    <row r="99">
      <c r="A99" s="125" t="b">
        <f t="shared" si="1"/>
        <v>0</v>
      </c>
      <c r="B99" s="126">
        <v>0.0</v>
      </c>
      <c r="C99" s="127" t="s">
        <v>306</v>
      </c>
      <c r="D99" s="127" t="s">
        <v>307</v>
      </c>
      <c r="E99" s="128" t="s">
        <v>31</v>
      </c>
      <c r="F99" s="127" t="s">
        <v>48</v>
      </c>
      <c r="G99" s="130" t="str">
        <f>IF(F99="♢", ((L3 * 100) / (COUNTIFS(F:F, "♢", E:E, E99) + COUNTIFS(F:F, "♢", E:E, "A1") + IF(E99="A1", COUNTIFS(F:F, "♢", E:E, E2), 0) - IF(E99="A1", COUNTIFS(F:F, "♢", E:E, "A1"), 0)))/100, "")
</f>
        <v/>
      </c>
      <c r="H99" s="129">
        <f>IF(F99="♢♢", ((M4 * 100) / (COUNTIFS(F:F, "♢♢", E:E, E99) + COUNTIFS(F:F, "♢♢", E:E, "A1") + IF(E99="A1", COUNTIFS(F:F, "♢♢", E:E, E2), 0) - IF(E99="A1", COUNTIFS(F:F, "♢♢", E:E, "A1"), 0)))/100, 
   IF(F99="♢♢♢", ((M5 * 100) / (COUNTIFS(F:F, "♢♢♢", E:E, E99) + COUNTIFS(F:F, "♢♢♢", E:E, "A1") + IF(E99="A1", COUNTIFS(F:F, "♢♢♢", E:E, E2), 0) - IF(E99="A1", COUNTIFS(F:F, "♢♢♢", E:E, "A1"), 0)))/100, 
   IF(F99="♢♢♢♢", ((M6 * 100) / (COUNTIFS(F:F, "♢♢♢♢", E:E, E99) + COUNTIFS(F:F, "♢♢♢♢", E:E, "A1") + IF(E99="A1", COUNTIFS(F:F, "♢♢♢♢", E:E, E2), 0) - IF(E99="A1", COUNTIFS(F:F, "♢♢♢♢", E:E, "A1"), 0)))/100, 
   IF(F99="☆", ((M7 * 100) / (COUNTIFS(F:F, "☆", E:E, E99) + COUNTIFS(F:F, "☆", E:E, "A1") + IF(E99="A1", COUNTIFS(F:F, "☆", E:E, E2), 0) - IF(E99="A1", COUNTIFS(F:F, "☆", E:E, "A1"), 0)))/100, 
   IF(F99="☆☆", ((M8 * 100) / (COUNTIFS(F:F, "☆☆", E:E, E99) + COUNTIFS(F:F, "☆☆", E:E, "A1") + IF(E99="A1", COUNTIFS(F:F, "☆☆", E:E, E2), 0) - IF(E99="A1", COUNTIFS(F:F, "☆☆", E:E, "A1"), 0)))/100, 
   IF(F99="☆☆☆", ((M9 * 100) / (COUNTIFS(F:F, "☆☆☆", E:E, E99) + COUNTIFS(F:F, "☆☆☆", E:E, "A1") + IF(E99="A1", COUNTIFS(F:F, "☆☆☆", E:E, E2), 0) - IF(E99="A1", COUNTIFS(F:F, "☆☆☆", E:E, "A1"), 0)))/100, 
   IF(F99="♛", ((M10 * 100) / (COUNTIFS(F:F, "♛", E:E, E99) + COUNTIFS(F:F, "♛", E:E, "A1") + IF(E99="A1", COUNTIFS(F:F, "♛", E:E, E2), 0) - IF(E99="A1", COUNTIFS(F:F, "♛", E:E, "A1"), 0)))/100, "")))))))
</f>
        <v>0.003571428571</v>
      </c>
      <c r="I99" s="129">
        <f>IF(F99="♢♢", ((N4 * 100) / (COUNTIFS(F:F, "♢♢", E:E, E99) + COUNTIFS(F:F, "♢♢", E:E, "A1") + IF(E99="A1", COUNTIFS(F:F, "♢♢", E:E, E2), 0) - IF(E99="A1", COUNTIFS(F:F, "♢♢", E:E, "A1"), 0)))/100, 
   IF(F99="♢♢♢", ((N5 * 100) / (COUNTIFS(F:F, "♢♢♢", E:E, E99) + COUNTIFS(F:F, "♢♢♢", E:E, "A1") + IF(E99="A1", COUNTIFS(F:F, "♢♢♢", E:E, E2), 0) - IF(E99="A1", COUNTIFS(F:F, "♢♢♢", E:E, "A1"), 0)))/100, 
   IF(F99="♢♢♢♢", ((N6 * 100) / (COUNTIFS(F:F, "♢♢♢♢", E:E, E99) + COUNTIFS(F:F, "♢♢♢♢", E:E, "A1") + IF(E99="A1", COUNTIFS(F:F, "♢♢♢♢", E:E, E2), 0) - IF(E99="A1", COUNTIFS(F:F, "♢♢♢♢", E:E, "A1"), 0)))/100, 
   IF(F99="☆", ((N7 * 100) / (COUNTIFS(F:F, "☆", E:E, E99) + COUNTIFS(F:F, "☆", E:E, "A1") + IF(E99="A1", COUNTIFS(F:F, "☆", E:E, E2), 0) - IF(E99="A1", COUNTIFS(F:F, "☆", E:E, "A1"), 0)))/100, 
   IF(F99="☆☆", ((N8 * 100) / (COUNTIFS(F:F, "☆☆", E:E, E99) + COUNTIFS(F:F, "☆☆", E:E, "A1") + IF(E99="A1", COUNTIFS(F:F, "☆☆", E:E, E2), 0) - IF(E99="A1", COUNTIFS(F:F, "☆☆", E:E, "A1"), 0)))/100, 
   IF(F99="☆☆☆", ((N9 * 100) / (COUNTIFS(F:F, "☆☆☆", E:E, E99) + COUNTIFS(F:F, "☆☆☆", E:E, "A1") + IF(E99="A1", COUNTIFS(F:F, "☆☆☆", E:E, E2), 0) - IF(E99="A1", COUNTIFS(F:F, "☆☆☆", E:E, "A1"), 0)))/100, 
   IF(F99="♛", ((N10 * 100) / (COUNTIFS(F:F, "♛", E:E, E99) + COUNTIFS(F:F, "♛", E:E, "A1") + IF(E99="A1", COUNTIFS(F:F, "♛", E:E, E2), 0) - IF(E99="A1", COUNTIFS(F:F, "♛", E:E, "A1"), 0)))/100, "")))))))
</f>
        <v>0.01428571429</v>
      </c>
      <c r="J99" s="131"/>
      <c r="K99" s="247"/>
      <c r="L99" s="20"/>
      <c r="M99" s="20"/>
      <c r="N99" s="20"/>
    </row>
    <row r="100">
      <c r="A100" s="125" t="b">
        <f t="shared" si="1"/>
        <v>0</v>
      </c>
      <c r="B100" s="126">
        <v>0.0</v>
      </c>
      <c r="C100" s="127" t="s">
        <v>308</v>
      </c>
      <c r="D100" s="127" t="s">
        <v>309</v>
      </c>
      <c r="E100" s="128" t="s">
        <v>31</v>
      </c>
      <c r="F100" s="127" t="s">
        <v>44</v>
      </c>
      <c r="G100" s="129">
        <f>IF(F100="♢", ((L3 * 100) / (COUNTIFS(F:F, "♢", E:E, E100) + COUNTIFS(F:F, "♢", E:E, "A1") + IF(E100="A1", COUNTIFS(F:F, "♢", E:E, E2), 0) - IF(E100="A1", COUNTIFS(F:F, "♢", E:E, "A1"), 0)))/100, "")
</f>
        <v>0.02</v>
      </c>
      <c r="H100" s="130" t="str">
        <f>IF(F100="♢♢", ((M4 * 100) / (COUNTIFS(F:F, "♢♢", E:E, E100) + COUNTIFS(F:F, "♢♢", E:E, "A1") + IF(E100="A1", COUNTIFS(F:F, "♢♢", E:E, E2), 0) - IF(E100="A1", COUNTIFS(F:F, "♢♢", E:E, "A1"), 0)))/100, 
   IF(F100="♢♢♢", ((M5 * 100) / (COUNTIFS(F:F, "♢♢♢", E:E, E100) + COUNTIFS(F:F, "♢♢♢", E:E, "A1") + IF(E100="A1", COUNTIFS(F:F, "♢♢♢", E:E, E2), 0) - IF(E100="A1", COUNTIFS(F:F, "♢♢♢", E:E, "A1"), 0)))/100, 
   IF(F100="♢♢♢♢", ((M6 * 100) / (COUNTIFS(F:F, "♢♢♢♢", E:E, E100) + COUNTIFS(F:F, "♢♢♢♢", E:E, "A1") + IF(E100="A1", COUNTIFS(F:F, "♢♢♢♢", E:E, E2), 0) - IF(E100="A1", COUNTIFS(F:F, "♢♢♢♢", E:E, "A1"), 0)))/100, 
   IF(F100="☆", ((M7 * 100) / (COUNTIFS(F:F, "☆", E:E, E100) + COUNTIFS(F:F, "☆", E:E, "A1") + IF(E100="A1", COUNTIFS(F:F, "☆", E:E, E2), 0) - IF(E100="A1", COUNTIFS(F:F, "☆", E:E, "A1"), 0)))/100, 
   IF(F100="☆☆", ((M8 * 100) / (COUNTIFS(F:F, "☆☆", E:E, E100) + COUNTIFS(F:F, "☆☆", E:E, "A1") + IF(E100="A1", COUNTIFS(F:F, "☆☆", E:E, E2), 0) - IF(E100="A1", COUNTIFS(F:F, "☆☆", E:E, "A1"), 0)))/100, 
   IF(F100="☆☆☆", ((M9 * 100) / (COUNTIFS(F:F, "☆☆☆", E:E, E100) + COUNTIFS(F:F, "☆☆☆", E:E, "A1") + IF(E100="A1", COUNTIFS(F:F, "☆☆☆", E:E, E2), 0) - IF(E100="A1", COUNTIFS(F:F, "☆☆☆", E:E, "A1"), 0)))/100, 
   IF(F100="♛", ((M10 * 100) / (COUNTIFS(F:F, "♛", E:E, E100) + COUNTIFS(F:F, "♛", E:E, "A1") + IF(E100="A1", COUNTIFS(F:F, "♛", E:E, E2), 0) - IF(E100="A1", COUNTIFS(F:F, "♛", E:E, "A1"), 0)))/100, "")))))))
</f>
        <v/>
      </c>
      <c r="I100" s="130" t="str">
        <f>IF(F100="♢♢", ((N4 * 100) / (COUNTIFS(F:F, "♢♢", E:E, E100) + COUNTIFS(F:F, "♢♢", E:E, "A1") + IF(E100="A1", COUNTIFS(F:F, "♢♢", E:E, E2), 0) - IF(E100="A1", COUNTIFS(F:F, "♢♢", E:E, "A1"), 0)))/100, 
   IF(F100="♢♢♢", ((N5 * 100) / (COUNTIFS(F:F, "♢♢♢", E:E, E100) + COUNTIFS(F:F, "♢♢♢", E:E, "A1") + IF(E100="A1", COUNTIFS(F:F, "♢♢♢", E:E, E2), 0) - IF(E100="A1", COUNTIFS(F:F, "♢♢♢", E:E, "A1"), 0)))/100, 
   IF(F100="♢♢♢♢", ((N6 * 100) / (COUNTIFS(F:F, "♢♢♢♢", E:E, E100) + COUNTIFS(F:F, "♢♢♢♢", E:E, "A1") + IF(E100="A1", COUNTIFS(F:F, "♢♢♢♢", E:E, E2), 0) - IF(E100="A1", COUNTIFS(F:F, "♢♢♢♢", E:E, "A1"), 0)))/100, 
   IF(F100="☆", ((N7 * 100) / (COUNTIFS(F:F, "☆", E:E, E100) + COUNTIFS(F:F, "☆", E:E, "A1") + IF(E100="A1", COUNTIFS(F:F, "☆", E:E, E2), 0) - IF(E100="A1", COUNTIFS(F:F, "☆", E:E, "A1"), 0)))/100, 
   IF(F100="☆☆", ((N8 * 100) / (COUNTIFS(F:F, "☆☆", E:E, E100) + COUNTIFS(F:F, "☆☆", E:E, "A1") + IF(E100="A1", COUNTIFS(F:F, "☆☆", E:E, E2), 0) - IF(E100="A1", COUNTIFS(F:F, "☆☆", E:E, "A1"), 0)))/100, 
   IF(F100="☆☆☆", ((N9 * 100) / (COUNTIFS(F:F, "☆☆☆", E:E, E100) + COUNTIFS(F:F, "☆☆☆", E:E, "A1") + IF(E100="A1", COUNTIFS(F:F, "☆☆☆", E:E, E2), 0) - IF(E100="A1", COUNTIFS(F:F, "☆☆☆", E:E, "A1"), 0)))/100, 
   IF(F100="♛", ((N10 * 100) / (COUNTIFS(F:F, "♛", E:E, E100) + COUNTIFS(F:F, "♛", E:E, "A1") + IF(E100="A1", COUNTIFS(F:F, "♛", E:E, E2), 0) - IF(E100="A1", COUNTIFS(F:F, "♛", E:E, "A1"), 0)))/100, "")))))))
</f>
        <v/>
      </c>
      <c r="J100" s="131"/>
      <c r="K100" s="247"/>
      <c r="L100" s="20"/>
      <c r="M100" s="20"/>
      <c r="N100" s="20"/>
    </row>
    <row r="101">
      <c r="A101" s="125" t="b">
        <f t="shared" si="1"/>
        <v>0</v>
      </c>
      <c r="B101" s="126">
        <v>0.0</v>
      </c>
      <c r="C101" s="127" t="s">
        <v>310</v>
      </c>
      <c r="D101" s="127" t="s">
        <v>311</v>
      </c>
      <c r="E101" s="128" t="s">
        <v>31</v>
      </c>
      <c r="F101" s="127" t="s">
        <v>46</v>
      </c>
      <c r="G101" s="130" t="str">
        <f>IF(F101="♢", ((L3 * 100) / (COUNTIFS(F:F, "♢", E:E, E101) + COUNTIFS(F:F, "♢", E:E, "A1") + IF(E101="A1", COUNTIFS(F:F, "♢", E:E, E2), 0) - IF(E101="A1", COUNTIFS(F:F, "♢", E:E, "A1"), 0)))/100, "")
</f>
        <v/>
      </c>
      <c r="H101" s="129">
        <f>IF(F101="♢♢", ((M4 * 100) / (COUNTIFS(F:F, "♢♢", E:E, E101) + COUNTIFS(F:F, "♢♢", E:E, "A1") + IF(E101="A1", COUNTIFS(F:F, "♢♢", E:E, E2), 0) - IF(E101="A1", COUNTIFS(F:F, "♢♢", E:E, "A1"), 0)))/100, 
   IF(F101="♢♢♢", ((M5 * 100) / (COUNTIFS(F:F, "♢♢♢", E:E, E101) + COUNTIFS(F:F, "♢♢♢", E:E, "A1") + IF(E101="A1", COUNTIFS(F:F, "♢♢♢", E:E, E2), 0) - IF(E101="A1", COUNTIFS(F:F, "♢♢♢", E:E, "A1"), 0)))/100, 
   IF(F101="♢♢♢♢", ((M6 * 100) / (COUNTIFS(F:F, "♢♢♢♢", E:E, E101) + COUNTIFS(F:F, "♢♢♢♢", E:E, "A1") + IF(E101="A1", COUNTIFS(F:F, "♢♢♢♢", E:E, E2), 0) - IF(E101="A1", COUNTIFS(F:F, "♢♢♢♢", E:E, "A1"), 0)))/100, 
   IF(F101="☆", ((M7 * 100) / (COUNTIFS(F:F, "☆", E:E, E101) + COUNTIFS(F:F, "☆", E:E, "A1") + IF(E101="A1", COUNTIFS(F:F, "☆", E:E, E2), 0) - IF(E101="A1", COUNTIFS(F:F, "☆", E:E, "A1"), 0)))/100, 
   IF(F101="☆☆", ((M8 * 100) / (COUNTIFS(F:F, "☆☆", E:E, E101) + COUNTIFS(F:F, "☆☆", E:E, "A1") + IF(E101="A1", COUNTIFS(F:F, "☆☆", E:E, E2), 0) - IF(E101="A1", COUNTIFS(F:F, "☆☆", E:E, "A1"), 0)))/100, 
   IF(F101="☆☆☆", ((M9 * 100) / (COUNTIFS(F:F, "☆☆☆", E:E, E101) + COUNTIFS(F:F, "☆☆☆", E:E, "A1") + IF(E101="A1", COUNTIFS(F:F, "☆☆☆", E:E, E2), 0) - IF(E101="A1", COUNTIFS(F:F, "☆☆☆", E:E, "A1"), 0)))/100, 
   IF(F101="♛", ((M10 * 100) / (COUNTIFS(F:F, "♛", E:E, E101) + COUNTIFS(F:F, "♛", E:E, "A1") + IF(E101="A1", COUNTIFS(F:F, "♛", E:E, E2), 0) - IF(E101="A1", COUNTIFS(F:F, "♛", E:E, "A1"), 0)))/100, "")))))))
</f>
        <v>0.02571428571</v>
      </c>
      <c r="I101" s="129">
        <f>IF(F101="♢♢", ((N4 * 100) / (COUNTIFS(F:F, "♢♢", E:E, E101) + COUNTIFS(F:F, "♢♢", E:E, "A1") + IF(E101="A1", COUNTIFS(F:F, "♢♢", E:E, E2), 0) - IF(E101="A1", COUNTIFS(F:F, "♢♢", E:E, "A1"), 0)))/100, 
   IF(F101="♢♢♢", ((N5 * 100) / (COUNTIFS(F:F, "♢♢♢", E:E, E101) + COUNTIFS(F:F, "♢♢♢", E:E, "A1") + IF(E101="A1", COUNTIFS(F:F, "♢♢♢", E:E, E2), 0) - IF(E101="A1", COUNTIFS(F:F, "♢♢♢", E:E, "A1"), 0)))/100, 
   IF(F101="♢♢♢♢", ((N6 * 100) / (COUNTIFS(F:F, "♢♢♢♢", E:E, E101) + COUNTIFS(F:F, "♢♢♢♢", E:E, "A1") + IF(E101="A1", COUNTIFS(F:F, "♢♢♢♢", E:E, E2), 0) - IF(E101="A1", COUNTIFS(F:F, "♢♢♢♢", E:E, "A1"), 0)))/100, 
   IF(F101="☆", ((N7 * 100) / (COUNTIFS(F:F, "☆", E:E, E101) + COUNTIFS(F:F, "☆", E:E, "A1") + IF(E101="A1", COUNTIFS(F:F, "☆", E:E, E2), 0) - IF(E101="A1", COUNTIFS(F:F, "☆", E:E, "A1"), 0)))/100, 
   IF(F101="☆☆", ((N8 * 100) / (COUNTIFS(F:F, "☆☆", E:E, E101) + COUNTIFS(F:F, "☆☆", E:E, "A1") + IF(E101="A1", COUNTIFS(F:F, "☆☆", E:E, E2), 0) - IF(E101="A1", COUNTIFS(F:F, "☆☆", E:E, "A1"), 0)))/100, 
   IF(F101="☆☆☆", ((N9 * 100) / (COUNTIFS(F:F, "☆☆☆", E:E, E101) + COUNTIFS(F:F, "☆☆☆", E:E, "A1") + IF(E101="A1", COUNTIFS(F:F, "☆☆☆", E:E, E2), 0) - IF(E101="A1", COUNTIFS(F:F, "☆☆☆", E:E, "A1"), 0)))/100, 
   IF(F101="♛", ((N10 * 100) / (COUNTIFS(F:F, "♛", E:E, E101) + COUNTIFS(F:F, "♛", E:E, "A1") + IF(E101="A1", COUNTIFS(F:F, "♛", E:E, E2), 0) - IF(E101="A1", COUNTIFS(F:F, "♛", E:E, "A1"), 0)))/100, "")))))))
</f>
        <v>0.01714285714</v>
      </c>
      <c r="J101" s="131"/>
      <c r="K101" s="247"/>
      <c r="L101" s="20"/>
      <c r="M101" s="20"/>
      <c r="N101" s="20"/>
    </row>
    <row r="102">
      <c r="A102" s="125" t="b">
        <f t="shared" si="1"/>
        <v>0</v>
      </c>
      <c r="B102" s="126">
        <v>0.0</v>
      </c>
      <c r="C102" s="127" t="s">
        <v>312</v>
      </c>
      <c r="D102" s="127" t="s">
        <v>313</v>
      </c>
      <c r="E102" s="128" t="s">
        <v>31</v>
      </c>
      <c r="F102" s="127" t="s">
        <v>44</v>
      </c>
      <c r="G102" s="129">
        <f>IF(F102="♢", ((L3 * 100) / (COUNTIFS(F:F, "♢", E:E, E102) + COUNTIFS(F:F, "♢", E:E, "A1") + IF(E102="A1", COUNTIFS(F:F, "♢", E:E, E2), 0) - IF(E102="A1", COUNTIFS(F:F, "♢", E:E, "A1"), 0)))/100, "")
</f>
        <v>0.02</v>
      </c>
      <c r="H102" s="130" t="str">
        <f>IF(F102="♢♢", ((M4 * 100) / (COUNTIFS(F:F, "♢♢", E:E, E102) + COUNTIFS(F:F, "♢♢", E:E, "A1") + IF(E102="A1", COUNTIFS(F:F, "♢♢", E:E, E2), 0) - IF(E102="A1", COUNTIFS(F:F, "♢♢", E:E, "A1"), 0)))/100, 
   IF(F102="♢♢♢", ((M5 * 100) / (COUNTIFS(F:F, "♢♢♢", E:E, E102) + COUNTIFS(F:F, "♢♢♢", E:E, "A1") + IF(E102="A1", COUNTIFS(F:F, "♢♢♢", E:E, E2), 0) - IF(E102="A1", COUNTIFS(F:F, "♢♢♢", E:E, "A1"), 0)))/100, 
   IF(F102="♢♢♢♢", ((M6 * 100) / (COUNTIFS(F:F, "♢♢♢♢", E:E, E102) + COUNTIFS(F:F, "♢♢♢♢", E:E, "A1") + IF(E102="A1", COUNTIFS(F:F, "♢♢♢♢", E:E, E2), 0) - IF(E102="A1", COUNTIFS(F:F, "♢♢♢♢", E:E, "A1"), 0)))/100, 
   IF(F102="☆", ((M7 * 100) / (COUNTIFS(F:F, "☆", E:E, E102) + COUNTIFS(F:F, "☆", E:E, "A1") + IF(E102="A1", COUNTIFS(F:F, "☆", E:E, E2), 0) - IF(E102="A1", COUNTIFS(F:F, "☆", E:E, "A1"), 0)))/100, 
   IF(F102="☆☆", ((M8 * 100) / (COUNTIFS(F:F, "☆☆", E:E, E102) + COUNTIFS(F:F, "☆☆", E:E, "A1") + IF(E102="A1", COUNTIFS(F:F, "☆☆", E:E, E2), 0) - IF(E102="A1", COUNTIFS(F:F, "☆☆", E:E, "A1"), 0)))/100, 
   IF(F102="☆☆☆", ((M9 * 100) / (COUNTIFS(F:F, "☆☆☆", E:E, E102) + COUNTIFS(F:F, "☆☆☆", E:E, "A1") + IF(E102="A1", COUNTIFS(F:F, "☆☆☆", E:E, E2), 0) - IF(E102="A1", COUNTIFS(F:F, "☆☆☆", E:E, "A1"), 0)))/100, 
   IF(F102="♛", ((M10 * 100) / (COUNTIFS(F:F, "♛", E:E, E102) + COUNTIFS(F:F, "♛", E:E, "A1") + IF(E102="A1", COUNTIFS(F:F, "♛", E:E, E2), 0) - IF(E102="A1", COUNTIFS(F:F, "♛", E:E, "A1"), 0)))/100, "")))))))
</f>
        <v/>
      </c>
      <c r="I102" s="130" t="str">
        <f>IF(F102="♢♢", ((N4 * 100) / (COUNTIFS(F:F, "♢♢", E:E, E102) + COUNTIFS(F:F, "♢♢", E:E, "A1") + IF(E102="A1", COUNTIFS(F:F, "♢♢", E:E, E2), 0) - IF(E102="A1", COUNTIFS(F:F, "♢♢", E:E, "A1"), 0)))/100, 
   IF(F102="♢♢♢", ((N5 * 100) / (COUNTIFS(F:F, "♢♢♢", E:E, E102) + COUNTIFS(F:F, "♢♢♢", E:E, "A1") + IF(E102="A1", COUNTIFS(F:F, "♢♢♢", E:E, E2), 0) - IF(E102="A1", COUNTIFS(F:F, "♢♢♢", E:E, "A1"), 0)))/100, 
   IF(F102="♢♢♢♢", ((N6 * 100) / (COUNTIFS(F:F, "♢♢♢♢", E:E, E102) + COUNTIFS(F:F, "♢♢♢♢", E:E, "A1") + IF(E102="A1", COUNTIFS(F:F, "♢♢♢♢", E:E, E2), 0) - IF(E102="A1", COUNTIFS(F:F, "♢♢♢♢", E:E, "A1"), 0)))/100, 
   IF(F102="☆", ((N7 * 100) / (COUNTIFS(F:F, "☆", E:E, E102) + COUNTIFS(F:F, "☆", E:E, "A1") + IF(E102="A1", COUNTIFS(F:F, "☆", E:E, E2), 0) - IF(E102="A1", COUNTIFS(F:F, "☆", E:E, "A1"), 0)))/100, 
   IF(F102="☆☆", ((N8 * 100) / (COUNTIFS(F:F, "☆☆", E:E, E102) + COUNTIFS(F:F, "☆☆", E:E, "A1") + IF(E102="A1", COUNTIFS(F:F, "☆☆", E:E, E2), 0) - IF(E102="A1", COUNTIFS(F:F, "☆☆", E:E, "A1"), 0)))/100, 
   IF(F102="☆☆☆", ((N9 * 100) / (COUNTIFS(F:F, "☆☆☆", E:E, E102) + COUNTIFS(F:F, "☆☆☆", E:E, "A1") + IF(E102="A1", COUNTIFS(F:F, "☆☆☆", E:E, E2), 0) - IF(E102="A1", COUNTIFS(F:F, "☆☆☆", E:E, "A1"), 0)))/100, 
   IF(F102="♛", ((N10 * 100) / (COUNTIFS(F:F, "♛", E:E, E102) + COUNTIFS(F:F, "♛", E:E, "A1") + IF(E102="A1", COUNTIFS(F:F, "♛", E:E, E2), 0) - IF(E102="A1", COUNTIFS(F:F, "♛", E:E, "A1"), 0)))/100, "")))))))
</f>
        <v/>
      </c>
      <c r="J102" s="131"/>
      <c r="K102" s="247"/>
      <c r="L102" s="20"/>
      <c r="M102" s="20"/>
      <c r="N102" s="20"/>
    </row>
    <row r="103">
      <c r="A103" s="125" t="b">
        <f t="shared" si="1"/>
        <v>0</v>
      </c>
      <c r="B103" s="126">
        <v>0.0</v>
      </c>
      <c r="C103" s="127" t="s">
        <v>314</v>
      </c>
      <c r="D103" s="127" t="s">
        <v>315</v>
      </c>
      <c r="E103" s="128" t="s">
        <v>31</v>
      </c>
      <c r="F103" s="127" t="s">
        <v>48</v>
      </c>
      <c r="G103" s="130" t="str">
        <f>IF(F103="♢", ((L3 * 100) / (COUNTIFS(F:F, "♢", E:E, E103) + COUNTIFS(F:F, "♢", E:E, "A1") + IF(E103="A1", COUNTIFS(F:F, "♢", E:E, E2), 0) - IF(E103="A1", COUNTIFS(F:F, "♢", E:E, "A1"), 0)))/100, "")
</f>
        <v/>
      </c>
      <c r="H103" s="129">
        <f>IF(F103="♢♢", ((M4 * 100) / (COUNTIFS(F:F, "♢♢", E:E, E103) + COUNTIFS(F:F, "♢♢", E:E, "A1") + IF(E103="A1", COUNTIFS(F:F, "♢♢", E:E, E2), 0) - IF(E103="A1", COUNTIFS(F:F, "♢♢", E:E, "A1"), 0)))/100, 
   IF(F103="♢♢♢", ((M5 * 100) / (COUNTIFS(F:F, "♢♢♢", E:E, E103) + COUNTIFS(F:F, "♢♢♢", E:E, "A1") + IF(E103="A1", COUNTIFS(F:F, "♢♢♢", E:E, E2), 0) - IF(E103="A1", COUNTIFS(F:F, "♢♢♢", E:E, "A1"), 0)))/100, 
   IF(F103="♢♢♢♢", ((M6 * 100) / (COUNTIFS(F:F, "♢♢♢♢", E:E, E103) + COUNTIFS(F:F, "♢♢♢♢", E:E, "A1") + IF(E103="A1", COUNTIFS(F:F, "♢♢♢♢", E:E, E2), 0) - IF(E103="A1", COUNTIFS(F:F, "♢♢♢♢", E:E, "A1"), 0)))/100, 
   IF(F103="☆", ((M7 * 100) / (COUNTIFS(F:F, "☆", E:E, E103) + COUNTIFS(F:F, "☆", E:E, "A1") + IF(E103="A1", COUNTIFS(F:F, "☆", E:E, E2), 0) - IF(E103="A1", COUNTIFS(F:F, "☆", E:E, "A1"), 0)))/100, 
   IF(F103="☆☆", ((M8 * 100) / (COUNTIFS(F:F, "☆☆", E:E, E103) + COUNTIFS(F:F, "☆☆", E:E, "A1") + IF(E103="A1", COUNTIFS(F:F, "☆☆", E:E, E2), 0) - IF(E103="A1", COUNTIFS(F:F, "☆☆", E:E, "A1"), 0)))/100, 
   IF(F103="☆☆☆", ((M9 * 100) / (COUNTIFS(F:F, "☆☆☆", E:E, E103) + COUNTIFS(F:F, "☆☆☆", E:E, "A1") + IF(E103="A1", COUNTIFS(F:F, "☆☆☆", E:E, E2), 0) - IF(E103="A1", COUNTIFS(F:F, "☆☆☆", E:E, "A1"), 0)))/100, 
   IF(F103="♛", ((M10 * 100) / (COUNTIFS(F:F, "♛", E:E, E103) + COUNTIFS(F:F, "♛", E:E, "A1") + IF(E103="A1", COUNTIFS(F:F, "♛", E:E, E2), 0) - IF(E103="A1", COUNTIFS(F:F, "♛", E:E, "A1"), 0)))/100, "")))))))
</f>
        <v>0.003571428571</v>
      </c>
      <c r="I103" s="129">
        <f>IF(F103="♢♢", ((N4 * 100) / (COUNTIFS(F:F, "♢♢", E:E, E103) + COUNTIFS(F:F, "♢♢", E:E, "A1") + IF(E103="A1", COUNTIFS(F:F, "♢♢", E:E, E2), 0) - IF(E103="A1", COUNTIFS(F:F, "♢♢", E:E, "A1"), 0)))/100, 
   IF(F103="♢♢♢", ((N5 * 100) / (COUNTIFS(F:F, "♢♢♢", E:E, E103) + COUNTIFS(F:F, "♢♢♢", E:E, "A1") + IF(E103="A1", COUNTIFS(F:F, "♢♢♢", E:E, E2), 0) - IF(E103="A1", COUNTIFS(F:F, "♢♢♢", E:E, "A1"), 0)))/100, 
   IF(F103="♢♢♢♢", ((N6 * 100) / (COUNTIFS(F:F, "♢♢♢♢", E:E, E103) + COUNTIFS(F:F, "♢♢♢♢", E:E, "A1") + IF(E103="A1", COUNTIFS(F:F, "♢♢♢♢", E:E, E2), 0) - IF(E103="A1", COUNTIFS(F:F, "♢♢♢♢", E:E, "A1"), 0)))/100, 
   IF(F103="☆", ((N7 * 100) / (COUNTIFS(F:F, "☆", E:E, E103) + COUNTIFS(F:F, "☆", E:E, "A1") + IF(E103="A1", COUNTIFS(F:F, "☆", E:E, E2), 0) - IF(E103="A1", COUNTIFS(F:F, "☆", E:E, "A1"), 0)))/100, 
   IF(F103="☆☆", ((N8 * 100) / (COUNTIFS(F:F, "☆☆", E:E, E103) + COUNTIFS(F:F, "☆☆", E:E, "A1") + IF(E103="A1", COUNTIFS(F:F, "☆☆", E:E, E2), 0) - IF(E103="A1", COUNTIFS(F:F, "☆☆", E:E, "A1"), 0)))/100, 
   IF(F103="☆☆☆", ((N9 * 100) / (COUNTIFS(F:F, "☆☆☆", E:E, E103) + COUNTIFS(F:F, "☆☆☆", E:E, "A1") + IF(E103="A1", COUNTIFS(F:F, "☆☆☆", E:E, E2), 0) - IF(E103="A1", COUNTIFS(F:F, "☆☆☆", E:E, "A1"), 0)))/100, 
   IF(F103="♛", ((N10 * 100) / (COUNTIFS(F:F, "♛", E:E, E103) + COUNTIFS(F:F, "♛", E:E, "A1") + IF(E103="A1", COUNTIFS(F:F, "♛", E:E, E2), 0) - IF(E103="A1", COUNTIFS(F:F, "♛", E:E, "A1"), 0)))/100, "")))))))
</f>
        <v>0.01428571429</v>
      </c>
      <c r="J103" s="131"/>
      <c r="K103" s="247"/>
      <c r="L103" s="20"/>
      <c r="M103" s="20"/>
      <c r="N103" s="20"/>
    </row>
    <row r="104">
      <c r="A104" s="125" t="b">
        <f t="shared" si="1"/>
        <v>0</v>
      </c>
      <c r="B104" s="126">
        <v>0.0</v>
      </c>
      <c r="C104" s="127" t="s">
        <v>316</v>
      </c>
      <c r="D104" s="127" t="s">
        <v>317</v>
      </c>
      <c r="E104" s="128" t="s">
        <v>31</v>
      </c>
      <c r="F104" s="127" t="s">
        <v>48</v>
      </c>
      <c r="G104" s="130" t="str">
        <f>IF(F104="♢", ((L3 * 100) / (COUNTIFS(F:F, "♢", E:E, E104) + COUNTIFS(F:F, "♢", E:E, "A1") + IF(E104="A1", COUNTIFS(F:F, "♢", E:E, E2), 0) - IF(E104="A1", COUNTIFS(F:F, "♢", E:E, "A1"), 0)))/100, "")
</f>
        <v/>
      </c>
      <c r="H104" s="129">
        <f>IF(F104="♢♢", ((M4 * 100) / (COUNTIFS(F:F, "♢♢", E:E, E104) + COUNTIFS(F:F, "♢♢", E:E, "A1") + IF(E104="A1", COUNTIFS(F:F, "♢♢", E:E, E2), 0) - IF(E104="A1", COUNTIFS(F:F, "♢♢", E:E, "A1"), 0)))/100, 
   IF(F104="♢♢♢", ((M5 * 100) / (COUNTIFS(F:F, "♢♢♢", E:E, E104) + COUNTIFS(F:F, "♢♢♢", E:E, "A1") + IF(E104="A1", COUNTIFS(F:F, "♢♢♢", E:E, E2), 0) - IF(E104="A1", COUNTIFS(F:F, "♢♢♢", E:E, "A1"), 0)))/100, 
   IF(F104="♢♢♢♢", ((M6 * 100) / (COUNTIFS(F:F, "♢♢♢♢", E:E, E104) + COUNTIFS(F:F, "♢♢♢♢", E:E, "A1") + IF(E104="A1", COUNTIFS(F:F, "♢♢♢♢", E:E, E2), 0) - IF(E104="A1", COUNTIFS(F:F, "♢♢♢♢", E:E, "A1"), 0)))/100, 
   IF(F104="☆", ((M7 * 100) / (COUNTIFS(F:F, "☆", E:E, E104) + COUNTIFS(F:F, "☆", E:E, "A1") + IF(E104="A1", COUNTIFS(F:F, "☆", E:E, E2), 0) - IF(E104="A1", COUNTIFS(F:F, "☆", E:E, "A1"), 0)))/100, 
   IF(F104="☆☆", ((M8 * 100) / (COUNTIFS(F:F, "☆☆", E:E, E104) + COUNTIFS(F:F, "☆☆", E:E, "A1") + IF(E104="A1", COUNTIFS(F:F, "☆☆", E:E, E2), 0) - IF(E104="A1", COUNTIFS(F:F, "☆☆", E:E, "A1"), 0)))/100, 
   IF(F104="☆☆☆", ((M9 * 100) / (COUNTIFS(F:F, "☆☆☆", E:E, E104) + COUNTIFS(F:F, "☆☆☆", E:E, "A1") + IF(E104="A1", COUNTIFS(F:F, "☆☆☆", E:E, E2), 0) - IF(E104="A1", COUNTIFS(F:F, "☆☆☆", E:E, "A1"), 0)))/100, 
   IF(F104="♛", ((M10 * 100) / (COUNTIFS(F:F, "♛", E:E, E104) + COUNTIFS(F:F, "♛", E:E, "A1") + IF(E104="A1", COUNTIFS(F:F, "♛", E:E, E2), 0) - IF(E104="A1", COUNTIFS(F:F, "♛", E:E, "A1"), 0)))/100, "")))))))
</f>
        <v>0.003571428571</v>
      </c>
      <c r="I104" s="129">
        <f>IF(F104="♢♢", ((N4 * 100) / (COUNTIFS(F:F, "♢♢", E:E, E104) + COUNTIFS(F:F, "♢♢", E:E, "A1") + IF(E104="A1", COUNTIFS(F:F, "♢♢", E:E, E2), 0) - IF(E104="A1", COUNTIFS(F:F, "♢♢", E:E, "A1"), 0)))/100, 
   IF(F104="♢♢♢", ((N5 * 100) / (COUNTIFS(F:F, "♢♢♢", E:E, E104) + COUNTIFS(F:F, "♢♢♢", E:E, "A1") + IF(E104="A1", COUNTIFS(F:F, "♢♢♢", E:E, E2), 0) - IF(E104="A1", COUNTIFS(F:F, "♢♢♢", E:E, "A1"), 0)))/100, 
   IF(F104="♢♢♢♢", ((N6 * 100) / (COUNTIFS(F:F, "♢♢♢♢", E:E, E104) + COUNTIFS(F:F, "♢♢♢♢", E:E, "A1") + IF(E104="A1", COUNTIFS(F:F, "♢♢♢♢", E:E, E2), 0) - IF(E104="A1", COUNTIFS(F:F, "♢♢♢♢", E:E, "A1"), 0)))/100, 
   IF(F104="☆", ((N7 * 100) / (COUNTIFS(F:F, "☆", E:E, E104) + COUNTIFS(F:F, "☆", E:E, "A1") + IF(E104="A1", COUNTIFS(F:F, "☆", E:E, E2), 0) - IF(E104="A1", COUNTIFS(F:F, "☆", E:E, "A1"), 0)))/100, 
   IF(F104="☆☆", ((N8 * 100) / (COUNTIFS(F:F, "☆☆", E:E, E104) + COUNTIFS(F:F, "☆☆", E:E, "A1") + IF(E104="A1", COUNTIFS(F:F, "☆☆", E:E, E2), 0) - IF(E104="A1", COUNTIFS(F:F, "☆☆", E:E, "A1"), 0)))/100, 
   IF(F104="☆☆☆", ((N9 * 100) / (COUNTIFS(F:F, "☆☆☆", E:E, E104) + COUNTIFS(F:F, "☆☆☆", E:E, "A1") + IF(E104="A1", COUNTIFS(F:F, "☆☆☆", E:E, E2), 0) - IF(E104="A1", COUNTIFS(F:F, "☆☆☆", E:E, "A1"), 0)))/100, 
   IF(F104="♛", ((N10 * 100) / (COUNTIFS(F:F, "♛", E:E, E104) + COUNTIFS(F:F, "♛", E:E, "A1") + IF(E104="A1", COUNTIFS(F:F, "♛", E:E, E2), 0) - IF(E104="A1", COUNTIFS(F:F, "♛", E:E, "A1"), 0)))/100, "")))))))
</f>
        <v>0.01428571429</v>
      </c>
      <c r="J104" s="131"/>
      <c r="K104" s="247"/>
      <c r="L104" s="20"/>
      <c r="M104" s="20"/>
      <c r="N104" s="20"/>
    </row>
    <row r="105">
      <c r="A105" s="125" t="b">
        <f t="shared" si="1"/>
        <v>0</v>
      </c>
      <c r="B105" s="126">
        <v>0.0</v>
      </c>
      <c r="C105" s="127" t="s">
        <v>318</v>
      </c>
      <c r="D105" s="128" t="s">
        <v>319</v>
      </c>
      <c r="E105" s="128" t="s">
        <v>31</v>
      </c>
      <c r="F105" s="127" t="s">
        <v>51</v>
      </c>
      <c r="G105" s="130" t="str">
        <f>IF(F105="♢", ((L3 * 100) / (COUNTIFS(F:F, "♢", E:E, E105) + COUNTIFS(F:F, "♢", E:E, "A1") + IF(E105="A1", COUNTIFS(F:F, "♢", E:E, E2), 0) - IF(E105="A1", COUNTIFS(F:F, "♢", E:E, "A1"), 0)))/100, "")
</f>
        <v/>
      </c>
      <c r="H105" s="129">
        <f>IF(F105="♢♢", ((M4 * 100) / (COUNTIFS(F:F, "♢♢", E:E, E105) + COUNTIFS(F:F, "♢♢", E:E, "A1") + IF(E105="A1", COUNTIFS(F:F, "♢♢", E:E, E2), 0) - IF(E105="A1", COUNTIFS(F:F, "♢♢", E:E, "A1"), 0)))/100, 
   IF(F105="♢♢♢", ((M5 * 100) / (COUNTIFS(F:F, "♢♢♢", E:E, E105) + COUNTIFS(F:F, "♢♢♢", E:E, "A1") + IF(E105="A1", COUNTIFS(F:F, "♢♢♢", E:E, E2), 0) - IF(E105="A1", COUNTIFS(F:F, "♢♢♢", E:E, "A1"), 0)))/100, 
   IF(F105="♢♢♢♢", ((M6 * 100) / (COUNTIFS(F:F, "♢♢♢♢", E:E, E105) + COUNTIFS(F:F, "♢♢♢♢", E:E, "A1") + IF(E105="A1", COUNTIFS(F:F, "♢♢♢♢", E:E, E2), 0) - IF(E105="A1", COUNTIFS(F:F, "♢♢♢♢", E:E, "A1"), 0)))/100, 
   IF(F105="☆", ((M7 * 100) / (COUNTIFS(F:F, "☆", E:E, E105) + COUNTIFS(F:F, "☆", E:E, "A1") + IF(E105="A1", COUNTIFS(F:F, "☆", E:E, E2), 0) - IF(E105="A1", COUNTIFS(F:F, "☆", E:E, "A1"), 0)))/100, 
   IF(F105="☆☆", ((M8 * 100) / (COUNTIFS(F:F, "☆☆", E:E, E105) + COUNTIFS(F:F, "☆☆", E:E, "A1") + IF(E105="A1", COUNTIFS(F:F, "☆☆", E:E, E2), 0) - IF(E105="A1", COUNTIFS(F:F, "☆☆", E:E, "A1"), 0)))/100, 
   IF(F105="☆☆☆", ((M9 * 100) / (COUNTIFS(F:F, "☆☆☆", E:E, E105) + COUNTIFS(F:F, "☆☆☆", E:E, "A1") + IF(E105="A1", COUNTIFS(F:F, "☆☆☆", E:E, E2), 0) - IF(E105="A1", COUNTIFS(F:F, "☆☆☆", E:E, "A1"), 0)))/100, 
   IF(F105="♛", ((M10 * 100) / (COUNTIFS(F:F, "♛", E:E, E105) + COUNTIFS(F:F, "♛", E:E, "A1") + IF(E105="A1", COUNTIFS(F:F, "♛", E:E, E2), 0) - IF(E105="A1", COUNTIFS(F:F, "♛", E:E, "A1"), 0)))/100, "")))))))
</f>
        <v>0.003332</v>
      </c>
      <c r="I105" s="129">
        <f>IF(F105="♢♢", ((N4 * 100) / (COUNTIFS(F:F, "♢♢", E:E, E105) + COUNTIFS(F:F, "♢♢", E:E, "A1") + IF(E105="A1", COUNTIFS(F:F, "♢♢", E:E, E2), 0) - IF(E105="A1", COUNTIFS(F:F, "♢♢", E:E, "A1"), 0)))/100, 
   IF(F105="♢♢♢", ((N5 * 100) / (COUNTIFS(F:F, "♢♢♢", E:E, E105) + COUNTIFS(F:F, "♢♢♢", E:E, "A1") + IF(E105="A1", COUNTIFS(F:F, "♢♢♢", E:E, E2), 0) - IF(E105="A1", COUNTIFS(F:F, "♢♢♢", E:E, "A1"), 0)))/100, 
   IF(F105="♢♢♢♢", ((N6 * 100) / (COUNTIFS(F:F, "♢♢♢♢", E:E, E105) + COUNTIFS(F:F, "♢♢♢♢", E:E, "A1") + IF(E105="A1", COUNTIFS(F:F, "♢♢♢♢", E:E, E2), 0) - IF(E105="A1", COUNTIFS(F:F, "♢♢♢♢", E:E, "A1"), 0)))/100, 
   IF(F105="☆", ((N7 * 100) / (COUNTIFS(F:F, "☆", E:E, E105) + COUNTIFS(F:F, "☆", E:E, "A1") + IF(E105="A1", COUNTIFS(F:F, "☆", E:E, E2), 0) - IF(E105="A1", COUNTIFS(F:F, "☆", E:E, "A1"), 0)))/100, 
   IF(F105="☆☆", ((N8 * 100) / (COUNTIFS(F:F, "☆☆", E:E, E105) + COUNTIFS(F:F, "☆☆", E:E, "A1") + IF(E105="A1", COUNTIFS(F:F, "☆☆", E:E, E2), 0) - IF(E105="A1", COUNTIFS(F:F, "☆☆", E:E, "A1"), 0)))/100, 
   IF(F105="☆☆☆", ((N9 * 100) / (COUNTIFS(F:F, "☆☆☆", E:E, E105) + COUNTIFS(F:F, "☆☆☆", E:E, "A1") + IF(E105="A1", COUNTIFS(F:F, "☆☆☆", E:E, E2), 0) - IF(E105="A1", COUNTIFS(F:F, "☆☆☆", E:E, "A1"), 0)))/100, 
   IF(F105="♛", ((N10 * 100) / (COUNTIFS(F:F, "♛", E:E, E105) + COUNTIFS(F:F, "♛", E:E, "A1") + IF(E105="A1", COUNTIFS(F:F, "♛", E:E, E2), 0) - IF(E105="A1", COUNTIFS(F:F, "♛", E:E, "A1"), 0)))/100, "")))))))
</f>
        <v>0.013328</v>
      </c>
      <c r="J105" s="131"/>
      <c r="K105" s="247"/>
      <c r="L105" s="20"/>
      <c r="M105" s="20"/>
      <c r="N105" s="20"/>
    </row>
    <row r="106">
      <c r="A106" s="125" t="b">
        <f t="shared" si="1"/>
        <v>0</v>
      </c>
      <c r="B106" s="126">
        <v>0.0</v>
      </c>
      <c r="C106" s="127" t="s">
        <v>320</v>
      </c>
      <c r="D106" s="127" t="s">
        <v>321</v>
      </c>
      <c r="E106" s="128" t="s">
        <v>137</v>
      </c>
      <c r="F106" s="127" t="s">
        <v>44</v>
      </c>
      <c r="G106" s="129">
        <f>IF(F106="♢", ((L3 * 100) / (COUNTIFS(F:F, "♢", E:E, E106) + COUNTIFS(F:F, "♢", E:E, "A1") + IF(E106="A1", COUNTIFS(F:F, "♢", E:E, E2), 0) - IF(E106="A1", COUNTIFS(F:F, "♢", E:E, "A1"), 0)))/100, "")
</f>
        <v>0.02</v>
      </c>
      <c r="H106" s="130" t="str">
        <f>IF(F106="♢♢", ((M4 * 100) / (COUNTIFS(F:F, "♢♢", E:E, E106) + COUNTIFS(F:F, "♢♢", E:E, "A1") + IF(E106="A1", COUNTIFS(F:F, "♢♢", E:E, E2), 0) - IF(E106="A1", COUNTIFS(F:F, "♢♢", E:E, "A1"), 0)))/100, 
   IF(F106="♢♢♢", ((M5 * 100) / (COUNTIFS(F:F, "♢♢♢", E:E, E106) + COUNTIFS(F:F, "♢♢♢", E:E, "A1") + IF(E106="A1", COUNTIFS(F:F, "♢♢♢", E:E, E2), 0) - IF(E106="A1", COUNTIFS(F:F, "♢♢♢", E:E, "A1"), 0)))/100, 
   IF(F106="♢♢♢♢", ((M6 * 100) / (COUNTIFS(F:F, "♢♢♢♢", E:E, E106) + COUNTIFS(F:F, "♢♢♢♢", E:E, "A1") + IF(E106="A1", COUNTIFS(F:F, "♢♢♢♢", E:E, E2), 0) - IF(E106="A1", COUNTIFS(F:F, "♢♢♢♢", E:E, "A1"), 0)))/100, 
   IF(F106="☆", ((M7 * 100) / (COUNTIFS(F:F, "☆", E:E, E106) + COUNTIFS(F:F, "☆", E:E, "A1") + IF(E106="A1", COUNTIFS(F:F, "☆", E:E, E2), 0) - IF(E106="A1", COUNTIFS(F:F, "☆", E:E, "A1"), 0)))/100, 
   IF(F106="☆☆", ((M8 * 100) / (COUNTIFS(F:F, "☆☆", E:E, E106) + COUNTIFS(F:F, "☆☆", E:E, "A1") + IF(E106="A1", COUNTIFS(F:F, "☆☆", E:E, E2), 0) - IF(E106="A1", COUNTIFS(F:F, "☆☆", E:E, "A1"), 0)))/100, 
   IF(F106="☆☆☆", ((M9 * 100) / (COUNTIFS(F:F, "☆☆☆", E:E, E106) + COUNTIFS(F:F, "☆☆☆", E:E, "A1") + IF(E106="A1", COUNTIFS(F:F, "☆☆☆", E:E, E2), 0) - IF(E106="A1", COUNTIFS(F:F, "☆☆☆", E:E, "A1"), 0)))/100, 
   IF(F106="♛", ((M10 * 100) / (COUNTIFS(F:F, "♛", E:E, E106) + COUNTIFS(F:F, "♛", E:E, "A1") + IF(E106="A1", COUNTIFS(F:F, "♛", E:E, E2), 0) - IF(E106="A1", COUNTIFS(F:F, "♛", E:E, "A1"), 0)))/100, "")))))))
</f>
        <v/>
      </c>
      <c r="I106" s="130" t="str">
        <f>IF(F106="♢♢", ((N4 * 100) / (COUNTIFS(F:F, "♢♢", E:E, E106) + COUNTIFS(F:F, "♢♢", E:E, "A1") + IF(E106="A1", COUNTIFS(F:F, "♢♢", E:E, E2), 0) - IF(E106="A1", COUNTIFS(F:F, "♢♢", E:E, "A1"), 0)))/100, 
   IF(F106="♢♢♢", ((N5 * 100) / (COUNTIFS(F:F, "♢♢♢", E:E, E106) + COUNTIFS(F:F, "♢♢♢", E:E, "A1") + IF(E106="A1", COUNTIFS(F:F, "♢♢♢", E:E, E2), 0) - IF(E106="A1", COUNTIFS(F:F, "♢♢♢", E:E, "A1"), 0)))/100, 
   IF(F106="♢♢♢♢", ((N6 * 100) / (COUNTIFS(F:F, "♢♢♢♢", E:E, E106) + COUNTIFS(F:F, "♢♢♢♢", E:E, "A1") + IF(E106="A1", COUNTIFS(F:F, "♢♢♢♢", E:E, E2), 0) - IF(E106="A1", COUNTIFS(F:F, "♢♢♢♢", E:E, "A1"), 0)))/100, 
   IF(F106="☆", ((N7 * 100) / (COUNTIFS(F:F, "☆", E:E, E106) + COUNTIFS(F:F, "☆", E:E, "A1") + IF(E106="A1", COUNTIFS(F:F, "☆", E:E, E2), 0) - IF(E106="A1", COUNTIFS(F:F, "☆", E:E, "A1"), 0)))/100, 
   IF(F106="☆☆", ((N8 * 100) / (COUNTIFS(F:F, "☆☆", E:E, E106) + COUNTIFS(F:F, "☆☆", E:E, "A1") + IF(E106="A1", COUNTIFS(F:F, "☆☆", E:E, E2), 0) - IF(E106="A1", COUNTIFS(F:F, "☆☆", E:E, "A1"), 0)))/100, 
   IF(F106="☆☆☆", ((N9 * 100) / (COUNTIFS(F:F, "☆☆☆", E:E, E106) + COUNTIFS(F:F, "☆☆☆", E:E, "A1") + IF(E106="A1", COUNTIFS(F:F, "☆☆☆", E:E, E2), 0) - IF(E106="A1", COUNTIFS(F:F, "☆☆☆", E:E, "A1"), 0)))/100, 
   IF(F106="♛", ((N10 * 100) / (COUNTIFS(F:F, "♛", E:E, E106) + COUNTIFS(F:F, "♛", E:E, "A1") + IF(E106="A1", COUNTIFS(F:F, "♛", E:E, E2), 0) - IF(E106="A1", COUNTIFS(F:F, "♛", E:E, "A1"), 0)))/100, "")))))))
</f>
        <v/>
      </c>
      <c r="J106" s="131"/>
      <c r="K106" s="247"/>
      <c r="L106" s="20"/>
      <c r="M106" s="20"/>
      <c r="N106" s="20"/>
    </row>
    <row r="107">
      <c r="A107" s="125" t="b">
        <f t="shared" si="1"/>
        <v>0</v>
      </c>
      <c r="B107" s="126">
        <v>0.0</v>
      </c>
      <c r="C107" s="127" t="s">
        <v>322</v>
      </c>
      <c r="D107" s="127" t="s">
        <v>323</v>
      </c>
      <c r="E107" s="128" t="s">
        <v>137</v>
      </c>
      <c r="F107" s="127" t="s">
        <v>46</v>
      </c>
      <c r="G107" s="130" t="str">
        <f>IF(F107="♢", ((L3 * 100) / (COUNTIFS(F:F, "♢", E:E, E107) + COUNTIFS(F:F, "♢", E:E, "A1") + IF(E107="A1", COUNTIFS(F:F, "♢", E:E, E2), 0) - IF(E107="A1", COUNTIFS(F:F, "♢", E:E, "A1"), 0)))/100, "")
</f>
        <v/>
      </c>
      <c r="H107" s="129">
        <f>IF(F107="♢♢", ((M4 * 100) / (COUNTIFS(F:F, "♢♢", E:E, E107) + COUNTIFS(F:F, "♢♢", E:E, "A1") + IF(E107="A1", COUNTIFS(F:F, "♢♢", E:E, E2), 0) - IF(E107="A1", COUNTIFS(F:F, "♢♢", E:E, "A1"), 0)))/100, 
   IF(F107="♢♢♢", ((M5 * 100) / (COUNTIFS(F:F, "♢♢♢", E:E, E107) + COUNTIFS(F:F, "♢♢♢", E:E, "A1") + IF(E107="A1", COUNTIFS(F:F, "♢♢♢", E:E, E2), 0) - IF(E107="A1", COUNTIFS(F:F, "♢♢♢", E:E, "A1"), 0)))/100, 
   IF(F107="♢♢♢♢", ((M6 * 100) / (COUNTIFS(F:F, "♢♢♢♢", E:E, E107) + COUNTIFS(F:F, "♢♢♢♢", E:E, "A1") + IF(E107="A1", COUNTIFS(F:F, "♢♢♢♢", E:E, E2), 0) - IF(E107="A1", COUNTIFS(F:F, "♢♢♢♢", E:E, "A1"), 0)))/100, 
   IF(F107="☆", ((M7 * 100) / (COUNTIFS(F:F, "☆", E:E, E107) + COUNTIFS(F:F, "☆", E:E, "A1") + IF(E107="A1", COUNTIFS(F:F, "☆", E:E, E2), 0) - IF(E107="A1", COUNTIFS(F:F, "☆", E:E, "A1"), 0)))/100, 
   IF(F107="☆☆", ((M8 * 100) / (COUNTIFS(F:F, "☆☆", E:E, E107) + COUNTIFS(F:F, "☆☆", E:E, "A1") + IF(E107="A1", COUNTIFS(F:F, "☆☆", E:E, E2), 0) - IF(E107="A1", COUNTIFS(F:F, "☆☆", E:E, "A1"), 0)))/100, 
   IF(F107="☆☆☆", ((M9 * 100) / (COUNTIFS(F:F, "☆☆☆", E:E, E107) + COUNTIFS(F:F, "☆☆☆", E:E, "A1") + IF(E107="A1", COUNTIFS(F:F, "☆☆☆", E:E, E2), 0) - IF(E107="A1", COUNTIFS(F:F, "☆☆☆", E:E, "A1"), 0)))/100, 
   IF(F107="♛", ((M10 * 100) / (COUNTIFS(F:F, "♛", E:E, E107) + COUNTIFS(F:F, "♛", E:E, "A1") + IF(E107="A1", COUNTIFS(F:F, "♛", E:E, E2), 0) - IF(E107="A1", COUNTIFS(F:F, "♛", E:E, "A1"), 0)))/100, "")))))))
</f>
        <v>0.02571428571</v>
      </c>
      <c r="I107" s="129">
        <f>IF(F107="♢♢", ((N4 * 100) / (COUNTIFS(F:F, "♢♢", E:E, E107) + COUNTIFS(F:F, "♢♢", E:E, "A1") + IF(E107="A1", COUNTIFS(F:F, "♢♢", E:E, E2), 0) - IF(E107="A1", COUNTIFS(F:F, "♢♢", E:E, "A1"), 0)))/100, 
   IF(F107="♢♢♢", ((N5 * 100) / (COUNTIFS(F:F, "♢♢♢", E:E, E107) + COUNTIFS(F:F, "♢♢♢", E:E, "A1") + IF(E107="A1", COUNTIFS(F:F, "♢♢♢", E:E, E2), 0) - IF(E107="A1", COUNTIFS(F:F, "♢♢♢", E:E, "A1"), 0)))/100, 
   IF(F107="♢♢♢♢", ((N6 * 100) / (COUNTIFS(F:F, "♢♢♢♢", E:E, E107) + COUNTIFS(F:F, "♢♢♢♢", E:E, "A1") + IF(E107="A1", COUNTIFS(F:F, "♢♢♢♢", E:E, E2), 0) - IF(E107="A1", COUNTIFS(F:F, "♢♢♢♢", E:E, "A1"), 0)))/100, 
   IF(F107="☆", ((N7 * 100) / (COUNTIFS(F:F, "☆", E:E, E107) + COUNTIFS(F:F, "☆", E:E, "A1") + IF(E107="A1", COUNTIFS(F:F, "☆", E:E, E2), 0) - IF(E107="A1", COUNTIFS(F:F, "☆", E:E, "A1"), 0)))/100, 
   IF(F107="☆☆", ((N8 * 100) / (COUNTIFS(F:F, "☆☆", E:E, E107) + COUNTIFS(F:F, "☆☆", E:E, "A1") + IF(E107="A1", COUNTIFS(F:F, "☆☆", E:E, E2), 0) - IF(E107="A1", COUNTIFS(F:F, "☆☆", E:E, "A1"), 0)))/100, 
   IF(F107="☆☆☆", ((N9 * 100) / (COUNTIFS(F:F, "☆☆☆", E:E, E107) + COUNTIFS(F:F, "☆☆☆", E:E, "A1") + IF(E107="A1", COUNTIFS(F:F, "☆☆☆", E:E, E2), 0) - IF(E107="A1", COUNTIFS(F:F, "☆☆☆", E:E, "A1"), 0)))/100, 
   IF(F107="♛", ((N10 * 100) / (COUNTIFS(F:F, "♛", E:E, E107) + COUNTIFS(F:F, "♛", E:E, "A1") + IF(E107="A1", COUNTIFS(F:F, "♛", E:E, E2), 0) - IF(E107="A1", COUNTIFS(F:F, "♛", E:E, "A1"), 0)))/100, "")))))))
</f>
        <v>0.01714285714</v>
      </c>
      <c r="J107" s="131"/>
      <c r="K107" s="247"/>
      <c r="L107" s="20"/>
      <c r="M107" s="20"/>
      <c r="N107" s="20"/>
      <c r="O107" s="124" t="s">
        <v>324</v>
      </c>
    </row>
    <row r="108">
      <c r="A108" s="125" t="b">
        <f t="shared" si="1"/>
        <v>0</v>
      </c>
      <c r="B108" s="126">
        <v>0.0</v>
      </c>
      <c r="C108" s="127" t="s">
        <v>325</v>
      </c>
      <c r="D108" s="127" t="s">
        <v>326</v>
      </c>
      <c r="E108" s="128" t="s">
        <v>29</v>
      </c>
      <c r="F108" s="127" t="s">
        <v>44</v>
      </c>
      <c r="G108" s="129">
        <f>IF(F108="♢", ((L3 * 100) / (COUNTIFS(F:F, "♢", E:E, E108) + COUNTIFS(F:F, "♢", E:E, "A1") + IF(E108="A1", COUNTIFS(F:F, "♢", E:E, E2), 0) - IF(E108="A1", COUNTIFS(F:F, "♢", E:E, "A1"), 0)))/100, "")
</f>
        <v>0.02</v>
      </c>
      <c r="H108" s="130" t="str">
        <f>IF(F108="♢♢", ((M4 * 100) / (COUNTIFS(F:F, "♢♢", E:E, E108) + COUNTIFS(F:F, "♢♢", E:E, "A1") + IF(E108="A1", COUNTIFS(F:F, "♢♢", E:E, E2), 0) - IF(E108="A1", COUNTIFS(F:F, "♢♢", E:E, "A1"), 0)))/100, 
   IF(F108="♢♢♢", ((M5 * 100) / (COUNTIFS(F:F, "♢♢♢", E:E, E108) + COUNTIFS(F:F, "♢♢♢", E:E, "A1") + IF(E108="A1", COUNTIFS(F:F, "♢♢♢", E:E, E2), 0) - IF(E108="A1", COUNTIFS(F:F, "♢♢♢", E:E, "A1"), 0)))/100, 
   IF(F108="♢♢♢♢", ((M6 * 100) / (COUNTIFS(F:F, "♢♢♢♢", E:E, E108) + COUNTIFS(F:F, "♢♢♢♢", E:E, "A1") + IF(E108="A1", COUNTIFS(F:F, "♢♢♢♢", E:E, E2), 0) - IF(E108="A1", COUNTIFS(F:F, "♢♢♢♢", E:E, "A1"), 0)))/100, 
   IF(F108="☆", ((M7 * 100) / (COUNTIFS(F:F, "☆", E:E, E108) + COUNTIFS(F:F, "☆", E:E, "A1") + IF(E108="A1", COUNTIFS(F:F, "☆", E:E, E2), 0) - IF(E108="A1", COUNTIFS(F:F, "☆", E:E, "A1"), 0)))/100, 
   IF(F108="☆☆", ((M8 * 100) / (COUNTIFS(F:F, "☆☆", E:E, E108) + COUNTIFS(F:F, "☆☆", E:E, "A1") + IF(E108="A1", COUNTIFS(F:F, "☆☆", E:E, E2), 0) - IF(E108="A1", COUNTIFS(F:F, "☆☆", E:E, "A1"), 0)))/100, 
   IF(F108="☆☆☆", ((M9 * 100) / (COUNTIFS(F:F, "☆☆☆", E:E, E108) + COUNTIFS(F:F, "☆☆☆", E:E, "A1") + IF(E108="A1", COUNTIFS(F:F, "☆☆☆", E:E, E2), 0) - IF(E108="A1", COUNTIFS(F:F, "☆☆☆", E:E, "A1"), 0)))/100, 
   IF(F108="♛", ((M10 * 100) / (COUNTIFS(F:F, "♛", E:E, E108) + COUNTIFS(F:F, "♛", E:E, "A1") + IF(E108="A1", COUNTIFS(F:F, "♛", E:E, E2), 0) - IF(E108="A1", COUNTIFS(F:F, "♛", E:E, "A1"), 0)))/100, "")))))))
</f>
        <v/>
      </c>
      <c r="I108" s="130" t="str">
        <f>IF(F108="♢♢", ((N4 * 100) / (COUNTIFS(F:F, "♢♢", E:E, E108) + COUNTIFS(F:F, "♢♢", E:E, "A1") + IF(E108="A1", COUNTIFS(F:F, "♢♢", E:E, E2), 0) - IF(E108="A1", COUNTIFS(F:F, "♢♢", E:E, "A1"), 0)))/100, 
   IF(F108="♢♢♢", ((N5 * 100) / (COUNTIFS(F:F, "♢♢♢", E:E, E108) + COUNTIFS(F:F, "♢♢♢", E:E, "A1") + IF(E108="A1", COUNTIFS(F:F, "♢♢♢", E:E, E2), 0) - IF(E108="A1", COUNTIFS(F:F, "♢♢♢", E:E, "A1"), 0)))/100, 
   IF(F108="♢♢♢♢", ((N6 * 100) / (COUNTIFS(F:F, "♢♢♢♢", E:E, E108) + COUNTIFS(F:F, "♢♢♢♢", E:E, "A1") + IF(E108="A1", COUNTIFS(F:F, "♢♢♢♢", E:E, E2), 0) - IF(E108="A1", COUNTIFS(F:F, "♢♢♢♢", E:E, "A1"), 0)))/100, 
   IF(F108="☆", ((N7 * 100) / (COUNTIFS(F:F, "☆", E:E, E108) + COUNTIFS(F:F, "☆", E:E, "A1") + IF(E108="A1", COUNTIFS(F:F, "☆", E:E, E2), 0) - IF(E108="A1", COUNTIFS(F:F, "☆", E:E, "A1"), 0)))/100, 
   IF(F108="☆☆", ((N8 * 100) / (COUNTIFS(F:F, "☆☆", E:E, E108) + COUNTIFS(F:F, "☆☆", E:E, "A1") + IF(E108="A1", COUNTIFS(F:F, "☆☆", E:E, E2), 0) - IF(E108="A1", COUNTIFS(F:F, "☆☆", E:E, "A1"), 0)))/100, 
   IF(F108="☆☆☆", ((N9 * 100) / (COUNTIFS(F:F, "☆☆☆", E:E, E108) + COUNTIFS(F:F, "☆☆☆", E:E, "A1") + IF(E108="A1", COUNTIFS(F:F, "☆☆☆", E:E, E2), 0) - IF(E108="A1", COUNTIFS(F:F, "☆☆☆", E:E, "A1"), 0)))/100, 
   IF(F108="♛", ((N10 * 100) / (COUNTIFS(F:F, "♛", E:E, E108) + COUNTIFS(F:F, "♛", E:E, "A1") + IF(E108="A1", COUNTIFS(F:F, "♛", E:E, E2), 0) - IF(E108="A1", COUNTIFS(F:F, "♛", E:E, "A1"), 0)))/100, "")))))))
</f>
        <v/>
      </c>
      <c r="J108" s="131"/>
      <c r="K108" s="247"/>
      <c r="L108" s="20"/>
      <c r="M108" s="20"/>
      <c r="N108" s="20"/>
    </row>
    <row r="109">
      <c r="A109" s="125" t="b">
        <f t="shared" si="1"/>
        <v>0</v>
      </c>
      <c r="B109" s="126">
        <v>0.0</v>
      </c>
      <c r="C109" s="127" t="s">
        <v>327</v>
      </c>
      <c r="D109" s="127" t="s">
        <v>328</v>
      </c>
      <c r="E109" s="128" t="s">
        <v>29</v>
      </c>
      <c r="F109" s="127" t="s">
        <v>46</v>
      </c>
      <c r="G109" s="130" t="str">
        <f>IF(F109="♢", ((L3 * 100) / (COUNTIFS(F:F, "♢", E:E, E109) + COUNTIFS(F:F, "♢", E:E, "A1") + IF(E109="A1", COUNTIFS(F:F, "♢", E:E, E2), 0) - IF(E109="A1", COUNTIFS(F:F, "♢", E:E, "A1"), 0)))/100, "")
</f>
        <v/>
      </c>
      <c r="H109" s="129">
        <f>IF(F109="♢♢", ((M4 * 100) / (COUNTIFS(F:F, "♢♢", E:E, E109) + COUNTIFS(F:F, "♢♢", E:E, "A1") + IF(E109="A1", COUNTIFS(F:F, "♢♢", E:E, E2), 0) - IF(E109="A1", COUNTIFS(F:F, "♢♢", E:E, "A1"), 0)))/100, 
   IF(F109="♢♢♢", ((M5 * 100) / (COUNTIFS(F:F, "♢♢♢", E:E, E109) + COUNTIFS(F:F, "♢♢♢", E:E, "A1") + IF(E109="A1", COUNTIFS(F:F, "♢♢♢", E:E, E2), 0) - IF(E109="A1", COUNTIFS(F:F, "♢♢♢", E:E, "A1"), 0)))/100, 
   IF(F109="♢♢♢♢", ((M6 * 100) / (COUNTIFS(F:F, "♢♢♢♢", E:E, E109) + COUNTIFS(F:F, "♢♢♢♢", E:E, "A1") + IF(E109="A1", COUNTIFS(F:F, "♢♢♢♢", E:E, E2), 0) - IF(E109="A1", COUNTIFS(F:F, "♢♢♢♢", E:E, "A1"), 0)))/100, 
   IF(F109="☆", ((M7 * 100) / (COUNTIFS(F:F, "☆", E:E, E109) + COUNTIFS(F:F, "☆", E:E, "A1") + IF(E109="A1", COUNTIFS(F:F, "☆", E:E, E2), 0) - IF(E109="A1", COUNTIFS(F:F, "☆", E:E, "A1"), 0)))/100, 
   IF(F109="☆☆", ((M8 * 100) / (COUNTIFS(F:F, "☆☆", E:E, E109) + COUNTIFS(F:F, "☆☆", E:E, "A1") + IF(E109="A1", COUNTIFS(F:F, "☆☆", E:E, E2), 0) - IF(E109="A1", COUNTIFS(F:F, "☆☆", E:E, "A1"), 0)))/100, 
   IF(F109="☆☆☆", ((M9 * 100) / (COUNTIFS(F:F, "☆☆☆", E:E, E109) + COUNTIFS(F:F, "☆☆☆", E:E, "A1") + IF(E109="A1", COUNTIFS(F:F, "☆☆☆", E:E, E2), 0) - IF(E109="A1", COUNTIFS(F:F, "☆☆☆", E:E, "A1"), 0)))/100, 
   IF(F109="♛", ((M10 * 100) / (COUNTIFS(F:F, "♛", E:E, E109) + COUNTIFS(F:F, "♛", E:E, "A1") + IF(E109="A1", COUNTIFS(F:F, "♛", E:E, E2), 0) - IF(E109="A1", COUNTIFS(F:F, "♛", E:E, "A1"), 0)))/100, "")))))))
</f>
        <v>0.02571428571</v>
      </c>
      <c r="I109" s="129">
        <f>IF(F109="♢♢", ((N4 * 100) / (COUNTIFS(F:F, "♢♢", E:E, E109) + COUNTIFS(F:F, "♢♢", E:E, "A1") + IF(E109="A1", COUNTIFS(F:F, "♢♢", E:E, E2), 0) - IF(E109="A1", COUNTIFS(F:F, "♢♢", E:E, "A1"), 0)))/100, 
   IF(F109="♢♢♢", ((N5 * 100) / (COUNTIFS(F:F, "♢♢♢", E:E, E109) + COUNTIFS(F:F, "♢♢♢", E:E, "A1") + IF(E109="A1", COUNTIFS(F:F, "♢♢♢", E:E, E2), 0) - IF(E109="A1", COUNTIFS(F:F, "♢♢♢", E:E, "A1"), 0)))/100, 
   IF(F109="♢♢♢♢", ((N6 * 100) / (COUNTIFS(F:F, "♢♢♢♢", E:E, E109) + COUNTIFS(F:F, "♢♢♢♢", E:E, "A1") + IF(E109="A1", COUNTIFS(F:F, "♢♢♢♢", E:E, E2), 0) - IF(E109="A1", COUNTIFS(F:F, "♢♢♢♢", E:E, "A1"), 0)))/100, 
   IF(F109="☆", ((N7 * 100) / (COUNTIFS(F:F, "☆", E:E, E109) + COUNTIFS(F:F, "☆", E:E, "A1") + IF(E109="A1", COUNTIFS(F:F, "☆", E:E, E2), 0) - IF(E109="A1", COUNTIFS(F:F, "☆", E:E, "A1"), 0)))/100, 
   IF(F109="☆☆", ((N8 * 100) / (COUNTIFS(F:F, "☆☆", E:E, E109) + COUNTIFS(F:F, "☆☆", E:E, "A1") + IF(E109="A1", COUNTIFS(F:F, "☆☆", E:E, E2), 0) - IF(E109="A1", COUNTIFS(F:F, "☆☆", E:E, "A1"), 0)))/100, 
   IF(F109="☆☆☆", ((N9 * 100) / (COUNTIFS(F:F, "☆☆☆", E:E, E109) + COUNTIFS(F:F, "☆☆☆", E:E, "A1") + IF(E109="A1", COUNTIFS(F:F, "☆☆☆", E:E, E2), 0) - IF(E109="A1", COUNTIFS(F:F, "☆☆☆", E:E, "A1"), 0)))/100, 
   IF(F109="♛", ((N10 * 100) / (COUNTIFS(F:F, "♛", E:E, E109) + COUNTIFS(F:F, "♛", E:E, "A1") + IF(E109="A1", COUNTIFS(F:F, "♛", E:E, E2), 0) - IF(E109="A1", COUNTIFS(F:F, "♛", E:E, "A1"), 0)))/100, "")))))))
</f>
        <v>0.01714285714</v>
      </c>
      <c r="J109" s="131"/>
      <c r="K109" s="247"/>
      <c r="L109" s="20"/>
      <c r="M109" s="20"/>
      <c r="N109" s="20"/>
    </row>
    <row r="110">
      <c r="A110" s="125" t="b">
        <f t="shared" si="1"/>
        <v>0</v>
      </c>
      <c r="B110" s="126">
        <v>0.0</v>
      </c>
      <c r="C110" s="127" t="s">
        <v>329</v>
      </c>
      <c r="D110" s="127" t="s">
        <v>330</v>
      </c>
      <c r="E110" s="128" t="s">
        <v>29</v>
      </c>
      <c r="F110" s="127" t="s">
        <v>48</v>
      </c>
      <c r="G110" s="130" t="str">
        <f>IF(F110="♢", ((L3 * 100) / (COUNTIFS(F:F, "♢", E:E, E110) + COUNTIFS(F:F, "♢", E:E, "A1") + IF(E110="A1", COUNTIFS(F:F, "♢", E:E, E2), 0) - IF(E110="A1", COUNTIFS(F:F, "♢", E:E, "A1"), 0)))/100, "")
</f>
        <v/>
      </c>
      <c r="H110" s="129">
        <f>IF(F110="♢♢", ((M4 * 100) / (COUNTIFS(F:F, "♢♢", E:E, E110) + COUNTIFS(F:F, "♢♢", E:E, "A1") + IF(E110="A1", COUNTIFS(F:F, "♢♢", E:E, E2), 0) - IF(E110="A1", COUNTIFS(F:F, "♢♢", E:E, "A1"), 0)))/100, 
   IF(F110="♢♢♢", ((M5 * 100) / (COUNTIFS(F:F, "♢♢♢", E:E, E110) + COUNTIFS(F:F, "♢♢♢", E:E, "A1") + IF(E110="A1", COUNTIFS(F:F, "♢♢♢", E:E, E2), 0) - IF(E110="A1", COUNTIFS(F:F, "♢♢♢", E:E, "A1"), 0)))/100, 
   IF(F110="♢♢♢♢", ((M6 * 100) / (COUNTIFS(F:F, "♢♢♢♢", E:E, E110) + COUNTIFS(F:F, "♢♢♢♢", E:E, "A1") + IF(E110="A1", COUNTIFS(F:F, "♢♢♢♢", E:E, E2), 0) - IF(E110="A1", COUNTIFS(F:F, "♢♢♢♢", E:E, "A1"), 0)))/100, 
   IF(F110="☆", ((M7 * 100) / (COUNTIFS(F:F, "☆", E:E, E110) + COUNTIFS(F:F, "☆", E:E, "A1") + IF(E110="A1", COUNTIFS(F:F, "☆", E:E, E2), 0) - IF(E110="A1", COUNTIFS(F:F, "☆", E:E, "A1"), 0)))/100, 
   IF(F110="☆☆", ((M8 * 100) / (COUNTIFS(F:F, "☆☆", E:E, E110) + COUNTIFS(F:F, "☆☆", E:E, "A1") + IF(E110="A1", COUNTIFS(F:F, "☆☆", E:E, E2), 0) - IF(E110="A1", COUNTIFS(F:F, "☆☆", E:E, "A1"), 0)))/100, 
   IF(F110="☆☆☆", ((M9 * 100) / (COUNTIFS(F:F, "☆☆☆", E:E, E110) + COUNTIFS(F:F, "☆☆☆", E:E, "A1") + IF(E110="A1", COUNTIFS(F:F, "☆☆☆", E:E, E2), 0) - IF(E110="A1", COUNTIFS(F:F, "☆☆☆", E:E, "A1"), 0)))/100, 
   IF(F110="♛", ((M10 * 100) / (COUNTIFS(F:F, "♛", E:E, E110) + COUNTIFS(F:F, "♛", E:E, "A1") + IF(E110="A1", COUNTIFS(F:F, "♛", E:E, E2), 0) - IF(E110="A1", COUNTIFS(F:F, "♛", E:E, "A1"), 0)))/100, "")))))))
</f>
        <v>0.003571428571</v>
      </c>
      <c r="I110" s="129">
        <f>IF(F110="♢♢", ((N4 * 100) / (COUNTIFS(F:F, "♢♢", E:E, E110) + COUNTIFS(F:F, "♢♢", E:E, "A1") + IF(E110="A1", COUNTIFS(F:F, "♢♢", E:E, E2), 0) - IF(E110="A1", COUNTIFS(F:F, "♢♢", E:E, "A1"), 0)))/100, 
   IF(F110="♢♢♢", ((N5 * 100) / (COUNTIFS(F:F, "♢♢♢", E:E, E110) + COUNTIFS(F:F, "♢♢♢", E:E, "A1") + IF(E110="A1", COUNTIFS(F:F, "♢♢♢", E:E, E2), 0) - IF(E110="A1", COUNTIFS(F:F, "♢♢♢", E:E, "A1"), 0)))/100, 
   IF(F110="♢♢♢♢", ((N6 * 100) / (COUNTIFS(F:F, "♢♢♢♢", E:E, E110) + COUNTIFS(F:F, "♢♢♢♢", E:E, "A1") + IF(E110="A1", COUNTIFS(F:F, "♢♢♢♢", E:E, E2), 0) - IF(E110="A1", COUNTIFS(F:F, "♢♢♢♢", E:E, "A1"), 0)))/100, 
   IF(F110="☆", ((N7 * 100) / (COUNTIFS(F:F, "☆", E:E, E110) + COUNTIFS(F:F, "☆", E:E, "A1") + IF(E110="A1", COUNTIFS(F:F, "☆", E:E, E2), 0) - IF(E110="A1", COUNTIFS(F:F, "☆", E:E, "A1"), 0)))/100, 
   IF(F110="☆☆", ((N8 * 100) / (COUNTIFS(F:F, "☆☆", E:E, E110) + COUNTIFS(F:F, "☆☆", E:E, "A1") + IF(E110="A1", COUNTIFS(F:F, "☆☆", E:E, E2), 0) - IF(E110="A1", COUNTIFS(F:F, "☆☆", E:E, "A1"), 0)))/100, 
   IF(F110="☆☆☆", ((N9 * 100) / (COUNTIFS(F:F, "☆☆☆", E:E, E110) + COUNTIFS(F:F, "☆☆☆", E:E, "A1") + IF(E110="A1", COUNTIFS(F:F, "☆☆☆", E:E, E2), 0) - IF(E110="A1", COUNTIFS(F:F, "☆☆☆", E:E, "A1"), 0)))/100, 
   IF(F110="♛", ((N10 * 100) / (COUNTIFS(F:F, "♛", E:E, E110) + COUNTIFS(F:F, "♛", E:E, "A1") + IF(E110="A1", COUNTIFS(F:F, "♛", E:E, E2), 0) - IF(E110="A1", COUNTIFS(F:F, "♛", E:E, "A1"), 0)))/100, "")))))))
</f>
        <v>0.01428571429</v>
      </c>
      <c r="J110" s="131"/>
      <c r="K110" s="247"/>
      <c r="L110" s="20"/>
      <c r="M110" s="20"/>
      <c r="N110" s="20"/>
    </row>
    <row r="111">
      <c r="A111" s="125" t="b">
        <f t="shared" si="1"/>
        <v>0</v>
      </c>
      <c r="B111" s="126">
        <v>0.0</v>
      </c>
      <c r="C111" s="127" t="s">
        <v>331</v>
      </c>
      <c r="D111" s="127" t="s">
        <v>332</v>
      </c>
      <c r="E111" s="128" t="s">
        <v>137</v>
      </c>
      <c r="F111" s="127" t="s">
        <v>44</v>
      </c>
      <c r="G111" s="129">
        <f>IF(F111="♢", ((L3 * 100) / (COUNTIFS(F:F, "♢", E:E, E111) + COUNTIFS(F:F, "♢", E:E, "A1") + IF(E111="A1", COUNTIFS(F:F, "♢", E:E, E2), 0) - IF(E111="A1", COUNTIFS(F:F, "♢", E:E, "A1"), 0)))/100, "")
</f>
        <v>0.02</v>
      </c>
      <c r="H111" s="130" t="str">
        <f>IF(F111="♢♢", ((M4 * 100) / (COUNTIFS(F:F, "♢♢", E:E, E111) + COUNTIFS(F:F, "♢♢", E:E, "A1") + IF(E111="A1", COUNTIFS(F:F, "♢♢", E:E, E2), 0) - IF(E111="A1", COUNTIFS(F:F, "♢♢", E:E, "A1"), 0)))/100, 
   IF(F111="♢♢♢", ((M5 * 100) / (COUNTIFS(F:F, "♢♢♢", E:E, E111) + COUNTIFS(F:F, "♢♢♢", E:E, "A1") + IF(E111="A1", COUNTIFS(F:F, "♢♢♢", E:E, E2), 0) - IF(E111="A1", COUNTIFS(F:F, "♢♢♢", E:E, "A1"), 0)))/100, 
   IF(F111="♢♢♢♢", ((M6 * 100) / (COUNTIFS(F:F, "♢♢♢♢", E:E, E111) + COUNTIFS(F:F, "♢♢♢♢", E:E, "A1") + IF(E111="A1", COUNTIFS(F:F, "♢♢♢♢", E:E, E2), 0) - IF(E111="A1", COUNTIFS(F:F, "♢♢♢♢", E:E, "A1"), 0)))/100, 
   IF(F111="☆", ((M7 * 100) / (COUNTIFS(F:F, "☆", E:E, E111) + COUNTIFS(F:F, "☆", E:E, "A1") + IF(E111="A1", COUNTIFS(F:F, "☆", E:E, E2), 0) - IF(E111="A1", COUNTIFS(F:F, "☆", E:E, "A1"), 0)))/100, 
   IF(F111="☆☆", ((M8 * 100) / (COUNTIFS(F:F, "☆☆", E:E, E111) + COUNTIFS(F:F, "☆☆", E:E, "A1") + IF(E111="A1", COUNTIFS(F:F, "☆☆", E:E, E2), 0) - IF(E111="A1", COUNTIFS(F:F, "☆☆", E:E, "A1"), 0)))/100, 
   IF(F111="☆☆☆", ((M9 * 100) / (COUNTIFS(F:F, "☆☆☆", E:E, E111) + COUNTIFS(F:F, "☆☆☆", E:E, "A1") + IF(E111="A1", COUNTIFS(F:F, "☆☆☆", E:E, E2), 0) - IF(E111="A1", COUNTIFS(F:F, "☆☆☆", E:E, "A1"), 0)))/100, 
   IF(F111="♛", ((M10 * 100) / (COUNTIFS(F:F, "♛", E:E, E111) + COUNTIFS(F:F, "♛", E:E, "A1") + IF(E111="A1", COUNTIFS(F:F, "♛", E:E, E2), 0) - IF(E111="A1", COUNTIFS(F:F, "♛", E:E, "A1"), 0)))/100, "")))))))
</f>
        <v/>
      </c>
      <c r="I111" s="130" t="str">
        <f>IF(F111="♢♢", ((N4 * 100) / (COUNTIFS(F:F, "♢♢", E:E, E111) + COUNTIFS(F:F, "♢♢", E:E, "A1") + IF(E111="A1", COUNTIFS(F:F, "♢♢", E:E, E2), 0) - IF(E111="A1", COUNTIFS(F:F, "♢♢", E:E, "A1"), 0)))/100, 
   IF(F111="♢♢♢", ((N5 * 100) / (COUNTIFS(F:F, "♢♢♢", E:E, E111) + COUNTIFS(F:F, "♢♢♢", E:E, "A1") + IF(E111="A1", COUNTIFS(F:F, "♢♢♢", E:E, E2), 0) - IF(E111="A1", COUNTIFS(F:F, "♢♢♢", E:E, "A1"), 0)))/100, 
   IF(F111="♢♢♢♢", ((N6 * 100) / (COUNTIFS(F:F, "♢♢♢♢", E:E, E111) + COUNTIFS(F:F, "♢♢♢♢", E:E, "A1") + IF(E111="A1", COUNTIFS(F:F, "♢♢♢♢", E:E, E2), 0) - IF(E111="A1", COUNTIFS(F:F, "♢♢♢♢", E:E, "A1"), 0)))/100, 
   IF(F111="☆", ((N7 * 100) / (COUNTIFS(F:F, "☆", E:E, E111) + COUNTIFS(F:F, "☆", E:E, "A1") + IF(E111="A1", COUNTIFS(F:F, "☆", E:E, E2), 0) - IF(E111="A1", COUNTIFS(F:F, "☆", E:E, "A1"), 0)))/100, 
   IF(F111="☆☆", ((N8 * 100) / (COUNTIFS(F:F, "☆☆", E:E, E111) + COUNTIFS(F:F, "☆☆", E:E, "A1") + IF(E111="A1", COUNTIFS(F:F, "☆☆", E:E, E2), 0) - IF(E111="A1", COUNTIFS(F:F, "☆☆", E:E, "A1"), 0)))/100, 
   IF(F111="☆☆☆", ((N9 * 100) / (COUNTIFS(F:F, "☆☆☆", E:E, E111) + COUNTIFS(F:F, "☆☆☆", E:E, "A1") + IF(E111="A1", COUNTIFS(F:F, "☆☆☆", E:E, E2), 0) - IF(E111="A1", COUNTIFS(F:F, "☆☆☆", E:E, "A1"), 0)))/100, 
   IF(F111="♛", ((N10 * 100) / (COUNTIFS(F:F, "♛", E:E, E111) + COUNTIFS(F:F, "♛", E:E, "A1") + IF(E111="A1", COUNTIFS(F:F, "♛", E:E, E2), 0) - IF(E111="A1", COUNTIFS(F:F, "♛", E:E, "A1"), 0)))/100, "")))))))
</f>
        <v/>
      </c>
      <c r="J111" s="131"/>
      <c r="K111" s="247"/>
      <c r="L111" s="20"/>
      <c r="M111" s="20"/>
      <c r="N111" s="20"/>
    </row>
    <row r="112">
      <c r="A112" s="125" t="b">
        <f t="shared" si="1"/>
        <v>0</v>
      </c>
      <c r="B112" s="126">
        <v>0.0</v>
      </c>
      <c r="C112" s="127" t="s">
        <v>333</v>
      </c>
      <c r="D112" s="127" t="s">
        <v>334</v>
      </c>
      <c r="E112" s="128" t="s">
        <v>137</v>
      </c>
      <c r="F112" s="127" t="s">
        <v>44</v>
      </c>
      <c r="G112" s="129">
        <f>IF(F112="♢", ((L3 * 100) / (COUNTIFS(F:F, "♢", E:E, E112) + COUNTIFS(F:F, "♢", E:E, "A1") + IF(E112="A1", COUNTIFS(F:F, "♢", E:E, E2), 0) - IF(E112="A1", COUNTIFS(F:F, "♢", E:E, "A1"), 0)))/100, "")
</f>
        <v>0.02</v>
      </c>
      <c r="H112" s="130" t="str">
        <f>IF(F112="♢♢", ((M4 * 100) / (COUNTIFS(F:F, "♢♢", E:E, E112) + COUNTIFS(F:F, "♢♢", E:E, "A1") + IF(E112="A1", COUNTIFS(F:F, "♢♢", E:E, E2), 0) - IF(E112="A1", COUNTIFS(F:F, "♢♢", E:E, "A1"), 0)))/100, 
   IF(F112="♢♢♢", ((M5 * 100) / (COUNTIFS(F:F, "♢♢♢", E:E, E112) + COUNTIFS(F:F, "♢♢♢", E:E, "A1") + IF(E112="A1", COUNTIFS(F:F, "♢♢♢", E:E, E2), 0) - IF(E112="A1", COUNTIFS(F:F, "♢♢♢", E:E, "A1"), 0)))/100, 
   IF(F112="♢♢♢♢", ((M6 * 100) / (COUNTIFS(F:F, "♢♢♢♢", E:E, E112) + COUNTIFS(F:F, "♢♢♢♢", E:E, "A1") + IF(E112="A1", COUNTIFS(F:F, "♢♢♢♢", E:E, E2), 0) - IF(E112="A1", COUNTIFS(F:F, "♢♢♢♢", E:E, "A1"), 0)))/100, 
   IF(F112="☆", ((M7 * 100) / (COUNTIFS(F:F, "☆", E:E, E112) + COUNTIFS(F:F, "☆", E:E, "A1") + IF(E112="A1", COUNTIFS(F:F, "☆", E:E, E2), 0) - IF(E112="A1", COUNTIFS(F:F, "☆", E:E, "A1"), 0)))/100, 
   IF(F112="☆☆", ((M8 * 100) / (COUNTIFS(F:F, "☆☆", E:E, E112) + COUNTIFS(F:F, "☆☆", E:E, "A1") + IF(E112="A1", COUNTIFS(F:F, "☆☆", E:E, E2), 0) - IF(E112="A1", COUNTIFS(F:F, "☆☆", E:E, "A1"), 0)))/100, 
   IF(F112="☆☆☆", ((M9 * 100) / (COUNTIFS(F:F, "☆☆☆", E:E, E112) + COUNTIFS(F:F, "☆☆☆", E:E, "A1") + IF(E112="A1", COUNTIFS(F:F, "☆☆☆", E:E, E2), 0) - IF(E112="A1", COUNTIFS(F:F, "☆☆☆", E:E, "A1"), 0)))/100, 
   IF(F112="♛", ((M10 * 100) / (COUNTIFS(F:F, "♛", E:E, E112) + COUNTIFS(F:F, "♛", E:E, "A1") + IF(E112="A1", COUNTIFS(F:F, "♛", E:E, E2), 0) - IF(E112="A1", COUNTIFS(F:F, "♛", E:E, "A1"), 0)))/100, "")))))))
</f>
        <v/>
      </c>
      <c r="I112" s="130" t="str">
        <f>IF(F112="♢♢", ((N4 * 100) / (COUNTIFS(F:F, "♢♢", E:E, E112) + COUNTIFS(F:F, "♢♢", E:E, "A1") + IF(E112="A1", COUNTIFS(F:F, "♢♢", E:E, E2), 0) - IF(E112="A1", COUNTIFS(F:F, "♢♢", E:E, "A1"), 0)))/100, 
   IF(F112="♢♢♢", ((N5 * 100) / (COUNTIFS(F:F, "♢♢♢", E:E, E112) + COUNTIFS(F:F, "♢♢♢", E:E, "A1") + IF(E112="A1", COUNTIFS(F:F, "♢♢♢", E:E, E2), 0) - IF(E112="A1", COUNTIFS(F:F, "♢♢♢", E:E, "A1"), 0)))/100, 
   IF(F112="♢♢♢♢", ((N6 * 100) / (COUNTIFS(F:F, "♢♢♢♢", E:E, E112) + COUNTIFS(F:F, "♢♢♢♢", E:E, "A1") + IF(E112="A1", COUNTIFS(F:F, "♢♢♢♢", E:E, E2), 0) - IF(E112="A1", COUNTIFS(F:F, "♢♢♢♢", E:E, "A1"), 0)))/100, 
   IF(F112="☆", ((N7 * 100) / (COUNTIFS(F:F, "☆", E:E, E112) + COUNTIFS(F:F, "☆", E:E, "A1") + IF(E112="A1", COUNTIFS(F:F, "☆", E:E, E2), 0) - IF(E112="A1", COUNTIFS(F:F, "☆", E:E, "A1"), 0)))/100, 
   IF(F112="☆☆", ((N8 * 100) / (COUNTIFS(F:F, "☆☆", E:E, E112) + COUNTIFS(F:F, "☆☆", E:E, "A1") + IF(E112="A1", COUNTIFS(F:F, "☆☆", E:E, E2), 0) - IF(E112="A1", COUNTIFS(F:F, "☆☆", E:E, "A1"), 0)))/100, 
   IF(F112="☆☆☆", ((N9 * 100) / (COUNTIFS(F:F, "☆☆☆", E:E, E112) + COUNTIFS(F:F, "☆☆☆", E:E, "A1") + IF(E112="A1", COUNTIFS(F:F, "☆☆☆", E:E, E2), 0) - IF(E112="A1", COUNTIFS(F:F, "☆☆☆", E:E, "A1"), 0)))/100, 
   IF(F112="♛", ((N10 * 100) / (COUNTIFS(F:F, "♛", E:E, E112) + COUNTIFS(F:F, "♛", E:E, "A1") + IF(E112="A1", COUNTIFS(F:F, "♛", E:E, E2), 0) - IF(E112="A1", COUNTIFS(F:F, "♛", E:E, "A1"), 0)))/100, "")))))))
</f>
        <v/>
      </c>
      <c r="J112" s="131"/>
      <c r="K112" s="247"/>
      <c r="L112" s="20"/>
      <c r="M112" s="20"/>
      <c r="N112" s="20"/>
    </row>
    <row r="113">
      <c r="A113" s="125" t="b">
        <f t="shared" si="1"/>
        <v>0</v>
      </c>
      <c r="B113" s="126">
        <v>0.0</v>
      </c>
      <c r="C113" s="127" t="s">
        <v>335</v>
      </c>
      <c r="D113" s="127" t="s">
        <v>336</v>
      </c>
      <c r="E113" s="128" t="s">
        <v>137</v>
      </c>
      <c r="F113" s="127" t="s">
        <v>46</v>
      </c>
      <c r="G113" s="130" t="str">
        <f>IF(F113="♢", ((L3 * 100) / (COUNTIFS(F:F, "♢", E:E, E113) + COUNTIFS(F:F, "♢", E:E, "A1") + IF(E113="A1", COUNTIFS(F:F, "♢", E:E, E2), 0) - IF(E113="A1", COUNTIFS(F:F, "♢", E:E, "A1"), 0)))/100, "")
</f>
        <v/>
      </c>
      <c r="H113" s="129">
        <f>IF(F113="♢♢", ((M4 * 100) / (COUNTIFS(F:F, "♢♢", E:E, E113) + COUNTIFS(F:F, "♢♢", E:E, "A1") + IF(E113="A1", COUNTIFS(F:F, "♢♢", E:E, E2), 0) - IF(E113="A1", COUNTIFS(F:F, "♢♢", E:E, "A1"), 0)))/100, 
   IF(F113="♢♢♢", ((M5 * 100) / (COUNTIFS(F:F, "♢♢♢", E:E, E113) + COUNTIFS(F:F, "♢♢♢", E:E, "A1") + IF(E113="A1", COUNTIFS(F:F, "♢♢♢", E:E, E2), 0) - IF(E113="A1", COUNTIFS(F:F, "♢♢♢", E:E, "A1"), 0)))/100, 
   IF(F113="♢♢♢♢", ((M6 * 100) / (COUNTIFS(F:F, "♢♢♢♢", E:E, E113) + COUNTIFS(F:F, "♢♢♢♢", E:E, "A1") + IF(E113="A1", COUNTIFS(F:F, "♢♢♢♢", E:E, E2), 0) - IF(E113="A1", COUNTIFS(F:F, "♢♢♢♢", E:E, "A1"), 0)))/100, 
   IF(F113="☆", ((M7 * 100) / (COUNTIFS(F:F, "☆", E:E, E113) + COUNTIFS(F:F, "☆", E:E, "A1") + IF(E113="A1", COUNTIFS(F:F, "☆", E:E, E2), 0) - IF(E113="A1", COUNTIFS(F:F, "☆", E:E, "A1"), 0)))/100, 
   IF(F113="☆☆", ((M8 * 100) / (COUNTIFS(F:F, "☆☆", E:E, E113) + COUNTIFS(F:F, "☆☆", E:E, "A1") + IF(E113="A1", COUNTIFS(F:F, "☆☆", E:E, E2), 0) - IF(E113="A1", COUNTIFS(F:F, "☆☆", E:E, "A1"), 0)))/100, 
   IF(F113="☆☆☆", ((M9 * 100) / (COUNTIFS(F:F, "☆☆☆", E:E, E113) + COUNTIFS(F:F, "☆☆☆", E:E, "A1") + IF(E113="A1", COUNTIFS(F:F, "☆☆☆", E:E, E2), 0) - IF(E113="A1", COUNTIFS(F:F, "☆☆☆", E:E, "A1"), 0)))/100, 
   IF(F113="♛", ((M10 * 100) / (COUNTIFS(F:F, "♛", E:E, E113) + COUNTIFS(F:F, "♛", E:E, "A1") + IF(E113="A1", COUNTIFS(F:F, "♛", E:E, E2), 0) - IF(E113="A1", COUNTIFS(F:F, "♛", E:E, "A1"), 0)))/100, "")))))))
</f>
        <v>0.02571428571</v>
      </c>
      <c r="I113" s="129">
        <f>IF(F113="♢♢", ((N4 * 100) / (COUNTIFS(F:F, "♢♢", E:E, E113) + COUNTIFS(F:F, "♢♢", E:E, "A1") + IF(E113="A1", COUNTIFS(F:F, "♢♢", E:E, E2), 0) - IF(E113="A1", COUNTIFS(F:F, "♢♢", E:E, "A1"), 0)))/100, 
   IF(F113="♢♢♢", ((N5 * 100) / (COUNTIFS(F:F, "♢♢♢", E:E, E113) + COUNTIFS(F:F, "♢♢♢", E:E, "A1") + IF(E113="A1", COUNTIFS(F:F, "♢♢♢", E:E, E2), 0) - IF(E113="A1", COUNTIFS(F:F, "♢♢♢", E:E, "A1"), 0)))/100, 
   IF(F113="♢♢♢♢", ((N6 * 100) / (COUNTIFS(F:F, "♢♢♢♢", E:E, E113) + COUNTIFS(F:F, "♢♢♢♢", E:E, "A1") + IF(E113="A1", COUNTIFS(F:F, "♢♢♢♢", E:E, E2), 0) - IF(E113="A1", COUNTIFS(F:F, "♢♢♢♢", E:E, "A1"), 0)))/100, 
   IF(F113="☆", ((N7 * 100) / (COUNTIFS(F:F, "☆", E:E, E113) + COUNTIFS(F:F, "☆", E:E, "A1") + IF(E113="A1", COUNTIFS(F:F, "☆", E:E, E2), 0) - IF(E113="A1", COUNTIFS(F:F, "☆", E:E, "A1"), 0)))/100, 
   IF(F113="☆☆", ((N8 * 100) / (COUNTIFS(F:F, "☆☆", E:E, E113) + COUNTIFS(F:F, "☆☆", E:E, "A1") + IF(E113="A1", COUNTIFS(F:F, "☆☆", E:E, E2), 0) - IF(E113="A1", COUNTIFS(F:F, "☆☆", E:E, "A1"), 0)))/100, 
   IF(F113="☆☆☆", ((N9 * 100) / (COUNTIFS(F:F, "☆☆☆", E:E, E113) + COUNTIFS(F:F, "☆☆☆", E:E, "A1") + IF(E113="A1", COUNTIFS(F:F, "☆☆☆", E:E, E2), 0) - IF(E113="A1", COUNTIFS(F:F, "☆☆☆", E:E, "A1"), 0)))/100, 
   IF(F113="♛", ((N10 * 100) / (COUNTIFS(F:F, "♛", E:E, E113) + COUNTIFS(F:F, "♛", E:E, "A1") + IF(E113="A1", COUNTIFS(F:F, "♛", E:E, E2), 0) - IF(E113="A1", COUNTIFS(F:F, "♛", E:E, "A1"), 0)))/100, "")))))))
</f>
        <v>0.01714285714</v>
      </c>
      <c r="J113" s="131"/>
      <c r="K113" s="247"/>
      <c r="L113" s="20"/>
      <c r="M113" s="20"/>
      <c r="N113" s="20"/>
    </row>
    <row r="114">
      <c r="A114" s="125" t="b">
        <f t="shared" si="1"/>
        <v>0</v>
      </c>
      <c r="B114" s="126">
        <v>0.0</v>
      </c>
      <c r="C114" s="127" t="s">
        <v>337</v>
      </c>
      <c r="D114" s="127" t="s">
        <v>338</v>
      </c>
      <c r="E114" s="128" t="s">
        <v>31</v>
      </c>
      <c r="F114" s="127" t="s">
        <v>44</v>
      </c>
      <c r="G114" s="129">
        <f>IF(F114="♢", ((L3 * 100) / (COUNTIFS(F:F, "♢", E:E, E114) + COUNTIFS(F:F, "♢", E:E, "A1") + IF(E114="A1", COUNTIFS(F:F, "♢", E:E, E2), 0) - IF(E114="A1", COUNTIFS(F:F, "♢", E:E, "A1"), 0)))/100, "")
</f>
        <v>0.02</v>
      </c>
      <c r="H114" s="130" t="str">
        <f>IF(F114="♢♢", ((M4 * 100) / (COUNTIFS(F:F, "♢♢", E:E, E114) + COUNTIFS(F:F, "♢♢", E:E, "A1") + IF(E114="A1", COUNTIFS(F:F, "♢♢", E:E, E2), 0) - IF(E114="A1", COUNTIFS(F:F, "♢♢", E:E, "A1"), 0)))/100, 
   IF(F114="♢♢♢", ((M5 * 100) / (COUNTIFS(F:F, "♢♢♢", E:E, E114) + COUNTIFS(F:F, "♢♢♢", E:E, "A1") + IF(E114="A1", COUNTIFS(F:F, "♢♢♢", E:E, E2), 0) - IF(E114="A1", COUNTIFS(F:F, "♢♢♢", E:E, "A1"), 0)))/100, 
   IF(F114="♢♢♢♢", ((M6 * 100) / (COUNTIFS(F:F, "♢♢♢♢", E:E, E114) + COUNTIFS(F:F, "♢♢♢♢", E:E, "A1") + IF(E114="A1", COUNTIFS(F:F, "♢♢♢♢", E:E, E2), 0) - IF(E114="A1", COUNTIFS(F:F, "♢♢♢♢", E:E, "A1"), 0)))/100, 
   IF(F114="☆", ((M7 * 100) / (COUNTIFS(F:F, "☆", E:E, E114) + COUNTIFS(F:F, "☆", E:E, "A1") + IF(E114="A1", COUNTIFS(F:F, "☆", E:E, E2), 0) - IF(E114="A1", COUNTIFS(F:F, "☆", E:E, "A1"), 0)))/100, 
   IF(F114="☆☆", ((M8 * 100) / (COUNTIFS(F:F, "☆☆", E:E, E114) + COUNTIFS(F:F, "☆☆", E:E, "A1") + IF(E114="A1", COUNTIFS(F:F, "☆☆", E:E, E2), 0) - IF(E114="A1", COUNTIFS(F:F, "☆☆", E:E, "A1"), 0)))/100, 
   IF(F114="☆☆☆", ((M9 * 100) / (COUNTIFS(F:F, "☆☆☆", E:E, E114) + COUNTIFS(F:F, "☆☆☆", E:E, "A1") + IF(E114="A1", COUNTIFS(F:F, "☆☆☆", E:E, E2), 0) - IF(E114="A1", COUNTIFS(F:F, "☆☆☆", E:E, "A1"), 0)))/100, 
   IF(F114="♛", ((M10 * 100) / (COUNTIFS(F:F, "♛", E:E, E114) + COUNTIFS(F:F, "♛", E:E, "A1") + IF(E114="A1", COUNTIFS(F:F, "♛", E:E, E2), 0) - IF(E114="A1", COUNTIFS(F:F, "♛", E:E, "A1"), 0)))/100, "")))))))
</f>
        <v/>
      </c>
      <c r="I114" s="130" t="str">
        <f>IF(F114="♢♢", ((N4 * 100) / (COUNTIFS(F:F, "♢♢", E:E, E114) + COUNTIFS(F:F, "♢♢", E:E, "A1") + IF(E114="A1", COUNTIFS(F:F, "♢♢", E:E, E2), 0) - IF(E114="A1", COUNTIFS(F:F, "♢♢", E:E, "A1"), 0)))/100, 
   IF(F114="♢♢♢", ((N5 * 100) / (COUNTIFS(F:F, "♢♢♢", E:E, E114) + COUNTIFS(F:F, "♢♢♢", E:E, "A1") + IF(E114="A1", COUNTIFS(F:F, "♢♢♢", E:E, E2), 0) - IF(E114="A1", COUNTIFS(F:F, "♢♢♢", E:E, "A1"), 0)))/100, 
   IF(F114="♢♢♢♢", ((N6 * 100) / (COUNTIFS(F:F, "♢♢♢♢", E:E, E114) + COUNTIFS(F:F, "♢♢♢♢", E:E, "A1") + IF(E114="A1", COUNTIFS(F:F, "♢♢♢♢", E:E, E2), 0) - IF(E114="A1", COUNTIFS(F:F, "♢♢♢♢", E:E, "A1"), 0)))/100, 
   IF(F114="☆", ((N7 * 100) / (COUNTIFS(F:F, "☆", E:E, E114) + COUNTIFS(F:F, "☆", E:E, "A1") + IF(E114="A1", COUNTIFS(F:F, "☆", E:E, E2), 0) - IF(E114="A1", COUNTIFS(F:F, "☆", E:E, "A1"), 0)))/100, 
   IF(F114="☆☆", ((N8 * 100) / (COUNTIFS(F:F, "☆☆", E:E, E114) + COUNTIFS(F:F, "☆☆", E:E, "A1") + IF(E114="A1", COUNTIFS(F:F, "☆☆", E:E, E2), 0) - IF(E114="A1", COUNTIFS(F:F, "☆☆", E:E, "A1"), 0)))/100, 
   IF(F114="☆☆☆", ((N9 * 100) / (COUNTIFS(F:F, "☆☆☆", E:E, E114) + COUNTIFS(F:F, "☆☆☆", E:E, "A1") + IF(E114="A1", COUNTIFS(F:F, "☆☆☆", E:E, E2), 0) - IF(E114="A1", COUNTIFS(F:F, "☆☆☆", E:E, "A1"), 0)))/100, 
   IF(F114="♛", ((N10 * 100) / (COUNTIFS(F:F, "♛", E:E, E114) + COUNTIFS(F:F, "♛", E:E, "A1") + IF(E114="A1", COUNTIFS(F:F, "♛", E:E, E2), 0) - IF(E114="A1", COUNTIFS(F:F, "♛", E:E, "A1"), 0)))/100, "")))))))
</f>
        <v/>
      </c>
      <c r="J114" s="131"/>
      <c r="K114" s="247"/>
      <c r="L114" s="20"/>
      <c r="M114" s="20"/>
      <c r="N114" s="20"/>
    </row>
    <row r="115">
      <c r="A115" s="125" t="b">
        <f t="shared" si="1"/>
        <v>0</v>
      </c>
      <c r="B115" s="126">
        <v>0.0</v>
      </c>
      <c r="C115" s="127" t="s">
        <v>339</v>
      </c>
      <c r="D115" s="127" t="s">
        <v>340</v>
      </c>
      <c r="E115" s="128" t="s">
        <v>31</v>
      </c>
      <c r="F115" s="127" t="s">
        <v>46</v>
      </c>
      <c r="G115" s="130" t="str">
        <f>IF(F115="♢", ((L3 * 100) / (COUNTIFS(F:F, "♢", E:E, E115) + COUNTIFS(F:F, "♢", E:E, "A1") + IF(E115="A1", COUNTIFS(F:F, "♢", E:E, E2), 0) - IF(E115="A1", COUNTIFS(F:F, "♢", E:E, "A1"), 0)))/100, "")
</f>
        <v/>
      </c>
      <c r="H115" s="129">
        <f>IF(F115="♢♢", ((M4 * 100) / (COUNTIFS(F:F, "♢♢", E:E, E115) + COUNTIFS(F:F, "♢♢", E:E, "A1") + IF(E115="A1", COUNTIFS(F:F, "♢♢", E:E, E2), 0) - IF(E115="A1", COUNTIFS(F:F, "♢♢", E:E, "A1"), 0)))/100, 
   IF(F115="♢♢♢", ((M5 * 100) / (COUNTIFS(F:F, "♢♢♢", E:E, E115) + COUNTIFS(F:F, "♢♢♢", E:E, "A1") + IF(E115="A1", COUNTIFS(F:F, "♢♢♢", E:E, E2), 0) - IF(E115="A1", COUNTIFS(F:F, "♢♢♢", E:E, "A1"), 0)))/100, 
   IF(F115="♢♢♢♢", ((M6 * 100) / (COUNTIFS(F:F, "♢♢♢♢", E:E, E115) + COUNTIFS(F:F, "♢♢♢♢", E:E, "A1") + IF(E115="A1", COUNTIFS(F:F, "♢♢♢♢", E:E, E2), 0) - IF(E115="A1", COUNTIFS(F:F, "♢♢♢♢", E:E, "A1"), 0)))/100, 
   IF(F115="☆", ((M7 * 100) / (COUNTIFS(F:F, "☆", E:E, E115) + COUNTIFS(F:F, "☆", E:E, "A1") + IF(E115="A1", COUNTIFS(F:F, "☆", E:E, E2), 0) - IF(E115="A1", COUNTIFS(F:F, "☆", E:E, "A1"), 0)))/100, 
   IF(F115="☆☆", ((M8 * 100) / (COUNTIFS(F:F, "☆☆", E:E, E115) + COUNTIFS(F:F, "☆☆", E:E, "A1") + IF(E115="A1", COUNTIFS(F:F, "☆☆", E:E, E2), 0) - IF(E115="A1", COUNTIFS(F:F, "☆☆", E:E, "A1"), 0)))/100, 
   IF(F115="☆☆☆", ((M9 * 100) / (COUNTIFS(F:F, "☆☆☆", E:E, E115) + COUNTIFS(F:F, "☆☆☆", E:E, "A1") + IF(E115="A1", COUNTIFS(F:F, "☆☆☆", E:E, E2), 0) - IF(E115="A1", COUNTIFS(F:F, "☆☆☆", E:E, "A1"), 0)))/100, 
   IF(F115="♛", ((M10 * 100) / (COUNTIFS(F:F, "♛", E:E, E115) + COUNTIFS(F:F, "♛", E:E, "A1") + IF(E115="A1", COUNTIFS(F:F, "♛", E:E, E2), 0) - IF(E115="A1", COUNTIFS(F:F, "♛", E:E, "A1"), 0)))/100, "")))))))
</f>
        <v>0.02571428571</v>
      </c>
      <c r="I115" s="129">
        <f>IF(F115="♢♢", ((N4 * 100) / (COUNTIFS(F:F, "♢♢", E:E, E115) + COUNTIFS(F:F, "♢♢", E:E, "A1") + IF(E115="A1", COUNTIFS(F:F, "♢♢", E:E, E2), 0) - IF(E115="A1", COUNTIFS(F:F, "♢♢", E:E, "A1"), 0)))/100, 
   IF(F115="♢♢♢", ((N5 * 100) / (COUNTIFS(F:F, "♢♢♢", E:E, E115) + COUNTIFS(F:F, "♢♢♢", E:E, "A1") + IF(E115="A1", COUNTIFS(F:F, "♢♢♢", E:E, E2), 0) - IF(E115="A1", COUNTIFS(F:F, "♢♢♢", E:E, "A1"), 0)))/100, 
   IF(F115="♢♢♢♢", ((N6 * 100) / (COUNTIFS(F:F, "♢♢♢♢", E:E, E115) + COUNTIFS(F:F, "♢♢♢♢", E:E, "A1") + IF(E115="A1", COUNTIFS(F:F, "♢♢♢♢", E:E, E2), 0) - IF(E115="A1", COUNTIFS(F:F, "♢♢♢♢", E:E, "A1"), 0)))/100, 
   IF(F115="☆", ((N7 * 100) / (COUNTIFS(F:F, "☆", E:E, E115) + COUNTIFS(F:F, "☆", E:E, "A1") + IF(E115="A1", COUNTIFS(F:F, "☆", E:E, E2), 0) - IF(E115="A1", COUNTIFS(F:F, "☆", E:E, "A1"), 0)))/100, 
   IF(F115="☆☆", ((N8 * 100) / (COUNTIFS(F:F, "☆☆", E:E, E115) + COUNTIFS(F:F, "☆☆", E:E, "A1") + IF(E115="A1", COUNTIFS(F:F, "☆☆", E:E, E2), 0) - IF(E115="A1", COUNTIFS(F:F, "☆☆", E:E, "A1"), 0)))/100, 
   IF(F115="☆☆☆", ((N9 * 100) / (COUNTIFS(F:F, "☆☆☆", E:E, E115) + COUNTIFS(F:F, "☆☆☆", E:E, "A1") + IF(E115="A1", COUNTIFS(F:F, "☆☆☆", E:E, E2), 0) - IF(E115="A1", COUNTIFS(F:F, "☆☆☆", E:E, "A1"), 0)))/100, 
   IF(F115="♛", ((N10 * 100) / (COUNTIFS(F:F, "♛", E:E, E115) + COUNTIFS(F:F, "♛", E:E, "A1") + IF(E115="A1", COUNTIFS(F:F, "♛", E:E, E2), 0) - IF(E115="A1", COUNTIFS(F:F, "♛", E:E, "A1"), 0)))/100, "")))))))
</f>
        <v>0.01714285714</v>
      </c>
      <c r="J115" s="131"/>
      <c r="K115" s="247"/>
      <c r="L115" s="20"/>
      <c r="M115" s="20"/>
      <c r="N115" s="20"/>
    </row>
    <row r="116">
      <c r="A116" s="125" t="b">
        <f t="shared" si="1"/>
        <v>0</v>
      </c>
      <c r="B116" s="126">
        <v>0.0</v>
      </c>
      <c r="C116" s="127" t="s">
        <v>341</v>
      </c>
      <c r="D116" s="127" t="s">
        <v>342</v>
      </c>
      <c r="E116" s="128" t="s">
        <v>32</v>
      </c>
      <c r="F116" s="127" t="s">
        <v>44</v>
      </c>
      <c r="G116" s="129">
        <f>IF(F116="♢", ((L3 * 100) / (COUNTIFS(F:F, "♢", E:E, E116) + COUNTIFS(F:F, "♢", E:E, "A1") + IF(E116="A1", COUNTIFS(F:F, "♢", E:E, E2), 0) - IF(E116="A1", COUNTIFS(F:F, "♢", E:E, "A1"), 0)))/100, "")
</f>
        <v>0.02</v>
      </c>
      <c r="H116" s="130" t="str">
        <f>IF(F116="♢♢", ((M4 * 100) / (COUNTIFS(F:F, "♢♢", E:E, E116) + COUNTIFS(F:F, "♢♢", E:E, "A1") + IF(E116="A1", COUNTIFS(F:F, "♢♢", E:E, E2), 0) - IF(E116="A1", COUNTIFS(F:F, "♢♢", E:E, "A1"), 0)))/100, 
   IF(F116="♢♢♢", ((M5 * 100) / (COUNTIFS(F:F, "♢♢♢", E:E, E116) + COUNTIFS(F:F, "♢♢♢", E:E, "A1") + IF(E116="A1", COUNTIFS(F:F, "♢♢♢", E:E, E2), 0) - IF(E116="A1", COUNTIFS(F:F, "♢♢♢", E:E, "A1"), 0)))/100, 
   IF(F116="♢♢♢♢", ((M6 * 100) / (COUNTIFS(F:F, "♢♢♢♢", E:E, E116) + COUNTIFS(F:F, "♢♢♢♢", E:E, "A1") + IF(E116="A1", COUNTIFS(F:F, "♢♢♢♢", E:E, E2), 0) - IF(E116="A1", COUNTIFS(F:F, "♢♢♢♢", E:E, "A1"), 0)))/100, 
   IF(F116="☆", ((M7 * 100) / (COUNTIFS(F:F, "☆", E:E, E116) + COUNTIFS(F:F, "☆", E:E, "A1") + IF(E116="A1", COUNTIFS(F:F, "☆", E:E, E2), 0) - IF(E116="A1", COUNTIFS(F:F, "☆", E:E, "A1"), 0)))/100, 
   IF(F116="☆☆", ((M8 * 100) / (COUNTIFS(F:F, "☆☆", E:E, E116) + COUNTIFS(F:F, "☆☆", E:E, "A1") + IF(E116="A1", COUNTIFS(F:F, "☆☆", E:E, E2), 0) - IF(E116="A1", COUNTIFS(F:F, "☆☆", E:E, "A1"), 0)))/100, 
   IF(F116="☆☆☆", ((M9 * 100) / (COUNTIFS(F:F, "☆☆☆", E:E, E116) + COUNTIFS(F:F, "☆☆☆", E:E, "A1") + IF(E116="A1", COUNTIFS(F:F, "☆☆☆", E:E, E2), 0) - IF(E116="A1", COUNTIFS(F:F, "☆☆☆", E:E, "A1"), 0)))/100, 
   IF(F116="♛", ((M10 * 100) / (COUNTIFS(F:F, "♛", E:E, E116) + COUNTIFS(F:F, "♛", E:E, "A1") + IF(E116="A1", COUNTIFS(F:F, "♛", E:E, E2), 0) - IF(E116="A1", COUNTIFS(F:F, "♛", E:E, "A1"), 0)))/100, "")))))))
</f>
        <v/>
      </c>
      <c r="I116" s="130" t="str">
        <f>IF(F116="♢♢", ((N4 * 100) / (COUNTIFS(F:F, "♢♢", E:E, E116) + COUNTIFS(F:F, "♢♢", E:E, "A1") + IF(E116="A1", COUNTIFS(F:F, "♢♢", E:E, E2), 0) - IF(E116="A1", COUNTIFS(F:F, "♢♢", E:E, "A1"), 0)))/100, 
   IF(F116="♢♢♢", ((N5 * 100) / (COUNTIFS(F:F, "♢♢♢", E:E, E116) + COUNTIFS(F:F, "♢♢♢", E:E, "A1") + IF(E116="A1", COUNTIFS(F:F, "♢♢♢", E:E, E2), 0) - IF(E116="A1", COUNTIFS(F:F, "♢♢♢", E:E, "A1"), 0)))/100, 
   IF(F116="♢♢♢♢", ((N6 * 100) / (COUNTIFS(F:F, "♢♢♢♢", E:E, E116) + COUNTIFS(F:F, "♢♢♢♢", E:E, "A1") + IF(E116="A1", COUNTIFS(F:F, "♢♢♢♢", E:E, E2), 0) - IF(E116="A1", COUNTIFS(F:F, "♢♢♢♢", E:E, "A1"), 0)))/100, 
   IF(F116="☆", ((N7 * 100) / (COUNTIFS(F:F, "☆", E:E, E116) + COUNTIFS(F:F, "☆", E:E, "A1") + IF(E116="A1", COUNTIFS(F:F, "☆", E:E, E2), 0) - IF(E116="A1", COUNTIFS(F:F, "☆", E:E, "A1"), 0)))/100, 
   IF(F116="☆☆", ((N8 * 100) / (COUNTIFS(F:F, "☆☆", E:E, E116) + COUNTIFS(F:F, "☆☆", E:E, "A1") + IF(E116="A1", COUNTIFS(F:F, "☆☆", E:E, E2), 0) - IF(E116="A1", COUNTIFS(F:F, "☆☆", E:E, "A1"), 0)))/100, 
   IF(F116="☆☆☆", ((N9 * 100) / (COUNTIFS(F:F, "☆☆☆", E:E, E116) + COUNTIFS(F:F, "☆☆☆", E:E, "A1") + IF(E116="A1", COUNTIFS(F:F, "☆☆☆", E:E, E2), 0) - IF(E116="A1", COUNTIFS(F:F, "☆☆☆", E:E, "A1"), 0)))/100, 
   IF(F116="♛", ((N10 * 100) / (COUNTIFS(F:F, "♛", E:E, E116) + COUNTIFS(F:F, "♛", E:E, "A1") + IF(E116="A1", COUNTIFS(F:F, "♛", E:E, E2), 0) - IF(E116="A1", COUNTIFS(F:F, "♛", E:E, "A1"), 0)))/100, "")))))))
</f>
        <v/>
      </c>
      <c r="J116" s="131"/>
      <c r="K116" s="247"/>
      <c r="L116" s="20"/>
      <c r="M116" s="20"/>
      <c r="N116" s="20"/>
    </row>
    <row r="117">
      <c r="A117" s="125" t="b">
        <f t="shared" si="1"/>
        <v>0</v>
      </c>
      <c r="B117" s="126">
        <v>0.0</v>
      </c>
      <c r="C117" s="127" t="s">
        <v>343</v>
      </c>
      <c r="D117" s="127" t="s">
        <v>344</v>
      </c>
      <c r="E117" s="128" t="s">
        <v>32</v>
      </c>
      <c r="F117" s="127" t="s">
        <v>46</v>
      </c>
      <c r="G117" s="130" t="str">
        <f>IF(F117="♢", ((L3 * 100) / (COUNTIFS(F:F, "♢", E:E, E117) + COUNTIFS(F:F, "♢", E:E, "A1") + IF(E117="A1", COUNTIFS(F:F, "♢", E:E, E2), 0) - IF(E117="A1", COUNTIFS(F:F, "♢", E:E, "A1"), 0)))/100, "")
</f>
        <v/>
      </c>
      <c r="H117" s="129">
        <f>IF(F117="♢♢", ((M4 * 100) / (COUNTIFS(F:F, "♢♢", E:E, E117) + COUNTIFS(F:F, "♢♢", E:E, "A1") + IF(E117="A1", COUNTIFS(F:F, "♢♢", E:E, E2), 0) - IF(E117="A1", COUNTIFS(F:F, "♢♢", E:E, "A1"), 0)))/100, 
   IF(F117="♢♢♢", ((M5 * 100) / (COUNTIFS(F:F, "♢♢♢", E:E, E117) + COUNTIFS(F:F, "♢♢♢", E:E, "A1") + IF(E117="A1", COUNTIFS(F:F, "♢♢♢", E:E, E2), 0) - IF(E117="A1", COUNTIFS(F:F, "♢♢♢", E:E, "A1"), 0)))/100, 
   IF(F117="♢♢♢♢", ((M6 * 100) / (COUNTIFS(F:F, "♢♢♢♢", E:E, E117) + COUNTIFS(F:F, "♢♢♢♢", E:E, "A1") + IF(E117="A1", COUNTIFS(F:F, "♢♢♢♢", E:E, E2), 0) - IF(E117="A1", COUNTIFS(F:F, "♢♢♢♢", E:E, "A1"), 0)))/100, 
   IF(F117="☆", ((M7 * 100) / (COUNTIFS(F:F, "☆", E:E, E117) + COUNTIFS(F:F, "☆", E:E, "A1") + IF(E117="A1", COUNTIFS(F:F, "☆", E:E, E2), 0) - IF(E117="A1", COUNTIFS(F:F, "☆", E:E, "A1"), 0)))/100, 
   IF(F117="☆☆", ((M8 * 100) / (COUNTIFS(F:F, "☆☆", E:E, E117) + COUNTIFS(F:F, "☆☆", E:E, "A1") + IF(E117="A1", COUNTIFS(F:F, "☆☆", E:E, E2), 0) - IF(E117="A1", COUNTIFS(F:F, "☆☆", E:E, "A1"), 0)))/100, 
   IF(F117="☆☆☆", ((M9 * 100) / (COUNTIFS(F:F, "☆☆☆", E:E, E117) + COUNTIFS(F:F, "☆☆☆", E:E, "A1") + IF(E117="A1", COUNTIFS(F:F, "☆☆☆", E:E, E2), 0) - IF(E117="A1", COUNTIFS(F:F, "☆☆☆", E:E, "A1"), 0)))/100, 
   IF(F117="♛", ((M10 * 100) / (COUNTIFS(F:F, "♛", E:E, E117) + COUNTIFS(F:F, "♛", E:E, "A1") + IF(E117="A1", COUNTIFS(F:F, "♛", E:E, E2), 0) - IF(E117="A1", COUNTIFS(F:F, "♛", E:E, "A1"), 0)))/100, "")))))))
</f>
        <v>0.02571428571</v>
      </c>
      <c r="I117" s="129">
        <f>IF(F117="♢♢", ((N4 * 100) / (COUNTIFS(F:F, "♢♢", E:E, E117) + COUNTIFS(F:F, "♢♢", E:E, "A1") + IF(E117="A1", COUNTIFS(F:F, "♢♢", E:E, E2), 0) - IF(E117="A1", COUNTIFS(F:F, "♢♢", E:E, "A1"), 0)))/100, 
   IF(F117="♢♢♢", ((N5 * 100) / (COUNTIFS(F:F, "♢♢♢", E:E, E117) + COUNTIFS(F:F, "♢♢♢", E:E, "A1") + IF(E117="A1", COUNTIFS(F:F, "♢♢♢", E:E, E2), 0) - IF(E117="A1", COUNTIFS(F:F, "♢♢♢", E:E, "A1"), 0)))/100, 
   IF(F117="♢♢♢♢", ((N6 * 100) / (COUNTIFS(F:F, "♢♢♢♢", E:E, E117) + COUNTIFS(F:F, "♢♢♢♢", E:E, "A1") + IF(E117="A1", COUNTIFS(F:F, "♢♢♢♢", E:E, E2), 0) - IF(E117="A1", COUNTIFS(F:F, "♢♢♢♢", E:E, "A1"), 0)))/100, 
   IF(F117="☆", ((N7 * 100) / (COUNTIFS(F:F, "☆", E:E, E117) + COUNTIFS(F:F, "☆", E:E, "A1") + IF(E117="A1", COUNTIFS(F:F, "☆", E:E, E2), 0) - IF(E117="A1", COUNTIFS(F:F, "☆", E:E, "A1"), 0)))/100, 
   IF(F117="☆☆", ((N8 * 100) / (COUNTIFS(F:F, "☆☆", E:E, E117) + COUNTIFS(F:F, "☆☆", E:E, "A1") + IF(E117="A1", COUNTIFS(F:F, "☆☆", E:E, E2), 0) - IF(E117="A1", COUNTIFS(F:F, "☆☆", E:E, "A1"), 0)))/100, 
   IF(F117="☆☆☆", ((N9 * 100) / (COUNTIFS(F:F, "☆☆☆", E:E, E117) + COUNTIFS(F:F, "☆☆☆", E:E, "A1") + IF(E117="A1", COUNTIFS(F:F, "☆☆☆", E:E, E2), 0) - IF(E117="A1", COUNTIFS(F:F, "☆☆☆", E:E, "A1"), 0)))/100, 
   IF(F117="♛", ((N10 * 100) / (COUNTIFS(F:F, "♛", E:E, E117) + COUNTIFS(F:F, "♛", E:E, "A1") + IF(E117="A1", COUNTIFS(F:F, "♛", E:E, E2), 0) - IF(E117="A1", COUNTIFS(F:F, "♛", E:E, "A1"), 0)))/100, "")))))))
</f>
        <v>0.01714285714</v>
      </c>
      <c r="J117" s="131"/>
      <c r="K117" s="247"/>
      <c r="L117" s="20"/>
      <c r="M117" s="20"/>
      <c r="N117" s="20"/>
    </row>
    <row r="118">
      <c r="A118" s="125" t="b">
        <f t="shared" si="1"/>
        <v>0</v>
      </c>
      <c r="B118" s="126">
        <v>0.0</v>
      </c>
      <c r="C118" s="127" t="s">
        <v>345</v>
      </c>
      <c r="D118" s="127" t="s">
        <v>346</v>
      </c>
      <c r="E118" s="128" t="s">
        <v>32</v>
      </c>
      <c r="F118" s="127" t="s">
        <v>48</v>
      </c>
      <c r="G118" s="130" t="str">
        <f>IF(F118="♢", ((L3 * 100) / (COUNTIFS(F:F, "♢", E:E, E118) + COUNTIFS(F:F, "♢", E:E, "A1") + IF(E118="A1", COUNTIFS(F:F, "♢", E:E, E2), 0) - IF(E118="A1", COUNTIFS(F:F, "♢", E:E, "A1"), 0)))/100, "")
</f>
        <v/>
      </c>
      <c r="H118" s="129">
        <f>IF(F118="♢♢", ((M4 * 100) / (COUNTIFS(F:F, "♢♢", E:E, E118) + COUNTIFS(F:F, "♢♢", E:E, "A1") + IF(E118="A1", COUNTIFS(F:F, "♢♢", E:E, E2), 0) - IF(E118="A1", COUNTIFS(F:F, "♢♢", E:E, "A1"), 0)))/100, 
   IF(F118="♢♢♢", ((M5 * 100) / (COUNTIFS(F:F, "♢♢♢", E:E, E118) + COUNTIFS(F:F, "♢♢♢", E:E, "A1") + IF(E118="A1", COUNTIFS(F:F, "♢♢♢", E:E, E2), 0) - IF(E118="A1", COUNTIFS(F:F, "♢♢♢", E:E, "A1"), 0)))/100, 
   IF(F118="♢♢♢♢", ((M6 * 100) / (COUNTIFS(F:F, "♢♢♢♢", E:E, E118) + COUNTIFS(F:F, "♢♢♢♢", E:E, "A1") + IF(E118="A1", COUNTIFS(F:F, "♢♢♢♢", E:E, E2), 0) - IF(E118="A1", COUNTIFS(F:F, "♢♢♢♢", E:E, "A1"), 0)))/100, 
   IF(F118="☆", ((M7 * 100) / (COUNTIFS(F:F, "☆", E:E, E118) + COUNTIFS(F:F, "☆", E:E, "A1") + IF(E118="A1", COUNTIFS(F:F, "☆", E:E, E2), 0) - IF(E118="A1", COUNTIFS(F:F, "☆", E:E, "A1"), 0)))/100, 
   IF(F118="☆☆", ((M8 * 100) / (COUNTIFS(F:F, "☆☆", E:E, E118) + COUNTIFS(F:F, "☆☆", E:E, "A1") + IF(E118="A1", COUNTIFS(F:F, "☆☆", E:E, E2), 0) - IF(E118="A1", COUNTIFS(F:F, "☆☆", E:E, "A1"), 0)))/100, 
   IF(F118="☆☆☆", ((M9 * 100) / (COUNTIFS(F:F, "☆☆☆", E:E, E118) + COUNTIFS(F:F, "☆☆☆", E:E, "A1") + IF(E118="A1", COUNTIFS(F:F, "☆☆☆", E:E, E2), 0) - IF(E118="A1", COUNTIFS(F:F, "☆☆☆", E:E, "A1"), 0)))/100, 
   IF(F118="♛", ((M10 * 100) / (COUNTIFS(F:F, "♛", E:E, E118) + COUNTIFS(F:F, "♛", E:E, "A1") + IF(E118="A1", COUNTIFS(F:F, "♛", E:E, E2), 0) - IF(E118="A1", COUNTIFS(F:F, "♛", E:E, "A1"), 0)))/100, "")))))))
</f>
        <v>0.003571428571</v>
      </c>
      <c r="I118" s="129">
        <f>IF(F118="♢♢", ((N4 * 100) / (COUNTIFS(F:F, "♢♢", E:E, E118) + COUNTIFS(F:F, "♢♢", E:E, "A1") + IF(E118="A1", COUNTIFS(F:F, "♢♢", E:E, E2), 0) - IF(E118="A1", COUNTIFS(F:F, "♢♢", E:E, "A1"), 0)))/100, 
   IF(F118="♢♢♢", ((N5 * 100) / (COUNTIFS(F:F, "♢♢♢", E:E, E118) + COUNTIFS(F:F, "♢♢♢", E:E, "A1") + IF(E118="A1", COUNTIFS(F:F, "♢♢♢", E:E, E2), 0) - IF(E118="A1", COUNTIFS(F:F, "♢♢♢", E:E, "A1"), 0)))/100, 
   IF(F118="♢♢♢♢", ((N6 * 100) / (COUNTIFS(F:F, "♢♢♢♢", E:E, E118) + COUNTIFS(F:F, "♢♢♢♢", E:E, "A1") + IF(E118="A1", COUNTIFS(F:F, "♢♢♢♢", E:E, E2), 0) - IF(E118="A1", COUNTIFS(F:F, "♢♢♢♢", E:E, "A1"), 0)))/100, 
   IF(F118="☆", ((N7 * 100) / (COUNTIFS(F:F, "☆", E:E, E118) + COUNTIFS(F:F, "☆", E:E, "A1") + IF(E118="A1", COUNTIFS(F:F, "☆", E:E, E2), 0) - IF(E118="A1", COUNTIFS(F:F, "☆", E:E, "A1"), 0)))/100, 
   IF(F118="☆☆", ((N8 * 100) / (COUNTIFS(F:F, "☆☆", E:E, E118) + COUNTIFS(F:F, "☆☆", E:E, "A1") + IF(E118="A1", COUNTIFS(F:F, "☆☆", E:E, E2), 0) - IF(E118="A1", COUNTIFS(F:F, "☆☆", E:E, "A1"), 0)))/100, 
   IF(F118="☆☆☆", ((N9 * 100) / (COUNTIFS(F:F, "☆☆☆", E:E, E118) + COUNTIFS(F:F, "☆☆☆", E:E, "A1") + IF(E118="A1", COUNTIFS(F:F, "☆☆☆", E:E, E2), 0) - IF(E118="A1", COUNTIFS(F:F, "☆☆☆", E:E, "A1"), 0)))/100, 
   IF(F118="♛", ((N10 * 100) / (COUNTIFS(F:F, "♛", E:E, E118) + COUNTIFS(F:F, "♛", E:E, "A1") + IF(E118="A1", COUNTIFS(F:F, "♛", E:E, E2), 0) - IF(E118="A1", COUNTIFS(F:F, "♛", E:E, "A1"), 0)))/100, "")))))))
</f>
        <v>0.01428571429</v>
      </c>
      <c r="J118" s="131"/>
      <c r="K118" s="247"/>
      <c r="L118" s="20"/>
      <c r="M118" s="20"/>
      <c r="N118" s="20"/>
    </row>
    <row r="119">
      <c r="A119" s="125" t="b">
        <f t="shared" si="1"/>
        <v>0</v>
      </c>
      <c r="B119" s="126">
        <v>0.0</v>
      </c>
      <c r="C119" s="127" t="s">
        <v>347</v>
      </c>
      <c r="D119" s="127" t="s">
        <v>348</v>
      </c>
      <c r="E119" s="128" t="s">
        <v>137</v>
      </c>
      <c r="F119" s="127" t="s">
        <v>44</v>
      </c>
      <c r="G119" s="129">
        <f>IF(F119="♢", ((L3 * 100) / (COUNTIFS(F:F, "♢", E:E, E119) + COUNTIFS(F:F, "♢", E:E, "A1") + IF(E119="A1", COUNTIFS(F:F, "♢", E:E, E2), 0) - IF(E119="A1", COUNTIFS(F:F, "♢", E:E, "A1"), 0)))/100, "")
</f>
        <v>0.02</v>
      </c>
      <c r="H119" s="130" t="str">
        <f>IF(F119="♢♢", ((M4 * 100) / (COUNTIFS(F:F, "♢♢", E:E, E119) + COUNTIFS(F:F, "♢♢", E:E, "A1") + IF(E119="A1", COUNTIFS(F:F, "♢♢", E:E, E2), 0) - IF(E119="A1", COUNTIFS(F:F, "♢♢", E:E, "A1"), 0)))/100, 
   IF(F119="♢♢♢", ((M5 * 100) / (COUNTIFS(F:F, "♢♢♢", E:E, E119) + COUNTIFS(F:F, "♢♢♢", E:E, "A1") + IF(E119="A1", COUNTIFS(F:F, "♢♢♢", E:E, E2), 0) - IF(E119="A1", COUNTIFS(F:F, "♢♢♢", E:E, "A1"), 0)))/100, 
   IF(F119="♢♢♢♢", ((M6 * 100) / (COUNTIFS(F:F, "♢♢♢♢", E:E, E119) + COUNTIFS(F:F, "♢♢♢♢", E:E, "A1") + IF(E119="A1", COUNTIFS(F:F, "♢♢♢♢", E:E, E2), 0) - IF(E119="A1", COUNTIFS(F:F, "♢♢♢♢", E:E, "A1"), 0)))/100, 
   IF(F119="☆", ((M7 * 100) / (COUNTIFS(F:F, "☆", E:E, E119) + COUNTIFS(F:F, "☆", E:E, "A1") + IF(E119="A1", COUNTIFS(F:F, "☆", E:E, E2), 0) - IF(E119="A1", COUNTIFS(F:F, "☆", E:E, "A1"), 0)))/100, 
   IF(F119="☆☆", ((M8 * 100) / (COUNTIFS(F:F, "☆☆", E:E, E119) + COUNTIFS(F:F, "☆☆", E:E, "A1") + IF(E119="A1", COUNTIFS(F:F, "☆☆", E:E, E2), 0) - IF(E119="A1", COUNTIFS(F:F, "☆☆", E:E, "A1"), 0)))/100, 
   IF(F119="☆☆☆", ((M9 * 100) / (COUNTIFS(F:F, "☆☆☆", E:E, E119) + COUNTIFS(F:F, "☆☆☆", E:E, "A1") + IF(E119="A1", COUNTIFS(F:F, "☆☆☆", E:E, E2), 0) - IF(E119="A1", COUNTIFS(F:F, "☆☆☆", E:E, "A1"), 0)))/100, 
   IF(F119="♛", ((M10 * 100) / (COUNTIFS(F:F, "♛", E:E, E119) + COUNTIFS(F:F, "♛", E:E, "A1") + IF(E119="A1", COUNTIFS(F:F, "♛", E:E, E2), 0) - IF(E119="A1", COUNTIFS(F:F, "♛", E:E, "A1"), 0)))/100, "")))))))
</f>
        <v/>
      </c>
      <c r="I119" s="130" t="str">
        <f>IF(F119="♢♢", ((N4 * 100) / (COUNTIFS(F:F, "♢♢", E:E, E119) + COUNTIFS(F:F, "♢♢", E:E, "A1") + IF(E119="A1", COUNTIFS(F:F, "♢♢", E:E, E2), 0) - IF(E119="A1", COUNTIFS(F:F, "♢♢", E:E, "A1"), 0)))/100, 
   IF(F119="♢♢♢", ((N5 * 100) / (COUNTIFS(F:F, "♢♢♢", E:E, E119) + COUNTIFS(F:F, "♢♢♢", E:E, "A1") + IF(E119="A1", COUNTIFS(F:F, "♢♢♢", E:E, E2), 0) - IF(E119="A1", COUNTIFS(F:F, "♢♢♢", E:E, "A1"), 0)))/100, 
   IF(F119="♢♢♢♢", ((N6 * 100) / (COUNTIFS(F:F, "♢♢♢♢", E:E, E119) + COUNTIFS(F:F, "♢♢♢♢", E:E, "A1") + IF(E119="A1", COUNTIFS(F:F, "♢♢♢♢", E:E, E2), 0) - IF(E119="A1", COUNTIFS(F:F, "♢♢♢♢", E:E, "A1"), 0)))/100, 
   IF(F119="☆", ((N7 * 100) / (COUNTIFS(F:F, "☆", E:E, E119) + COUNTIFS(F:F, "☆", E:E, "A1") + IF(E119="A1", COUNTIFS(F:F, "☆", E:E, E2), 0) - IF(E119="A1", COUNTIFS(F:F, "☆", E:E, "A1"), 0)))/100, 
   IF(F119="☆☆", ((N8 * 100) / (COUNTIFS(F:F, "☆☆", E:E, E119) + COUNTIFS(F:F, "☆☆", E:E, "A1") + IF(E119="A1", COUNTIFS(F:F, "☆☆", E:E, E2), 0) - IF(E119="A1", COUNTIFS(F:F, "☆☆", E:E, "A1"), 0)))/100, 
   IF(F119="☆☆☆", ((N9 * 100) / (COUNTIFS(F:F, "☆☆☆", E:E, E119) + COUNTIFS(F:F, "☆☆☆", E:E, "A1") + IF(E119="A1", COUNTIFS(F:F, "☆☆☆", E:E, E2), 0) - IF(E119="A1", COUNTIFS(F:F, "☆☆☆", E:E, "A1"), 0)))/100, 
   IF(F119="♛", ((N10 * 100) / (COUNTIFS(F:F, "♛", E:E, E119) + COUNTIFS(F:F, "♛", E:E, "A1") + IF(E119="A1", COUNTIFS(F:F, "♛", E:E, E2), 0) - IF(E119="A1", COUNTIFS(F:F, "♛", E:E, "A1"), 0)))/100, "")))))))
</f>
        <v/>
      </c>
      <c r="J119" s="131"/>
      <c r="K119" s="247"/>
      <c r="L119" s="20"/>
      <c r="M119" s="20"/>
      <c r="N119" s="20"/>
      <c r="O119" s="124" t="s">
        <v>349</v>
      </c>
    </row>
    <row r="120">
      <c r="A120" s="125" t="b">
        <f t="shared" si="1"/>
        <v>0</v>
      </c>
      <c r="B120" s="126">
        <v>0.0</v>
      </c>
      <c r="C120" s="127" t="s">
        <v>350</v>
      </c>
      <c r="D120" s="127" t="s">
        <v>351</v>
      </c>
      <c r="E120" s="128" t="s">
        <v>137</v>
      </c>
      <c r="F120" s="127" t="s">
        <v>46</v>
      </c>
      <c r="G120" s="130" t="str">
        <f>IF(F120="♢", ((L3 * 100) / (COUNTIFS(F:F, "♢", E:E, E120) + COUNTIFS(F:F, "♢", E:E, "A1") + IF(E120="A1", COUNTIFS(F:F, "♢", E:E, E2), 0) - IF(E120="A1", COUNTIFS(F:F, "♢", E:E, "A1"), 0)))/100, "")
</f>
        <v/>
      </c>
      <c r="H120" s="129">
        <f>IF(F120="♢♢", ((M4 * 100) / (COUNTIFS(F:F, "♢♢", E:E, E120) + COUNTIFS(F:F, "♢♢", E:E, "A1") + IF(E120="A1", COUNTIFS(F:F, "♢♢", E:E, E2), 0) - IF(E120="A1", COUNTIFS(F:F, "♢♢", E:E, "A1"), 0)))/100, 
   IF(F120="♢♢♢", ((M5 * 100) / (COUNTIFS(F:F, "♢♢♢", E:E, E120) + COUNTIFS(F:F, "♢♢♢", E:E, "A1") + IF(E120="A1", COUNTIFS(F:F, "♢♢♢", E:E, E2), 0) - IF(E120="A1", COUNTIFS(F:F, "♢♢♢", E:E, "A1"), 0)))/100, 
   IF(F120="♢♢♢♢", ((M6 * 100) / (COUNTIFS(F:F, "♢♢♢♢", E:E, E120) + COUNTIFS(F:F, "♢♢♢♢", E:E, "A1") + IF(E120="A1", COUNTIFS(F:F, "♢♢♢♢", E:E, E2), 0) - IF(E120="A1", COUNTIFS(F:F, "♢♢♢♢", E:E, "A1"), 0)))/100, 
   IF(F120="☆", ((M7 * 100) / (COUNTIFS(F:F, "☆", E:E, E120) + COUNTIFS(F:F, "☆", E:E, "A1") + IF(E120="A1", COUNTIFS(F:F, "☆", E:E, E2), 0) - IF(E120="A1", COUNTIFS(F:F, "☆", E:E, "A1"), 0)))/100, 
   IF(F120="☆☆", ((M8 * 100) / (COUNTIFS(F:F, "☆☆", E:E, E120) + COUNTIFS(F:F, "☆☆", E:E, "A1") + IF(E120="A1", COUNTIFS(F:F, "☆☆", E:E, E2), 0) - IF(E120="A1", COUNTIFS(F:F, "☆☆", E:E, "A1"), 0)))/100, 
   IF(F120="☆☆☆", ((M9 * 100) / (COUNTIFS(F:F, "☆☆☆", E:E, E120) + COUNTIFS(F:F, "☆☆☆", E:E, "A1") + IF(E120="A1", COUNTIFS(F:F, "☆☆☆", E:E, E2), 0) - IF(E120="A1", COUNTIFS(F:F, "☆☆☆", E:E, "A1"), 0)))/100, 
   IF(F120="♛", ((M10 * 100) / (COUNTIFS(F:F, "♛", E:E, E120) + COUNTIFS(F:F, "♛", E:E, "A1") + IF(E120="A1", COUNTIFS(F:F, "♛", E:E, E2), 0) - IF(E120="A1", COUNTIFS(F:F, "♛", E:E, "A1"), 0)))/100, "")))))))
</f>
        <v>0.02571428571</v>
      </c>
      <c r="I120" s="129">
        <f>IF(F120="♢♢", ((N4 * 100) / (COUNTIFS(F:F, "♢♢", E:E, E120) + COUNTIFS(F:F, "♢♢", E:E, "A1") + IF(E120="A1", COUNTIFS(F:F, "♢♢", E:E, E2), 0) - IF(E120="A1", COUNTIFS(F:F, "♢♢", E:E, "A1"), 0)))/100, 
   IF(F120="♢♢♢", ((N5 * 100) / (COUNTIFS(F:F, "♢♢♢", E:E, E120) + COUNTIFS(F:F, "♢♢♢", E:E, "A1") + IF(E120="A1", COUNTIFS(F:F, "♢♢♢", E:E, E2), 0) - IF(E120="A1", COUNTIFS(F:F, "♢♢♢", E:E, "A1"), 0)))/100, 
   IF(F120="♢♢♢♢", ((N6 * 100) / (COUNTIFS(F:F, "♢♢♢♢", E:E, E120) + COUNTIFS(F:F, "♢♢♢♢", E:E, "A1") + IF(E120="A1", COUNTIFS(F:F, "♢♢♢♢", E:E, E2), 0) - IF(E120="A1", COUNTIFS(F:F, "♢♢♢♢", E:E, "A1"), 0)))/100, 
   IF(F120="☆", ((N7 * 100) / (COUNTIFS(F:F, "☆", E:E, E120) + COUNTIFS(F:F, "☆", E:E, "A1") + IF(E120="A1", COUNTIFS(F:F, "☆", E:E, E2), 0) - IF(E120="A1", COUNTIFS(F:F, "☆", E:E, "A1"), 0)))/100, 
   IF(F120="☆☆", ((N8 * 100) / (COUNTIFS(F:F, "☆☆", E:E, E120) + COUNTIFS(F:F, "☆☆", E:E, "A1") + IF(E120="A1", COUNTIFS(F:F, "☆☆", E:E, E2), 0) - IF(E120="A1", COUNTIFS(F:F, "☆☆", E:E, "A1"), 0)))/100, 
   IF(F120="☆☆☆", ((N9 * 100) / (COUNTIFS(F:F, "☆☆☆", E:E, E120) + COUNTIFS(F:F, "☆☆☆", E:E, "A1") + IF(E120="A1", COUNTIFS(F:F, "☆☆☆", E:E, E2), 0) - IF(E120="A1", COUNTIFS(F:F, "☆☆☆", E:E, "A1"), 0)))/100, 
   IF(F120="♛", ((N10 * 100) / (COUNTIFS(F:F, "♛", E:E, E120) + COUNTIFS(F:F, "♛", E:E, "A1") + IF(E120="A1", COUNTIFS(F:F, "♛", E:E, E2), 0) - IF(E120="A1", COUNTIFS(F:F, "♛", E:E, "A1"), 0)))/100, "")))))))
</f>
        <v>0.01714285714</v>
      </c>
      <c r="J120" s="131"/>
      <c r="K120" s="247"/>
      <c r="L120" s="20"/>
      <c r="M120" s="20"/>
      <c r="N120" s="20"/>
    </row>
    <row r="121">
      <c r="A121" s="125" t="b">
        <f t="shared" si="1"/>
        <v>0</v>
      </c>
      <c r="B121" s="126">
        <v>0.0</v>
      </c>
      <c r="C121" s="127" t="s">
        <v>352</v>
      </c>
      <c r="D121" s="127" t="s">
        <v>353</v>
      </c>
      <c r="E121" s="128" t="s">
        <v>29</v>
      </c>
      <c r="F121" s="127" t="s">
        <v>44</v>
      </c>
      <c r="G121" s="129">
        <f>IF(F121="♢", ((L3 * 100) / (COUNTIFS(F:F, "♢", E:E, E121) + COUNTIFS(F:F, "♢", E:E, "A1") + IF(E121="A1", COUNTIFS(F:F, "♢", E:E, E2), 0) - IF(E121="A1", COUNTIFS(F:F, "♢", E:E, "A1"), 0)))/100, "")
</f>
        <v>0.02</v>
      </c>
      <c r="H121" s="130" t="str">
        <f>IF(F121="♢♢", ((M4 * 100) / (COUNTIFS(F:F, "♢♢", E:E, E121) + COUNTIFS(F:F, "♢♢", E:E, "A1") + IF(E121="A1", COUNTIFS(F:F, "♢♢", E:E, E2), 0) - IF(E121="A1", COUNTIFS(F:F, "♢♢", E:E, "A1"), 0)))/100, 
   IF(F121="♢♢♢", ((M5 * 100) / (COUNTIFS(F:F, "♢♢♢", E:E, E121) + COUNTIFS(F:F, "♢♢♢", E:E, "A1") + IF(E121="A1", COUNTIFS(F:F, "♢♢♢", E:E, E2), 0) - IF(E121="A1", COUNTIFS(F:F, "♢♢♢", E:E, "A1"), 0)))/100, 
   IF(F121="♢♢♢♢", ((M6 * 100) / (COUNTIFS(F:F, "♢♢♢♢", E:E, E121) + COUNTIFS(F:F, "♢♢♢♢", E:E, "A1") + IF(E121="A1", COUNTIFS(F:F, "♢♢♢♢", E:E, E2), 0) - IF(E121="A1", COUNTIFS(F:F, "♢♢♢♢", E:E, "A1"), 0)))/100, 
   IF(F121="☆", ((M7 * 100) / (COUNTIFS(F:F, "☆", E:E, E121) + COUNTIFS(F:F, "☆", E:E, "A1") + IF(E121="A1", COUNTIFS(F:F, "☆", E:E, E2), 0) - IF(E121="A1", COUNTIFS(F:F, "☆", E:E, "A1"), 0)))/100, 
   IF(F121="☆☆", ((M8 * 100) / (COUNTIFS(F:F, "☆☆", E:E, E121) + COUNTIFS(F:F, "☆☆", E:E, "A1") + IF(E121="A1", COUNTIFS(F:F, "☆☆", E:E, E2), 0) - IF(E121="A1", COUNTIFS(F:F, "☆☆", E:E, "A1"), 0)))/100, 
   IF(F121="☆☆☆", ((M9 * 100) / (COUNTIFS(F:F, "☆☆☆", E:E, E121) + COUNTIFS(F:F, "☆☆☆", E:E, "A1") + IF(E121="A1", COUNTIFS(F:F, "☆☆☆", E:E, E2), 0) - IF(E121="A1", COUNTIFS(F:F, "☆☆☆", E:E, "A1"), 0)))/100, 
   IF(F121="♛", ((M10 * 100) / (COUNTIFS(F:F, "♛", E:E, E121) + COUNTIFS(F:F, "♛", E:E, "A1") + IF(E121="A1", COUNTIFS(F:F, "♛", E:E, E2), 0) - IF(E121="A1", COUNTIFS(F:F, "♛", E:E, "A1"), 0)))/100, "")))))))
</f>
        <v/>
      </c>
      <c r="I121" s="130" t="str">
        <f>IF(F121="♢♢", ((N4 * 100) / (COUNTIFS(F:F, "♢♢", E:E, E121) + COUNTIFS(F:F, "♢♢", E:E, "A1") + IF(E121="A1", COUNTIFS(F:F, "♢♢", E:E, E2), 0) - IF(E121="A1", COUNTIFS(F:F, "♢♢", E:E, "A1"), 0)))/100, 
   IF(F121="♢♢♢", ((N5 * 100) / (COUNTIFS(F:F, "♢♢♢", E:E, E121) + COUNTIFS(F:F, "♢♢♢", E:E, "A1") + IF(E121="A1", COUNTIFS(F:F, "♢♢♢", E:E, E2), 0) - IF(E121="A1", COUNTIFS(F:F, "♢♢♢", E:E, "A1"), 0)))/100, 
   IF(F121="♢♢♢♢", ((N6 * 100) / (COUNTIFS(F:F, "♢♢♢♢", E:E, E121) + COUNTIFS(F:F, "♢♢♢♢", E:E, "A1") + IF(E121="A1", COUNTIFS(F:F, "♢♢♢♢", E:E, E2), 0) - IF(E121="A1", COUNTIFS(F:F, "♢♢♢♢", E:E, "A1"), 0)))/100, 
   IF(F121="☆", ((N7 * 100) / (COUNTIFS(F:F, "☆", E:E, E121) + COUNTIFS(F:F, "☆", E:E, "A1") + IF(E121="A1", COUNTIFS(F:F, "☆", E:E, E2), 0) - IF(E121="A1", COUNTIFS(F:F, "☆", E:E, "A1"), 0)))/100, 
   IF(F121="☆☆", ((N8 * 100) / (COUNTIFS(F:F, "☆☆", E:E, E121) + COUNTIFS(F:F, "☆☆", E:E, "A1") + IF(E121="A1", COUNTIFS(F:F, "☆☆", E:E, E2), 0) - IF(E121="A1", COUNTIFS(F:F, "☆☆", E:E, "A1"), 0)))/100, 
   IF(F121="☆☆☆", ((N9 * 100) / (COUNTIFS(F:F, "☆☆☆", E:E, E121) + COUNTIFS(F:F, "☆☆☆", E:E, "A1") + IF(E121="A1", COUNTIFS(F:F, "☆☆☆", E:E, E2), 0) - IF(E121="A1", COUNTIFS(F:F, "☆☆☆", E:E, "A1"), 0)))/100, 
   IF(F121="♛", ((N10 * 100) / (COUNTIFS(F:F, "♛", E:E, E121) + COUNTIFS(F:F, "♛", E:E, "A1") + IF(E121="A1", COUNTIFS(F:F, "♛", E:E, E2), 0) - IF(E121="A1", COUNTIFS(F:F, "♛", E:E, "A1"), 0)))/100, "")))))))
</f>
        <v/>
      </c>
      <c r="J121" s="131"/>
      <c r="K121" s="247"/>
      <c r="L121" s="20"/>
      <c r="M121" s="20"/>
      <c r="N121" s="20"/>
    </row>
    <row r="122">
      <c r="A122" s="125" t="b">
        <f t="shared" si="1"/>
        <v>0</v>
      </c>
      <c r="B122" s="126">
        <v>0.0</v>
      </c>
      <c r="C122" s="127" t="s">
        <v>354</v>
      </c>
      <c r="D122" s="127" t="s">
        <v>355</v>
      </c>
      <c r="E122" s="128" t="s">
        <v>29</v>
      </c>
      <c r="F122" s="127" t="s">
        <v>46</v>
      </c>
      <c r="G122" s="130" t="str">
        <f>IF(F122="♢", ((L3 * 100) / (COUNTIFS(F:F, "♢", E:E, E122) + COUNTIFS(F:F, "♢", E:E, "A1") + IF(E122="A1", COUNTIFS(F:F, "♢", E:E, E2), 0) - IF(E122="A1", COUNTIFS(F:F, "♢", E:E, "A1"), 0)))/100, "")
</f>
        <v/>
      </c>
      <c r="H122" s="129">
        <f>IF(F122="♢♢", ((M4 * 100) / (COUNTIFS(F:F, "♢♢", E:E, E122) + COUNTIFS(F:F, "♢♢", E:E, "A1") + IF(E122="A1", COUNTIFS(F:F, "♢♢", E:E, E2), 0) - IF(E122="A1", COUNTIFS(F:F, "♢♢", E:E, "A1"), 0)))/100, 
   IF(F122="♢♢♢", ((M5 * 100) / (COUNTIFS(F:F, "♢♢♢", E:E, E122) + COUNTIFS(F:F, "♢♢♢", E:E, "A1") + IF(E122="A1", COUNTIFS(F:F, "♢♢♢", E:E, E2), 0) - IF(E122="A1", COUNTIFS(F:F, "♢♢♢", E:E, "A1"), 0)))/100, 
   IF(F122="♢♢♢♢", ((M6 * 100) / (COUNTIFS(F:F, "♢♢♢♢", E:E, E122) + COUNTIFS(F:F, "♢♢♢♢", E:E, "A1") + IF(E122="A1", COUNTIFS(F:F, "♢♢♢♢", E:E, E2), 0) - IF(E122="A1", COUNTIFS(F:F, "♢♢♢♢", E:E, "A1"), 0)))/100, 
   IF(F122="☆", ((M7 * 100) / (COUNTIFS(F:F, "☆", E:E, E122) + COUNTIFS(F:F, "☆", E:E, "A1") + IF(E122="A1", COUNTIFS(F:F, "☆", E:E, E2), 0) - IF(E122="A1", COUNTIFS(F:F, "☆", E:E, "A1"), 0)))/100, 
   IF(F122="☆☆", ((M8 * 100) / (COUNTIFS(F:F, "☆☆", E:E, E122) + COUNTIFS(F:F, "☆☆", E:E, "A1") + IF(E122="A1", COUNTIFS(F:F, "☆☆", E:E, E2), 0) - IF(E122="A1", COUNTIFS(F:F, "☆☆", E:E, "A1"), 0)))/100, 
   IF(F122="☆☆☆", ((M9 * 100) / (COUNTIFS(F:F, "☆☆☆", E:E, E122) + COUNTIFS(F:F, "☆☆☆", E:E, "A1") + IF(E122="A1", COUNTIFS(F:F, "☆☆☆", E:E, E2), 0) - IF(E122="A1", COUNTIFS(F:F, "☆☆☆", E:E, "A1"), 0)))/100, 
   IF(F122="♛", ((M10 * 100) / (COUNTIFS(F:F, "♛", E:E, E122) + COUNTIFS(F:F, "♛", E:E, "A1") + IF(E122="A1", COUNTIFS(F:F, "♛", E:E, E2), 0) - IF(E122="A1", COUNTIFS(F:F, "♛", E:E, "A1"), 0)))/100, "")))))))
</f>
        <v>0.02571428571</v>
      </c>
      <c r="I122" s="129">
        <f>IF(F122="♢♢", ((N4 * 100) / (COUNTIFS(F:F, "♢♢", E:E, E122) + COUNTIFS(F:F, "♢♢", E:E, "A1") + IF(E122="A1", COUNTIFS(F:F, "♢♢", E:E, E2), 0) - IF(E122="A1", COUNTIFS(F:F, "♢♢", E:E, "A1"), 0)))/100, 
   IF(F122="♢♢♢", ((N5 * 100) / (COUNTIFS(F:F, "♢♢♢", E:E, E122) + COUNTIFS(F:F, "♢♢♢", E:E, "A1") + IF(E122="A1", COUNTIFS(F:F, "♢♢♢", E:E, E2), 0) - IF(E122="A1", COUNTIFS(F:F, "♢♢♢", E:E, "A1"), 0)))/100, 
   IF(F122="♢♢♢♢", ((N6 * 100) / (COUNTIFS(F:F, "♢♢♢♢", E:E, E122) + COUNTIFS(F:F, "♢♢♢♢", E:E, "A1") + IF(E122="A1", COUNTIFS(F:F, "♢♢♢♢", E:E, E2), 0) - IF(E122="A1", COUNTIFS(F:F, "♢♢♢♢", E:E, "A1"), 0)))/100, 
   IF(F122="☆", ((N7 * 100) / (COUNTIFS(F:F, "☆", E:E, E122) + COUNTIFS(F:F, "☆", E:E, "A1") + IF(E122="A1", COUNTIFS(F:F, "☆", E:E, E2), 0) - IF(E122="A1", COUNTIFS(F:F, "☆", E:E, "A1"), 0)))/100, 
   IF(F122="☆☆", ((N8 * 100) / (COUNTIFS(F:F, "☆☆", E:E, E122) + COUNTIFS(F:F, "☆☆", E:E, "A1") + IF(E122="A1", COUNTIFS(F:F, "☆☆", E:E, E2), 0) - IF(E122="A1", COUNTIFS(F:F, "☆☆", E:E, "A1"), 0)))/100, 
   IF(F122="☆☆☆", ((N9 * 100) / (COUNTIFS(F:F, "☆☆☆", E:E, E122) + COUNTIFS(F:F, "☆☆☆", E:E, "A1") + IF(E122="A1", COUNTIFS(F:F, "☆☆☆", E:E, E2), 0) - IF(E122="A1", COUNTIFS(F:F, "☆☆☆", E:E, "A1"), 0)))/100, 
   IF(F122="♛", ((N10 * 100) / (COUNTIFS(F:F, "♛", E:E, E122) + COUNTIFS(F:F, "♛", E:E, "A1") + IF(E122="A1", COUNTIFS(F:F, "♛", E:E, E2), 0) - IF(E122="A1", COUNTIFS(F:F, "♛", E:E, "A1"), 0)))/100, "")))))))
</f>
        <v>0.01714285714</v>
      </c>
      <c r="J122" s="131"/>
      <c r="K122" s="247"/>
      <c r="L122" s="20"/>
      <c r="M122" s="20"/>
      <c r="N122" s="20"/>
    </row>
    <row r="123">
      <c r="A123" s="125" t="b">
        <f t="shared" si="1"/>
        <v>0</v>
      </c>
      <c r="B123" s="126">
        <v>0.0</v>
      </c>
      <c r="C123" s="127" t="s">
        <v>356</v>
      </c>
      <c r="D123" s="127" t="s">
        <v>357</v>
      </c>
      <c r="E123" s="128" t="s">
        <v>29</v>
      </c>
      <c r="F123" s="127" t="s">
        <v>48</v>
      </c>
      <c r="G123" s="130" t="str">
        <f>IF(F123="♢", ((L3 * 100) / (COUNTIFS(F:F, "♢", E:E, E123) + COUNTIFS(F:F, "♢", E:E, "A1") + IF(E123="A1", COUNTIFS(F:F, "♢", E:E, E2), 0) - IF(E123="A1", COUNTIFS(F:F, "♢", E:E, "A1"), 0)))/100, "")
</f>
        <v/>
      </c>
      <c r="H123" s="129">
        <f>IF(F123="♢♢", ((M4 * 100) / (COUNTIFS(F:F, "♢♢", E:E, E123) + COUNTIFS(F:F, "♢♢", E:E, "A1") + IF(E123="A1", COUNTIFS(F:F, "♢♢", E:E, E2), 0) - IF(E123="A1", COUNTIFS(F:F, "♢♢", E:E, "A1"), 0)))/100, 
   IF(F123="♢♢♢", ((M5 * 100) / (COUNTIFS(F:F, "♢♢♢", E:E, E123) + COUNTIFS(F:F, "♢♢♢", E:E, "A1") + IF(E123="A1", COUNTIFS(F:F, "♢♢♢", E:E, E2), 0) - IF(E123="A1", COUNTIFS(F:F, "♢♢♢", E:E, "A1"), 0)))/100, 
   IF(F123="♢♢♢♢", ((M6 * 100) / (COUNTIFS(F:F, "♢♢♢♢", E:E, E123) + COUNTIFS(F:F, "♢♢♢♢", E:E, "A1") + IF(E123="A1", COUNTIFS(F:F, "♢♢♢♢", E:E, E2), 0) - IF(E123="A1", COUNTIFS(F:F, "♢♢♢♢", E:E, "A1"), 0)))/100, 
   IF(F123="☆", ((M7 * 100) / (COUNTIFS(F:F, "☆", E:E, E123) + COUNTIFS(F:F, "☆", E:E, "A1") + IF(E123="A1", COUNTIFS(F:F, "☆", E:E, E2), 0) - IF(E123="A1", COUNTIFS(F:F, "☆", E:E, "A1"), 0)))/100, 
   IF(F123="☆☆", ((M8 * 100) / (COUNTIFS(F:F, "☆☆", E:E, E123) + COUNTIFS(F:F, "☆☆", E:E, "A1") + IF(E123="A1", COUNTIFS(F:F, "☆☆", E:E, E2), 0) - IF(E123="A1", COUNTIFS(F:F, "☆☆", E:E, "A1"), 0)))/100, 
   IF(F123="☆☆☆", ((M9 * 100) / (COUNTIFS(F:F, "☆☆☆", E:E, E123) + COUNTIFS(F:F, "☆☆☆", E:E, "A1") + IF(E123="A1", COUNTIFS(F:F, "☆☆☆", E:E, E2), 0) - IF(E123="A1", COUNTIFS(F:F, "☆☆☆", E:E, "A1"), 0)))/100, 
   IF(F123="♛", ((M10 * 100) / (COUNTIFS(F:F, "♛", E:E, E123) + COUNTIFS(F:F, "♛", E:E, "A1") + IF(E123="A1", COUNTIFS(F:F, "♛", E:E, E2), 0) - IF(E123="A1", COUNTIFS(F:F, "♛", E:E, "A1"), 0)))/100, "")))))))
</f>
        <v>0.003571428571</v>
      </c>
      <c r="I123" s="129">
        <f>IF(F123="♢♢", ((N4 * 100) / (COUNTIFS(F:F, "♢♢", E:E, E123) + COUNTIFS(F:F, "♢♢", E:E, "A1") + IF(E123="A1", COUNTIFS(F:F, "♢♢", E:E, E2), 0) - IF(E123="A1", COUNTIFS(F:F, "♢♢", E:E, "A1"), 0)))/100, 
   IF(F123="♢♢♢", ((N5 * 100) / (COUNTIFS(F:F, "♢♢♢", E:E, E123) + COUNTIFS(F:F, "♢♢♢", E:E, "A1") + IF(E123="A1", COUNTIFS(F:F, "♢♢♢", E:E, E2), 0) - IF(E123="A1", COUNTIFS(F:F, "♢♢♢", E:E, "A1"), 0)))/100, 
   IF(F123="♢♢♢♢", ((N6 * 100) / (COUNTIFS(F:F, "♢♢♢♢", E:E, E123) + COUNTIFS(F:F, "♢♢♢♢", E:E, "A1") + IF(E123="A1", COUNTIFS(F:F, "♢♢♢♢", E:E, E2), 0) - IF(E123="A1", COUNTIFS(F:F, "♢♢♢♢", E:E, "A1"), 0)))/100, 
   IF(F123="☆", ((N7 * 100) / (COUNTIFS(F:F, "☆", E:E, E123) + COUNTIFS(F:F, "☆", E:E, "A1") + IF(E123="A1", COUNTIFS(F:F, "☆", E:E, E2), 0) - IF(E123="A1", COUNTIFS(F:F, "☆", E:E, "A1"), 0)))/100, 
   IF(F123="☆☆", ((N8 * 100) / (COUNTIFS(F:F, "☆☆", E:E, E123) + COUNTIFS(F:F, "☆☆", E:E, "A1") + IF(E123="A1", COUNTIFS(F:F, "☆☆", E:E, E2), 0) - IF(E123="A1", COUNTIFS(F:F, "☆☆", E:E, "A1"), 0)))/100, 
   IF(F123="☆☆☆", ((N9 * 100) / (COUNTIFS(F:F, "☆☆☆", E:E, E123) + COUNTIFS(F:F, "☆☆☆", E:E, "A1") + IF(E123="A1", COUNTIFS(F:F, "☆☆☆", E:E, E2), 0) - IF(E123="A1", COUNTIFS(F:F, "☆☆☆", E:E, "A1"), 0)))/100, 
   IF(F123="♛", ((N10 * 100) / (COUNTIFS(F:F, "♛", E:E, E123) + COUNTIFS(F:F, "♛", E:E, "A1") + IF(E123="A1", COUNTIFS(F:F, "♛", E:E, E2), 0) - IF(E123="A1", COUNTIFS(F:F, "♛", E:E, "A1"), 0)))/100, "")))))))
</f>
        <v>0.01428571429</v>
      </c>
      <c r="J123" s="131"/>
      <c r="K123" s="247"/>
      <c r="L123" s="20"/>
      <c r="M123" s="20"/>
      <c r="N123" s="20"/>
    </row>
    <row r="124">
      <c r="A124" s="125" t="b">
        <f t="shared" si="1"/>
        <v>0</v>
      </c>
      <c r="B124" s="126">
        <v>0.0</v>
      </c>
      <c r="C124" s="127" t="s">
        <v>358</v>
      </c>
      <c r="D124" s="128" t="s">
        <v>359</v>
      </c>
      <c r="E124" s="128" t="s">
        <v>29</v>
      </c>
      <c r="F124" s="127" t="s">
        <v>51</v>
      </c>
      <c r="G124" s="130" t="str">
        <f>IF(F124="♢", ((L3 * 100) / (COUNTIFS(F:F, "♢", E:E, E124) + COUNTIFS(F:F, "♢", E:E, "A1") + IF(E124="A1", COUNTIFS(F:F, "♢", E:E, E2), 0) - IF(E124="A1", COUNTIFS(F:F, "♢", E:E, "A1"), 0)))/100, "")
</f>
        <v/>
      </c>
      <c r="H124" s="129">
        <f>IF(F124="♢♢", ((M4 * 100) / (COUNTIFS(F:F, "♢♢", E:E, E124) + COUNTIFS(F:F, "♢♢", E:E, "A1") + IF(E124="A1", COUNTIFS(F:F, "♢♢", E:E, E2), 0) - IF(E124="A1", COUNTIFS(F:F, "♢♢", E:E, "A1"), 0)))/100, 
   IF(F124="♢♢♢", ((M5 * 100) / (COUNTIFS(F:F, "♢♢♢", E:E, E124) + COUNTIFS(F:F, "♢♢♢", E:E, "A1") + IF(E124="A1", COUNTIFS(F:F, "♢♢♢", E:E, E2), 0) - IF(E124="A1", COUNTIFS(F:F, "♢♢♢", E:E, "A1"), 0)))/100, 
   IF(F124="♢♢♢♢", ((M6 * 100) / (COUNTIFS(F:F, "♢♢♢♢", E:E, E124) + COUNTIFS(F:F, "♢♢♢♢", E:E, "A1") + IF(E124="A1", COUNTIFS(F:F, "♢♢♢♢", E:E, E2), 0) - IF(E124="A1", COUNTIFS(F:F, "♢♢♢♢", E:E, "A1"), 0)))/100, 
   IF(F124="☆", ((M7 * 100) / (COUNTIFS(F:F, "☆", E:E, E124) + COUNTIFS(F:F, "☆", E:E, "A1") + IF(E124="A1", COUNTIFS(F:F, "☆", E:E, E2), 0) - IF(E124="A1", COUNTIFS(F:F, "☆", E:E, "A1"), 0)))/100, 
   IF(F124="☆☆", ((M8 * 100) / (COUNTIFS(F:F, "☆☆", E:E, E124) + COUNTIFS(F:F, "☆☆", E:E, "A1") + IF(E124="A1", COUNTIFS(F:F, "☆☆", E:E, E2), 0) - IF(E124="A1", COUNTIFS(F:F, "☆☆", E:E, "A1"), 0)))/100, 
   IF(F124="☆☆☆", ((M9 * 100) / (COUNTIFS(F:F, "☆☆☆", E:E, E124) + COUNTIFS(F:F, "☆☆☆", E:E, "A1") + IF(E124="A1", COUNTIFS(F:F, "☆☆☆", E:E, E2), 0) - IF(E124="A1", COUNTIFS(F:F, "☆☆☆", E:E, "A1"), 0)))/100, 
   IF(F124="♛", ((M10 * 100) / (COUNTIFS(F:F, "♛", E:E, E124) + COUNTIFS(F:F, "♛", E:E, "A1") + IF(E124="A1", COUNTIFS(F:F, "♛", E:E, E2), 0) - IF(E124="A1", COUNTIFS(F:F, "♛", E:E, "A1"), 0)))/100, "")))))))
</f>
        <v>0.003332</v>
      </c>
      <c r="I124" s="129">
        <f>IF(F124="♢♢", ((N4 * 100) / (COUNTIFS(F:F, "♢♢", E:E, E124) + COUNTIFS(F:F, "♢♢", E:E, "A1") + IF(E124="A1", COUNTIFS(F:F, "♢♢", E:E, E2), 0) - IF(E124="A1", COUNTIFS(F:F, "♢♢", E:E, "A1"), 0)))/100, 
   IF(F124="♢♢♢", ((N5 * 100) / (COUNTIFS(F:F, "♢♢♢", E:E, E124) + COUNTIFS(F:F, "♢♢♢", E:E, "A1") + IF(E124="A1", COUNTIFS(F:F, "♢♢♢", E:E, E2), 0) - IF(E124="A1", COUNTIFS(F:F, "♢♢♢", E:E, "A1"), 0)))/100, 
   IF(F124="♢♢♢♢", ((N6 * 100) / (COUNTIFS(F:F, "♢♢♢♢", E:E, E124) + COUNTIFS(F:F, "♢♢♢♢", E:E, "A1") + IF(E124="A1", COUNTIFS(F:F, "♢♢♢♢", E:E, E2), 0) - IF(E124="A1", COUNTIFS(F:F, "♢♢♢♢", E:E, "A1"), 0)))/100, 
   IF(F124="☆", ((N7 * 100) / (COUNTIFS(F:F, "☆", E:E, E124) + COUNTIFS(F:F, "☆", E:E, "A1") + IF(E124="A1", COUNTIFS(F:F, "☆", E:E, E2), 0) - IF(E124="A1", COUNTIFS(F:F, "☆", E:E, "A1"), 0)))/100, 
   IF(F124="☆☆", ((N8 * 100) / (COUNTIFS(F:F, "☆☆", E:E, E124) + COUNTIFS(F:F, "☆☆", E:E, "A1") + IF(E124="A1", COUNTIFS(F:F, "☆☆", E:E, E2), 0) - IF(E124="A1", COUNTIFS(F:F, "☆☆", E:E, "A1"), 0)))/100, 
   IF(F124="☆☆☆", ((N9 * 100) / (COUNTIFS(F:F, "☆☆☆", E:E, E124) + COUNTIFS(F:F, "☆☆☆", E:E, "A1") + IF(E124="A1", COUNTIFS(F:F, "☆☆☆", E:E, E2), 0) - IF(E124="A1", COUNTIFS(F:F, "☆☆☆", E:E, "A1"), 0)))/100, 
   IF(F124="♛", ((N10 * 100) / (COUNTIFS(F:F, "♛", E:E, E124) + COUNTIFS(F:F, "♛", E:E, "A1") + IF(E124="A1", COUNTIFS(F:F, "♛", E:E, E2), 0) - IF(E124="A1", COUNTIFS(F:F, "♛", E:E, "A1"), 0)))/100, "")))))))
</f>
        <v>0.013328</v>
      </c>
      <c r="J124" s="131"/>
      <c r="K124" s="247"/>
      <c r="L124" s="20"/>
      <c r="M124" s="20"/>
      <c r="N124" s="20"/>
    </row>
    <row r="125">
      <c r="A125" s="125" t="b">
        <f t="shared" si="1"/>
        <v>0</v>
      </c>
      <c r="B125" s="126">
        <v>0.0</v>
      </c>
      <c r="C125" s="127" t="s">
        <v>360</v>
      </c>
      <c r="D125" s="127" t="s">
        <v>361</v>
      </c>
      <c r="E125" s="128" t="s">
        <v>31</v>
      </c>
      <c r="F125" s="127" t="s">
        <v>44</v>
      </c>
      <c r="G125" s="129">
        <f>IF(F125="♢", ((L3 * 100) / (COUNTIFS(F:F, "♢", E:E, E125) + COUNTIFS(F:F, "♢", E:E, "A1") + IF(E125="A1", COUNTIFS(F:F, "♢", E:E, E2), 0) - IF(E125="A1", COUNTIFS(F:F, "♢", E:E, "A1"), 0)))/100, "")
</f>
        <v>0.02</v>
      </c>
      <c r="H125" s="130" t="str">
        <f>IF(F125="♢♢", ((M4 * 100) / (COUNTIFS(F:F, "♢♢", E:E, E125) + COUNTIFS(F:F, "♢♢", E:E, "A1") + IF(E125="A1", COUNTIFS(F:F, "♢♢", E:E, E2), 0) - IF(E125="A1", COUNTIFS(F:F, "♢♢", E:E, "A1"), 0)))/100, 
   IF(F125="♢♢♢", ((M5 * 100) / (COUNTIFS(F:F, "♢♢♢", E:E, E125) + COUNTIFS(F:F, "♢♢♢", E:E, "A1") + IF(E125="A1", COUNTIFS(F:F, "♢♢♢", E:E, E2), 0) - IF(E125="A1", COUNTIFS(F:F, "♢♢♢", E:E, "A1"), 0)))/100, 
   IF(F125="♢♢♢♢", ((M6 * 100) / (COUNTIFS(F:F, "♢♢♢♢", E:E, E125) + COUNTIFS(F:F, "♢♢♢♢", E:E, "A1") + IF(E125="A1", COUNTIFS(F:F, "♢♢♢♢", E:E, E2), 0) - IF(E125="A1", COUNTIFS(F:F, "♢♢♢♢", E:E, "A1"), 0)))/100, 
   IF(F125="☆", ((M7 * 100) / (COUNTIFS(F:F, "☆", E:E, E125) + COUNTIFS(F:F, "☆", E:E, "A1") + IF(E125="A1", COUNTIFS(F:F, "☆", E:E, E2), 0) - IF(E125="A1", COUNTIFS(F:F, "☆", E:E, "A1"), 0)))/100, 
   IF(F125="☆☆", ((M8 * 100) / (COUNTIFS(F:F, "☆☆", E:E, E125) + COUNTIFS(F:F, "☆☆", E:E, "A1") + IF(E125="A1", COUNTIFS(F:F, "☆☆", E:E, E2), 0) - IF(E125="A1", COUNTIFS(F:F, "☆☆", E:E, "A1"), 0)))/100, 
   IF(F125="☆☆☆", ((M9 * 100) / (COUNTIFS(F:F, "☆☆☆", E:E, E125) + COUNTIFS(F:F, "☆☆☆", E:E, "A1") + IF(E125="A1", COUNTIFS(F:F, "☆☆☆", E:E, E2), 0) - IF(E125="A1", COUNTIFS(F:F, "☆☆☆", E:E, "A1"), 0)))/100, 
   IF(F125="♛", ((M10 * 100) / (COUNTIFS(F:F, "♛", E:E, E125) + COUNTIFS(F:F, "♛", E:E, "A1") + IF(E125="A1", COUNTIFS(F:F, "♛", E:E, E2), 0) - IF(E125="A1", COUNTIFS(F:F, "♛", E:E, "A1"), 0)))/100, "")))))))
</f>
        <v/>
      </c>
      <c r="I125" s="130" t="str">
        <f>IF(F125="♢♢", ((N4 * 100) / (COUNTIFS(F:F, "♢♢", E:E, E125) + COUNTIFS(F:F, "♢♢", E:E, "A1") + IF(E125="A1", COUNTIFS(F:F, "♢♢", E:E, E2), 0) - IF(E125="A1", COUNTIFS(F:F, "♢♢", E:E, "A1"), 0)))/100, 
   IF(F125="♢♢♢", ((N5 * 100) / (COUNTIFS(F:F, "♢♢♢", E:E, E125) + COUNTIFS(F:F, "♢♢♢", E:E, "A1") + IF(E125="A1", COUNTIFS(F:F, "♢♢♢", E:E, E2), 0) - IF(E125="A1", COUNTIFS(F:F, "♢♢♢", E:E, "A1"), 0)))/100, 
   IF(F125="♢♢♢♢", ((N6 * 100) / (COUNTIFS(F:F, "♢♢♢♢", E:E, E125) + COUNTIFS(F:F, "♢♢♢♢", E:E, "A1") + IF(E125="A1", COUNTIFS(F:F, "♢♢♢♢", E:E, E2), 0) - IF(E125="A1", COUNTIFS(F:F, "♢♢♢♢", E:E, "A1"), 0)))/100, 
   IF(F125="☆", ((N7 * 100) / (COUNTIFS(F:F, "☆", E:E, E125) + COUNTIFS(F:F, "☆", E:E, "A1") + IF(E125="A1", COUNTIFS(F:F, "☆", E:E, E2), 0) - IF(E125="A1", COUNTIFS(F:F, "☆", E:E, "A1"), 0)))/100, 
   IF(F125="☆☆", ((N8 * 100) / (COUNTIFS(F:F, "☆☆", E:E, E125) + COUNTIFS(F:F, "☆☆", E:E, "A1") + IF(E125="A1", COUNTIFS(F:F, "☆☆", E:E, E2), 0) - IF(E125="A1", COUNTIFS(F:F, "☆☆", E:E, "A1"), 0)))/100, 
   IF(F125="☆☆☆", ((N9 * 100) / (COUNTIFS(F:F, "☆☆☆", E:E, E125) + COUNTIFS(F:F, "☆☆☆", E:E, "A1") + IF(E125="A1", COUNTIFS(F:F, "☆☆☆", E:E, E2), 0) - IF(E125="A1", COUNTIFS(F:F, "☆☆☆", E:E, "A1"), 0)))/100, 
   IF(F125="♛", ((N10 * 100) / (COUNTIFS(F:F, "♛", E:E, E125) + COUNTIFS(F:F, "♛", E:E, "A1") + IF(E125="A1", COUNTIFS(F:F, "♛", E:E, E2), 0) - IF(E125="A1", COUNTIFS(F:F, "♛", E:E, "A1"), 0)))/100, "")))))))
</f>
        <v/>
      </c>
      <c r="J125" s="131"/>
      <c r="K125" s="247"/>
      <c r="L125" s="20"/>
      <c r="M125" s="20"/>
      <c r="N125" s="20"/>
      <c r="O125" s="248" t="s">
        <v>362</v>
      </c>
    </row>
    <row r="126">
      <c r="A126" s="125" t="b">
        <f t="shared" si="1"/>
        <v>0</v>
      </c>
      <c r="B126" s="126">
        <v>0.0</v>
      </c>
      <c r="C126" s="127" t="s">
        <v>363</v>
      </c>
      <c r="D126" s="127" t="s">
        <v>364</v>
      </c>
      <c r="E126" s="128" t="s">
        <v>31</v>
      </c>
      <c r="F126" s="127" t="s">
        <v>48</v>
      </c>
      <c r="G126" s="130" t="str">
        <f>IF(F126="♢", ((L3 * 100) / (COUNTIFS(F:F, "♢", E:E, E126) + COUNTIFS(F:F, "♢", E:E, "A1") + IF(E126="A1", COUNTIFS(F:F, "♢", E:E, E2), 0) - IF(E126="A1", COUNTIFS(F:F, "♢", E:E, "A1"), 0)))/100, "")
</f>
        <v/>
      </c>
      <c r="H126" s="129">
        <f>IF(F126="♢♢", ((M4 * 100) / (COUNTIFS(F:F, "♢♢", E:E, E126) + COUNTIFS(F:F, "♢♢", E:E, "A1") + IF(E126="A1", COUNTIFS(F:F, "♢♢", E:E, E2), 0) - IF(E126="A1", COUNTIFS(F:F, "♢♢", E:E, "A1"), 0)))/100, 
   IF(F126="♢♢♢", ((M5 * 100) / (COUNTIFS(F:F, "♢♢♢", E:E, E126) + COUNTIFS(F:F, "♢♢♢", E:E, "A1") + IF(E126="A1", COUNTIFS(F:F, "♢♢♢", E:E, E2), 0) - IF(E126="A1", COUNTIFS(F:F, "♢♢♢", E:E, "A1"), 0)))/100, 
   IF(F126="♢♢♢♢", ((M6 * 100) / (COUNTIFS(F:F, "♢♢♢♢", E:E, E126) + COUNTIFS(F:F, "♢♢♢♢", E:E, "A1") + IF(E126="A1", COUNTIFS(F:F, "♢♢♢♢", E:E, E2), 0) - IF(E126="A1", COUNTIFS(F:F, "♢♢♢♢", E:E, "A1"), 0)))/100, 
   IF(F126="☆", ((M7 * 100) / (COUNTIFS(F:F, "☆", E:E, E126) + COUNTIFS(F:F, "☆", E:E, "A1") + IF(E126="A1", COUNTIFS(F:F, "☆", E:E, E2), 0) - IF(E126="A1", COUNTIFS(F:F, "☆", E:E, "A1"), 0)))/100, 
   IF(F126="☆☆", ((M8 * 100) / (COUNTIFS(F:F, "☆☆", E:E, E126) + COUNTIFS(F:F, "☆☆", E:E, "A1") + IF(E126="A1", COUNTIFS(F:F, "☆☆", E:E, E2), 0) - IF(E126="A1", COUNTIFS(F:F, "☆☆", E:E, "A1"), 0)))/100, 
   IF(F126="☆☆☆", ((M9 * 100) / (COUNTIFS(F:F, "☆☆☆", E:E, E126) + COUNTIFS(F:F, "☆☆☆", E:E, "A1") + IF(E126="A1", COUNTIFS(F:F, "☆☆☆", E:E, E2), 0) - IF(E126="A1", COUNTIFS(F:F, "☆☆☆", E:E, "A1"), 0)))/100, 
   IF(F126="♛", ((M10 * 100) / (COUNTIFS(F:F, "♛", E:E, E126) + COUNTIFS(F:F, "♛", E:E, "A1") + IF(E126="A1", COUNTIFS(F:F, "♛", E:E, E2), 0) - IF(E126="A1", COUNTIFS(F:F, "♛", E:E, "A1"), 0)))/100, "")))))))
</f>
        <v>0.003571428571</v>
      </c>
      <c r="I126" s="129">
        <f>IF(F126="♢♢", ((N4 * 100) / (COUNTIFS(F:F, "♢♢", E:E, E126) + COUNTIFS(F:F, "♢♢", E:E, "A1") + IF(E126="A1", COUNTIFS(F:F, "♢♢", E:E, E2), 0) - IF(E126="A1", COUNTIFS(F:F, "♢♢", E:E, "A1"), 0)))/100, 
   IF(F126="♢♢♢", ((N5 * 100) / (COUNTIFS(F:F, "♢♢♢", E:E, E126) + COUNTIFS(F:F, "♢♢♢", E:E, "A1") + IF(E126="A1", COUNTIFS(F:F, "♢♢♢", E:E, E2), 0) - IF(E126="A1", COUNTIFS(F:F, "♢♢♢", E:E, "A1"), 0)))/100, 
   IF(F126="♢♢♢♢", ((N6 * 100) / (COUNTIFS(F:F, "♢♢♢♢", E:E, E126) + COUNTIFS(F:F, "♢♢♢♢", E:E, "A1") + IF(E126="A1", COUNTIFS(F:F, "♢♢♢♢", E:E, E2), 0) - IF(E126="A1", COUNTIFS(F:F, "♢♢♢♢", E:E, "A1"), 0)))/100, 
   IF(F126="☆", ((N7 * 100) / (COUNTIFS(F:F, "☆", E:E, E126) + COUNTIFS(F:F, "☆", E:E, "A1") + IF(E126="A1", COUNTIFS(F:F, "☆", E:E, E2), 0) - IF(E126="A1", COUNTIFS(F:F, "☆", E:E, "A1"), 0)))/100, 
   IF(F126="☆☆", ((N8 * 100) / (COUNTIFS(F:F, "☆☆", E:E, E126) + COUNTIFS(F:F, "☆☆", E:E, "A1") + IF(E126="A1", COUNTIFS(F:F, "☆☆", E:E, E2), 0) - IF(E126="A1", COUNTIFS(F:F, "☆☆", E:E, "A1"), 0)))/100, 
   IF(F126="☆☆☆", ((N9 * 100) / (COUNTIFS(F:F, "☆☆☆", E:E, E126) + COUNTIFS(F:F, "☆☆☆", E:E, "A1") + IF(E126="A1", COUNTIFS(F:F, "☆☆☆", E:E, E2), 0) - IF(E126="A1", COUNTIFS(F:F, "☆☆☆", E:E, "A1"), 0)))/100, 
   IF(F126="♛", ((N10 * 100) / (COUNTIFS(F:F, "♛", E:E, E126) + COUNTIFS(F:F, "♛", E:E, "A1") + IF(E126="A1", COUNTIFS(F:F, "♛", E:E, E2), 0) - IF(E126="A1", COUNTIFS(F:F, "♛", E:E, "A1"), 0)))/100, "")))))))
</f>
        <v>0.01428571429</v>
      </c>
      <c r="J126" s="131"/>
      <c r="K126" s="247"/>
      <c r="L126" s="20"/>
      <c r="M126" s="20"/>
      <c r="N126" s="20"/>
    </row>
    <row r="127">
      <c r="A127" s="125" t="b">
        <f t="shared" si="1"/>
        <v>0</v>
      </c>
      <c r="B127" s="126">
        <v>0.0</v>
      </c>
      <c r="C127" s="127" t="s">
        <v>365</v>
      </c>
      <c r="D127" s="127" t="s">
        <v>366</v>
      </c>
      <c r="E127" s="128" t="s">
        <v>29</v>
      </c>
      <c r="F127" s="127" t="s">
        <v>46</v>
      </c>
      <c r="G127" s="130" t="str">
        <f>IF(F127="♢", ((L3 * 100) / (COUNTIFS(F:F, "♢", E:E, E127) + COUNTIFS(F:F, "♢", E:E, "A1") + IF(E127="A1", COUNTIFS(F:F, "♢", E:E, E2), 0) - IF(E127="A1", COUNTIFS(F:F, "♢", E:E, "A1"), 0)))/100, "")
</f>
        <v/>
      </c>
      <c r="H127" s="129">
        <f>IF(F127="♢♢", ((M4 * 100) / (COUNTIFS(F:F, "♢♢", E:E, E127) + COUNTIFS(F:F, "♢♢", E:E, "A1") + IF(E127="A1", COUNTIFS(F:F, "♢♢", E:E, E2), 0) - IF(E127="A1", COUNTIFS(F:F, "♢♢", E:E, "A1"), 0)))/100, 
   IF(F127="♢♢♢", ((M5 * 100) / (COUNTIFS(F:F, "♢♢♢", E:E, E127) + COUNTIFS(F:F, "♢♢♢", E:E, "A1") + IF(E127="A1", COUNTIFS(F:F, "♢♢♢", E:E, E2), 0) - IF(E127="A1", COUNTIFS(F:F, "♢♢♢", E:E, "A1"), 0)))/100, 
   IF(F127="♢♢♢♢", ((M6 * 100) / (COUNTIFS(F:F, "♢♢♢♢", E:E, E127) + COUNTIFS(F:F, "♢♢♢♢", E:E, "A1") + IF(E127="A1", COUNTIFS(F:F, "♢♢♢♢", E:E, E2), 0) - IF(E127="A1", COUNTIFS(F:F, "♢♢♢♢", E:E, "A1"), 0)))/100, 
   IF(F127="☆", ((M7 * 100) / (COUNTIFS(F:F, "☆", E:E, E127) + COUNTIFS(F:F, "☆", E:E, "A1") + IF(E127="A1", COUNTIFS(F:F, "☆", E:E, E2), 0) - IF(E127="A1", COUNTIFS(F:F, "☆", E:E, "A1"), 0)))/100, 
   IF(F127="☆☆", ((M8 * 100) / (COUNTIFS(F:F, "☆☆", E:E, E127) + COUNTIFS(F:F, "☆☆", E:E, "A1") + IF(E127="A1", COUNTIFS(F:F, "☆☆", E:E, E2), 0) - IF(E127="A1", COUNTIFS(F:F, "☆☆", E:E, "A1"), 0)))/100, 
   IF(F127="☆☆☆", ((M9 * 100) / (COUNTIFS(F:F, "☆☆☆", E:E, E127) + COUNTIFS(F:F, "☆☆☆", E:E, "A1") + IF(E127="A1", COUNTIFS(F:F, "☆☆☆", E:E, E2), 0) - IF(E127="A1", COUNTIFS(F:F, "☆☆☆", E:E, "A1"), 0)))/100, 
   IF(F127="♛", ((M10 * 100) / (COUNTIFS(F:F, "♛", E:E, E127) + COUNTIFS(F:F, "♛", E:E, "A1") + IF(E127="A1", COUNTIFS(F:F, "♛", E:E, E2), 0) - IF(E127="A1", COUNTIFS(F:F, "♛", E:E, "A1"), 0)))/100, "")))))))
</f>
        <v>0.02571428571</v>
      </c>
      <c r="I127" s="129">
        <f>IF(F127="♢♢", ((N4 * 100) / (COUNTIFS(F:F, "♢♢", E:E, E127) + COUNTIFS(F:F, "♢♢", E:E, "A1") + IF(E127="A1", COUNTIFS(F:F, "♢♢", E:E, E2), 0) - IF(E127="A1", COUNTIFS(F:F, "♢♢", E:E, "A1"), 0)))/100, 
   IF(F127="♢♢♢", ((N5 * 100) / (COUNTIFS(F:F, "♢♢♢", E:E, E127) + COUNTIFS(F:F, "♢♢♢", E:E, "A1") + IF(E127="A1", COUNTIFS(F:F, "♢♢♢", E:E, E2), 0) - IF(E127="A1", COUNTIFS(F:F, "♢♢♢", E:E, "A1"), 0)))/100, 
   IF(F127="♢♢♢♢", ((N6 * 100) / (COUNTIFS(F:F, "♢♢♢♢", E:E, E127) + COUNTIFS(F:F, "♢♢♢♢", E:E, "A1") + IF(E127="A1", COUNTIFS(F:F, "♢♢♢♢", E:E, E2), 0) - IF(E127="A1", COUNTIFS(F:F, "♢♢♢♢", E:E, "A1"), 0)))/100, 
   IF(F127="☆", ((N7 * 100) / (COUNTIFS(F:F, "☆", E:E, E127) + COUNTIFS(F:F, "☆", E:E, "A1") + IF(E127="A1", COUNTIFS(F:F, "☆", E:E, E2), 0) - IF(E127="A1", COUNTIFS(F:F, "☆", E:E, "A1"), 0)))/100, 
   IF(F127="☆☆", ((N8 * 100) / (COUNTIFS(F:F, "☆☆", E:E, E127) + COUNTIFS(F:F, "☆☆", E:E, "A1") + IF(E127="A1", COUNTIFS(F:F, "☆☆", E:E, E2), 0) - IF(E127="A1", COUNTIFS(F:F, "☆☆", E:E, "A1"), 0)))/100, 
   IF(F127="☆☆☆", ((N9 * 100) / (COUNTIFS(F:F, "☆☆☆", E:E, E127) + COUNTIFS(F:F, "☆☆☆", E:E, "A1") + IF(E127="A1", COUNTIFS(F:F, "☆☆☆", E:E, E2), 0) - IF(E127="A1", COUNTIFS(F:F, "☆☆☆", E:E, "A1"), 0)))/100, 
   IF(F127="♛", ((N10 * 100) / (COUNTIFS(F:F, "♛", E:E, E127) + COUNTIFS(F:F, "♛", E:E, "A1") + IF(E127="A1", COUNTIFS(F:F, "♛", E:E, E2), 0) - IF(E127="A1", COUNTIFS(F:F, "♛", E:E, "A1"), 0)))/100, "")))))))
</f>
        <v>0.01714285714</v>
      </c>
      <c r="J127" s="131"/>
      <c r="K127" s="247"/>
      <c r="L127" s="20"/>
      <c r="M127" s="20"/>
      <c r="N127" s="20"/>
      <c r="O127" s="124" t="s">
        <v>367</v>
      </c>
    </row>
    <row r="128">
      <c r="A128" s="125" t="b">
        <f t="shared" si="1"/>
        <v>0</v>
      </c>
      <c r="B128" s="126">
        <v>0.0</v>
      </c>
      <c r="C128" s="127" t="s">
        <v>368</v>
      </c>
      <c r="D128" s="127" t="s">
        <v>369</v>
      </c>
      <c r="E128" s="128" t="s">
        <v>29</v>
      </c>
      <c r="F128" s="127" t="s">
        <v>44</v>
      </c>
      <c r="G128" s="129">
        <f>IF(F128="♢", ((L3 * 100) / (COUNTIFS(F:F, "♢", E:E, E128) + COUNTIFS(F:F, "♢", E:E, "A1") + IF(E128="A1", COUNTIFS(F:F, "♢", E:E, E2), 0) - IF(E128="A1", COUNTIFS(F:F, "♢", E:E, "A1"), 0)))/100, "")
</f>
        <v>0.02</v>
      </c>
      <c r="H128" s="130" t="str">
        <f>IF(F128="♢♢", ((M4 * 100) / (COUNTIFS(F:F, "♢♢", E:E, E128) + COUNTIFS(F:F, "♢♢", E:E, "A1") + IF(E128="A1", COUNTIFS(F:F, "♢♢", E:E, E2), 0) - IF(E128="A1", COUNTIFS(F:F, "♢♢", E:E, "A1"), 0)))/100, 
   IF(F128="♢♢♢", ((M5 * 100) / (COUNTIFS(F:F, "♢♢♢", E:E, E128) + COUNTIFS(F:F, "♢♢♢", E:E, "A1") + IF(E128="A1", COUNTIFS(F:F, "♢♢♢", E:E, E2), 0) - IF(E128="A1", COUNTIFS(F:F, "♢♢♢", E:E, "A1"), 0)))/100, 
   IF(F128="♢♢♢♢", ((M6 * 100) / (COUNTIFS(F:F, "♢♢♢♢", E:E, E128) + COUNTIFS(F:F, "♢♢♢♢", E:E, "A1") + IF(E128="A1", COUNTIFS(F:F, "♢♢♢♢", E:E, E2), 0) - IF(E128="A1", COUNTIFS(F:F, "♢♢♢♢", E:E, "A1"), 0)))/100, 
   IF(F128="☆", ((M7 * 100) / (COUNTIFS(F:F, "☆", E:E, E128) + COUNTIFS(F:F, "☆", E:E, "A1") + IF(E128="A1", COUNTIFS(F:F, "☆", E:E, E2), 0) - IF(E128="A1", COUNTIFS(F:F, "☆", E:E, "A1"), 0)))/100, 
   IF(F128="☆☆", ((M8 * 100) / (COUNTIFS(F:F, "☆☆", E:E, E128) + COUNTIFS(F:F, "☆☆", E:E, "A1") + IF(E128="A1", COUNTIFS(F:F, "☆☆", E:E, E2), 0) - IF(E128="A1", COUNTIFS(F:F, "☆☆", E:E, "A1"), 0)))/100, 
   IF(F128="☆☆☆", ((M9 * 100) / (COUNTIFS(F:F, "☆☆☆", E:E, E128) + COUNTIFS(F:F, "☆☆☆", E:E, "A1") + IF(E128="A1", COUNTIFS(F:F, "☆☆☆", E:E, E2), 0) - IF(E128="A1", COUNTIFS(F:F, "☆☆☆", E:E, "A1"), 0)))/100, 
   IF(F128="♛", ((M10 * 100) / (COUNTIFS(F:F, "♛", E:E, E128) + COUNTIFS(F:F, "♛", E:E, "A1") + IF(E128="A1", COUNTIFS(F:F, "♛", E:E, E2), 0) - IF(E128="A1", COUNTIFS(F:F, "♛", E:E, "A1"), 0)))/100, "")))))))
</f>
        <v/>
      </c>
      <c r="I128" s="130" t="str">
        <f>IF(F128="♢♢", ((N4 * 100) / (COUNTIFS(F:F, "♢♢", E:E, E128) + COUNTIFS(F:F, "♢♢", E:E, "A1") + IF(E128="A1", COUNTIFS(F:F, "♢♢", E:E, E2), 0) - IF(E128="A1", COUNTIFS(F:F, "♢♢", E:E, "A1"), 0)))/100, 
   IF(F128="♢♢♢", ((N5 * 100) / (COUNTIFS(F:F, "♢♢♢", E:E, E128) + COUNTIFS(F:F, "♢♢♢", E:E, "A1") + IF(E128="A1", COUNTIFS(F:F, "♢♢♢", E:E, E2), 0) - IF(E128="A1", COUNTIFS(F:F, "♢♢♢", E:E, "A1"), 0)))/100, 
   IF(F128="♢♢♢♢", ((N6 * 100) / (COUNTIFS(F:F, "♢♢♢♢", E:E, E128) + COUNTIFS(F:F, "♢♢♢♢", E:E, "A1") + IF(E128="A1", COUNTIFS(F:F, "♢♢♢♢", E:E, E2), 0) - IF(E128="A1", COUNTIFS(F:F, "♢♢♢♢", E:E, "A1"), 0)))/100, 
   IF(F128="☆", ((N7 * 100) / (COUNTIFS(F:F, "☆", E:E, E128) + COUNTIFS(F:F, "☆", E:E, "A1") + IF(E128="A1", COUNTIFS(F:F, "☆", E:E, E2), 0) - IF(E128="A1", COUNTIFS(F:F, "☆", E:E, "A1"), 0)))/100, 
   IF(F128="☆☆", ((N8 * 100) / (COUNTIFS(F:F, "☆☆", E:E, E128) + COUNTIFS(F:F, "☆☆", E:E, "A1") + IF(E128="A1", COUNTIFS(F:F, "☆☆", E:E, E2), 0) - IF(E128="A1", COUNTIFS(F:F, "☆☆", E:E, "A1"), 0)))/100, 
   IF(F128="☆☆☆", ((N9 * 100) / (COUNTIFS(F:F, "☆☆☆", E:E, E128) + COUNTIFS(F:F, "☆☆☆", E:E, "A1") + IF(E128="A1", COUNTIFS(F:F, "☆☆☆", E:E, E2), 0) - IF(E128="A1", COUNTIFS(F:F, "☆☆☆", E:E, "A1"), 0)))/100, 
   IF(F128="♛", ((N10 * 100) / (COUNTIFS(F:F, "♛", E:E, E128) + COUNTIFS(F:F, "♛", E:E, "A1") + IF(E128="A1", COUNTIFS(F:F, "♛", E:E, E2), 0) - IF(E128="A1", COUNTIFS(F:F, "♛", E:E, "A1"), 0)))/100, "")))))))
</f>
        <v/>
      </c>
      <c r="J128" s="131"/>
      <c r="K128" s="247"/>
      <c r="L128" s="20"/>
      <c r="M128" s="20"/>
      <c r="N128" s="20"/>
    </row>
    <row r="129">
      <c r="A129" s="125" t="b">
        <f t="shared" si="1"/>
        <v>0</v>
      </c>
      <c r="B129" s="126">
        <v>0.0</v>
      </c>
      <c r="C129" s="127" t="s">
        <v>370</v>
      </c>
      <c r="D129" s="127" t="s">
        <v>371</v>
      </c>
      <c r="E129" s="128" t="s">
        <v>29</v>
      </c>
      <c r="F129" s="127" t="s">
        <v>48</v>
      </c>
      <c r="G129" s="130" t="str">
        <f>IF(F129="♢", ((L3 * 100) / (COUNTIFS(F:F, "♢", E:E, E129) + COUNTIFS(F:F, "♢", E:E, "A1") + IF(E129="A1", COUNTIFS(F:F, "♢", E:E, E2), 0) - IF(E129="A1", COUNTIFS(F:F, "♢", E:E, "A1"), 0)))/100, "")
</f>
        <v/>
      </c>
      <c r="H129" s="129">
        <f>IF(F129="♢♢", ((M4 * 100) / (COUNTIFS(F:F, "♢♢", E:E, E129) + COUNTIFS(F:F, "♢♢", E:E, "A1") + IF(E129="A1", COUNTIFS(F:F, "♢♢", E:E, E2), 0) - IF(E129="A1", COUNTIFS(F:F, "♢♢", E:E, "A1"), 0)))/100, 
   IF(F129="♢♢♢", ((M5 * 100) / (COUNTIFS(F:F, "♢♢♢", E:E, E129) + COUNTIFS(F:F, "♢♢♢", E:E, "A1") + IF(E129="A1", COUNTIFS(F:F, "♢♢♢", E:E, E2), 0) - IF(E129="A1", COUNTIFS(F:F, "♢♢♢", E:E, "A1"), 0)))/100, 
   IF(F129="♢♢♢♢", ((M6 * 100) / (COUNTIFS(F:F, "♢♢♢♢", E:E, E129) + COUNTIFS(F:F, "♢♢♢♢", E:E, "A1") + IF(E129="A1", COUNTIFS(F:F, "♢♢♢♢", E:E, E2), 0) - IF(E129="A1", COUNTIFS(F:F, "♢♢♢♢", E:E, "A1"), 0)))/100, 
   IF(F129="☆", ((M7 * 100) / (COUNTIFS(F:F, "☆", E:E, E129) + COUNTIFS(F:F, "☆", E:E, "A1") + IF(E129="A1", COUNTIFS(F:F, "☆", E:E, E2), 0) - IF(E129="A1", COUNTIFS(F:F, "☆", E:E, "A1"), 0)))/100, 
   IF(F129="☆☆", ((M8 * 100) / (COUNTIFS(F:F, "☆☆", E:E, E129) + COUNTIFS(F:F, "☆☆", E:E, "A1") + IF(E129="A1", COUNTIFS(F:F, "☆☆", E:E, E2), 0) - IF(E129="A1", COUNTIFS(F:F, "☆☆", E:E, "A1"), 0)))/100, 
   IF(F129="☆☆☆", ((M9 * 100) / (COUNTIFS(F:F, "☆☆☆", E:E, E129) + COUNTIFS(F:F, "☆☆☆", E:E, "A1") + IF(E129="A1", COUNTIFS(F:F, "☆☆☆", E:E, E2), 0) - IF(E129="A1", COUNTIFS(F:F, "☆☆☆", E:E, "A1"), 0)))/100, 
   IF(F129="♛", ((M10 * 100) / (COUNTIFS(F:F, "♛", E:E, E129) + COUNTIFS(F:F, "♛", E:E, "A1") + IF(E129="A1", COUNTIFS(F:F, "♛", E:E, E2), 0) - IF(E129="A1", COUNTIFS(F:F, "♛", E:E, "A1"), 0)))/100, "")))))))
</f>
        <v>0.003571428571</v>
      </c>
      <c r="I129" s="129">
        <f>IF(F129="♢♢", ((N4 * 100) / (COUNTIFS(F:F, "♢♢", E:E, E129) + COUNTIFS(F:F, "♢♢", E:E, "A1") + IF(E129="A1", COUNTIFS(F:F, "♢♢", E:E, E2), 0) - IF(E129="A1", COUNTIFS(F:F, "♢♢", E:E, "A1"), 0)))/100, 
   IF(F129="♢♢♢", ((N5 * 100) / (COUNTIFS(F:F, "♢♢♢", E:E, E129) + COUNTIFS(F:F, "♢♢♢", E:E, "A1") + IF(E129="A1", COUNTIFS(F:F, "♢♢♢", E:E, E2), 0) - IF(E129="A1", COUNTIFS(F:F, "♢♢♢", E:E, "A1"), 0)))/100, 
   IF(F129="♢♢♢♢", ((N6 * 100) / (COUNTIFS(F:F, "♢♢♢♢", E:E, E129) + COUNTIFS(F:F, "♢♢♢♢", E:E, "A1") + IF(E129="A1", COUNTIFS(F:F, "♢♢♢♢", E:E, E2), 0) - IF(E129="A1", COUNTIFS(F:F, "♢♢♢♢", E:E, "A1"), 0)))/100, 
   IF(F129="☆", ((N7 * 100) / (COUNTIFS(F:F, "☆", E:E, E129) + COUNTIFS(F:F, "☆", E:E, "A1") + IF(E129="A1", COUNTIFS(F:F, "☆", E:E, E2), 0) - IF(E129="A1", COUNTIFS(F:F, "☆", E:E, "A1"), 0)))/100, 
   IF(F129="☆☆", ((N8 * 100) / (COUNTIFS(F:F, "☆☆", E:E, E129) + COUNTIFS(F:F, "☆☆", E:E, "A1") + IF(E129="A1", COUNTIFS(F:F, "☆☆", E:E, E2), 0) - IF(E129="A1", COUNTIFS(F:F, "☆☆", E:E, "A1"), 0)))/100, 
   IF(F129="☆☆☆", ((N9 * 100) / (COUNTIFS(F:F, "☆☆☆", E:E, E129) + COUNTIFS(F:F, "☆☆☆", E:E, "A1") + IF(E129="A1", COUNTIFS(F:F, "☆☆☆", E:E, E2), 0) - IF(E129="A1", COUNTIFS(F:F, "☆☆☆", E:E, "A1"), 0)))/100, 
   IF(F129="♛", ((N10 * 100) / (COUNTIFS(F:F, "♛", E:E, E129) + COUNTIFS(F:F, "♛", E:E, "A1") + IF(E129="A1", COUNTIFS(F:F, "♛", E:E, E2), 0) - IF(E129="A1", COUNTIFS(F:F, "♛", E:E, "A1"), 0)))/100, "")))))))
</f>
        <v>0.01428571429</v>
      </c>
      <c r="J129" s="131"/>
      <c r="K129" s="247"/>
      <c r="L129" s="20"/>
      <c r="M129" s="20"/>
      <c r="N129" s="20"/>
    </row>
    <row r="130">
      <c r="A130" s="125" t="b">
        <f t="shared" si="1"/>
        <v>0</v>
      </c>
      <c r="B130" s="126">
        <v>0.0</v>
      </c>
      <c r="C130" s="127" t="s">
        <v>372</v>
      </c>
      <c r="D130" s="128" t="s">
        <v>373</v>
      </c>
      <c r="E130" s="128" t="s">
        <v>29</v>
      </c>
      <c r="F130" s="127" t="s">
        <v>51</v>
      </c>
      <c r="G130" s="130" t="str">
        <f>IF(F130="♢", ((L3 * 100) / (COUNTIFS(F:F, "♢", E:E, E130) + COUNTIFS(F:F, "♢", E:E, "A1") + IF(E130="A1", COUNTIFS(F:F, "♢", E:E, E2), 0) - IF(E130="A1", COUNTIFS(F:F, "♢", E:E, "A1"), 0)))/100, "")
</f>
        <v/>
      </c>
      <c r="H130" s="129">
        <f>IF(F130="♢♢", ((M4 * 100) / (COUNTIFS(F:F, "♢♢", E:E, E130) + COUNTIFS(F:F, "♢♢", E:E, "A1") + IF(E130="A1", COUNTIFS(F:F, "♢♢", E:E, E2), 0) - IF(E130="A1", COUNTIFS(F:F, "♢♢", E:E, "A1"), 0)))/100, 
   IF(F130="♢♢♢", ((M5 * 100) / (COUNTIFS(F:F, "♢♢♢", E:E, E130) + COUNTIFS(F:F, "♢♢♢", E:E, "A1") + IF(E130="A1", COUNTIFS(F:F, "♢♢♢", E:E, E2), 0) - IF(E130="A1", COUNTIFS(F:F, "♢♢♢", E:E, "A1"), 0)))/100, 
   IF(F130="♢♢♢♢", ((M6 * 100) / (COUNTIFS(F:F, "♢♢♢♢", E:E, E130) + COUNTIFS(F:F, "♢♢♢♢", E:E, "A1") + IF(E130="A1", COUNTIFS(F:F, "♢♢♢♢", E:E, E2), 0) - IF(E130="A1", COUNTIFS(F:F, "♢♢♢♢", E:E, "A1"), 0)))/100, 
   IF(F130="☆", ((M7 * 100) / (COUNTIFS(F:F, "☆", E:E, E130) + COUNTIFS(F:F, "☆", E:E, "A1") + IF(E130="A1", COUNTIFS(F:F, "☆", E:E, E2), 0) - IF(E130="A1", COUNTIFS(F:F, "☆", E:E, "A1"), 0)))/100, 
   IF(F130="☆☆", ((M8 * 100) / (COUNTIFS(F:F, "☆☆", E:E, E130) + COUNTIFS(F:F, "☆☆", E:E, "A1") + IF(E130="A1", COUNTIFS(F:F, "☆☆", E:E, E2), 0) - IF(E130="A1", COUNTIFS(F:F, "☆☆", E:E, "A1"), 0)))/100, 
   IF(F130="☆☆☆", ((M9 * 100) / (COUNTIFS(F:F, "☆☆☆", E:E, E130) + COUNTIFS(F:F, "☆☆☆", E:E, "A1") + IF(E130="A1", COUNTIFS(F:F, "☆☆☆", E:E, E2), 0) - IF(E130="A1", COUNTIFS(F:F, "☆☆☆", E:E, "A1"), 0)))/100, 
   IF(F130="♛", ((M10 * 100) / (COUNTIFS(F:F, "♛", E:E, E130) + COUNTIFS(F:F, "♛", E:E, "A1") + IF(E130="A1", COUNTIFS(F:F, "♛", E:E, E2), 0) - IF(E130="A1", COUNTIFS(F:F, "♛", E:E, "A1"), 0)))/100, "")))))))
</f>
        <v>0.003332</v>
      </c>
      <c r="I130" s="129">
        <f>IF(F130="♢♢", ((N4 * 100) / (COUNTIFS(F:F, "♢♢", E:E, E130) + COUNTIFS(F:F, "♢♢", E:E, "A1") + IF(E130="A1", COUNTIFS(F:F, "♢♢", E:E, E2), 0) - IF(E130="A1", COUNTIFS(F:F, "♢♢", E:E, "A1"), 0)))/100, 
   IF(F130="♢♢♢", ((N5 * 100) / (COUNTIFS(F:F, "♢♢♢", E:E, E130) + COUNTIFS(F:F, "♢♢♢", E:E, "A1") + IF(E130="A1", COUNTIFS(F:F, "♢♢♢", E:E, E2), 0) - IF(E130="A1", COUNTIFS(F:F, "♢♢♢", E:E, "A1"), 0)))/100, 
   IF(F130="♢♢♢♢", ((N6 * 100) / (COUNTIFS(F:F, "♢♢♢♢", E:E, E130) + COUNTIFS(F:F, "♢♢♢♢", E:E, "A1") + IF(E130="A1", COUNTIFS(F:F, "♢♢♢♢", E:E, E2), 0) - IF(E130="A1", COUNTIFS(F:F, "♢♢♢♢", E:E, "A1"), 0)))/100, 
   IF(F130="☆", ((N7 * 100) / (COUNTIFS(F:F, "☆", E:E, E130) + COUNTIFS(F:F, "☆", E:E, "A1") + IF(E130="A1", COUNTIFS(F:F, "☆", E:E, E2), 0) - IF(E130="A1", COUNTIFS(F:F, "☆", E:E, "A1"), 0)))/100, 
   IF(F130="☆☆", ((N8 * 100) / (COUNTIFS(F:F, "☆☆", E:E, E130) + COUNTIFS(F:F, "☆☆", E:E, "A1") + IF(E130="A1", COUNTIFS(F:F, "☆☆", E:E, E2), 0) - IF(E130="A1", COUNTIFS(F:F, "☆☆", E:E, "A1"), 0)))/100, 
   IF(F130="☆☆☆", ((N9 * 100) / (COUNTIFS(F:F, "☆☆☆", E:E, E130) + COUNTIFS(F:F, "☆☆☆", E:E, "A1") + IF(E130="A1", COUNTIFS(F:F, "☆☆☆", E:E, E2), 0) - IF(E130="A1", COUNTIFS(F:F, "☆☆☆", E:E, "A1"), 0)))/100, 
   IF(F130="♛", ((N10 * 100) / (COUNTIFS(F:F, "♛", E:E, E130) + COUNTIFS(F:F, "♛", E:E, "A1") + IF(E130="A1", COUNTIFS(F:F, "♛", E:E, E2), 0) - IF(E130="A1", COUNTIFS(F:F, "♛", E:E, "A1"), 0)))/100, "")))))))
</f>
        <v>0.013328</v>
      </c>
      <c r="J130" s="131"/>
      <c r="K130" s="247"/>
      <c r="L130" s="20"/>
      <c r="M130" s="20"/>
      <c r="N130" s="20"/>
    </row>
    <row r="131">
      <c r="A131" s="125" t="b">
        <f t="shared" si="1"/>
        <v>0</v>
      </c>
      <c r="B131" s="126">
        <v>0.0</v>
      </c>
      <c r="C131" s="127" t="s">
        <v>374</v>
      </c>
      <c r="D131" s="127" t="s">
        <v>375</v>
      </c>
      <c r="E131" s="128" t="s">
        <v>29</v>
      </c>
      <c r="F131" s="127" t="s">
        <v>44</v>
      </c>
      <c r="G131" s="129">
        <f>IF(F131="♢", ((L3 * 100) / (COUNTIFS(F:F, "♢", E:E, E131) + COUNTIFS(F:F, "♢", E:E, "A1") + IF(E131="A1", COUNTIFS(F:F, "♢", E:E, E2), 0) - IF(E131="A1", COUNTIFS(F:F, "♢", E:E, "A1"), 0)))/100, "")
</f>
        <v>0.02</v>
      </c>
      <c r="H131" s="130" t="str">
        <f>IF(F131="♢♢", ((M4 * 100) / (COUNTIFS(F:F, "♢♢", E:E, E131) + COUNTIFS(F:F, "♢♢", E:E, "A1") + IF(E131="A1", COUNTIFS(F:F, "♢♢", E:E, E2), 0) - IF(E131="A1", COUNTIFS(F:F, "♢♢", E:E, "A1"), 0)))/100, 
   IF(F131="♢♢♢", ((M5 * 100) / (COUNTIFS(F:F, "♢♢♢", E:E, E131) + COUNTIFS(F:F, "♢♢♢", E:E, "A1") + IF(E131="A1", COUNTIFS(F:F, "♢♢♢", E:E, E2), 0) - IF(E131="A1", COUNTIFS(F:F, "♢♢♢", E:E, "A1"), 0)))/100, 
   IF(F131="♢♢♢♢", ((M6 * 100) / (COUNTIFS(F:F, "♢♢♢♢", E:E, E131) + COUNTIFS(F:F, "♢♢♢♢", E:E, "A1") + IF(E131="A1", COUNTIFS(F:F, "♢♢♢♢", E:E, E2), 0) - IF(E131="A1", COUNTIFS(F:F, "♢♢♢♢", E:E, "A1"), 0)))/100, 
   IF(F131="☆", ((M7 * 100) / (COUNTIFS(F:F, "☆", E:E, E131) + COUNTIFS(F:F, "☆", E:E, "A1") + IF(E131="A1", COUNTIFS(F:F, "☆", E:E, E2), 0) - IF(E131="A1", COUNTIFS(F:F, "☆", E:E, "A1"), 0)))/100, 
   IF(F131="☆☆", ((M8 * 100) / (COUNTIFS(F:F, "☆☆", E:E, E131) + COUNTIFS(F:F, "☆☆", E:E, "A1") + IF(E131="A1", COUNTIFS(F:F, "☆☆", E:E, E2), 0) - IF(E131="A1", COUNTIFS(F:F, "☆☆", E:E, "A1"), 0)))/100, 
   IF(F131="☆☆☆", ((M9 * 100) / (COUNTIFS(F:F, "☆☆☆", E:E, E131) + COUNTIFS(F:F, "☆☆☆", E:E, "A1") + IF(E131="A1", COUNTIFS(F:F, "☆☆☆", E:E, E2), 0) - IF(E131="A1", COUNTIFS(F:F, "☆☆☆", E:E, "A1"), 0)))/100, 
   IF(F131="♛", ((M10 * 100) / (COUNTIFS(F:F, "♛", E:E, E131) + COUNTIFS(F:F, "♛", E:E, "A1") + IF(E131="A1", COUNTIFS(F:F, "♛", E:E, E2), 0) - IF(E131="A1", COUNTIFS(F:F, "♛", E:E, "A1"), 0)))/100, "")))))))
</f>
        <v/>
      </c>
      <c r="I131" s="130" t="str">
        <f>IF(F131="♢♢", ((N4 * 100) / (COUNTIFS(F:F, "♢♢", E:E, E131) + COUNTIFS(F:F, "♢♢", E:E, "A1") + IF(E131="A1", COUNTIFS(F:F, "♢♢", E:E, E2), 0) - IF(E131="A1", COUNTIFS(F:F, "♢♢", E:E, "A1"), 0)))/100, 
   IF(F131="♢♢♢", ((N5 * 100) / (COUNTIFS(F:F, "♢♢♢", E:E, E131) + COUNTIFS(F:F, "♢♢♢", E:E, "A1") + IF(E131="A1", COUNTIFS(F:F, "♢♢♢", E:E, E2), 0) - IF(E131="A1", COUNTIFS(F:F, "♢♢♢", E:E, "A1"), 0)))/100, 
   IF(F131="♢♢♢♢", ((N6 * 100) / (COUNTIFS(F:F, "♢♢♢♢", E:E, E131) + COUNTIFS(F:F, "♢♢♢♢", E:E, "A1") + IF(E131="A1", COUNTIFS(F:F, "♢♢♢♢", E:E, E2), 0) - IF(E131="A1", COUNTIFS(F:F, "♢♢♢♢", E:E, "A1"), 0)))/100, 
   IF(F131="☆", ((N7 * 100) / (COUNTIFS(F:F, "☆", E:E, E131) + COUNTIFS(F:F, "☆", E:E, "A1") + IF(E131="A1", COUNTIFS(F:F, "☆", E:E, E2), 0) - IF(E131="A1", COUNTIFS(F:F, "☆", E:E, "A1"), 0)))/100, 
   IF(F131="☆☆", ((N8 * 100) / (COUNTIFS(F:F, "☆☆", E:E, E131) + COUNTIFS(F:F, "☆☆", E:E, "A1") + IF(E131="A1", COUNTIFS(F:F, "☆☆", E:E, E2), 0) - IF(E131="A1", COUNTIFS(F:F, "☆☆", E:E, "A1"), 0)))/100, 
   IF(F131="☆☆☆", ((N9 * 100) / (COUNTIFS(F:F, "☆☆☆", E:E, E131) + COUNTIFS(F:F, "☆☆☆", E:E, "A1") + IF(E131="A1", COUNTIFS(F:F, "☆☆☆", E:E, E2), 0) - IF(E131="A1", COUNTIFS(F:F, "☆☆☆", E:E, "A1"), 0)))/100, 
   IF(F131="♛", ((N10 * 100) / (COUNTIFS(F:F, "♛", E:E, E131) + COUNTIFS(F:F, "♛", E:E, "A1") + IF(E131="A1", COUNTIFS(F:F, "♛", E:E, E2), 0) - IF(E131="A1", COUNTIFS(F:F, "♛", E:E, "A1"), 0)))/100, "")))))))
</f>
        <v/>
      </c>
      <c r="J131" s="131"/>
      <c r="K131" s="247"/>
      <c r="L131" s="20"/>
      <c r="M131" s="20"/>
      <c r="N131" s="20"/>
    </row>
    <row r="132">
      <c r="A132" s="125" t="b">
        <f t="shared" si="1"/>
        <v>0</v>
      </c>
      <c r="B132" s="126">
        <v>0.0</v>
      </c>
      <c r="C132" s="127" t="s">
        <v>376</v>
      </c>
      <c r="D132" s="127" t="s">
        <v>377</v>
      </c>
      <c r="E132" s="128" t="s">
        <v>29</v>
      </c>
      <c r="F132" s="127" t="s">
        <v>46</v>
      </c>
      <c r="G132" s="130" t="str">
        <f>IF(F132="♢", ((L3 * 100) / (COUNTIFS(F:F, "♢", E:E, E132) + COUNTIFS(F:F, "♢", E:E, "A1") + IF(E132="A1", COUNTIFS(F:F, "♢", E:E, E2), 0) - IF(E132="A1", COUNTIFS(F:F, "♢", E:E, "A1"), 0)))/100, "")
</f>
        <v/>
      </c>
      <c r="H132" s="129">
        <f>IF(F132="♢♢", ((M4 * 100) / (COUNTIFS(F:F, "♢♢", E:E, E132) + COUNTIFS(F:F, "♢♢", E:E, "A1") + IF(E132="A1", COUNTIFS(F:F, "♢♢", E:E, E2), 0) - IF(E132="A1", COUNTIFS(F:F, "♢♢", E:E, "A1"), 0)))/100, 
   IF(F132="♢♢♢", ((M5 * 100) / (COUNTIFS(F:F, "♢♢♢", E:E, E132) + COUNTIFS(F:F, "♢♢♢", E:E, "A1") + IF(E132="A1", COUNTIFS(F:F, "♢♢♢", E:E, E2), 0) - IF(E132="A1", COUNTIFS(F:F, "♢♢♢", E:E, "A1"), 0)))/100, 
   IF(F132="♢♢♢♢", ((M6 * 100) / (COUNTIFS(F:F, "♢♢♢♢", E:E, E132) + COUNTIFS(F:F, "♢♢♢♢", E:E, "A1") + IF(E132="A1", COUNTIFS(F:F, "♢♢♢♢", E:E, E2), 0) - IF(E132="A1", COUNTIFS(F:F, "♢♢♢♢", E:E, "A1"), 0)))/100, 
   IF(F132="☆", ((M7 * 100) / (COUNTIFS(F:F, "☆", E:E, E132) + COUNTIFS(F:F, "☆", E:E, "A1") + IF(E132="A1", COUNTIFS(F:F, "☆", E:E, E2), 0) - IF(E132="A1", COUNTIFS(F:F, "☆", E:E, "A1"), 0)))/100, 
   IF(F132="☆☆", ((M8 * 100) / (COUNTIFS(F:F, "☆☆", E:E, E132) + COUNTIFS(F:F, "☆☆", E:E, "A1") + IF(E132="A1", COUNTIFS(F:F, "☆☆", E:E, E2), 0) - IF(E132="A1", COUNTIFS(F:F, "☆☆", E:E, "A1"), 0)))/100, 
   IF(F132="☆☆☆", ((M9 * 100) / (COUNTIFS(F:F, "☆☆☆", E:E, E132) + COUNTIFS(F:F, "☆☆☆", E:E, "A1") + IF(E132="A1", COUNTIFS(F:F, "☆☆☆", E:E, E2), 0) - IF(E132="A1", COUNTIFS(F:F, "☆☆☆", E:E, "A1"), 0)))/100, 
   IF(F132="♛", ((M10 * 100) / (COUNTIFS(F:F, "♛", E:E, E132) + COUNTIFS(F:F, "♛", E:E, "A1") + IF(E132="A1", COUNTIFS(F:F, "♛", E:E, E2), 0) - IF(E132="A1", COUNTIFS(F:F, "♛", E:E, "A1"), 0)))/100, "")))))))
</f>
        <v>0.02571428571</v>
      </c>
      <c r="I132" s="129">
        <f>IF(F132="♢♢", ((N4 * 100) / (COUNTIFS(F:F, "♢♢", E:E, E132) + COUNTIFS(F:F, "♢♢", E:E, "A1") + IF(E132="A1", COUNTIFS(F:F, "♢♢", E:E, E2), 0) - IF(E132="A1", COUNTIFS(F:F, "♢♢", E:E, "A1"), 0)))/100, 
   IF(F132="♢♢♢", ((N5 * 100) / (COUNTIFS(F:F, "♢♢♢", E:E, E132) + COUNTIFS(F:F, "♢♢♢", E:E, "A1") + IF(E132="A1", COUNTIFS(F:F, "♢♢♢", E:E, E2), 0) - IF(E132="A1", COUNTIFS(F:F, "♢♢♢", E:E, "A1"), 0)))/100, 
   IF(F132="♢♢♢♢", ((N6 * 100) / (COUNTIFS(F:F, "♢♢♢♢", E:E, E132) + COUNTIFS(F:F, "♢♢♢♢", E:E, "A1") + IF(E132="A1", COUNTIFS(F:F, "♢♢♢♢", E:E, E2), 0) - IF(E132="A1", COUNTIFS(F:F, "♢♢♢♢", E:E, "A1"), 0)))/100, 
   IF(F132="☆", ((N7 * 100) / (COUNTIFS(F:F, "☆", E:E, E132) + COUNTIFS(F:F, "☆", E:E, "A1") + IF(E132="A1", COUNTIFS(F:F, "☆", E:E, E2), 0) - IF(E132="A1", COUNTIFS(F:F, "☆", E:E, "A1"), 0)))/100, 
   IF(F132="☆☆", ((N8 * 100) / (COUNTIFS(F:F, "☆☆", E:E, E132) + COUNTIFS(F:F, "☆☆", E:E, "A1") + IF(E132="A1", COUNTIFS(F:F, "☆☆", E:E, E2), 0) - IF(E132="A1", COUNTIFS(F:F, "☆☆", E:E, "A1"), 0)))/100, 
   IF(F132="☆☆☆", ((N9 * 100) / (COUNTIFS(F:F, "☆☆☆", E:E, E132) + COUNTIFS(F:F, "☆☆☆", E:E, "A1") + IF(E132="A1", COUNTIFS(F:F, "☆☆☆", E:E, E2), 0) - IF(E132="A1", COUNTIFS(F:F, "☆☆☆", E:E, "A1"), 0)))/100, 
   IF(F132="♛", ((N10 * 100) / (COUNTIFS(F:F, "♛", E:E, E132) + COUNTIFS(F:F, "♛", E:E, "A1") + IF(E132="A1", COUNTIFS(F:F, "♛", E:E, E2), 0) - IF(E132="A1", COUNTIFS(F:F, "♛", E:E, "A1"), 0)))/100, "")))))))
</f>
        <v>0.01714285714</v>
      </c>
      <c r="J132" s="131"/>
      <c r="K132" s="247"/>
      <c r="L132" s="20"/>
      <c r="M132" s="20"/>
      <c r="N132" s="20"/>
    </row>
    <row r="133">
      <c r="A133" s="125" t="b">
        <f t="shared" si="1"/>
        <v>0</v>
      </c>
      <c r="B133" s="126">
        <v>0.0</v>
      </c>
      <c r="C133" s="127" t="s">
        <v>378</v>
      </c>
      <c r="D133" s="127" t="s">
        <v>379</v>
      </c>
      <c r="E133" s="128" t="s">
        <v>29</v>
      </c>
      <c r="F133" s="127" t="s">
        <v>48</v>
      </c>
      <c r="G133" s="130" t="str">
        <f>IF(F133="♢", ((L3 * 100) / (COUNTIFS(F:F, "♢", E:E, E133) + COUNTIFS(F:F, "♢", E:E, "A1") + IF(E133="A1", COUNTIFS(F:F, "♢", E:E, E2), 0) - IF(E133="A1", COUNTIFS(F:F, "♢", E:E, "A1"), 0)))/100, "")
</f>
        <v/>
      </c>
      <c r="H133" s="129">
        <f>IF(F133="♢♢", ((M4 * 100) / (COUNTIFS(F:F, "♢♢", E:E, E133) + COUNTIFS(F:F, "♢♢", E:E, "A1") + IF(E133="A1", COUNTIFS(F:F, "♢♢", E:E, E2), 0) - IF(E133="A1", COUNTIFS(F:F, "♢♢", E:E, "A1"), 0)))/100, 
   IF(F133="♢♢♢", ((M5 * 100) / (COUNTIFS(F:F, "♢♢♢", E:E, E133) + COUNTIFS(F:F, "♢♢♢", E:E, "A1") + IF(E133="A1", COUNTIFS(F:F, "♢♢♢", E:E, E2), 0) - IF(E133="A1", COUNTIFS(F:F, "♢♢♢", E:E, "A1"), 0)))/100, 
   IF(F133="♢♢♢♢", ((M6 * 100) / (COUNTIFS(F:F, "♢♢♢♢", E:E, E133) + COUNTIFS(F:F, "♢♢♢♢", E:E, "A1") + IF(E133="A1", COUNTIFS(F:F, "♢♢♢♢", E:E, E2), 0) - IF(E133="A1", COUNTIFS(F:F, "♢♢♢♢", E:E, "A1"), 0)))/100, 
   IF(F133="☆", ((M7 * 100) / (COUNTIFS(F:F, "☆", E:E, E133) + COUNTIFS(F:F, "☆", E:E, "A1") + IF(E133="A1", COUNTIFS(F:F, "☆", E:E, E2), 0) - IF(E133="A1", COUNTIFS(F:F, "☆", E:E, "A1"), 0)))/100, 
   IF(F133="☆☆", ((M8 * 100) / (COUNTIFS(F:F, "☆☆", E:E, E133) + COUNTIFS(F:F, "☆☆", E:E, "A1") + IF(E133="A1", COUNTIFS(F:F, "☆☆", E:E, E2), 0) - IF(E133="A1", COUNTIFS(F:F, "☆☆", E:E, "A1"), 0)))/100, 
   IF(F133="☆☆☆", ((M9 * 100) / (COUNTIFS(F:F, "☆☆☆", E:E, E133) + COUNTIFS(F:F, "☆☆☆", E:E, "A1") + IF(E133="A1", COUNTIFS(F:F, "☆☆☆", E:E, E2), 0) - IF(E133="A1", COUNTIFS(F:F, "☆☆☆", E:E, "A1"), 0)))/100, 
   IF(F133="♛", ((M10 * 100) / (COUNTIFS(F:F, "♛", E:E, E133) + COUNTIFS(F:F, "♛", E:E, "A1") + IF(E133="A1", COUNTIFS(F:F, "♛", E:E, E2), 0) - IF(E133="A1", COUNTIFS(F:F, "♛", E:E, "A1"), 0)))/100, "")))))))
</f>
        <v>0.003571428571</v>
      </c>
      <c r="I133" s="129">
        <f>IF(F133="♢♢", ((N4 * 100) / (COUNTIFS(F:F, "♢♢", E:E, E133) + COUNTIFS(F:F, "♢♢", E:E, "A1") + IF(E133="A1", COUNTIFS(F:F, "♢♢", E:E, E2), 0) - IF(E133="A1", COUNTIFS(F:F, "♢♢", E:E, "A1"), 0)))/100, 
   IF(F133="♢♢♢", ((N5 * 100) / (COUNTIFS(F:F, "♢♢♢", E:E, E133) + COUNTIFS(F:F, "♢♢♢", E:E, "A1") + IF(E133="A1", COUNTIFS(F:F, "♢♢♢", E:E, E2), 0) - IF(E133="A1", COUNTIFS(F:F, "♢♢♢", E:E, "A1"), 0)))/100, 
   IF(F133="♢♢♢♢", ((N6 * 100) / (COUNTIFS(F:F, "♢♢♢♢", E:E, E133) + COUNTIFS(F:F, "♢♢♢♢", E:E, "A1") + IF(E133="A1", COUNTIFS(F:F, "♢♢♢♢", E:E, E2), 0) - IF(E133="A1", COUNTIFS(F:F, "♢♢♢♢", E:E, "A1"), 0)))/100, 
   IF(F133="☆", ((N7 * 100) / (COUNTIFS(F:F, "☆", E:E, E133) + COUNTIFS(F:F, "☆", E:E, "A1") + IF(E133="A1", COUNTIFS(F:F, "☆", E:E, E2), 0) - IF(E133="A1", COUNTIFS(F:F, "☆", E:E, "A1"), 0)))/100, 
   IF(F133="☆☆", ((N8 * 100) / (COUNTIFS(F:F, "☆☆", E:E, E133) + COUNTIFS(F:F, "☆☆", E:E, "A1") + IF(E133="A1", COUNTIFS(F:F, "☆☆", E:E, E2), 0) - IF(E133="A1", COUNTIFS(F:F, "☆☆", E:E, "A1"), 0)))/100, 
   IF(F133="☆☆☆", ((N9 * 100) / (COUNTIFS(F:F, "☆☆☆", E:E, E133) + COUNTIFS(F:F, "☆☆☆", E:E, "A1") + IF(E133="A1", COUNTIFS(F:F, "☆☆☆", E:E, E2), 0) - IF(E133="A1", COUNTIFS(F:F, "☆☆☆", E:E, "A1"), 0)))/100, 
   IF(F133="♛", ((N10 * 100) / (COUNTIFS(F:F, "♛", E:E, E133) + COUNTIFS(F:F, "♛", E:E, "A1") + IF(E133="A1", COUNTIFS(F:F, "♛", E:E, E2), 0) - IF(E133="A1", COUNTIFS(F:F, "♛", E:E, "A1"), 0)))/100, "")))))))
</f>
        <v>0.01428571429</v>
      </c>
      <c r="J133" s="131"/>
      <c r="K133" s="247"/>
      <c r="L133" s="20"/>
      <c r="M133" s="20"/>
      <c r="N133" s="20"/>
    </row>
    <row r="134">
      <c r="A134" s="125" t="b">
        <f t="shared" si="1"/>
        <v>0</v>
      </c>
      <c r="B134" s="126">
        <v>0.0</v>
      </c>
      <c r="C134" s="127" t="s">
        <v>380</v>
      </c>
      <c r="D134" s="127" t="s">
        <v>381</v>
      </c>
      <c r="E134" s="128" t="s">
        <v>137</v>
      </c>
      <c r="F134" s="127" t="s">
        <v>44</v>
      </c>
      <c r="G134" s="129">
        <f>IF(F134="♢", ((L3 * 100) / (COUNTIFS(F:F, "♢", E:E, E134) + COUNTIFS(F:F, "♢", E:E, "A1") + IF(E134="A1", COUNTIFS(F:F, "♢", E:E, E2), 0) - IF(E134="A1", COUNTIFS(F:F, "♢", E:E, "A1"), 0)))/100, "")
</f>
        <v>0.02</v>
      </c>
      <c r="H134" s="130" t="str">
        <f>IF(F134="♢♢", ((M4 * 100) / (COUNTIFS(F:F, "♢♢", E:E, E134) + COUNTIFS(F:F, "♢♢", E:E, "A1") + IF(E134="A1", COUNTIFS(F:F, "♢♢", E:E, E2), 0) - IF(E134="A1", COUNTIFS(F:F, "♢♢", E:E, "A1"), 0)))/100, 
   IF(F134="♢♢♢", ((M5 * 100) / (COUNTIFS(F:F, "♢♢♢", E:E, E134) + COUNTIFS(F:F, "♢♢♢", E:E, "A1") + IF(E134="A1", COUNTIFS(F:F, "♢♢♢", E:E, E2), 0) - IF(E134="A1", COUNTIFS(F:F, "♢♢♢", E:E, "A1"), 0)))/100, 
   IF(F134="♢♢♢♢", ((M6 * 100) / (COUNTIFS(F:F, "♢♢♢♢", E:E, E134) + COUNTIFS(F:F, "♢♢♢♢", E:E, "A1") + IF(E134="A1", COUNTIFS(F:F, "♢♢♢♢", E:E, E2), 0) - IF(E134="A1", COUNTIFS(F:F, "♢♢♢♢", E:E, "A1"), 0)))/100, 
   IF(F134="☆", ((M7 * 100) / (COUNTIFS(F:F, "☆", E:E, E134) + COUNTIFS(F:F, "☆", E:E, "A1") + IF(E134="A1", COUNTIFS(F:F, "☆", E:E, E2), 0) - IF(E134="A1", COUNTIFS(F:F, "☆", E:E, "A1"), 0)))/100, 
   IF(F134="☆☆", ((M8 * 100) / (COUNTIFS(F:F, "☆☆", E:E, E134) + COUNTIFS(F:F, "☆☆", E:E, "A1") + IF(E134="A1", COUNTIFS(F:F, "☆☆", E:E, E2), 0) - IF(E134="A1", COUNTIFS(F:F, "☆☆", E:E, "A1"), 0)))/100, 
   IF(F134="☆☆☆", ((M9 * 100) / (COUNTIFS(F:F, "☆☆☆", E:E, E134) + COUNTIFS(F:F, "☆☆☆", E:E, "A1") + IF(E134="A1", COUNTIFS(F:F, "☆☆☆", E:E, E2), 0) - IF(E134="A1", COUNTIFS(F:F, "☆☆☆", E:E, "A1"), 0)))/100, 
   IF(F134="♛", ((M10 * 100) / (COUNTIFS(F:F, "♛", E:E, E134) + COUNTIFS(F:F, "♛", E:E, "A1") + IF(E134="A1", COUNTIFS(F:F, "♛", E:E, E2), 0) - IF(E134="A1", COUNTIFS(F:F, "♛", E:E, "A1"), 0)))/100, "")))))))
</f>
        <v/>
      </c>
      <c r="I134" s="130" t="str">
        <f>IF(F134="♢♢", ((N4 * 100) / (COUNTIFS(F:F, "♢♢", E:E, E134) + COUNTIFS(F:F, "♢♢", E:E, "A1") + IF(E134="A1", COUNTIFS(F:F, "♢♢", E:E, E2), 0) - IF(E134="A1", COUNTIFS(F:F, "♢♢", E:E, "A1"), 0)))/100, 
   IF(F134="♢♢♢", ((N5 * 100) / (COUNTIFS(F:F, "♢♢♢", E:E, E134) + COUNTIFS(F:F, "♢♢♢", E:E, "A1") + IF(E134="A1", COUNTIFS(F:F, "♢♢♢", E:E, E2), 0) - IF(E134="A1", COUNTIFS(F:F, "♢♢♢", E:E, "A1"), 0)))/100, 
   IF(F134="♢♢♢♢", ((N6 * 100) / (COUNTIFS(F:F, "♢♢♢♢", E:E, E134) + COUNTIFS(F:F, "♢♢♢♢", E:E, "A1") + IF(E134="A1", COUNTIFS(F:F, "♢♢♢♢", E:E, E2), 0) - IF(E134="A1", COUNTIFS(F:F, "♢♢♢♢", E:E, "A1"), 0)))/100, 
   IF(F134="☆", ((N7 * 100) / (COUNTIFS(F:F, "☆", E:E, E134) + COUNTIFS(F:F, "☆", E:E, "A1") + IF(E134="A1", COUNTIFS(F:F, "☆", E:E, E2), 0) - IF(E134="A1", COUNTIFS(F:F, "☆", E:E, "A1"), 0)))/100, 
   IF(F134="☆☆", ((N8 * 100) / (COUNTIFS(F:F, "☆☆", E:E, E134) + COUNTIFS(F:F, "☆☆", E:E, "A1") + IF(E134="A1", COUNTIFS(F:F, "☆☆", E:E, E2), 0) - IF(E134="A1", COUNTIFS(F:F, "☆☆", E:E, "A1"), 0)))/100, 
   IF(F134="☆☆☆", ((N9 * 100) / (COUNTIFS(F:F, "☆☆☆", E:E, E134) + COUNTIFS(F:F, "☆☆☆", E:E, "A1") + IF(E134="A1", COUNTIFS(F:F, "☆☆☆", E:E, E2), 0) - IF(E134="A1", COUNTIFS(F:F, "☆☆☆", E:E, "A1"), 0)))/100, 
   IF(F134="♛", ((N10 * 100) / (COUNTIFS(F:F, "♛", E:E, E134) + COUNTIFS(F:F, "♛", E:E, "A1") + IF(E134="A1", COUNTIFS(F:F, "♛", E:E, E2), 0) - IF(E134="A1", COUNTIFS(F:F, "♛", E:E, "A1"), 0)))/100, "")))))))
</f>
        <v/>
      </c>
      <c r="J134" s="131"/>
      <c r="K134" s="247"/>
      <c r="L134" s="20"/>
      <c r="M134" s="20"/>
      <c r="N134" s="20"/>
    </row>
    <row r="135">
      <c r="A135" s="125" t="b">
        <f t="shared" si="1"/>
        <v>0</v>
      </c>
      <c r="B135" s="126">
        <v>0.0</v>
      </c>
      <c r="C135" s="127" t="s">
        <v>382</v>
      </c>
      <c r="D135" s="127" t="s">
        <v>383</v>
      </c>
      <c r="E135" s="128" t="s">
        <v>137</v>
      </c>
      <c r="F135" s="127" t="s">
        <v>44</v>
      </c>
      <c r="G135" s="129">
        <f>IF(F135="♢", ((L3 * 100) / (COUNTIFS(F:F, "♢", E:E, E135) + COUNTIFS(F:F, "♢", E:E, "A1") + IF(E135="A1", COUNTIFS(F:F, "♢", E:E, E2), 0) - IF(E135="A1", COUNTIFS(F:F, "♢", E:E, "A1"), 0)))/100, "")
</f>
        <v>0.02</v>
      </c>
      <c r="H135" s="130" t="str">
        <f>IF(F135="♢♢", ((M4 * 100) / (COUNTIFS(F:F, "♢♢", E:E, E135) + COUNTIFS(F:F, "♢♢", E:E, "A1") + IF(E135="A1", COUNTIFS(F:F, "♢♢", E:E, E2), 0) - IF(E135="A1", COUNTIFS(F:F, "♢♢", E:E, "A1"), 0)))/100, 
   IF(F135="♢♢♢", ((M5 * 100) / (COUNTIFS(F:F, "♢♢♢", E:E, E135) + COUNTIFS(F:F, "♢♢♢", E:E, "A1") + IF(E135="A1", COUNTIFS(F:F, "♢♢♢", E:E, E2), 0) - IF(E135="A1", COUNTIFS(F:F, "♢♢♢", E:E, "A1"), 0)))/100, 
   IF(F135="♢♢♢♢", ((M6 * 100) / (COUNTIFS(F:F, "♢♢♢♢", E:E, E135) + COUNTIFS(F:F, "♢♢♢♢", E:E, "A1") + IF(E135="A1", COUNTIFS(F:F, "♢♢♢♢", E:E, E2), 0) - IF(E135="A1", COUNTIFS(F:F, "♢♢♢♢", E:E, "A1"), 0)))/100, 
   IF(F135="☆", ((M7 * 100) / (COUNTIFS(F:F, "☆", E:E, E135) + COUNTIFS(F:F, "☆", E:E, "A1") + IF(E135="A1", COUNTIFS(F:F, "☆", E:E, E2), 0) - IF(E135="A1", COUNTIFS(F:F, "☆", E:E, "A1"), 0)))/100, 
   IF(F135="☆☆", ((M8 * 100) / (COUNTIFS(F:F, "☆☆", E:E, E135) + COUNTIFS(F:F, "☆☆", E:E, "A1") + IF(E135="A1", COUNTIFS(F:F, "☆☆", E:E, E2), 0) - IF(E135="A1", COUNTIFS(F:F, "☆☆", E:E, "A1"), 0)))/100, 
   IF(F135="☆☆☆", ((M9 * 100) / (COUNTIFS(F:F, "☆☆☆", E:E, E135) + COUNTIFS(F:F, "☆☆☆", E:E, "A1") + IF(E135="A1", COUNTIFS(F:F, "☆☆☆", E:E, E2), 0) - IF(E135="A1", COUNTIFS(F:F, "☆☆☆", E:E, "A1"), 0)))/100, 
   IF(F135="♛", ((M10 * 100) / (COUNTIFS(F:F, "♛", E:E, E135) + COUNTIFS(F:F, "♛", E:E, "A1") + IF(E135="A1", COUNTIFS(F:F, "♛", E:E, E2), 0) - IF(E135="A1", COUNTIFS(F:F, "♛", E:E, "A1"), 0)))/100, "")))))))
</f>
        <v/>
      </c>
      <c r="I135" s="130" t="str">
        <f>IF(F135="♢♢", ((N4 * 100) / (COUNTIFS(F:F, "♢♢", E:E, E135) + COUNTIFS(F:F, "♢♢", E:E, "A1") + IF(E135="A1", COUNTIFS(F:F, "♢♢", E:E, E2), 0) - IF(E135="A1", COUNTIFS(F:F, "♢♢", E:E, "A1"), 0)))/100, 
   IF(F135="♢♢♢", ((N5 * 100) / (COUNTIFS(F:F, "♢♢♢", E:E, E135) + COUNTIFS(F:F, "♢♢♢", E:E, "A1") + IF(E135="A1", COUNTIFS(F:F, "♢♢♢", E:E, E2), 0) - IF(E135="A1", COUNTIFS(F:F, "♢♢♢", E:E, "A1"), 0)))/100, 
   IF(F135="♢♢♢♢", ((N6 * 100) / (COUNTIFS(F:F, "♢♢♢♢", E:E, E135) + COUNTIFS(F:F, "♢♢♢♢", E:E, "A1") + IF(E135="A1", COUNTIFS(F:F, "♢♢♢♢", E:E, E2), 0) - IF(E135="A1", COUNTIFS(F:F, "♢♢♢♢", E:E, "A1"), 0)))/100, 
   IF(F135="☆", ((N7 * 100) / (COUNTIFS(F:F, "☆", E:E, E135) + COUNTIFS(F:F, "☆", E:E, "A1") + IF(E135="A1", COUNTIFS(F:F, "☆", E:E, E2), 0) - IF(E135="A1", COUNTIFS(F:F, "☆", E:E, "A1"), 0)))/100, 
   IF(F135="☆☆", ((N8 * 100) / (COUNTIFS(F:F, "☆☆", E:E, E135) + COUNTIFS(F:F, "☆☆", E:E, "A1") + IF(E135="A1", COUNTIFS(F:F, "☆☆", E:E, E2), 0) - IF(E135="A1", COUNTIFS(F:F, "☆☆", E:E, "A1"), 0)))/100, 
   IF(F135="☆☆☆", ((N9 * 100) / (COUNTIFS(F:F, "☆☆☆", E:E, E135) + COUNTIFS(F:F, "☆☆☆", E:E, "A1") + IF(E135="A1", COUNTIFS(F:F, "☆☆☆", E:E, E2), 0) - IF(E135="A1", COUNTIFS(F:F, "☆☆☆", E:E, "A1"), 0)))/100, 
   IF(F135="♛", ((N10 * 100) / (COUNTIFS(F:F, "♛", E:E, E135) + COUNTIFS(F:F, "♛", E:E, "A1") + IF(E135="A1", COUNTIFS(F:F, "♛", E:E, E2), 0) - IF(E135="A1", COUNTIFS(F:F, "♛", E:E, "A1"), 0)))/100, "")))))))
</f>
        <v/>
      </c>
      <c r="J135" s="131"/>
      <c r="K135" s="247"/>
      <c r="L135" s="20"/>
      <c r="M135" s="20"/>
      <c r="N135" s="20"/>
    </row>
    <row r="136">
      <c r="A136" s="125" t="b">
        <f t="shared" si="1"/>
        <v>0</v>
      </c>
      <c r="B136" s="126">
        <v>0.0</v>
      </c>
      <c r="C136" s="127" t="s">
        <v>384</v>
      </c>
      <c r="D136" s="127" t="s">
        <v>385</v>
      </c>
      <c r="E136" s="128" t="s">
        <v>137</v>
      </c>
      <c r="F136" s="127" t="s">
        <v>44</v>
      </c>
      <c r="G136" s="129">
        <f>IF(F136="♢", ((L3 * 100) / (COUNTIFS(F:F, "♢", E:E, E136) + COUNTIFS(F:F, "♢", E:E, "A1") + IF(E136="A1", COUNTIFS(F:F, "♢", E:E, E2), 0) - IF(E136="A1", COUNTIFS(F:F, "♢", E:E, "A1"), 0)))/100, "")
</f>
        <v>0.02</v>
      </c>
      <c r="H136" s="130" t="str">
        <f>IF(F136="♢♢", ((M4 * 100) / (COUNTIFS(F:F, "♢♢", E:E, E136) + COUNTIFS(F:F, "♢♢", E:E, "A1") + IF(E136="A1", COUNTIFS(F:F, "♢♢", E:E, E2), 0) - IF(E136="A1", COUNTIFS(F:F, "♢♢", E:E, "A1"), 0)))/100, 
   IF(F136="♢♢♢", ((M5 * 100) / (COUNTIFS(F:F, "♢♢♢", E:E, E136) + COUNTIFS(F:F, "♢♢♢", E:E, "A1") + IF(E136="A1", COUNTIFS(F:F, "♢♢♢", E:E, E2), 0) - IF(E136="A1", COUNTIFS(F:F, "♢♢♢", E:E, "A1"), 0)))/100, 
   IF(F136="♢♢♢♢", ((M6 * 100) / (COUNTIFS(F:F, "♢♢♢♢", E:E, E136) + COUNTIFS(F:F, "♢♢♢♢", E:E, "A1") + IF(E136="A1", COUNTIFS(F:F, "♢♢♢♢", E:E, E2), 0) - IF(E136="A1", COUNTIFS(F:F, "♢♢♢♢", E:E, "A1"), 0)))/100, 
   IF(F136="☆", ((M7 * 100) / (COUNTIFS(F:F, "☆", E:E, E136) + COUNTIFS(F:F, "☆", E:E, "A1") + IF(E136="A1", COUNTIFS(F:F, "☆", E:E, E2), 0) - IF(E136="A1", COUNTIFS(F:F, "☆", E:E, "A1"), 0)))/100, 
   IF(F136="☆☆", ((M8 * 100) / (COUNTIFS(F:F, "☆☆", E:E, E136) + COUNTIFS(F:F, "☆☆", E:E, "A1") + IF(E136="A1", COUNTIFS(F:F, "☆☆", E:E, E2), 0) - IF(E136="A1", COUNTIFS(F:F, "☆☆", E:E, "A1"), 0)))/100, 
   IF(F136="☆☆☆", ((M9 * 100) / (COUNTIFS(F:F, "☆☆☆", E:E, E136) + COUNTIFS(F:F, "☆☆☆", E:E, "A1") + IF(E136="A1", COUNTIFS(F:F, "☆☆☆", E:E, E2), 0) - IF(E136="A1", COUNTIFS(F:F, "☆☆☆", E:E, "A1"), 0)))/100, 
   IF(F136="♛", ((M10 * 100) / (COUNTIFS(F:F, "♛", E:E, E136) + COUNTIFS(F:F, "♛", E:E, "A1") + IF(E136="A1", COUNTIFS(F:F, "♛", E:E, E2), 0) - IF(E136="A1", COUNTIFS(F:F, "♛", E:E, "A1"), 0)))/100, "")))))))
</f>
        <v/>
      </c>
      <c r="I136" s="130" t="str">
        <f>IF(F136="♢♢", ((N4 * 100) / (COUNTIFS(F:F, "♢♢", E:E, E136) + COUNTIFS(F:F, "♢♢", E:E, "A1") + IF(E136="A1", COUNTIFS(F:F, "♢♢", E:E, E2), 0) - IF(E136="A1", COUNTIFS(F:F, "♢♢", E:E, "A1"), 0)))/100, 
   IF(F136="♢♢♢", ((N5 * 100) / (COUNTIFS(F:F, "♢♢♢", E:E, E136) + COUNTIFS(F:F, "♢♢♢", E:E, "A1") + IF(E136="A1", COUNTIFS(F:F, "♢♢♢", E:E, E2), 0) - IF(E136="A1", COUNTIFS(F:F, "♢♢♢", E:E, "A1"), 0)))/100, 
   IF(F136="♢♢♢♢", ((N6 * 100) / (COUNTIFS(F:F, "♢♢♢♢", E:E, E136) + COUNTIFS(F:F, "♢♢♢♢", E:E, "A1") + IF(E136="A1", COUNTIFS(F:F, "♢♢♢♢", E:E, E2), 0) - IF(E136="A1", COUNTIFS(F:F, "♢♢♢♢", E:E, "A1"), 0)))/100, 
   IF(F136="☆", ((N7 * 100) / (COUNTIFS(F:F, "☆", E:E, E136) + COUNTIFS(F:F, "☆", E:E, "A1") + IF(E136="A1", COUNTIFS(F:F, "☆", E:E, E2), 0) - IF(E136="A1", COUNTIFS(F:F, "☆", E:E, "A1"), 0)))/100, 
   IF(F136="☆☆", ((N8 * 100) / (COUNTIFS(F:F, "☆☆", E:E, E136) + COUNTIFS(F:F, "☆☆", E:E, "A1") + IF(E136="A1", COUNTIFS(F:F, "☆☆", E:E, E2), 0) - IF(E136="A1", COUNTIFS(F:F, "☆☆", E:E, "A1"), 0)))/100, 
   IF(F136="☆☆☆", ((N9 * 100) / (COUNTIFS(F:F, "☆☆☆", E:E, E136) + COUNTIFS(F:F, "☆☆☆", E:E, "A1") + IF(E136="A1", COUNTIFS(F:F, "☆☆☆", E:E, E2), 0) - IF(E136="A1", COUNTIFS(F:F, "☆☆☆", E:E, "A1"), 0)))/100, 
   IF(F136="♛", ((N10 * 100) / (COUNTIFS(F:F, "♛", E:E, E136) + COUNTIFS(F:F, "♛", E:E, "A1") + IF(E136="A1", COUNTIFS(F:F, "♛", E:E, E2), 0) - IF(E136="A1", COUNTIFS(F:F, "♛", E:E, "A1"), 0)))/100, "")))))))
</f>
        <v/>
      </c>
      <c r="J136" s="131"/>
      <c r="K136" s="247"/>
      <c r="L136" s="20"/>
      <c r="M136" s="20"/>
      <c r="N136" s="20"/>
    </row>
    <row r="137">
      <c r="A137" s="125" t="b">
        <f t="shared" si="1"/>
        <v>0</v>
      </c>
      <c r="B137" s="126">
        <v>0.0</v>
      </c>
      <c r="C137" s="127" t="s">
        <v>386</v>
      </c>
      <c r="D137" s="127" t="s">
        <v>387</v>
      </c>
      <c r="E137" s="128" t="s">
        <v>137</v>
      </c>
      <c r="F137" s="127" t="s">
        <v>46</v>
      </c>
      <c r="G137" s="130" t="str">
        <f>IF(F137="♢", ((L3 * 100) / (COUNTIFS(F:F, "♢", E:E, E137) + COUNTIFS(F:F, "♢", E:E, "A1") + IF(E137="A1", COUNTIFS(F:F, "♢", E:E, E2), 0) - IF(E137="A1", COUNTIFS(F:F, "♢", E:E, "A1"), 0)))/100, "")
</f>
        <v/>
      </c>
      <c r="H137" s="129">
        <f>IF(F137="♢♢", ((M4 * 100) / (COUNTIFS(F:F, "♢♢", E:E, E137) + COUNTIFS(F:F, "♢♢", E:E, "A1") + IF(E137="A1", COUNTIFS(F:F, "♢♢", E:E, E2), 0) - IF(E137="A1", COUNTIFS(F:F, "♢♢", E:E, "A1"), 0)))/100, 
   IF(F137="♢♢♢", ((M5 * 100) / (COUNTIFS(F:F, "♢♢♢", E:E, E137) + COUNTIFS(F:F, "♢♢♢", E:E, "A1") + IF(E137="A1", COUNTIFS(F:F, "♢♢♢", E:E, E2), 0) - IF(E137="A1", COUNTIFS(F:F, "♢♢♢", E:E, "A1"), 0)))/100, 
   IF(F137="♢♢♢♢", ((M6 * 100) / (COUNTIFS(F:F, "♢♢♢♢", E:E, E137) + COUNTIFS(F:F, "♢♢♢♢", E:E, "A1") + IF(E137="A1", COUNTIFS(F:F, "♢♢♢♢", E:E, E2), 0) - IF(E137="A1", COUNTIFS(F:F, "♢♢♢♢", E:E, "A1"), 0)))/100, 
   IF(F137="☆", ((M7 * 100) / (COUNTIFS(F:F, "☆", E:E, E137) + COUNTIFS(F:F, "☆", E:E, "A1") + IF(E137="A1", COUNTIFS(F:F, "☆", E:E, E2), 0) - IF(E137="A1", COUNTIFS(F:F, "☆", E:E, "A1"), 0)))/100, 
   IF(F137="☆☆", ((M8 * 100) / (COUNTIFS(F:F, "☆☆", E:E, E137) + COUNTIFS(F:F, "☆☆", E:E, "A1") + IF(E137="A1", COUNTIFS(F:F, "☆☆", E:E, E2), 0) - IF(E137="A1", COUNTIFS(F:F, "☆☆", E:E, "A1"), 0)))/100, 
   IF(F137="☆☆☆", ((M9 * 100) / (COUNTIFS(F:F, "☆☆☆", E:E, E137) + COUNTIFS(F:F, "☆☆☆", E:E, "A1") + IF(E137="A1", COUNTIFS(F:F, "☆☆☆", E:E, E2), 0) - IF(E137="A1", COUNTIFS(F:F, "☆☆☆", E:E, "A1"), 0)))/100, 
   IF(F137="♛", ((M10 * 100) / (COUNTIFS(F:F, "♛", E:E, E137) + COUNTIFS(F:F, "♛", E:E, "A1") + IF(E137="A1", COUNTIFS(F:F, "♛", E:E, E2), 0) - IF(E137="A1", COUNTIFS(F:F, "♛", E:E, "A1"), 0)))/100, "")))))))
</f>
        <v>0.02571428571</v>
      </c>
      <c r="I137" s="129">
        <f>IF(F137="♢♢", ((N4 * 100) / (COUNTIFS(F:F, "♢♢", E:E, E137) + COUNTIFS(F:F, "♢♢", E:E, "A1") + IF(E137="A1", COUNTIFS(F:F, "♢♢", E:E, E2), 0) - IF(E137="A1", COUNTIFS(F:F, "♢♢", E:E, "A1"), 0)))/100, 
   IF(F137="♢♢♢", ((N5 * 100) / (COUNTIFS(F:F, "♢♢♢", E:E, E137) + COUNTIFS(F:F, "♢♢♢", E:E, "A1") + IF(E137="A1", COUNTIFS(F:F, "♢♢♢", E:E, E2), 0) - IF(E137="A1", COUNTIFS(F:F, "♢♢♢", E:E, "A1"), 0)))/100, 
   IF(F137="♢♢♢♢", ((N6 * 100) / (COUNTIFS(F:F, "♢♢♢♢", E:E, E137) + COUNTIFS(F:F, "♢♢♢♢", E:E, "A1") + IF(E137="A1", COUNTIFS(F:F, "♢♢♢♢", E:E, E2), 0) - IF(E137="A1", COUNTIFS(F:F, "♢♢♢♢", E:E, "A1"), 0)))/100, 
   IF(F137="☆", ((N7 * 100) / (COUNTIFS(F:F, "☆", E:E, E137) + COUNTIFS(F:F, "☆", E:E, "A1") + IF(E137="A1", COUNTIFS(F:F, "☆", E:E, E2), 0) - IF(E137="A1", COUNTIFS(F:F, "☆", E:E, "A1"), 0)))/100, 
   IF(F137="☆☆", ((N8 * 100) / (COUNTIFS(F:F, "☆☆", E:E, E137) + COUNTIFS(F:F, "☆☆", E:E, "A1") + IF(E137="A1", COUNTIFS(F:F, "☆☆", E:E, E2), 0) - IF(E137="A1", COUNTIFS(F:F, "☆☆", E:E, "A1"), 0)))/100, 
   IF(F137="☆☆☆", ((N9 * 100) / (COUNTIFS(F:F, "☆☆☆", E:E, E137) + COUNTIFS(F:F, "☆☆☆", E:E, "A1") + IF(E137="A1", COUNTIFS(F:F, "☆☆☆", E:E, E2), 0) - IF(E137="A1", COUNTIFS(F:F, "☆☆☆", E:E, "A1"), 0)))/100, 
   IF(F137="♛", ((N10 * 100) / (COUNTIFS(F:F, "♛", E:E, E137) + COUNTIFS(F:F, "♛", E:E, "A1") + IF(E137="A1", COUNTIFS(F:F, "♛", E:E, E2), 0) - IF(E137="A1", COUNTIFS(F:F, "♛", E:E, "A1"), 0)))/100, "")))))))
</f>
        <v>0.01714285714</v>
      </c>
      <c r="J137" s="131"/>
      <c r="K137" s="247"/>
      <c r="L137" s="20"/>
      <c r="M137" s="20"/>
      <c r="N137" s="20"/>
    </row>
    <row r="138">
      <c r="A138" s="125" t="b">
        <f t="shared" si="1"/>
        <v>0</v>
      </c>
      <c r="B138" s="126">
        <v>0.0</v>
      </c>
      <c r="C138" s="127" t="s">
        <v>388</v>
      </c>
      <c r="D138" s="128" t="s">
        <v>389</v>
      </c>
      <c r="E138" s="128" t="s">
        <v>137</v>
      </c>
      <c r="F138" s="127" t="s">
        <v>44</v>
      </c>
      <c r="G138" s="129">
        <f>IF(F138="♢", ((L3 * 100) / (COUNTIFS(F:F, "♢", E:E, E138) + COUNTIFS(F:F, "♢", E:E, "A1") + IF(E138="A1", COUNTIFS(F:F, "♢", E:E, E2), 0) - IF(E138="A1", COUNTIFS(F:F, "♢", E:E, "A1"), 0)))/100, "")
</f>
        <v>0.02</v>
      </c>
      <c r="H138" s="130" t="str">
        <f>IF(F138="♢♢", ((M4 * 100) / (COUNTIFS(F:F, "♢♢", E:E, E138) + COUNTIFS(F:F, "♢♢", E:E, "A1") + IF(E138="A1", COUNTIFS(F:F, "♢♢", E:E, E2), 0) - IF(E138="A1", COUNTIFS(F:F, "♢♢", E:E, "A1"), 0)))/100, 
   IF(F138="♢♢♢", ((M5 * 100) / (COUNTIFS(F:F, "♢♢♢", E:E, E138) + COUNTIFS(F:F, "♢♢♢", E:E, "A1") + IF(E138="A1", COUNTIFS(F:F, "♢♢♢", E:E, E2), 0) - IF(E138="A1", COUNTIFS(F:F, "♢♢♢", E:E, "A1"), 0)))/100, 
   IF(F138="♢♢♢♢", ((M6 * 100) / (COUNTIFS(F:F, "♢♢♢♢", E:E, E138) + COUNTIFS(F:F, "♢♢♢♢", E:E, "A1") + IF(E138="A1", COUNTIFS(F:F, "♢♢♢♢", E:E, E2), 0) - IF(E138="A1", COUNTIFS(F:F, "♢♢♢♢", E:E, "A1"), 0)))/100, 
   IF(F138="☆", ((M7 * 100) / (COUNTIFS(F:F, "☆", E:E, E138) + COUNTIFS(F:F, "☆", E:E, "A1") + IF(E138="A1", COUNTIFS(F:F, "☆", E:E, E2), 0) - IF(E138="A1", COUNTIFS(F:F, "☆", E:E, "A1"), 0)))/100, 
   IF(F138="☆☆", ((M8 * 100) / (COUNTIFS(F:F, "☆☆", E:E, E138) + COUNTIFS(F:F, "☆☆", E:E, "A1") + IF(E138="A1", COUNTIFS(F:F, "☆☆", E:E, E2), 0) - IF(E138="A1", COUNTIFS(F:F, "☆☆", E:E, "A1"), 0)))/100, 
   IF(F138="☆☆☆", ((M9 * 100) / (COUNTIFS(F:F, "☆☆☆", E:E, E138) + COUNTIFS(F:F, "☆☆☆", E:E, "A1") + IF(E138="A1", COUNTIFS(F:F, "☆☆☆", E:E, E2), 0) - IF(E138="A1", COUNTIFS(F:F, "☆☆☆", E:E, "A1"), 0)))/100, 
   IF(F138="♛", ((M10 * 100) / (COUNTIFS(F:F, "♛", E:E, E138) + COUNTIFS(F:F, "♛", E:E, "A1") + IF(E138="A1", COUNTIFS(F:F, "♛", E:E, E2), 0) - IF(E138="A1", COUNTIFS(F:F, "♛", E:E, "A1"), 0)))/100, "")))))))
</f>
        <v/>
      </c>
      <c r="I138" s="130" t="str">
        <f>IF(F138="♢♢", ((N4 * 100) / (COUNTIFS(F:F, "♢♢", E:E, E138) + COUNTIFS(F:F, "♢♢", E:E, "A1") + IF(E138="A1", COUNTIFS(F:F, "♢♢", E:E, E2), 0) - IF(E138="A1", COUNTIFS(F:F, "♢♢", E:E, "A1"), 0)))/100, 
   IF(F138="♢♢♢", ((N5 * 100) / (COUNTIFS(F:F, "♢♢♢", E:E, E138) + COUNTIFS(F:F, "♢♢♢", E:E, "A1") + IF(E138="A1", COUNTIFS(F:F, "♢♢♢", E:E, E2), 0) - IF(E138="A1", COUNTIFS(F:F, "♢♢♢", E:E, "A1"), 0)))/100, 
   IF(F138="♢♢♢♢", ((N6 * 100) / (COUNTIFS(F:F, "♢♢♢♢", E:E, E138) + COUNTIFS(F:F, "♢♢♢♢", E:E, "A1") + IF(E138="A1", COUNTIFS(F:F, "♢♢♢♢", E:E, E2), 0) - IF(E138="A1", COUNTIFS(F:F, "♢♢♢♢", E:E, "A1"), 0)))/100, 
   IF(F138="☆", ((N7 * 100) / (COUNTIFS(F:F, "☆", E:E, E138) + COUNTIFS(F:F, "☆", E:E, "A1") + IF(E138="A1", COUNTIFS(F:F, "☆", E:E, E2), 0) - IF(E138="A1", COUNTIFS(F:F, "☆", E:E, "A1"), 0)))/100, 
   IF(F138="☆☆", ((N8 * 100) / (COUNTIFS(F:F, "☆☆", E:E, E138) + COUNTIFS(F:F, "☆☆", E:E, "A1") + IF(E138="A1", COUNTIFS(F:F, "☆☆", E:E, E2), 0) - IF(E138="A1", COUNTIFS(F:F, "☆☆", E:E, "A1"), 0)))/100, 
   IF(F138="☆☆☆", ((N9 * 100) / (COUNTIFS(F:F, "☆☆☆", E:E, E138) + COUNTIFS(F:F, "☆☆☆", E:E, "A1") + IF(E138="A1", COUNTIFS(F:F, "☆☆☆", E:E, E2), 0) - IF(E138="A1", COUNTIFS(F:F, "☆☆☆", E:E, "A1"), 0)))/100, 
   IF(F138="♛", ((N10 * 100) / (COUNTIFS(F:F, "♛", E:E, E138) + COUNTIFS(F:F, "♛", E:E, "A1") + IF(E138="A1", COUNTIFS(F:F, "♛", E:E, E2), 0) - IF(E138="A1", COUNTIFS(F:F, "♛", E:E, "A1"), 0)))/100, "")))))))
</f>
        <v/>
      </c>
      <c r="J138" s="131"/>
      <c r="K138" s="247"/>
      <c r="L138" s="20"/>
      <c r="M138" s="20"/>
      <c r="N138" s="20"/>
      <c r="O138" s="124" t="s">
        <v>390</v>
      </c>
    </row>
    <row r="139">
      <c r="A139" s="125" t="b">
        <f t="shared" si="1"/>
        <v>0</v>
      </c>
      <c r="B139" s="126">
        <v>0.0</v>
      </c>
      <c r="C139" s="127" t="s">
        <v>391</v>
      </c>
      <c r="D139" s="127" t="s">
        <v>392</v>
      </c>
      <c r="E139" s="128" t="s">
        <v>137</v>
      </c>
      <c r="F139" s="127" t="s">
        <v>46</v>
      </c>
      <c r="G139" s="130" t="str">
        <f>IF(F139="♢", ((L3 * 100) / (COUNTIFS(F:F, "♢", E:E, E139) + COUNTIFS(F:F, "♢", E:E, "A1") + IF(E139="A1", COUNTIFS(F:F, "♢", E:E, E2), 0) - IF(E139="A1", COUNTIFS(F:F, "♢", E:E, "A1"), 0)))/100, "")
</f>
        <v/>
      </c>
      <c r="H139" s="129">
        <f>IF(F139="♢♢", ((M4 * 100) / (COUNTIFS(F:F, "♢♢", E:E, E139) + COUNTIFS(F:F, "♢♢", E:E, "A1") + IF(E139="A1", COUNTIFS(F:F, "♢♢", E:E, E2), 0) - IF(E139="A1", COUNTIFS(F:F, "♢♢", E:E, "A1"), 0)))/100, 
   IF(F139="♢♢♢", ((M5 * 100) / (COUNTIFS(F:F, "♢♢♢", E:E, E139) + COUNTIFS(F:F, "♢♢♢", E:E, "A1") + IF(E139="A1", COUNTIFS(F:F, "♢♢♢", E:E, E2), 0) - IF(E139="A1", COUNTIFS(F:F, "♢♢♢", E:E, "A1"), 0)))/100, 
   IF(F139="♢♢♢♢", ((M6 * 100) / (COUNTIFS(F:F, "♢♢♢♢", E:E, E139) + COUNTIFS(F:F, "♢♢♢♢", E:E, "A1") + IF(E139="A1", COUNTIFS(F:F, "♢♢♢♢", E:E, E2), 0) - IF(E139="A1", COUNTIFS(F:F, "♢♢♢♢", E:E, "A1"), 0)))/100, 
   IF(F139="☆", ((M7 * 100) / (COUNTIFS(F:F, "☆", E:E, E139) + COUNTIFS(F:F, "☆", E:E, "A1") + IF(E139="A1", COUNTIFS(F:F, "☆", E:E, E2), 0) - IF(E139="A1", COUNTIFS(F:F, "☆", E:E, "A1"), 0)))/100, 
   IF(F139="☆☆", ((M8 * 100) / (COUNTIFS(F:F, "☆☆", E:E, E139) + COUNTIFS(F:F, "☆☆", E:E, "A1") + IF(E139="A1", COUNTIFS(F:F, "☆☆", E:E, E2), 0) - IF(E139="A1", COUNTIFS(F:F, "☆☆", E:E, "A1"), 0)))/100, 
   IF(F139="☆☆☆", ((M9 * 100) / (COUNTIFS(F:F, "☆☆☆", E:E, E139) + COUNTIFS(F:F, "☆☆☆", E:E, "A1") + IF(E139="A1", COUNTIFS(F:F, "☆☆☆", E:E, E2), 0) - IF(E139="A1", COUNTIFS(F:F, "☆☆☆", E:E, "A1"), 0)))/100, 
   IF(F139="♛", ((M10 * 100) / (COUNTIFS(F:F, "♛", E:E, E139) + COUNTIFS(F:F, "♛", E:E, "A1") + IF(E139="A1", COUNTIFS(F:F, "♛", E:E, E2), 0) - IF(E139="A1", COUNTIFS(F:F, "♛", E:E, "A1"), 0)))/100, "")))))))
</f>
        <v>0.02571428571</v>
      </c>
      <c r="I139" s="129">
        <f>IF(F139="♢♢", ((N4 * 100) / (COUNTIFS(F:F, "♢♢", E:E, E139) + COUNTIFS(F:F, "♢♢", E:E, "A1") + IF(E139="A1", COUNTIFS(F:F, "♢♢", E:E, E2), 0) - IF(E139="A1", COUNTIFS(F:F, "♢♢", E:E, "A1"), 0)))/100, 
   IF(F139="♢♢♢", ((N5 * 100) / (COUNTIFS(F:F, "♢♢♢", E:E, E139) + COUNTIFS(F:F, "♢♢♢", E:E, "A1") + IF(E139="A1", COUNTIFS(F:F, "♢♢♢", E:E, E2), 0) - IF(E139="A1", COUNTIFS(F:F, "♢♢♢", E:E, "A1"), 0)))/100, 
   IF(F139="♢♢♢♢", ((N6 * 100) / (COUNTIFS(F:F, "♢♢♢♢", E:E, E139) + COUNTIFS(F:F, "♢♢♢♢", E:E, "A1") + IF(E139="A1", COUNTIFS(F:F, "♢♢♢♢", E:E, E2), 0) - IF(E139="A1", COUNTIFS(F:F, "♢♢♢♢", E:E, "A1"), 0)))/100, 
   IF(F139="☆", ((N7 * 100) / (COUNTIFS(F:F, "☆", E:E, E139) + COUNTIFS(F:F, "☆", E:E, "A1") + IF(E139="A1", COUNTIFS(F:F, "☆", E:E, E2), 0) - IF(E139="A1", COUNTIFS(F:F, "☆", E:E, "A1"), 0)))/100, 
   IF(F139="☆☆", ((N8 * 100) / (COUNTIFS(F:F, "☆☆", E:E, E139) + COUNTIFS(F:F, "☆☆", E:E, "A1") + IF(E139="A1", COUNTIFS(F:F, "☆☆", E:E, E2), 0) - IF(E139="A1", COUNTIFS(F:F, "☆☆", E:E, "A1"), 0)))/100, 
   IF(F139="☆☆☆", ((N9 * 100) / (COUNTIFS(F:F, "☆☆☆", E:E, E139) + COUNTIFS(F:F, "☆☆☆", E:E, "A1") + IF(E139="A1", COUNTIFS(F:F, "☆☆☆", E:E, E2), 0) - IF(E139="A1", COUNTIFS(F:F, "☆☆☆", E:E, "A1"), 0)))/100, 
   IF(F139="♛", ((N10 * 100) / (COUNTIFS(F:F, "♛", E:E, E139) + COUNTIFS(F:F, "♛", E:E, "A1") + IF(E139="A1", COUNTIFS(F:F, "♛", E:E, E2), 0) - IF(E139="A1", COUNTIFS(F:F, "♛", E:E, "A1"), 0)))/100, "")))))))
</f>
        <v>0.01714285714</v>
      </c>
      <c r="J139" s="131"/>
      <c r="K139" s="247"/>
      <c r="L139" s="20"/>
      <c r="M139" s="20"/>
      <c r="N139" s="20"/>
    </row>
    <row r="140">
      <c r="A140" s="125" t="b">
        <f t="shared" si="1"/>
        <v>0</v>
      </c>
      <c r="B140" s="126">
        <v>0.0</v>
      </c>
      <c r="C140" s="127" t="s">
        <v>393</v>
      </c>
      <c r="D140" s="127" t="s">
        <v>394</v>
      </c>
      <c r="E140" s="128" t="s">
        <v>31</v>
      </c>
      <c r="F140" s="127" t="s">
        <v>44</v>
      </c>
      <c r="G140" s="129">
        <f>IF(F140="♢", ((L3 * 100) / (COUNTIFS(F:F, "♢", E:E, E140) + COUNTIFS(F:F, "♢", E:E, "A1") + IF(E140="A1", COUNTIFS(F:F, "♢", E:E, E2), 0) - IF(E140="A1", COUNTIFS(F:F, "♢", E:E, "A1"), 0)))/100, "")
</f>
        <v>0.02</v>
      </c>
      <c r="H140" s="130" t="str">
        <f>IF(F140="♢♢", ((M4 * 100) / (COUNTIFS(F:F, "♢♢", E:E, E140) + COUNTIFS(F:F, "♢♢", E:E, "A1") + IF(E140="A1", COUNTIFS(F:F, "♢♢", E:E, E2), 0) - IF(E140="A1", COUNTIFS(F:F, "♢♢", E:E, "A1"), 0)))/100, 
   IF(F140="♢♢♢", ((M5 * 100) / (COUNTIFS(F:F, "♢♢♢", E:E, E140) + COUNTIFS(F:F, "♢♢♢", E:E, "A1") + IF(E140="A1", COUNTIFS(F:F, "♢♢♢", E:E, E2), 0) - IF(E140="A1", COUNTIFS(F:F, "♢♢♢", E:E, "A1"), 0)))/100, 
   IF(F140="♢♢♢♢", ((M6 * 100) / (COUNTIFS(F:F, "♢♢♢♢", E:E, E140) + COUNTIFS(F:F, "♢♢♢♢", E:E, "A1") + IF(E140="A1", COUNTIFS(F:F, "♢♢♢♢", E:E, E2), 0) - IF(E140="A1", COUNTIFS(F:F, "♢♢♢♢", E:E, "A1"), 0)))/100, 
   IF(F140="☆", ((M7 * 100) / (COUNTIFS(F:F, "☆", E:E, E140) + COUNTIFS(F:F, "☆", E:E, "A1") + IF(E140="A1", COUNTIFS(F:F, "☆", E:E, E2), 0) - IF(E140="A1", COUNTIFS(F:F, "☆", E:E, "A1"), 0)))/100, 
   IF(F140="☆☆", ((M8 * 100) / (COUNTIFS(F:F, "☆☆", E:E, E140) + COUNTIFS(F:F, "☆☆", E:E, "A1") + IF(E140="A1", COUNTIFS(F:F, "☆☆", E:E, E2), 0) - IF(E140="A1", COUNTIFS(F:F, "☆☆", E:E, "A1"), 0)))/100, 
   IF(F140="☆☆☆", ((M9 * 100) / (COUNTIFS(F:F, "☆☆☆", E:E, E140) + COUNTIFS(F:F, "☆☆☆", E:E, "A1") + IF(E140="A1", COUNTIFS(F:F, "☆☆☆", E:E, E2), 0) - IF(E140="A1", COUNTIFS(F:F, "☆☆☆", E:E, "A1"), 0)))/100, 
   IF(F140="♛", ((M10 * 100) / (COUNTIFS(F:F, "♛", E:E, E140) + COUNTIFS(F:F, "♛", E:E, "A1") + IF(E140="A1", COUNTIFS(F:F, "♛", E:E, E2), 0) - IF(E140="A1", COUNTIFS(F:F, "♛", E:E, "A1"), 0)))/100, "")))))))
</f>
        <v/>
      </c>
      <c r="I140" s="130" t="str">
        <f>IF(F140="♢♢", ((N4 * 100) / (COUNTIFS(F:F, "♢♢", E:E, E140) + COUNTIFS(F:F, "♢♢", E:E, "A1") + IF(E140="A1", COUNTIFS(F:F, "♢♢", E:E, E2), 0) - IF(E140="A1", COUNTIFS(F:F, "♢♢", E:E, "A1"), 0)))/100, 
   IF(F140="♢♢♢", ((N5 * 100) / (COUNTIFS(F:F, "♢♢♢", E:E, E140) + COUNTIFS(F:F, "♢♢♢", E:E, "A1") + IF(E140="A1", COUNTIFS(F:F, "♢♢♢", E:E, E2), 0) - IF(E140="A1", COUNTIFS(F:F, "♢♢♢", E:E, "A1"), 0)))/100, 
   IF(F140="♢♢♢♢", ((N6 * 100) / (COUNTIFS(F:F, "♢♢♢♢", E:E, E140) + COUNTIFS(F:F, "♢♢♢♢", E:E, "A1") + IF(E140="A1", COUNTIFS(F:F, "♢♢♢♢", E:E, E2), 0) - IF(E140="A1", COUNTIFS(F:F, "♢♢♢♢", E:E, "A1"), 0)))/100, 
   IF(F140="☆", ((N7 * 100) / (COUNTIFS(F:F, "☆", E:E, E140) + COUNTIFS(F:F, "☆", E:E, "A1") + IF(E140="A1", COUNTIFS(F:F, "☆", E:E, E2), 0) - IF(E140="A1", COUNTIFS(F:F, "☆", E:E, "A1"), 0)))/100, 
   IF(F140="☆☆", ((N8 * 100) / (COUNTIFS(F:F, "☆☆", E:E, E140) + COUNTIFS(F:F, "☆☆", E:E, "A1") + IF(E140="A1", COUNTIFS(F:F, "☆☆", E:E, E2), 0) - IF(E140="A1", COUNTIFS(F:F, "☆☆", E:E, "A1"), 0)))/100, 
   IF(F140="☆☆☆", ((N9 * 100) / (COUNTIFS(F:F, "☆☆☆", E:E, E140) + COUNTIFS(F:F, "☆☆☆", E:E, "A1") + IF(E140="A1", COUNTIFS(F:F, "☆☆☆", E:E, E2), 0) - IF(E140="A1", COUNTIFS(F:F, "☆☆☆", E:E, "A1"), 0)))/100, 
   IF(F140="♛", ((N10 * 100) / (COUNTIFS(F:F, "♛", E:E, E140) + COUNTIFS(F:F, "♛", E:E, "A1") + IF(E140="A1", COUNTIFS(F:F, "♛", E:E, E2), 0) - IF(E140="A1", COUNTIFS(F:F, "♛", E:E, "A1"), 0)))/100, "")))))))
</f>
        <v/>
      </c>
      <c r="J140" s="131"/>
      <c r="K140" s="247"/>
      <c r="L140" s="20"/>
      <c r="M140" s="20"/>
      <c r="N140" s="20"/>
    </row>
    <row r="141">
      <c r="A141" s="125" t="b">
        <f t="shared" si="1"/>
        <v>0</v>
      </c>
      <c r="B141" s="126">
        <v>0.0</v>
      </c>
      <c r="C141" s="127" t="s">
        <v>395</v>
      </c>
      <c r="D141" s="127" t="s">
        <v>396</v>
      </c>
      <c r="E141" s="128" t="s">
        <v>31</v>
      </c>
      <c r="F141" s="127" t="s">
        <v>46</v>
      </c>
      <c r="G141" s="130" t="str">
        <f>IF(F141="♢", ((L3 * 100) / (COUNTIFS(F:F, "♢", E:E, E141) + COUNTIFS(F:F, "♢", E:E, "A1") + IF(E141="A1", COUNTIFS(F:F, "♢", E:E, E2), 0) - IF(E141="A1", COUNTIFS(F:F, "♢", E:E, "A1"), 0)))/100, "")
</f>
        <v/>
      </c>
      <c r="H141" s="129">
        <f>IF(F141="♢♢", ((M4 * 100) / (COUNTIFS(F:F, "♢♢", E:E, E141) + COUNTIFS(F:F, "♢♢", E:E, "A1") + IF(E141="A1", COUNTIFS(F:F, "♢♢", E:E, E2), 0) - IF(E141="A1", COUNTIFS(F:F, "♢♢", E:E, "A1"), 0)))/100, 
   IF(F141="♢♢♢", ((M5 * 100) / (COUNTIFS(F:F, "♢♢♢", E:E, E141) + COUNTIFS(F:F, "♢♢♢", E:E, "A1") + IF(E141="A1", COUNTIFS(F:F, "♢♢♢", E:E, E2), 0) - IF(E141="A1", COUNTIFS(F:F, "♢♢♢", E:E, "A1"), 0)))/100, 
   IF(F141="♢♢♢♢", ((M6 * 100) / (COUNTIFS(F:F, "♢♢♢♢", E:E, E141) + COUNTIFS(F:F, "♢♢♢♢", E:E, "A1") + IF(E141="A1", COUNTIFS(F:F, "♢♢♢♢", E:E, E2), 0) - IF(E141="A1", COUNTIFS(F:F, "♢♢♢♢", E:E, "A1"), 0)))/100, 
   IF(F141="☆", ((M7 * 100) / (COUNTIFS(F:F, "☆", E:E, E141) + COUNTIFS(F:F, "☆", E:E, "A1") + IF(E141="A1", COUNTIFS(F:F, "☆", E:E, E2), 0) - IF(E141="A1", COUNTIFS(F:F, "☆", E:E, "A1"), 0)))/100, 
   IF(F141="☆☆", ((M8 * 100) / (COUNTIFS(F:F, "☆☆", E:E, E141) + COUNTIFS(F:F, "☆☆", E:E, "A1") + IF(E141="A1", COUNTIFS(F:F, "☆☆", E:E, E2), 0) - IF(E141="A1", COUNTIFS(F:F, "☆☆", E:E, "A1"), 0)))/100, 
   IF(F141="☆☆☆", ((M9 * 100) / (COUNTIFS(F:F, "☆☆☆", E:E, E141) + COUNTIFS(F:F, "☆☆☆", E:E, "A1") + IF(E141="A1", COUNTIFS(F:F, "☆☆☆", E:E, E2), 0) - IF(E141="A1", COUNTIFS(F:F, "☆☆☆", E:E, "A1"), 0)))/100, 
   IF(F141="♛", ((M10 * 100) / (COUNTIFS(F:F, "♛", E:E, E141) + COUNTIFS(F:F, "♛", E:E, "A1") + IF(E141="A1", COUNTIFS(F:F, "♛", E:E, E2), 0) - IF(E141="A1", COUNTIFS(F:F, "♛", E:E, "A1"), 0)))/100, "")))))))
</f>
        <v>0.02571428571</v>
      </c>
      <c r="I141" s="129">
        <f>IF(F141="♢♢", ((N4 * 100) / (COUNTIFS(F:F, "♢♢", E:E, E141) + COUNTIFS(F:F, "♢♢", E:E, "A1") + IF(E141="A1", COUNTIFS(F:F, "♢♢", E:E, E2), 0) - IF(E141="A1", COUNTIFS(F:F, "♢♢", E:E, "A1"), 0)))/100, 
   IF(F141="♢♢♢", ((N5 * 100) / (COUNTIFS(F:F, "♢♢♢", E:E, E141) + COUNTIFS(F:F, "♢♢♢", E:E, "A1") + IF(E141="A1", COUNTIFS(F:F, "♢♢♢", E:E, E2), 0) - IF(E141="A1", COUNTIFS(F:F, "♢♢♢", E:E, "A1"), 0)))/100, 
   IF(F141="♢♢♢♢", ((N6 * 100) / (COUNTIFS(F:F, "♢♢♢♢", E:E, E141) + COUNTIFS(F:F, "♢♢♢♢", E:E, "A1") + IF(E141="A1", COUNTIFS(F:F, "♢♢♢♢", E:E, E2), 0) - IF(E141="A1", COUNTIFS(F:F, "♢♢♢♢", E:E, "A1"), 0)))/100, 
   IF(F141="☆", ((N7 * 100) / (COUNTIFS(F:F, "☆", E:E, E141) + COUNTIFS(F:F, "☆", E:E, "A1") + IF(E141="A1", COUNTIFS(F:F, "☆", E:E, E2), 0) - IF(E141="A1", COUNTIFS(F:F, "☆", E:E, "A1"), 0)))/100, 
   IF(F141="☆☆", ((N8 * 100) / (COUNTIFS(F:F, "☆☆", E:E, E141) + COUNTIFS(F:F, "☆☆", E:E, "A1") + IF(E141="A1", COUNTIFS(F:F, "☆☆", E:E, E2), 0) - IF(E141="A1", COUNTIFS(F:F, "☆☆", E:E, "A1"), 0)))/100, 
   IF(F141="☆☆☆", ((N9 * 100) / (COUNTIFS(F:F, "☆☆☆", E:E, E141) + COUNTIFS(F:F, "☆☆☆", E:E, "A1") + IF(E141="A1", COUNTIFS(F:F, "☆☆☆", E:E, E2), 0) - IF(E141="A1", COUNTIFS(F:F, "☆☆☆", E:E, "A1"), 0)))/100, 
   IF(F141="♛", ((N10 * 100) / (COUNTIFS(F:F, "♛", E:E, E141) + COUNTIFS(F:F, "♛", E:E, "A1") + IF(E141="A1", COUNTIFS(F:F, "♛", E:E, E2), 0) - IF(E141="A1", COUNTIFS(F:F, "♛", E:E, "A1"), 0)))/100, "")))))))
</f>
        <v>0.01714285714</v>
      </c>
      <c r="J141" s="131"/>
      <c r="K141" s="247"/>
      <c r="L141" s="20"/>
      <c r="M141" s="20"/>
      <c r="N141" s="20"/>
    </row>
    <row r="142">
      <c r="A142" s="125" t="b">
        <f t="shared" si="1"/>
        <v>0</v>
      </c>
      <c r="B142" s="126">
        <v>0.0</v>
      </c>
      <c r="C142" s="127" t="s">
        <v>397</v>
      </c>
      <c r="D142" s="127" t="s">
        <v>398</v>
      </c>
      <c r="E142" s="128" t="s">
        <v>32</v>
      </c>
      <c r="F142" s="127" t="s">
        <v>44</v>
      </c>
      <c r="G142" s="129">
        <f>IF(F142="♢", ((L3 * 100) / (COUNTIFS(F:F, "♢", E:E, E142) + COUNTIFS(F:F, "♢", E:E, "A1") + IF(E142="A1", COUNTIFS(F:F, "♢", E:E, E2), 0) - IF(E142="A1", COUNTIFS(F:F, "♢", E:E, "A1"), 0)))/100, "")
</f>
        <v>0.02</v>
      </c>
      <c r="H142" s="130" t="str">
        <f>IF(F142="♢♢", ((M4 * 100) / (COUNTIFS(F:F, "♢♢", E:E, E142) + COUNTIFS(F:F, "♢♢", E:E, "A1") + IF(E142="A1", COUNTIFS(F:F, "♢♢", E:E, E2), 0) - IF(E142="A1", COUNTIFS(F:F, "♢♢", E:E, "A1"), 0)))/100, 
   IF(F142="♢♢♢", ((M5 * 100) / (COUNTIFS(F:F, "♢♢♢", E:E, E142) + COUNTIFS(F:F, "♢♢♢", E:E, "A1") + IF(E142="A1", COUNTIFS(F:F, "♢♢♢", E:E, E2), 0) - IF(E142="A1", COUNTIFS(F:F, "♢♢♢", E:E, "A1"), 0)))/100, 
   IF(F142="♢♢♢♢", ((M6 * 100) / (COUNTIFS(F:F, "♢♢♢♢", E:E, E142) + COUNTIFS(F:F, "♢♢♢♢", E:E, "A1") + IF(E142="A1", COUNTIFS(F:F, "♢♢♢♢", E:E, E2), 0) - IF(E142="A1", COUNTIFS(F:F, "♢♢♢♢", E:E, "A1"), 0)))/100, 
   IF(F142="☆", ((M7 * 100) / (COUNTIFS(F:F, "☆", E:E, E142) + COUNTIFS(F:F, "☆", E:E, "A1") + IF(E142="A1", COUNTIFS(F:F, "☆", E:E, E2), 0) - IF(E142="A1", COUNTIFS(F:F, "☆", E:E, "A1"), 0)))/100, 
   IF(F142="☆☆", ((M8 * 100) / (COUNTIFS(F:F, "☆☆", E:E, E142) + COUNTIFS(F:F, "☆☆", E:E, "A1") + IF(E142="A1", COUNTIFS(F:F, "☆☆", E:E, E2), 0) - IF(E142="A1", COUNTIFS(F:F, "☆☆", E:E, "A1"), 0)))/100, 
   IF(F142="☆☆☆", ((M9 * 100) / (COUNTIFS(F:F, "☆☆☆", E:E, E142) + COUNTIFS(F:F, "☆☆☆", E:E, "A1") + IF(E142="A1", COUNTIFS(F:F, "☆☆☆", E:E, E2), 0) - IF(E142="A1", COUNTIFS(F:F, "☆☆☆", E:E, "A1"), 0)))/100, 
   IF(F142="♛", ((M10 * 100) / (COUNTIFS(F:F, "♛", E:E, E142) + COUNTIFS(F:F, "♛", E:E, "A1") + IF(E142="A1", COUNTIFS(F:F, "♛", E:E, E2), 0) - IF(E142="A1", COUNTIFS(F:F, "♛", E:E, "A1"), 0)))/100, "")))))))
</f>
        <v/>
      </c>
      <c r="I142" s="130" t="str">
        <f>IF(F142="♢♢", ((N4 * 100) / (COUNTIFS(F:F, "♢♢", E:E, E142) + COUNTIFS(F:F, "♢♢", E:E, "A1") + IF(E142="A1", COUNTIFS(F:F, "♢♢", E:E, E2), 0) - IF(E142="A1", COUNTIFS(F:F, "♢♢", E:E, "A1"), 0)))/100, 
   IF(F142="♢♢♢", ((N5 * 100) / (COUNTIFS(F:F, "♢♢♢", E:E, E142) + COUNTIFS(F:F, "♢♢♢", E:E, "A1") + IF(E142="A1", COUNTIFS(F:F, "♢♢♢", E:E, E2), 0) - IF(E142="A1", COUNTIFS(F:F, "♢♢♢", E:E, "A1"), 0)))/100, 
   IF(F142="♢♢♢♢", ((N6 * 100) / (COUNTIFS(F:F, "♢♢♢♢", E:E, E142) + COUNTIFS(F:F, "♢♢♢♢", E:E, "A1") + IF(E142="A1", COUNTIFS(F:F, "♢♢♢♢", E:E, E2), 0) - IF(E142="A1", COUNTIFS(F:F, "♢♢♢♢", E:E, "A1"), 0)))/100, 
   IF(F142="☆", ((N7 * 100) / (COUNTIFS(F:F, "☆", E:E, E142) + COUNTIFS(F:F, "☆", E:E, "A1") + IF(E142="A1", COUNTIFS(F:F, "☆", E:E, E2), 0) - IF(E142="A1", COUNTIFS(F:F, "☆", E:E, "A1"), 0)))/100, 
   IF(F142="☆☆", ((N8 * 100) / (COUNTIFS(F:F, "☆☆", E:E, E142) + COUNTIFS(F:F, "☆☆", E:E, "A1") + IF(E142="A1", COUNTIFS(F:F, "☆☆", E:E, E2), 0) - IF(E142="A1", COUNTIFS(F:F, "☆☆", E:E, "A1"), 0)))/100, 
   IF(F142="☆☆☆", ((N9 * 100) / (COUNTIFS(F:F, "☆☆☆", E:E, E142) + COUNTIFS(F:F, "☆☆☆", E:E, "A1") + IF(E142="A1", COUNTIFS(F:F, "☆☆☆", E:E, E2), 0) - IF(E142="A1", COUNTIFS(F:F, "☆☆☆", E:E, "A1"), 0)))/100, 
   IF(F142="♛", ((N10 * 100) / (COUNTIFS(F:F, "♛", E:E, E142) + COUNTIFS(F:F, "♛", E:E, "A1") + IF(E142="A1", COUNTIFS(F:F, "♛", E:E, E2), 0) - IF(E142="A1", COUNTIFS(F:F, "♛", E:E, "A1"), 0)))/100, "")))))))
</f>
        <v/>
      </c>
      <c r="J142" s="131"/>
      <c r="K142" s="247"/>
      <c r="L142" s="20"/>
      <c r="M142" s="20"/>
      <c r="N142" s="20"/>
    </row>
    <row r="143">
      <c r="A143" s="125" t="b">
        <f t="shared" si="1"/>
        <v>0</v>
      </c>
      <c r="B143" s="126">
        <v>0.0</v>
      </c>
      <c r="C143" s="127" t="s">
        <v>399</v>
      </c>
      <c r="D143" s="127" t="s">
        <v>400</v>
      </c>
      <c r="E143" s="128" t="s">
        <v>32</v>
      </c>
      <c r="F143" s="127" t="s">
        <v>46</v>
      </c>
      <c r="G143" s="130" t="str">
        <f>IF(F143="♢", ((L3 * 100) / (COUNTIFS(F:F, "♢", E:E, E143) + COUNTIFS(F:F, "♢", E:E, "A1") + IF(E143="A1", COUNTIFS(F:F, "♢", E:E, E2), 0) - IF(E143="A1", COUNTIFS(F:F, "♢", E:E, "A1"), 0)))/100, "")
</f>
        <v/>
      </c>
      <c r="H143" s="129">
        <f>IF(F143="♢♢", ((M4 * 100) / (COUNTIFS(F:F, "♢♢", E:E, E143) + COUNTIFS(F:F, "♢♢", E:E, "A1") + IF(E143="A1", COUNTIFS(F:F, "♢♢", E:E, E2), 0) - IF(E143="A1", COUNTIFS(F:F, "♢♢", E:E, "A1"), 0)))/100, 
   IF(F143="♢♢♢", ((M5 * 100) / (COUNTIFS(F:F, "♢♢♢", E:E, E143) + COUNTIFS(F:F, "♢♢♢", E:E, "A1") + IF(E143="A1", COUNTIFS(F:F, "♢♢♢", E:E, E2), 0) - IF(E143="A1", COUNTIFS(F:F, "♢♢♢", E:E, "A1"), 0)))/100, 
   IF(F143="♢♢♢♢", ((M6 * 100) / (COUNTIFS(F:F, "♢♢♢♢", E:E, E143) + COUNTIFS(F:F, "♢♢♢♢", E:E, "A1") + IF(E143="A1", COUNTIFS(F:F, "♢♢♢♢", E:E, E2), 0) - IF(E143="A1", COUNTIFS(F:F, "♢♢♢♢", E:E, "A1"), 0)))/100, 
   IF(F143="☆", ((M7 * 100) / (COUNTIFS(F:F, "☆", E:E, E143) + COUNTIFS(F:F, "☆", E:E, "A1") + IF(E143="A1", COUNTIFS(F:F, "☆", E:E, E2), 0) - IF(E143="A1", COUNTIFS(F:F, "☆", E:E, "A1"), 0)))/100, 
   IF(F143="☆☆", ((M8 * 100) / (COUNTIFS(F:F, "☆☆", E:E, E143) + COUNTIFS(F:F, "☆☆", E:E, "A1") + IF(E143="A1", COUNTIFS(F:F, "☆☆", E:E, E2), 0) - IF(E143="A1", COUNTIFS(F:F, "☆☆", E:E, "A1"), 0)))/100, 
   IF(F143="☆☆☆", ((M9 * 100) / (COUNTIFS(F:F, "☆☆☆", E:E, E143) + COUNTIFS(F:F, "☆☆☆", E:E, "A1") + IF(E143="A1", COUNTIFS(F:F, "☆☆☆", E:E, E2), 0) - IF(E143="A1", COUNTIFS(F:F, "☆☆☆", E:E, "A1"), 0)))/100, 
   IF(F143="♛", ((M10 * 100) / (COUNTIFS(F:F, "♛", E:E, E143) + COUNTIFS(F:F, "♛", E:E, "A1") + IF(E143="A1", COUNTIFS(F:F, "♛", E:E, E2), 0) - IF(E143="A1", COUNTIFS(F:F, "♛", E:E, "A1"), 0)))/100, "")))))))
</f>
        <v>0.02571428571</v>
      </c>
      <c r="I143" s="129">
        <f>IF(F143="♢♢", ((N4 * 100) / (COUNTIFS(F:F, "♢♢", E:E, E143) + COUNTIFS(F:F, "♢♢", E:E, "A1") + IF(E143="A1", COUNTIFS(F:F, "♢♢", E:E, E2), 0) - IF(E143="A1", COUNTIFS(F:F, "♢♢", E:E, "A1"), 0)))/100, 
   IF(F143="♢♢♢", ((N5 * 100) / (COUNTIFS(F:F, "♢♢♢", E:E, E143) + COUNTIFS(F:F, "♢♢♢", E:E, "A1") + IF(E143="A1", COUNTIFS(F:F, "♢♢♢", E:E, E2), 0) - IF(E143="A1", COUNTIFS(F:F, "♢♢♢", E:E, "A1"), 0)))/100, 
   IF(F143="♢♢♢♢", ((N6 * 100) / (COUNTIFS(F:F, "♢♢♢♢", E:E, E143) + COUNTIFS(F:F, "♢♢♢♢", E:E, "A1") + IF(E143="A1", COUNTIFS(F:F, "♢♢♢♢", E:E, E2), 0) - IF(E143="A1", COUNTIFS(F:F, "♢♢♢♢", E:E, "A1"), 0)))/100, 
   IF(F143="☆", ((N7 * 100) / (COUNTIFS(F:F, "☆", E:E, E143) + COUNTIFS(F:F, "☆", E:E, "A1") + IF(E143="A1", COUNTIFS(F:F, "☆", E:E, E2), 0) - IF(E143="A1", COUNTIFS(F:F, "☆", E:E, "A1"), 0)))/100, 
   IF(F143="☆☆", ((N8 * 100) / (COUNTIFS(F:F, "☆☆", E:E, E143) + COUNTIFS(F:F, "☆☆", E:E, "A1") + IF(E143="A1", COUNTIFS(F:F, "☆☆", E:E, E2), 0) - IF(E143="A1", COUNTIFS(F:F, "☆☆", E:E, "A1"), 0)))/100, 
   IF(F143="☆☆☆", ((N9 * 100) / (COUNTIFS(F:F, "☆☆☆", E:E, E143) + COUNTIFS(F:F, "☆☆☆", E:E, "A1") + IF(E143="A1", COUNTIFS(F:F, "☆☆☆", E:E, E2), 0) - IF(E143="A1", COUNTIFS(F:F, "☆☆☆", E:E, "A1"), 0)))/100, 
   IF(F143="♛", ((N10 * 100) / (COUNTIFS(F:F, "♛", E:E, E143) + COUNTIFS(F:F, "♛", E:E, "A1") + IF(E143="A1", COUNTIFS(F:F, "♛", E:E, E2), 0) - IF(E143="A1", COUNTIFS(F:F, "♛", E:E, "A1"), 0)))/100, "")))))))
</f>
        <v>0.01714285714</v>
      </c>
      <c r="J143" s="131"/>
      <c r="K143" s="247"/>
      <c r="L143" s="20"/>
      <c r="M143" s="20"/>
      <c r="N143" s="20"/>
    </row>
    <row r="144">
      <c r="A144" s="125" t="b">
        <f t="shared" si="1"/>
        <v>0</v>
      </c>
      <c r="B144" s="126">
        <v>0.0</v>
      </c>
      <c r="C144" s="127" t="s">
        <v>401</v>
      </c>
      <c r="D144" s="127" t="s">
        <v>402</v>
      </c>
      <c r="E144" s="128" t="s">
        <v>32</v>
      </c>
      <c r="F144" s="127" t="s">
        <v>44</v>
      </c>
      <c r="G144" s="129">
        <f>IF(F144="♢", ((L3 * 100) / (COUNTIFS(F:F, "♢", E:E, E144) + COUNTIFS(F:F, "♢", E:E, "A1") + IF(E144="A1", COUNTIFS(F:F, "♢", E:E, E2), 0) - IF(E144="A1", COUNTIFS(F:F, "♢", E:E, "A1"), 0)))/100, "")
</f>
        <v>0.02</v>
      </c>
      <c r="H144" s="130" t="str">
        <f>IF(F144="♢♢", ((M4 * 100) / (COUNTIFS(F:F, "♢♢", E:E, E144) + COUNTIFS(F:F, "♢♢", E:E, "A1") + IF(E144="A1", COUNTIFS(F:F, "♢♢", E:E, E2), 0) - IF(E144="A1", COUNTIFS(F:F, "♢♢", E:E, "A1"), 0)))/100, 
   IF(F144="♢♢♢", ((M5 * 100) / (COUNTIFS(F:F, "♢♢♢", E:E, E144) + COUNTIFS(F:F, "♢♢♢", E:E, "A1") + IF(E144="A1", COUNTIFS(F:F, "♢♢♢", E:E, E2), 0) - IF(E144="A1", COUNTIFS(F:F, "♢♢♢", E:E, "A1"), 0)))/100, 
   IF(F144="♢♢♢♢", ((M6 * 100) / (COUNTIFS(F:F, "♢♢♢♢", E:E, E144) + COUNTIFS(F:F, "♢♢♢♢", E:E, "A1") + IF(E144="A1", COUNTIFS(F:F, "♢♢♢♢", E:E, E2), 0) - IF(E144="A1", COUNTIFS(F:F, "♢♢♢♢", E:E, "A1"), 0)))/100, 
   IF(F144="☆", ((M7 * 100) / (COUNTIFS(F:F, "☆", E:E, E144) + COUNTIFS(F:F, "☆", E:E, "A1") + IF(E144="A1", COUNTIFS(F:F, "☆", E:E, E2), 0) - IF(E144="A1", COUNTIFS(F:F, "☆", E:E, "A1"), 0)))/100, 
   IF(F144="☆☆", ((M8 * 100) / (COUNTIFS(F:F, "☆☆", E:E, E144) + COUNTIFS(F:F, "☆☆", E:E, "A1") + IF(E144="A1", COUNTIFS(F:F, "☆☆", E:E, E2), 0) - IF(E144="A1", COUNTIFS(F:F, "☆☆", E:E, "A1"), 0)))/100, 
   IF(F144="☆☆☆", ((M9 * 100) / (COUNTIFS(F:F, "☆☆☆", E:E, E144) + COUNTIFS(F:F, "☆☆☆", E:E, "A1") + IF(E144="A1", COUNTIFS(F:F, "☆☆☆", E:E, E2), 0) - IF(E144="A1", COUNTIFS(F:F, "☆☆☆", E:E, "A1"), 0)))/100, 
   IF(F144="♛", ((M10 * 100) / (COUNTIFS(F:F, "♛", E:E, E144) + COUNTIFS(F:F, "♛", E:E, "A1") + IF(E144="A1", COUNTIFS(F:F, "♛", E:E, E2), 0) - IF(E144="A1", COUNTIFS(F:F, "♛", E:E, "A1"), 0)))/100, "")))))))
</f>
        <v/>
      </c>
      <c r="I144" s="130" t="str">
        <f>IF(F144="♢♢", ((N4 * 100) / (COUNTIFS(F:F, "♢♢", E:E, E144) + COUNTIFS(F:F, "♢♢", E:E, "A1") + IF(E144="A1", COUNTIFS(F:F, "♢♢", E:E, E2), 0) - IF(E144="A1", COUNTIFS(F:F, "♢♢", E:E, "A1"), 0)))/100, 
   IF(F144="♢♢♢", ((N5 * 100) / (COUNTIFS(F:F, "♢♢♢", E:E, E144) + COUNTIFS(F:F, "♢♢♢", E:E, "A1") + IF(E144="A1", COUNTIFS(F:F, "♢♢♢", E:E, E2), 0) - IF(E144="A1", COUNTIFS(F:F, "♢♢♢", E:E, "A1"), 0)))/100, 
   IF(F144="♢♢♢♢", ((N6 * 100) / (COUNTIFS(F:F, "♢♢♢♢", E:E, E144) + COUNTIFS(F:F, "♢♢♢♢", E:E, "A1") + IF(E144="A1", COUNTIFS(F:F, "♢♢♢♢", E:E, E2), 0) - IF(E144="A1", COUNTIFS(F:F, "♢♢♢♢", E:E, "A1"), 0)))/100, 
   IF(F144="☆", ((N7 * 100) / (COUNTIFS(F:F, "☆", E:E, E144) + COUNTIFS(F:F, "☆", E:E, "A1") + IF(E144="A1", COUNTIFS(F:F, "☆", E:E, E2), 0) - IF(E144="A1", COUNTIFS(F:F, "☆", E:E, "A1"), 0)))/100, 
   IF(F144="☆☆", ((N8 * 100) / (COUNTIFS(F:F, "☆☆", E:E, E144) + COUNTIFS(F:F, "☆☆", E:E, "A1") + IF(E144="A1", COUNTIFS(F:F, "☆☆", E:E, E2), 0) - IF(E144="A1", COUNTIFS(F:F, "☆☆", E:E, "A1"), 0)))/100, 
   IF(F144="☆☆☆", ((N9 * 100) / (COUNTIFS(F:F, "☆☆☆", E:E, E144) + COUNTIFS(F:F, "☆☆☆", E:E, "A1") + IF(E144="A1", COUNTIFS(F:F, "☆☆☆", E:E, E2), 0) - IF(E144="A1", COUNTIFS(F:F, "☆☆☆", E:E, "A1"), 0)))/100, 
   IF(F144="♛", ((N10 * 100) / (COUNTIFS(F:F, "♛", E:E, E144) + COUNTIFS(F:F, "♛", E:E, "A1") + IF(E144="A1", COUNTIFS(F:F, "♛", E:E, E2), 0) - IF(E144="A1", COUNTIFS(F:F, "♛", E:E, "A1"), 0)))/100, "")))))))
</f>
        <v/>
      </c>
      <c r="J144" s="131"/>
      <c r="K144" s="247"/>
      <c r="L144" s="20"/>
      <c r="M144" s="20"/>
      <c r="N144" s="20"/>
      <c r="O144" s="249"/>
    </row>
    <row r="145">
      <c r="A145" s="125" t="b">
        <f t="shared" si="1"/>
        <v>0</v>
      </c>
      <c r="B145" s="126">
        <v>0.0</v>
      </c>
      <c r="C145" s="127" t="s">
        <v>403</v>
      </c>
      <c r="D145" s="127" t="s">
        <v>404</v>
      </c>
      <c r="E145" s="128" t="s">
        <v>32</v>
      </c>
      <c r="F145" s="127" t="s">
        <v>46</v>
      </c>
      <c r="G145" s="130" t="str">
        <f>IF(F145="♢", ((L3 * 100) / (COUNTIFS(F:F, "♢", E:E, E145) + COUNTIFS(F:F, "♢", E:E, "A1") + IF(E145="A1", COUNTIFS(F:F, "♢", E:E, E2), 0) - IF(E145="A1", COUNTIFS(F:F, "♢", E:E, "A1"), 0)))/100, "")
</f>
        <v/>
      </c>
      <c r="H145" s="129">
        <f>IF(F145="♢♢", ((M4 * 100) / (COUNTIFS(F:F, "♢♢", E:E, E145) + COUNTIFS(F:F, "♢♢", E:E, "A1") + IF(E145="A1", COUNTIFS(F:F, "♢♢", E:E, E2), 0) - IF(E145="A1", COUNTIFS(F:F, "♢♢", E:E, "A1"), 0)))/100, 
   IF(F145="♢♢♢", ((M5 * 100) / (COUNTIFS(F:F, "♢♢♢", E:E, E145) + COUNTIFS(F:F, "♢♢♢", E:E, "A1") + IF(E145="A1", COUNTIFS(F:F, "♢♢♢", E:E, E2), 0) - IF(E145="A1", COUNTIFS(F:F, "♢♢♢", E:E, "A1"), 0)))/100, 
   IF(F145="♢♢♢♢", ((M6 * 100) / (COUNTIFS(F:F, "♢♢♢♢", E:E, E145) + COUNTIFS(F:F, "♢♢♢♢", E:E, "A1") + IF(E145="A1", COUNTIFS(F:F, "♢♢♢♢", E:E, E2), 0) - IF(E145="A1", COUNTIFS(F:F, "♢♢♢♢", E:E, "A1"), 0)))/100, 
   IF(F145="☆", ((M7 * 100) / (COUNTIFS(F:F, "☆", E:E, E145) + COUNTIFS(F:F, "☆", E:E, "A1") + IF(E145="A1", COUNTIFS(F:F, "☆", E:E, E2), 0) - IF(E145="A1", COUNTIFS(F:F, "☆", E:E, "A1"), 0)))/100, 
   IF(F145="☆☆", ((M8 * 100) / (COUNTIFS(F:F, "☆☆", E:E, E145) + COUNTIFS(F:F, "☆☆", E:E, "A1") + IF(E145="A1", COUNTIFS(F:F, "☆☆", E:E, E2), 0) - IF(E145="A1", COUNTIFS(F:F, "☆☆", E:E, "A1"), 0)))/100, 
   IF(F145="☆☆☆", ((M9 * 100) / (COUNTIFS(F:F, "☆☆☆", E:E, E145) + COUNTIFS(F:F, "☆☆☆", E:E, "A1") + IF(E145="A1", COUNTIFS(F:F, "☆☆☆", E:E, E2), 0) - IF(E145="A1", COUNTIFS(F:F, "☆☆☆", E:E, "A1"), 0)))/100, 
   IF(F145="♛", ((M10 * 100) / (COUNTIFS(F:F, "♛", E:E, E145) + COUNTIFS(F:F, "♛", E:E, "A1") + IF(E145="A1", COUNTIFS(F:F, "♛", E:E, E2), 0) - IF(E145="A1", COUNTIFS(F:F, "♛", E:E, "A1"), 0)))/100, "")))))))
</f>
        <v>0.02571428571</v>
      </c>
      <c r="I145" s="129">
        <f>IF(F145="♢♢", ((N4 * 100) / (COUNTIFS(F:F, "♢♢", E:E, E145) + COUNTIFS(F:F, "♢♢", E:E, "A1") + IF(E145="A1", COUNTIFS(F:F, "♢♢", E:E, E2), 0) - IF(E145="A1", COUNTIFS(F:F, "♢♢", E:E, "A1"), 0)))/100, 
   IF(F145="♢♢♢", ((N5 * 100) / (COUNTIFS(F:F, "♢♢♢", E:E, E145) + COUNTIFS(F:F, "♢♢♢", E:E, "A1") + IF(E145="A1", COUNTIFS(F:F, "♢♢♢", E:E, E2), 0) - IF(E145="A1", COUNTIFS(F:F, "♢♢♢", E:E, "A1"), 0)))/100, 
   IF(F145="♢♢♢♢", ((N6 * 100) / (COUNTIFS(F:F, "♢♢♢♢", E:E, E145) + COUNTIFS(F:F, "♢♢♢♢", E:E, "A1") + IF(E145="A1", COUNTIFS(F:F, "♢♢♢♢", E:E, E2), 0) - IF(E145="A1", COUNTIFS(F:F, "♢♢♢♢", E:E, "A1"), 0)))/100, 
   IF(F145="☆", ((N7 * 100) / (COUNTIFS(F:F, "☆", E:E, E145) + COUNTIFS(F:F, "☆", E:E, "A1") + IF(E145="A1", COUNTIFS(F:F, "☆", E:E, E2), 0) - IF(E145="A1", COUNTIFS(F:F, "☆", E:E, "A1"), 0)))/100, 
   IF(F145="☆☆", ((N8 * 100) / (COUNTIFS(F:F, "☆☆", E:E, E145) + COUNTIFS(F:F, "☆☆", E:E, "A1") + IF(E145="A1", COUNTIFS(F:F, "☆☆", E:E, E2), 0) - IF(E145="A1", COUNTIFS(F:F, "☆☆", E:E, "A1"), 0)))/100, 
   IF(F145="☆☆☆", ((N9 * 100) / (COUNTIFS(F:F, "☆☆☆", E:E, E145) + COUNTIFS(F:F, "☆☆☆", E:E, "A1") + IF(E145="A1", COUNTIFS(F:F, "☆☆☆", E:E, E2), 0) - IF(E145="A1", COUNTIFS(F:F, "☆☆☆", E:E, "A1"), 0)))/100, 
   IF(F145="♛", ((N10 * 100) / (COUNTIFS(F:F, "♛", E:E, E145) + COUNTIFS(F:F, "♛", E:E, "A1") + IF(E145="A1", COUNTIFS(F:F, "♛", E:E, E2), 0) - IF(E145="A1", COUNTIFS(F:F, "♛", E:E, "A1"), 0)))/100, "")))))))
</f>
        <v>0.01714285714</v>
      </c>
      <c r="J145" s="131"/>
      <c r="K145" s="247"/>
      <c r="L145" s="20"/>
      <c r="M145" s="20"/>
      <c r="N145" s="20"/>
      <c r="O145" s="249"/>
    </row>
    <row r="146">
      <c r="A146" s="125" t="b">
        <f t="shared" si="1"/>
        <v>0</v>
      </c>
      <c r="B146" s="126">
        <v>0.0</v>
      </c>
      <c r="C146" s="127" t="s">
        <v>405</v>
      </c>
      <c r="D146" s="127" t="s">
        <v>406</v>
      </c>
      <c r="E146" s="128" t="s">
        <v>32</v>
      </c>
      <c r="F146" s="127" t="s">
        <v>48</v>
      </c>
      <c r="G146" s="130" t="str">
        <f>IF(F146="♢", ((L3 * 100) / (COUNTIFS(F:F, "♢", E:E, E146) + COUNTIFS(F:F, "♢", E:E, "A1") + IF(E146="A1", COUNTIFS(F:F, "♢", E:E, E2), 0) - IF(E146="A1", COUNTIFS(F:F, "♢", E:E, "A1"), 0)))/100, "")
</f>
        <v/>
      </c>
      <c r="H146" s="129">
        <f>IF(F146="♢♢", ((M4 * 100) / (COUNTIFS(F:F, "♢♢", E:E, E146) + COUNTIFS(F:F, "♢♢", E:E, "A1") + IF(E146="A1", COUNTIFS(F:F, "♢♢", E:E, E2), 0) - IF(E146="A1", COUNTIFS(F:F, "♢♢", E:E, "A1"), 0)))/100, 
   IF(F146="♢♢♢", ((M5 * 100) / (COUNTIFS(F:F, "♢♢♢", E:E, E146) + COUNTIFS(F:F, "♢♢♢", E:E, "A1") + IF(E146="A1", COUNTIFS(F:F, "♢♢♢", E:E, E2), 0) - IF(E146="A1", COUNTIFS(F:F, "♢♢♢", E:E, "A1"), 0)))/100, 
   IF(F146="♢♢♢♢", ((M6 * 100) / (COUNTIFS(F:F, "♢♢♢♢", E:E, E146) + COUNTIFS(F:F, "♢♢♢♢", E:E, "A1") + IF(E146="A1", COUNTIFS(F:F, "♢♢♢♢", E:E, E2), 0) - IF(E146="A1", COUNTIFS(F:F, "♢♢♢♢", E:E, "A1"), 0)))/100, 
   IF(F146="☆", ((M7 * 100) / (COUNTIFS(F:F, "☆", E:E, E146) + COUNTIFS(F:F, "☆", E:E, "A1") + IF(E146="A1", COUNTIFS(F:F, "☆", E:E, E2), 0) - IF(E146="A1", COUNTIFS(F:F, "☆", E:E, "A1"), 0)))/100, 
   IF(F146="☆☆", ((M8 * 100) / (COUNTIFS(F:F, "☆☆", E:E, E146) + COUNTIFS(F:F, "☆☆", E:E, "A1") + IF(E146="A1", COUNTIFS(F:F, "☆☆", E:E, E2), 0) - IF(E146="A1", COUNTIFS(F:F, "☆☆", E:E, "A1"), 0)))/100, 
   IF(F146="☆☆☆", ((M9 * 100) / (COUNTIFS(F:F, "☆☆☆", E:E, E146) + COUNTIFS(F:F, "☆☆☆", E:E, "A1") + IF(E146="A1", COUNTIFS(F:F, "☆☆☆", E:E, E2), 0) - IF(E146="A1", COUNTIFS(F:F, "☆☆☆", E:E, "A1"), 0)))/100, 
   IF(F146="♛", ((M10 * 100) / (COUNTIFS(F:F, "♛", E:E, E146) + COUNTIFS(F:F, "♛", E:E, "A1") + IF(E146="A1", COUNTIFS(F:F, "♛", E:E, E2), 0) - IF(E146="A1", COUNTIFS(F:F, "♛", E:E, "A1"), 0)))/100, "")))))))
</f>
        <v>0.003571428571</v>
      </c>
      <c r="I146" s="129">
        <f>IF(F146="♢♢", ((N4 * 100) / (COUNTIFS(F:F, "♢♢", E:E, E146) + COUNTIFS(F:F, "♢♢", E:E, "A1") + IF(E146="A1", COUNTIFS(F:F, "♢♢", E:E, E2), 0) - IF(E146="A1", COUNTIFS(F:F, "♢♢", E:E, "A1"), 0)))/100, 
   IF(F146="♢♢♢", ((N5 * 100) / (COUNTIFS(F:F, "♢♢♢", E:E, E146) + COUNTIFS(F:F, "♢♢♢", E:E, "A1") + IF(E146="A1", COUNTIFS(F:F, "♢♢♢", E:E, E2), 0) - IF(E146="A1", COUNTIFS(F:F, "♢♢♢", E:E, "A1"), 0)))/100, 
   IF(F146="♢♢♢♢", ((N6 * 100) / (COUNTIFS(F:F, "♢♢♢♢", E:E, E146) + COUNTIFS(F:F, "♢♢♢♢", E:E, "A1") + IF(E146="A1", COUNTIFS(F:F, "♢♢♢♢", E:E, E2), 0) - IF(E146="A1", COUNTIFS(F:F, "♢♢♢♢", E:E, "A1"), 0)))/100, 
   IF(F146="☆", ((N7 * 100) / (COUNTIFS(F:F, "☆", E:E, E146) + COUNTIFS(F:F, "☆", E:E, "A1") + IF(E146="A1", COUNTIFS(F:F, "☆", E:E, E2), 0) - IF(E146="A1", COUNTIFS(F:F, "☆", E:E, "A1"), 0)))/100, 
   IF(F146="☆☆", ((N8 * 100) / (COUNTIFS(F:F, "☆☆", E:E, E146) + COUNTIFS(F:F, "☆☆", E:E, "A1") + IF(E146="A1", COUNTIFS(F:F, "☆☆", E:E, E2), 0) - IF(E146="A1", COUNTIFS(F:F, "☆☆", E:E, "A1"), 0)))/100, 
   IF(F146="☆☆☆", ((N9 * 100) / (COUNTIFS(F:F, "☆☆☆", E:E, E146) + COUNTIFS(F:F, "☆☆☆", E:E, "A1") + IF(E146="A1", COUNTIFS(F:F, "☆☆☆", E:E, E2), 0) - IF(E146="A1", COUNTIFS(F:F, "☆☆☆", E:E, "A1"), 0)))/100, 
   IF(F146="♛", ((N10 * 100) / (COUNTIFS(F:F, "♛", E:E, E146) + COUNTIFS(F:F, "♛", E:E, "A1") + IF(E146="A1", COUNTIFS(F:F, "♛", E:E, E2), 0) - IF(E146="A1", COUNTIFS(F:F, "♛", E:E, "A1"), 0)))/100, "")))))))
</f>
        <v>0.01428571429</v>
      </c>
      <c r="J146" s="131"/>
      <c r="K146" s="247"/>
      <c r="L146" s="20"/>
      <c r="M146" s="20"/>
      <c r="N146" s="20"/>
      <c r="O146" s="249"/>
    </row>
    <row r="147">
      <c r="A147" s="125" t="b">
        <f t="shared" si="1"/>
        <v>0</v>
      </c>
      <c r="B147" s="126">
        <v>0.0</v>
      </c>
      <c r="C147" s="127" t="s">
        <v>407</v>
      </c>
      <c r="D147" s="128" t="s">
        <v>408</v>
      </c>
      <c r="E147" s="128" t="s">
        <v>32</v>
      </c>
      <c r="F147" s="127" t="s">
        <v>51</v>
      </c>
      <c r="G147" s="130" t="str">
        <f>IF(F147="♢", ((L3 * 100) / (COUNTIFS(F:F, "♢", E:E, E147) + COUNTIFS(F:F, "♢", E:E, "A1") + IF(E147="A1", COUNTIFS(F:F, "♢", E:E, E2), 0) - IF(E147="A1", COUNTIFS(F:F, "♢", E:E, "A1"), 0)))/100, "")
</f>
        <v/>
      </c>
      <c r="H147" s="129">
        <f>IF(F147="♢♢", ((M4 * 100) / (COUNTIFS(F:F, "♢♢", E:E, E147) + COUNTIFS(F:F, "♢♢", E:E, "A1") + IF(E147="A1", COUNTIFS(F:F, "♢♢", E:E, E2), 0) - IF(E147="A1", COUNTIFS(F:F, "♢♢", E:E, "A1"), 0)))/100, 
   IF(F147="♢♢♢", ((M5 * 100) / (COUNTIFS(F:F, "♢♢♢", E:E, E147) + COUNTIFS(F:F, "♢♢♢", E:E, "A1") + IF(E147="A1", COUNTIFS(F:F, "♢♢♢", E:E, E2), 0) - IF(E147="A1", COUNTIFS(F:F, "♢♢♢", E:E, "A1"), 0)))/100, 
   IF(F147="♢♢♢♢", ((M6 * 100) / (COUNTIFS(F:F, "♢♢♢♢", E:E, E147) + COUNTIFS(F:F, "♢♢♢♢", E:E, "A1") + IF(E147="A1", COUNTIFS(F:F, "♢♢♢♢", E:E, E2), 0) - IF(E147="A1", COUNTIFS(F:F, "♢♢♢♢", E:E, "A1"), 0)))/100, 
   IF(F147="☆", ((M7 * 100) / (COUNTIFS(F:F, "☆", E:E, E147) + COUNTIFS(F:F, "☆", E:E, "A1") + IF(E147="A1", COUNTIFS(F:F, "☆", E:E, E2), 0) - IF(E147="A1", COUNTIFS(F:F, "☆", E:E, "A1"), 0)))/100, 
   IF(F147="☆☆", ((M8 * 100) / (COUNTIFS(F:F, "☆☆", E:E, E147) + COUNTIFS(F:F, "☆☆", E:E, "A1") + IF(E147="A1", COUNTIFS(F:F, "☆☆", E:E, E2), 0) - IF(E147="A1", COUNTIFS(F:F, "☆☆", E:E, "A1"), 0)))/100, 
   IF(F147="☆☆☆", ((M9 * 100) / (COUNTIFS(F:F, "☆☆☆", E:E, E147) + COUNTIFS(F:F, "☆☆☆", E:E, "A1") + IF(E147="A1", COUNTIFS(F:F, "☆☆☆", E:E, E2), 0) - IF(E147="A1", COUNTIFS(F:F, "☆☆☆", E:E, "A1"), 0)))/100, 
   IF(F147="♛", ((M10 * 100) / (COUNTIFS(F:F, "♛", E:E, E147) + COUNTIFS(F:F, "♛", E:E, "A1") + IF(E147="A1", COUNTIFS(F:F, "♛", E:E, E2), 0) - IF(E147="A1", COUNTIFS(F:F, "♛", E:E, "A1"), 0)))/100, "")))))))
</f>
        <v>0.003332</v>
      </c>
      <c r="I147" s="129">
        <f>IF(F147="♢♢", ((N4 * 100) / (COUNTIFS(F:F, "♢♢", E:E, E147) + COUNTIFS(F:F, "♢♢", E:E, "A1") + IF(E147="A1", COUNTIFS(F:F, "♢♢", E:E, E2), 0) - IF(E147="A1", COUNTIFS(F:F, "♢♢", E:E, "A1"), 0)))/100, 
   IF(F147="♢♢♢", ((N5 * 100) / (COUNTIFS(F:F, "♢♢♢", E:E, E147) + COUNTIFS(F:F, "♢♢♢", E:E, "A1") + IF(E147="A1", COUNTIFS(F:F, "♢♢♢", E:E, E2), 0) - IF(E147="A1", COUNTIFS(F:F, "♢♢♢", E:E, "A1"), 0)))/100, 
   IF(F147="♢♢♢♢", ((N6 * 100) / (COUNTIFS(F:F, "♢♢♢♢", E:E, E147) + COUNTIFS(F:F, "♢♢♢♢", E:E, "A1") + IF(E147="A1", COUNTIFS(F:F, "♢♢♢♢", E:E, E2), 0) - IF(E147="A1", COUNTIFS(F:F, "♢♢♢♢", E:E, "A1"), 0)))/100, 
   IF(F147="☆", ((N7 * 100) / (COUNTIFS(F:F, "☆", E:E, E147) + COUNTIFS(F:F, "☆", E:E, "A1") + IF(E147="A1", COUNTIFS(F:F, "☆", E:E, E2), 0) - IF(E147="A1", COUNTIFS(F:F, "☆", E:E, "A1"), 0)))/100, 
   IF(F147="☆☆", ((N8 * 100) / (COUNTIFS(F:F, "☆☆", E:E, E147) + COUNTIFS(F:F, "☆☆", E:E, "A1") + IF(E147="A1", COUNTIFS(F:F, "☆☆", E:E, E2), 0) - IF(E147="A1", COUNTIFS(F:F, "☆☆", E:E, "A1"), 0)))/100, 
   IF(F147="☆☆☆", ((N9 * 100) / (COUNTIFS(F:F, "☆☆☆", E:E, E147) + COUNTIFS(F:F, "☆☆☆", E:E, "A1") + IF(E147="A1", COUNTIFS(F:F, "☆☆☆", E:E, E2), 0) - IF(E147="A1", COUNTIFS(F:F, "☆☆☆", E:E, "A1"), 0)))/100, 
   IF(F147="♛", ((N10 * 100) / (COUNTIFS(F:F, "♛", E:E, E147) + COUNTIFS(F:F, "♛", E:E, "A1") + IF(E147="A1", COUNTIFS(F:F, "♛", E:E, E2), 0) - IF(E147="A1", COUNTIFS(F:F, "♛", E:E, "A1"), 0)))/100, "")))))))
</f>
        <v>0.013328</v>
      </c>
      <c r="J147" s="131"/>
      <c r="K147" s="247"/>
      <c r="L147" s="20"/>
      <c r="M147" s="20"/>
      <c r="N147" s="20"/>
      <c r="O147" s="249"/>
    </row>
    <row r="148">
      <c r="A148" s="125" t="b">
        <f t="shared" si="1"/>
        <v>0</v>
      </c>
      <c r="B148" s="126">
        <v>0.0</v>
      </c>
      <c r="C148" s="127" t="s">
        <v>409</v>
      </c>
      <c r="D148" s="127" t="s">
        <v>410</v>
      </c>
      <c r="E148" s="128" t="s">
        <v>31</v>
      </c>
      <c r="F148" s="127" t="s">
        <v>44</v>
      </c>
      <c r="G148" s="129">
        <f>IF(F148="♢", ((L3 * 100) / (COUNTIFS(F:F, "♢", E:E, E148) + COUNTIFS(F:F, "♢", E:E, "A1") + IF(E148="A1", COUNTIFS(F:F, "♢", E:E, E2), 0) - IF(E148="A1", COUNTIFS(F:F, "♢", E:E, "A1"), 0)))/100, "")
</f>
        <v>0.02</v>
      </c>
      <c r="H148" s="130" t="str">
        <f>IF(F148="♢♢", ((M4 * 100) / (COUNTIFS(F:F, "♢♢", E:E, E148) + COUNTIFS(F:F, "♢♢", E:E, "A1") + IF(E148="A1", COUNTIFS(F:F, "♢♢", E:E, E2), 0) - IF(E148="A1", COUNTIFS(F:F, "♢♢", E:E, "A1"), 0)))/100, 
   IF(F148="♢♢♢", ((M5 * 100) / (COUNTIFS(F:F, "♢♢♢", E:E, E148) + COUNTIFS(F:F, "♢♢♢", E:E, "A1") + IF(E148="A1", COUNTIFS(F:F, "♢♢♢", E:E, E2), 0) - IF(E148="A1", COUNTIFS(F:F, "♢♢♢", E:E, "A1"), 0)))/100, 
   IF(F148="♢♢♢♢", ((M6 * 100) / (COUNTIFS(F:F, "♢♢♢♢", E:E, E148) + COUNTIFS(F:F, "♢♢♢♢", E:E, "A1") + IF(E148="A1", COUNTIFS(F:F, "♢♢♢♢", E:E, E2), 0) - IF(E148="A1", COUNTIFS(F:F, "♢♢♢♢", E:E, "A1"), 0)))/100, 
   IF(F148="☆", ((M7 * 100) / (COUNTIFS(F:F, "☆", E:E, E148) + COUNTIFS(F:F, "☆", E:E, "A1") + IF(E148="A1", COUNTIFS(F:F, "☆", E:E, E2), 0) - IF(E148="A1", COUNTIFS(F:F, "☆", E:E, "A1"), 0)))/100, 
   IF(F148="☆☆", ((M8 * 100) / (COUNTIFS(F:F, "☆☆", E:E, E148) + COUNTIFS(F:F, "☆☆", E:E, "A1") + IF(E148="A1", COUNTIFS(F:F, "☆☆", E:E, E2), 0) - IF(E148="A1", COUNTIFS(F:F, "☆☆", E:E, "A1"), 0)))/100, 
   IF(F148="☆☆☆", ((M9 * 100) / (COUNTIFS(F:F, "☆☆☆", E:E, E148) + COUNTIFS(F:F, "☆☆☆", E:E, "A1") + IF(E148="A1", COUNTIFS(F:F, "☆☆☆", E:E, E2), 0) - IF(E148="A1", COUNTIFS(F:F, "☆☆☆", E:E, "A1"), 0)))/100, 
   IF(F148="♛", ((M10 * 100) / (COUNTIFS(F:F, "♛", E:E, E148) + COUNTIFS(F:F, "♛", E:E, "A1") + IF(E148="A1", COUNTIFS(F:F, "♛", E:E, E2), 0) - IF(E148="A1", COUNTIFS(F:F, "♛", E:E, "A1"), 0)))/100, "")))))))
</f>
        <v/>
      </c>
      <c r="I148" s="130" t="str">
        <f>IF(F148="♢♢", ((N4 * 100) / (COUNTIFS(F:F, "♢♢", E:E, E148) + COUNTIFS(F:F, "♢♢", E:E, "A1") + IF(E148="A1", COUNTIFS(F:F, "♢♢", E:E, E2), 0) - IF(E148="A1", COUNTIFS(F:F, "♢♢", E:E, "A1"), 0)))/100, 
   IF(F148="♢♢♢", ((N5 * 100) / (COUNTIFS(F:F, "♢♢♢", E:E, E148) + COUNTIFS(F:F, "♢♢♢", E:E, "A1") + IF(E148="A1", COUNTIFS(F:F, "♢♢♢", E:E, E2), 0) - IF(E148="A1", COUNTIFS(F:F, "♢♢♢", E:E, "A1"), 0)))/100, 
   IF(F148="♢♢♢♢", ((N6 * 100) / (COUNTIFS(F:F, "♢♢♢♢", E:E, E148) + COUNTIFS(F:F, "♢♢♢♢", E:E, "A1") + IF(E148="A1", COUNTIFS(F:F, "♢♢♢♢", E:E, E2), 0) - IF(E148="A1", COUNTIFS(F:F, "♢♢♢♢", E:E, "A1"), 0)))/100, 
   IF(F148="☆", ((N7 * 100) / (COUNTIFS(F:F, "☆", E:E, E148) + COUNTIFS(F:F, "☆", E:E, "A1") + IF(E148="A1", COUNTIFS(F:F, "☆", E:E, E2), 0) - IF(E148="A1", COUNTIFS(F:F, "☆", E:E, "A1"), 0)))/100, 
   IF(F148="☆☆", ((N8 * 100) / (COUNTIFS(F:F, "☆☆", E:E, E148) + COUNTIFS(F:F, "☆☆", E:E, "A1") + IF(E148="A1", COUNTIFS(F:F, "☆☆", E:E, E2), 0) - IF(E148="A1", COUNTIFS(F:F, "☆☆", E:E, "A1"), 0)))/100, 
   IF(F148="☆☆☆", ((N9 * 100) / (COUNTIFS(F:F, "☆☆☆", E:E, E148) + COUNTIFS(F:F, "☆☆☆", E:E, "A1") + IF(E148="A1", COUNTIFS(F:F, "☆☆☆", E:E, E2), 0) - IF(E148="A1", COUNTIFS(F:F, "☆☆☆", E:E, "A1"), 0)))/100, 
   IF(F148="♛", ((N10 * 100) / (COUNTIFS(F:F, "♛", E:E, E148) + COUNTIFS(F:F, "♛", E:E, "A1") + IF(E148="A1", COUNTIFS(F:F, "♛", E:E, E2), 0) - IF(E148="A1", COUNTIFS(F:F, "♛", E:E, "A1"), 0)))/100, "")))))))
</f>
        <v/>
      </c>
      <c r="J148" s="131"/>
      <c r="K148" s="247"/>
      <c r="L148" s="20"/>
      <c r="M148" s="20"/>
      <c r="N148" s="20"/>
      <c r="O148" s="249"/>
    </row>
    <row r="149">
      <c r="A149" s="125" t="b">
        <f t="shared" si="1"/>
        <v>0</v>
      </c>
      <c r="B149" s="126">
        <v>0.0</v>
      </c>
      <c r="C149" s="127" t="s">
        <v>411</v>
      </c>
      <c r="D149" s="127" t="s">
        <v>412</v>
      </c>
      <c r="E149" s="128" t="s">
        <v>31</v>
      </c>
      <c r="F149" s="127" t="s">
        <v>46</v>
      </c>
      <c r="G149" s="130" t="str">
        <f>IF(F149="♢", ((L3 * 100) / (COUNTIFS(F:F, "♢", E:E, E149) + COUNTIFS(F:F, "♢", E:E, "A1") + IF(E149="A1", COUNTIFS(F:F, "♢", E:E, E2), 0) - IF(E149="A1", COUNTIFS(F:F, "♢", E:E, "A1"), 0)))/100, "")
</f>
        <v/>
      </c>
      <c r="H149" s="129">
        <f>IF(F149="♢♢", ((M4 * 100) / (COUNTIFS(F:F, "♢♢", E:E, E149) + COUNTIFS(F:F, "♢♢", E:E, "A1") + IF(E149="A1", COUNTIFS(F:F, "♢♢", E:E, E2), 0) - IF(E149="A1", COUNTIFS(F:F, "♢♢", E:E, "A1"), 0)))/100, 
   IF(F149="♢♢♢", ((M5 * 100) / (COUNTIFS(F:F, "♢♢♢", E:E, E149) + COUNTIFS(F:F, "♢♢♢", E:E, "A1") + IF(E149="A1", COUNTIFS(F:F, "♢♢♢", E:E, E2), 0) - IF(E149="A1", COUNTIFS(F:F, "♢♢♢", E:E, "A1"), 0)))/100, 
   IF(F149="♢♢♢♢", ((M6 * 100) / (COUNTIFS(F:F, "♢♢♢♢", E:E, E149) + COUNTIFS(F:F, "♢♢♢♢", E:E, "A1") + IF(E149="A1", COUNTIFS(F:F, "♢♢♢♢", E:E, E2), 0) - IF(E149="A1", COUNTIFS(F:F, "♢♢♢♢", E:E, "A1"), 0)))/100, 
   IF(F149="☆", ((M7 * 100) / (COUNTIFS(F:F, "☆", E:E, E149) + COUNTIFS(F:F, "☆", E:E, "A1") + IF(E149="A1", COUNTIFS(F:F, "☆", E:E, E2), 0) - IF(E149="A1", COUNTIFS(F:F, "☆", E:E, "A1"), 0)))/100, 
   IF(F149="☆☆", ((M8 * 100) / (COUNTIFS(F:F, "☆☆", E:E, E149) + COUNTIFS(F:F, "☆☆", E:E, "A1") + IF(E149="A1", COUNTIFS(F:F, "☆☆", E:E, E2), 0) - IF(E149="A1", COUNTIFS(F:F, "☆☆", E:E, "A1"), 0)))/100, 
   IF(F149="☆☆☆", ((M9 * 100) / (COUNTIFS(F:F, "☆☆☆", E:E, E149) + COUNTIFS(F:F, "☆☆☆", E:E, "A1") + IF(E149="A1", COUNTIFS(F:F, "☆☆☆", E:E, E2), 0) - IF(E149="A1", COUNTIFS(F:F, "☆☆☆", E:E, "A1"), 0)))/100, 
   IF(F149="♛", ((M10 * 100) / (COUNTIFS(F:F, "♛", E:E, E149) + COUNTIFS(F:F, "♛", E:E, "A1") + IF(E149="A1", COUNTIFS(F:F, "♛", E:E, E2), 0) - IF(E149="A1", COUNTIFS(F:F, "♛", E:E, "A1"), 0)))/100, "")))))))
</f>
        <v>0.02571428571</v>
      </c>
      <c r="I149" s="129">
        <f>IF(F149="♢♢", ((N4 * 100) / (COUNTIFS(F:F, "♢♢", E:E, E149) + COUNTIFS(F:F, "♢♢", E:E, "A1") + IF(E149="A1", COUNTIFS(F:F, "♢♢", E:E, E2), 0) - IF(E149="A1", COUNTIFS(F:F, "♢♢", E:E, "A1"), 0)))/100, 
   IF(F149="♢♢♢", ((N5 * 100) / (COUNTIFS(F:F, "♢♢♢", E:E, E149) + COUNTIFS(F:F, "♢♢♢", E:E, "A1") + IF(E149="A1", COUNTIFS(F:F, "♢♢♢", E:E, E2), 0) - IF(E149="A1", COUNTIFS(F:F, "♢♢♢", E:E, "A1"), 0)))/100, 
   IF(F149="♢♢♢♢", ((N6 * 100) / (COUNTIFS(F:F, "♢♢♢♢", E:E, E149) + COUNTIFS(F:F, "♢♢♢♢", E:E, "A1") + IF(E149="A1", COUNTIFS(F:F, "♢♢♢♢", E:E, E2), 0) - IF(E149="A1", COUNTIFS(F:F, "♢♢♢♢", E:E, "A1"), 0)))/100, 
   IF(F149="☆", ((N7 * 100) / (COUNTIFS(F:F, "☆", E:E, E149) + COUNTIFS(F:F, "☆", E:E, "A1") + IF(E149="A1", COUNTIFS(F:F, "☆", E:E, E2), 0) - IF(E149="A1", COUNTIFS(F:F, "☆", E:E, "A1"), 0)))/100, 
   IF(F149="☆☆", ((N8 * 100) / (COUNTIFS(F:F, "☆☆", E:E, E149) + COUNTIFS(F:F, "☆☆", E:E, "A1") + IF(E149="A1", COUNTIFS(F:F, "☆☆", E:E, E2), 0) - IF(E149="A1", COUNTIFS(F:F, "☆☆", E:E, "A1"), 0)))/100, 
   IF(F149="☆☆☆", ((N9 * 100) / (COUNTIFS(F:F, "☆☆☆", E:E, E149) + COUNTIFS(F:F, "☆☆☆", E:E, "A1") + IF(E149="A1", COUNTIFS(F:F, "☆☆☆", E:E, E2), 0) - IF(E149="A1", COUNTIFS(F:F, "☆☆☆", E:E, "A1"), 0)))/100, 
   IF(F149="♛", ((N10 * 100) / (COUNTIFS(F:F, "♛", E:E, E149) + COUNTIFS(F:F, "♛", E:E, "A1") + IF(E149="A1", COUNTIFS(F:F, "♛", E:E, E2), 0) - IF(E149="A1", COUNTIFS(F:F, "♛", E:E, "A1"), 0)))/100, "")))))))
</f>
        <v>0.01714285714</v>
      </c>
      <c r="J149" s="131"/>
      <c r="K149" s="247"/>
      <c r="L149" s="20"/>
      <c r="M149" s="20"/>
      <c r="N149" s="20"/>
      <c r="O149" s="249"/>
    </row>
    <row r="150">
      <c r="A150" s="125" t="b">
        <f t="shared" si="1"/>
        <v>0</v>
      </c>
      <c r="B150" s="126">
        <v>0.0</v>
      </c>
      <c r="C150" s="127" t="s">
        <v>413</v>
      </c>
      <c r="D150" s="127" t="s">
        <v>414</v>
      </c>
      <c r="E150" s="128" t="s">
        <v>31</v>
      </c>
      <c r="F150" s="127" t="s">
        <v>48</v>
      </c>
      <c r="G150" s="130" t="str">
        <f>IF(F150="♢", ((L3 * 100) / (COUNTIFS(F:F, "♢", E:E, E150) + COUNTIFS(F:F, "♢", E:E, "A1") + IF(E150="A1", COUNTIFS(F:F, "♢", E:E, E2), 0) - IF(E150="A1", COUNTIFS(F:F, "♢", E:E, "A1"), 0)))/100, "")
</f>
        <v/>
      </c>
      <c r="H150" s="129">
        <f>IF(F150="♢♢", ((M4 * 100) / (COUNTIFS(F:F, "♢♢", E:E, E150) + COUNTIFS(F:F, "♢♢", E:E, "A1") + IF(E150="A1", COUNTIFS(F:F, "♢♢", E:E, E2), 0) - IF(E150="A1", COUNTIFS(F:F, "♢♢", E:E, "A1"), 0)))/100, 
   IF(F150="♢♢♢", ((M5 * 100) / (COUNTIFS(F:F, "♢♢♢", E:E, E150) + COUNTIFS(F:F, "♢♢♢", E:E, "A1") + IF(E150="A1", COUNTIFS(F:F, "♢♢♢", E:E, E2), 0) - IF(E150="A1", COUNTIFS(F:F, "♢♢♢", E:E, "A1"), 0)))/100, 
   IF(F150="♢♢♢♢", ((M6 * 100) / (COUNTIFS(F:F, "♢♢♢♢", E:E, E150) + COUNTIFS(F:F, "♢♢♢♢", E:E, "A1") + IF(E150="A1", COUNTIFS(F:F, "♢♢♢♢", E:E, E2), 0) - IF(E150="A1", COUNTIFS(F:F, "♢♢♢♢", E:E, "A1"), 0)))/100, 
   IF(F150="☆", ((M7 * 100) / (COUNTIFS(F:F, "☆", E:E, E150) + COUNTIFS(F:F, "☆", E:E, "A1") + IF(E150="A1", COUNTIFS(F:F, "☆", E:E, E2), 0) - IF(E150="A1", COUNTIFS(F:F, "☆", E:E, "A1"), 0)))/100, 
   IF(F150="☆☆", ((M8 * 100) / (COUNTIFS(F:F, "☆☆", E:E, E150) + COUNTIFS(F:F, "☆☆", E:E, "A1") + IF(E150="A1", COUNTIFS(F:F, "☆☆", E:E, E2), 0) - IF(E150="A1", COUNTIFS(F:F, "☆☆", E:E, "A1"), 0)))/100, 
   IF(F150="☆☆☆", ((M9 * 100) / (COUNTIFS(F:F, "☆☆☆", E:E, E150) + COUNTIFS(F:F, "☆☆☆", E:E, "A1") + IF(E150="A1", COUNTIFS(F:F, "☆☆☆", E:E, E2), 0) - IF(E150="A1", COUNTIFS(F:F, "☆☆☆", E:E, "A1"), 0)))/100, 
   IF(F150="♛", ((M10 * 100) / (COUNTIFS(F:F, "♛", E:E, E150) + COUNTIFS(F:F, "♛", E:E, "A1") + IF(E150="A1", COUNTIFS(F:F, "♛", E:E, E2), 0) - IF(E150="A1", COUNTIFS(F:F, "♛", E:E, "A1"), 0)))/100, "")))))))
</f>
        <v>0.003571428571</v>
      </c>
      <c r="I150" s="129">
        <f>IF(F150="♢♢", ((N4 * 100) / (COUNTIFS(F:F, "♢♢", E:E, E150) + COUNTIFS(F:F, "♢♢", E:E, "A1") + IF(E150="A1", COUNTIFS(F:F, "♢♢", E:E, E2), 0) - IF(E150="A1", COUNTIFS(F:F, "♢♢", E:E, "A1"), 0)))/100, 
   IF(F150="♢♢♢", ((N5 * 100) / (COUNTIFS(F:F, "♢♢♢", E:E, E150) + COUNTIFS(F:F, "♢♢♢", E:E, "A1") + IF(E150="A1", COUNTIFS(F:F, "♢♢♢", E:E, E2), 0) - IF(E150="A1", COUNTIFS(F:F, "♢♢♢", E:E, "A1"), 0)))/100, 
   IF(F150="♢♢♢♢", ((N6 * 100) / (COUNTIFS(F:F, "♢♢♢♢", E:E, E150) + COUNTIFS(F:F, "♢♢♢♢", E:E, "A1") + IF(E150="A1", COUNTIFS(F:F, "♢♢♢♢", E:E, E2), 0) - IF(E150="A1", COUNTIFS(F:F, "♢♢♢♢", E:E, "A1"), 0)))/100, 
   IF(F150="☆", ((N7 * 100) / (COUNTIFS(F:F, "☆", E:E, E150) + COUNTIFS(F:F, "☆", E:E, "A1") + IF(E150="A1", COUNTIFS(F:F, "☆", E:E, E2), 0) - IF(E150="A1", COUNTIFS(F:F, "☆", E:E, "A1"), 0)))/100, 
   IF(F150="☆☆", ((N8 * 100) / (COUNTIFS(F:F, "☆☆", E:E, E150) + COUNTIFS(F:F, "☆☆", E:E, "A1") + IF(E150="A1", COUNTIFS(F:F, "☆☆", E:E, E2), 0) - IF(E150="A1", COUNTIFS(F:F, "☆☆", E:E, "A1"), 0)))/100, 
   IF(F150="☆☆☆", ((N9 * 100) / (COUNTIFS(F:F, "☆☆☆", E:E, E150) + COUNTIFS(F:F, "☆☆☆", E:E, "A1") + IF(E150="A1", COUNTIFS(F:F, "☆☆☆", E:E, E2), 0) - IF(E150="A1", COUNTIFS(F:F, "☆☆☆", E:E, "A1"), 0)))/100, 
   IF(F150="♛", ((N10 * 100) / (COUNTIFS(F:F, "♛", E:E, E150) + COUNTIFS(F:F, "♛", E:E, "A1") + IF(E150="A1", COUNTIFS(F:F, "♛", E:E, E2), 0) - IF(E150="A1", COUNTIFS(F:F, "♛", E:E, "A1"), 0)))/100, "")))))))
</f>
        <v>0.01428571429</v>
      </c>
      <c r="J150" s="131"/>
      <c r="K150" s="247"/>
      <c r="L150" s="20"/>
      <c r="M150" s="20"/>
      <c r="N150" s="20"/>
      <c r="O150" s="249"/>
    </row>
    <row r="151">
      <c r="A151" s="125" t="b">
        <f t="shared" si="1"/>
        <v>0</v>
      </c>
      <c r="B151" s="126">
        <v>0.0</v>
      </c>
      <c r="C151" s="127" t="s">
        <v>415</v>
      </c>
      <c r="D151" s="127" t="s">
        <v>416</v>
      </c>
      <c r="E151" s="128" t="s">
        <v>31</v>
      </c>
      <c r="F151" s="127" t="s">
        <v>46</v>
      </c>
      <c r="G151" s="130" t="str">
        <f>IF(F151="♢", ((L3 * 100) / (COUNTIFS(F:F, "♢", E:E, E151) + COUNTIFS(F:F, "♢", E:E, "A1") + IF(E151="A1", COUNTIFS(F:F, "♢", E:E, E2), 0) - IF(E151="A1", COUNTIFS(F:F, "♢", E:E, "A1"), 0)))/100, "")
</f>
        <v/>
      </c>
      <c r="H151" s="129">
        <f>IF(F151="♢♢", ((M4 * 100) / (COUNTIFS(F:F, "♢♢", E:E, E151) + COUNTIFS(F:F, "♢♢", E:E, "A1") + IF(E151="A1", COUNTIFS(F:F, "♢♢", E:E, E2), 0) - IF(E151="A1", COUNTIFS(F:F, "♢♢", E:E, "A1"), 0)))/100, 
   IF(F151="♢♢♢", ((M5 * 100) / (COUNTIFS(F:F, "♢♢♢", E:E, E151) + COUNTIFS(F:F, "♢♢♢", E:E, "A1") + IF(E151="A1", COUNTIFS(F:F, "♢♢♢", E:E, E2), 0) - IF(E151="A1", COUNTIFS(F:F, "♢♢♢", E:E, "A1"), 0)))/100, 
   IF(F151="♢♢♢♢", ((M6 * 100) / (COUNTIFS(F:F, "♢♢♢♢", E:E, E151) + COUNTIFS(F:F, "♢♢♢♢", E:E, "A1") + IF(E151="A1", COUNTIFS(F:F, "♢♢♢♢", E:E, E2), 0) - IF(E151="A1", COUNTIFS(F:F, "♢♢♢♢", E:E, "A1"), 0)))/100, 
   IF(F151="☆", ((M7 * 100) / (COUNTIFS(F:F, "☆", E:E, E151) + COUNTIFS(F:F, "☆", E:E, "A1") + IF(E151="A1", COUNTIFS(F:F, "☆", E:E, E2), 0) - IF(E151="A1", COUNTIFS(F:F, "☆", E:E, "A1"), 0)))/100, 
   IF(F151="☆☆", ((M8 * 100) / (COUNTIFS(F:F, "☆☆", E:E, E151) + COUNTIFS(F:F, "☆☆", E:E, "A1") + IF(E151="A1", COUNTIFS(F:F, "☆☆", E:E, E2), 0) - IF(E151="A1", COUNTIFS(F:F, "☆☆", E:E, "A1"), 0)))/100, 
   IF(F151="☆☆☆", ((M9 * 100) / (COUNTIFS(F:F, "☆☆☆", E:E, E151) + COUNTIFS(F:F, "☆☆☆", E:E, "A1") + IF(E151="A1", COUNTIFS(F:F, "☆☆☆", E:E, E2), 0) - IF(E151="A1", COUNTIFS(F:F, "☆☆☆", E:E, "A1"), 0)))/100, 
   IF(F151="♛", ((M10 * 100) / (COUNTIFS(F:F, "♛", E:E, E151) + COUNTIFS(F:F, "♛", E:E, "A1") + IF(E151="A1", COUNTIFS(F:F, "♛", E:E, E2), 0) - IF(E151="A1", COUNTIFS(F:F, "♛", E:E, "A1"), 0)))/100, "")))))))
</f>
        <v>0.02571428571</v>
      </c>
      <c r="I151" s="129">
        <f>IF(F151="♢♢", ((N4 * 100) / (COUNTIFS(F:F, "♢♢", E:E, E151) + COUNTIFS(F:F, "♢♢", E:E, "A1") + IF(E151="A1", COUNTIFS(F:F, "♢♢", E:E, E2), 0) - IF(E151="A1", COUNTIFS(F:F, "♢♢", E:E, "A1"), 0)))/100, 
   IF(F151="♢♢♢", ((N5 * 100) / (COUNTIFS(F:F, "♢♢♢", E:E, E151) + COUNTIFS(F:F, "♢♢♢", E:E, "A1") + IF(E151="A1", COUNTIFS(F:F, "♢♢♢", E:E, E2), 0) - IF(E151="A1", COUNTIFS(F:F, "♢♢♢", E:E, "A1"), 0)))/100, 
   IF(F151="♢♢♢♢", ((N6 * 100) / (COUNTIFS(F:F, "♢♢♢♢", E:E, E151) + COUNTIFS(F:F, "♢♢♢♢", E:E, "A1") + IF(E151="A1", COUNTIFS(F:F, "♢♢♢♢", E:E, E2), 0) - IF(E151="A1", COUNTIFS(F:F, "♢♢♢♢", E:E, "A1"), 0)))/100, 
   IF(F151="☆", ((N7 * 100) / (COUNTIFS(F:F, "☆", E:E, E151) + COUNTIFS(F:F, "☆", E:E, "A1") + IF(E151="A1", COUNTIFS(F:F, "☆", E:E, E2), 0) - IF(E151="A1", COUNTIFS(F:F, "☆", E:E, "A1"), 0)))/100, 
   IF(F151="☆☆", ((N8 * 100) / (COUNTIFS(F:F, "☆☆", E:E, E151) + COUNTIFS(F:F, "☆☆", E:E, "A1") + IF(E151="A1", COUNTIFS(F:F, "☆☆", E:E, E2), 0) - IF(E151="A1", COUNTIFS(F:F, "☆☆", E:E, "A1"), 0)))/100, 
   IF(F151="☆☆☆", ((N9 * 100) / (COUNTIFS(F:F, "☆☆☆", E:E, E151) + COUNTIFS(F:F, "☆☆☆", E:E, "A1") + IF(E151="A1", COUNTIFS(F:F, "☆☆☆", E:E, E2), 0) - IF(E151="A1", COUNTIFS(F:F, "☆☆☆", E:E, "A1"), 0)))/100, 
   IF(F151="♛", ((N10 * 100) / (COUNTIFS(F:F, "♛", E:E, E151) + COUNTIFS(F:F, "♛", E:E, "A1") + IF(E151="A1", COUNTIFS(F:F, "♛", E:E, E2), 0) - IF(E151="A1", COUNTIFS(F:F, "♛", E:E, "A1"), 0)))/100, "")))))))
</f>
        <v>0.01714285714</v>
      </c>
      <c r="J151" s="131"/>
      <c r="K151" s="247"/>
      <c r="L151" s="20"/>
      <c r="M151" s="20"/>
      <c r="N151" s="20"/>
      <c r="O151" s="249"/>
    </row>
    <row r="152">
      <c r="A152" s="125" t="b">
        <f t="shared" si="1"/>
        <v>0</v>
      </c>
      <c r="B152" s="126">
        <v>0.0</v>
      </c>
      <c r="C152" s="127" t="s">
        <v>417</v>
      </c>
      <c r="D152" s="127" t="s">
        <v>418</v>
      </c>
      <c r="E152" s="128" t="s">
        <v>29</v>
      </c>
      <c r="F152" s="127" t="s">
        <v>44</v>
      </c>
      <c r="G152" s="129">
        <f>IF(F152="♢", ((L3 * 100) / (COUNTIFS(F:F, "♢", E:E, E152) + COUNTIFS(F:F, "♢", E:E, "A1") + IF(E152="A1", COUNTIFS(F:F, "♢", E:E, E2), 0) - IF(E152="A1", COUNTIFS(F:F, "♢", E:E, "A1"), 0)))/100, "")
</f>
        <v>0.02</v>
      </c>
      <c r="H152" s="130" t="str">
        <f>IF(F152="♢♢", ((M4 * 100) / (COUNTIFS(F:F, "♢♢", E:E, E152) + COUNTIFS(F:F, "♢♢", E:E, "A1") + IF(E152="A1", COUNTIFS(F:F, "♢♢", E:E, E2), 0) - IF(E152="A1", COUNTIFS(F:F, "♢♢", E:E, "A1"), 0)))/100, 
   IF(F152="♢♢♢", ((M5 * 100) / (COUNTIFS(F:F, "♢♢♢", E:E, E152) + COUNTIFS(F:F, "♢♢♢", E:E, "A1") + IF(E152="A1", COUNTIFS(F:F, "♢♢♢", E:E, E2), 0) - IF(E152="A1", COUNTIFS(F:F, "♢♢♢", E:E, "A1"), 0)))/100, 
   IF(F152="♢♢♢♢", ((M6 * 100) / (COUNTIFS(F:F, "♢♢♢♢", E:E, E152) + COUNTIFS(F:F, "♢♢♢♢", E:E, "A1") + IF(E152="A1", COUNTIFS(F:F, "♢♢♢♢", E:E, E2), 0) - IF(E152="A1", COUNTIFS(F:F, "♢♢♢♢", E:E, "A1"), 0)))/100, 
   IF(F152="☆", ((M7 * 100) / (COUNTIFS(F:F, "☆", E:E, E152) + COUNTIFS(F:F, "☆", E:E, "A1") + IF(E152="A1", COUNTIFS(F:F, "☆", E:E, E2), 0) - IF(E152="A1", COUNTIFS(F:F, "☆", E:E, "A1"), 0)))/100, 
   IF(F152="☆☆", ((M8 * 100) / (COUNTIFS(F:F, "☆☆", E:E, E152) + COUNTIFS(F:F, "☆☆", E:E, "A1") + IF(E152="A1", COUNTIFS(F:F, "☆☆", E:E, E2), 0) - IF(E152="A1", COUNTIFS(F:F, "☆☆", E:E, "A1"), 0)))/100, 
   IF(F152="☆☆☆", ((M9 * 100) / (COUNTIFS(F:F, "☆☆☆", E:E, E152) + COUNTIFS(F:F, "☆☆☆", E:E, "A1") + IF(E152="A1", COUNTIFS(F:F, "☆☆☆", E:E, E2), 0) - IF(E152="A1", COUNTIFS(F:F, "☆☆☆", E:E, "A1"), 0)))/100, 
   IF(F152="♛", ((M10 * 100) / (COUNTIFS(F:F, "♛", E:E, E152) + COUNTIFS(F:F, "♛", E:E, "A1") + IF(E152="A1", COUNTIFS(F:F, "♛", E:E, E2), 0) - IF(E152="A1", COUNTIFS(F:F, "♛", E:E, "A1"), 0)))/100, "")))))))
</f>
        <v/>
      </c>
      <c r="I152" s="130" t="str">
        <f>IF(F152="♢♢", ((N4 * 100) / (COUNTIFS(F:F, "♢♢", E:E, E152) + COUNTIFS(F:F, "♢♢", E:E, "A1") + IF(E152="A1", COUNTIFS(F:F, "♢♢", E:E, E2), 0) - IF(E152="A1", COUNTIFS(F:F, "♢♢", E:E, "A1"), 0)))/100, 
   IF(F152="♢♢♢", ((N5 * 100) / (COUNTIFS(F:F, "♢♢♢", E:E, E152) + COUNTIFS(F:F, "♢♢♢", E:E, "A1") + IF(E152="A1", COUNTIFS(F:F, "♢♢♢", E:E, E2), 0) - IF(E152="A1", COUNTIFS(F:F, "♢♢♢", E:E, "A1"), 0)))/100, 
   IF(F152="♢♢♢♢", ((N6 * 100) / (COUNTIFS(F:F, "♢♢♢♢", E:E, E152) + COUNTIFS(F:F, "♢♢♢♢", E:E, "A1") + IF(E152="A1", COUNTIFS(F:F, "♢♢♢♢", E:E, E2), 0) - IF(E152="A1", COUNTIFS(F:F, "♢♢♢♢", E:E, "A1"), 0)))/100, 
   IF(F152="☆", ((N7 * 100) / (COUNTIFS(F:F, "☆", E:E, E152) + COUNTIFS(F:F, "☆", E:E, "A1") + IF(E152="A1", COUNTIFS(F:F, "☆", E:E, E2), 0) - IF(E152="A1", COUNTIFS(F:F, "☆", E:E, "A1"), 0)))/100, 
   IF(F152="☆☆", ((N8 * 100) / (COUNTIFS(F:F, "☆☆", E:E, E152) + COUNTIFS(F:F, "☆☆", E:E, "A1") + IF(E152="A1", COUNTIFS(F:F, "☆☆", E:E, E2), 0) - IF(E152="A1", COUNTIFS(F:F, "☆☆", E:E, "A1"), 0)))/100, 
   IF(F152="☆☆☆", ((N9 * 100) / (COUNTIFS(F:F, "☆☆☆", E:E, E152) + COUNTIFS(F:F, "☆☆☆", E:E, "A1") + IF(E152="A1", COUNTIFS(F:F, "☆☆☆", E:E, E2), 0) - IF(E152="A1", COUNTIFS(F:F, "☆☆☆", E:E, "A1"), 0)))/100, 
   IF(F152="♛", ((N10 * 100) / (COUNTIFS(F:F, "♛", E:E, E152) + COUNTIFS(F:F, "♛", E:E, "A1") + IF(E152="A1", COUNTIFS(F:F, "♛", E:E, E2), 0) - IF(E152="A1", COUNTIFS(F:F, "♛", E:E, "A1"), 0)))/100, "")))))))
</f>
        <v/>
      </c>
      <c r="J152" s="131"/>
      <c r="K152" s="247"/>
      <c r="L152" s="20"/>
      <c r="M152" s="20"/>
      <c r="N152" s="20"/>
      <c r="O152" s="249"/>
    </row>
    <row r="153">
      <c r="A153" s="125" t="b">
        <f t="shared" si="1"/>
        <v>0</v>
      </c>
      <c r="B153" s="126">
        <v>0.0</v>
      </c>
      <c r="C153" s="127" t="s">
        <v>419</v>
      </c>
      <c r="D153" s="127" t="s">
        <v>420</v>
      </c>
      <c r="E153" s="128" t="s">
        <v>29</v>
      </c>
      <c r="F153" s="127" t="s">
        <v>46</v>
      </c>
      <c r="G153" s="130" t="str">
        <f>IF(F153="♢", ((L3 * 100) / (COUNTIFS(F:F, "♢", E:E, E153) + COUNTIFS(F:F, "♢", E:E, "A1") + IF(E153="A1", COUNTIFS(F:F, "♢", E:E, E2), 0) - IF(E153="A1", COUNTIFS(F:F, "♢", E:E, "A1"), 0)))/100, "")
</f>
        <v/>
      </c>
      <c r="H153" s="129">
        <f>IF(F153="♢♢", ((M4 * 100) / (COUNTIFS(F:F, "♢♢", E:E, E153) + COUNTIFS(F:F, "♢♢", E:E, "A1") + IF(E153="A1", COUNTIFS(F:F, "♢♢", E:E, E2), 0) - IF(E153="A1", COUNTIFS(F:F, "♢♢", E:E, "A1"), 0)))/100, 
   IF(F153="♢♢♢", ((M5 * 100) / (COUNTIFS(F:F, "♢♢♢", E:E, E153) + COUNTIFS(F:F, "♢♢♢", E:E, "A1") + IF(E153="A1", COUNTIFS(F:F, "♢♢♢", E:E, E2), 0) - IF(E153="A1", COUNTIFS(F:F, "♢♢♢", E:E, "A1"), 0)))/100, 
   IF(F153="♢♢♢♢", ((M6 * 100) / (COUNTIFS(F:F, "♢♢♢♢", E:E, E153) + COUNTIFS(F:F, "♢♢♢♢", E:E, "A1") + IF(E153="A1", COUNTIFS(F:F, "♢♢♢♢", E:E, E2), 0) - IF(E153="A1", COUNTIFS(F:F, "♢♢♢♢", E:E, "A1"), 0)))/100, 
   IF(F153="☆", ((M7 * 100) / (COUNTIFS(F:F, "☆", E:E, E153) + COUNTIFS(F:F, "☆", E:E, "A1") + IF(E153="A1", COUNTIFS(F:F, "☆", E:E, E2), 0) - IF(E153="A1", COUNTIFS(F:F, "☆", E:E, "A1"), 0)))/100, 
   IF(F153="☆☆", ((M8 * 100) / (COUNTIFS(F:F, "☆☆", E:E, E153) + COUNTIFS(F:F, "☆☆", E:E, "A1") + IF(E153="A1", COUNTIFS(F:F, "☆☆", E:E, E2), 0) - IF(E153="A1", COUNTIFS(F:F, "☆☆", E:E, "A1"), 0)))/100, 
   IF(F153="☆☆☆", ((M9 * 100) / (COUNTIFS(F:F, "☆☆☆", E:E, E153) + COUNTIFS(F:F, "☆☆☆", E:E, "A1") + IF(E153="A1", COUNTIFS(F:F, "☆☆☆", E:E, E2), 0) - IF(E153="A1", COUNTIFS(F:F, "☆☆☆", E:E, "A1"), 0)))/100, 
   IF(F153="♛", ((M10 * 100) / (COUNTIFS(F:F, "♛", E:E, E153) + COUNTIFS(F:F, "♛", E:E, "A1") + IF(E153="A1", COUNTIFS(F:F, "♛", E:E, E2), 0) - IF(E153="A1", COUNTIFS(F:F, "♛", E:E, "A1"), 0)))/100, "")))))))
</f>
        <v>0.02571428571</v>
      </c>
      <c r="I153" s="129">
        <f>IF(F153="♢♢", ((N4 * 100) / (COUNTIFS(F:F, "♢♢", E:E, E153) + COUNTIFS(F:F, "♢♢", E:E, "A1") + IF(E153="A1", COUNTIFS(F:F, "♢♢", E:E, E2), 0) - IF(E153="A1", COUNTIFS(F:F, "♢♢", E:E, "A1"), 0)))/100, 
   IF(F153="♢♢♢", ((N5 * 100) / (COUNTIFS(F:F, "♢♢♢", E:E, E153) + COUNTIFS(F:F, "♢♢♢", E:E, "A1") + IF(E153="A1", COUNTIFS(F:F, "♢♢♢", E:E, E2), 0) - IF(E153="A1", COUNTIFS(F:F, "♢♢♢", E:E, "A1"), 0)))/100, 
   IF(F153="♢♢♢♢", ((N6 * 100) / (COUNTIFS(F:F, "♢♢♢♢", E:E, E153) + COUNTIFS(F:F, "♢♢♢♢", E:E, "A1") + IF(E153="A1", COUNTIFS(F:F, "♢♢♢♢", E:E, E2), 0) - IF(E153="A1", COUNTIFS(F:F, "♢♢♢♢", E:E, "A1"), 0)))/100, 
   IF(F153="☆", ((N7 * 100) / (COUNTIFS(F:F, "☆", E:E, E153) + COUNTIFS(F:F, "☆", E:E, "A1") + IF(E153="A1", COUNTIFS(F:F, "☆", E:E, E2), 0) - IF(E153="A1", COUNTIFS(F:F, "☆", E:E, "A1"), 0)))/100, 
   IF(F153="☆☆", ((N8 * 100) / (COUNTIFS(F:F, "☆☆", E:E, E153) + COUNTIFS(F:F, "☆☆", E:E, "A1") + IF(E153="A1", COUNTIFS(F:F, "☆☆", E:E, E2), 0) - IF(E153="A1", COUNTIFS(F:F, "☆☆", E:E, "A1"), 0)))/100, 
   IF(F153="☆☆☆", ((N9 * 100) / (COUNTIFS(F:F, "☆☆☆", E:E, E153) + COUNTIFS(F:F, "☆☆☆", E:E, "A1") + IF(E153="A1", COUNTIFS(F:F, "☆☆☆", E:E, E2), 0) - IF(E153="A1", COUNTIFS(F:F, "☆☆☆", E:E, "A1"), 0)))/100, 
   IF(F153="♛", ((N10 * 100) / (COUNTIFS(F:F, "♛", E:E, E153) + COUNTIFS(F:F, "♛", E:E, "A1") + IF(E153="A1", COUNTIFS(F:F, "♛", E:E, E2), 0) - IF(E153="A1", COUNTIFS(F:F, "♛", E:E, "A1"), 0)))/100, "")))))))
</f>
        <v>0.01714285714</v>
      </c>
      <c r="J153" s="131"/>
      <c r="K153" s="247"/>
      <c r="L153" s="20"/>
      <c r="M153" s="20"/>
      <c r="N153" s="20"/>
      <c r="O153" s="249"/>
    </row>
    <row r="154">
      <c r="A154" s="125" t="b">
        <f t="shared" si="1"/>
        <v>0</v>
      </c>
      <c r="B154" s="126">
        <v>0.0</v>
      </c>
      <c r="C154" s="127" t="s">
        <v>421</v>
      </c>
      <c r="D154" s="128" t="s">
        <v>422</v>
      </c>
      <c r="E154" s="128" t="s">
        <v>29</v>
      </c>
      <c r="F154" s="127" t="s">
        <v>51</v>
      </c>
      <c r="G154" s="130" t="str">
        <f>IF(F154="♢", ((L3 * 100) / (COUNTIFS(F:F, "♢", E:E, E154) + COUNTIFS(F:F, "♢", E:E, "A1") + IF(E154="A1", COUNTIFS(F:F, "♢", E:E, E2), 0) - IF(E154="A1", COUNTIFS(F:F, "♢", E:E, "A1"), 0)))/100, "")
</f>
        <v/>
      </c>
      <c r="H154" s="129">
        <f>IF(F154="♢♢", ((M4 * 100) / (COUNTIFS(F:F, "♢♢", E:E, E154) + COUNTIFS(F:F, "♢♢", E:E, "A1") + IF(E154="A1", COUNTIFS(F:F, "♢♢", E:E, E2), 0) - IF(E154="A1", COUNTIFS(F:F, "♢♢", E:E, "A1"), 0)))/100, 
   IF(F154="♢♢♢", ((M5 * 100) / (COUNTIFS(F:F, "♢♢♢", E:E, E154) + COUNTIFS(F:F, "♢♢♢", E:E, "A1") + IF(E154="A1", COUNTIFS(F:F, "♢♢♢", E:E, E2), 0) - IF(E154="A1", COUNTIFS(F:F, "♢♢♢", E:E, "A1"), 0)))/100, 
   IF(F154="♢♢♢♢", ((M6 * 100) / (COUNTIFS(F:F, "♢♢♢♢", E:E, E154) + COUNTIFS(F:F, "♢♢♢♢", E:E, "A1") + IF(E154="A1", COUNTIFS(F:F, "♢♢♢♢", E:E, E2), 0) - IF(E154="A1", COUNTIFS(F:F, "♢♢♢♢", E:E, "A1"), 0)))/100, 
   IF(F154="☆", ((M7 * 100) / (COUNTIFS(F:F, "☆", E:E, E154) + COUNTIFS(F:F, "☆", E:E, "A1") + IF(E154="A1", COUNTIFS(F:F, "☆", E:E, E2), 0) - IF(E154="A1", COUNTIFS(F:F, "☆", E:E, "A1"), 0)))/100, 
   IF(F154="☆☆", ((M8 * 100) / (COUNTIFS(F:F, "☆☆", E:E, E154) + COUNTIFS(F:F, "☆☆", E:E, "A1") + IF(E154="A1", COUNTIFS(F:F, "☆☆", E:E, E2), 0) - IF(E154="A1", COUNTIFS(F:F, "☆☆", E:E, "A1"), 0)))/100, 
   IF(F154="☆☆☆", ((M9 * 100) / (COUNTIFS(F:F, "☆☆☆", E:E, E154) + COUNTIFS(F:F, "☆☆☆", E:E, "A1") + IF(E154="A1", COUNTIFS(F:F, "☆☆☆", E:E, E2), 0) - IF(E154="A1", COUNTIFS(F:F, "☆☆☆", E:E, "A1"), 0)))/100, 
   IF(F154="♛", ((M10 * 100) / (COUNTIFS(F:F, "♛", E:E, E154) + COUNTIFS(F:F, "♛", E:E, "A1") + IF(E154="A1", COUNTIFS(F:F, "♛", E:E, E2), 0) - IF(E154="A1", COUNTIFS(F:F, "♛", E:E, "A1"), 0)))/100, "")))))))
</f>
        <v>0.003332</v>
      </c>
      <c r="I154" s="129">
        <f>IF(F154="♢♢", ((N4 * 100) / (COUNTIFS(F:F, "♢♢", E:E, E154) + COUNTIFS(F:F, "♢♢", E:E, "A1") + IF(E154="A1", COUNTIFS(F:F, "♢♢", E:E, E2), 0) - IF(E154="A1", COUNTIFS(F:F, "♢♢", E:E, "A1"), 0)))/100, 
   IF(F154="♢♢♢", ((N5 * 100) / (COUNTIFS(F:F, "♢♢♢", E:E, E154) + COUNTIFS(F:F, "♢♢♢", E:E, "A1") + IF(E154="A1", COUNTIFS(F:F, "♢♢♢", E:E, E2), 0) - IF(E154="A1", COUNTIFS(F:F, "♢♢♢", E:E, "A1"), 0)))/100, 
   IF(F154="♢♢♢♢", ((N6 * 100) / (COUNTIFS(F:F, "♢♢♢♢", E:E, E154) + COUNTIFS(F:F, "♢♢♢♢", E:E, "A1") + IF(E154="A1", COUNTIFS(F:F, "♢♢♢♢", E:E, E2), 0) - IF(E154="A1", COUNTIFS(F:F, "♢♢♢♢", E:E, "A1"), 0)))/100, 
   IF(F154="☆", ((N7 * 100) / (COUNTIFS(F:F, "☆", E:E, E154) + COUNTIFS(F:F, "☆", E:E, "A1") + IF(E154="A1", COUNTIFS(F:F, "☆", E:E, E2), 0) - IF(E154="A1", COUNTIFS(F:F, "☆", E:E, "A1"), 0)))/100, 
   IF(F154="☆☆", ((N8 * 100) / (COUNTIFS(F:F, "☆☆", E:E, E154) + COUNTIFS(F:F, "☆☆", E:E, "A1") + IF(E154="A1", COUNTIFS(F:F, "☆☆", E:E, E2), 0) - IF(E154="A1", COUNTIFS(F:F, "☆☆", E:E, "A1"), 0)))/100, 
   IF(F154="☆☆☆", ((N9 * 100) / (COUNTIFS(F:F, "☆☆☆", E:E, E154) + COUNTIFS(F:F, "☆☆☆", E:E, "A1") + IF(E154="A1", COUNTIFS(F:F, "☆☆☆", E:E, E2), 0) - IF(E154="A1", COUNTIFS(F:F, "☆☆☆", E:E, "A1"), 0)))/100, 
   IF(F154="♛", ((N10 * 100) / (COUNTIFS(F:F, "♛", E:E, E154) + COUNTIFS(F:F, "♛", E:E, "A1") + IF(E154="A1", COUNTIFS(F:F, "♛", E:E, E2), 0) - IF(E154="A1", COUNTIFS(F:F, "♛", E:E, "A1"), 0)))/100, "")))))))
</f>
        <v>0.013328</v>
      </c>
      <c r="J154" s="131"/>
      <c r="K154" s="247"/>
      <c r="L154" s="20"/>
      <c r="M154" s="20"/>
      <c r="N154" s="20"/>
      <c r="O154" s="249"/>
    </row>
    <row r="155">
      <c r="A155" s="125" t="b">
        <f t="shared" si="1"/>
        <v>0</v>
      </c>
      <c r="B155" s="126">
        <v>0.0</v>
      </c>
      <c r="C155" s="127" t="s">
        <v>423</v>
      </c>
      <c r="D155" s="127" t="s">
        <v>424</v>
      </c>
      <c r="E155" s="128" t="s">
        <v>29</v>
      </c>
      <c r="F155" s="127" t="s">
        <v>44</v>
      </c>
      <c r="G155" s="129">
        <f>IF(F155="♢", ((L3 * 100) / (COUNTIFS(F:F, "♢", E:E, E155) + COUNTIFS(F:F, "♢", E:E, "A1") + IF(E155="A1", COUNTIFS(F:F, "♢", E:E, E2), 0) - IF(E155="A1", COUNTIFS(F:F, "♢", E:E, "A1"), 0)))/100, "")
</f>
        <v>0.02</v>
      </c>
      <c r="H155" s="130" t="str">
        <f>IF(F155="♢♢", ((M4 * 100) / (COUNTIFS(F:F, "♢♢", E:E, E155) + COUNTIFS(F:F, "♢♢", E:E, "A1") + IF(E155="A1", COUNTIFS(F:F, "♢♢", E:E, E2), 0) - IF(E155="A1", COUNTIFS(F:F, "♢♢", E:E, "A1"), 0)))/100, 
   IF(F155="♢♢♢", ((M5 * 100) / (COUNTIFS(F:F, "♢♢♢", E:E, E155) + COUNTIFS(F:F, "♢♢♢", E:E, "A1") + IF(E155="A1", COUNTIFS(F:F, "♢♢♢", E:E, E2), 0) - IF(E155="A1", COUNTIFS(F:F, "♢♢♢", E:E, "A1"), 0)))/100, 
   IF(F155="♢♢♢♢", ((M6 * 100) / (COUNTIFS(F:F, "♢♢♢♢", E:E, E155) + COUNTIFS(F:F, "♢♢♢♢", E:E, "A1") + IF(E155="A1", COUNTIFS(F:F, "♢♢♢♢", E:E, E2), 0) - IF(E155="A1", COUNTIFS(F:F, "♢♢♢♢", E:E, "A1"), 0)))/100, 
   IF(F155="☆", ((M7 * 100) / (COUNTIFS(F:F, "☆", E:E, E155) + COUNTIFS(F:F, "☆", E:E, "A1") + IF(E155="A1", COUNTIFS(F:F, "☆", E:E, E2), 0) - IF(E155="A1", COUNTIFS(F:F, "☆", E:E, "A1"), 0)))/100, 
   IF(F155="☆☆", ((M8 * 100) / (COUNTIFS(F:F, "☆☆", E:E, E155) + COUNTIFS(F:F, "☆☆", E:E, "A1") + IF(E155="A1", COUNTIFS(F:F, "☆☆", E:E, E2), 0) - IF(E155="A1", COUNTIFS(F:F, "☆☆", E:E, "A1"), 0)))/100, 
   IF(F155="☆☆☆", ((M9 * 100) / (COUNTIFS(F:F, "☆☆☆", E:E, E155) + COUNTIFS(F:F, "☆☆☆", E:E, "A1") + IF(E155="A1", COUNTIFS(F:F, "☆☆☆", E:E, E2), 0) - IF(E155="A1", COUNTIFS(F:F, "☆☆☆", E:E, "A1"), 0)))/100, 
   IF(F155="♛", ((M10 * 100) / (COUNTIFS(F:F, "♛", E:E, E155) + COUNTIFS(F:F, "♛", E:E, "A1") + IF(E155="A1", COUNTIFS(F:F, "♛", E:E, E2), 0) - IF(E155="A1", COUNTIFS(F:F, "♛", E:E, "A1"), 0)))/100, "")))))))
</f>
        <v/>
      </c>
      <c r="I155" s="130" t="str">
        <f>IF(F155="♢♢", ((N4 * 100) / (COUNTIFS(F:F, "♢♢", E:E, E155) + COUNTIFS(F:F, "♢♢", E:E, "A1") + IF(E155="A1", COUNTIFS(F:F, "♢♢", E:E, E2), 0) - IF(E155="A1", COUNTIFS(F:F, "♢♢", E:E, "A1"), 0)))/100, 
   IF(F155="♢♢♢", ((N5 * 100) / (COUNTIFS(F:F, "♢♢♢", E:E, E155) + COUNTIFS(F:F, "♢♢♢", E:E, "A1") + IF(E155="A1", COUNTIFS(F:F, "♢♢♢", E:E, E2), 0) - IF(E155="A1", COUNTIFS(F:F, "♢♢♢", E:E, "A1"), 0)))/100, 
   IF(F155="♢♢♢♢", ((N6 * 100) / (COUNTIFS(F:F, "♢♢♢♢", E:E, E155) + COUNTIFS(F:F, "♢♢♢♢", E:E, "A1") + IF(E155="A1", COUNTIFS(F:F, "♢♢♢♢", E:E, E2), 0) - IF(E155="A1", COUNTIFS(F:F, "♢♢♢♢", E:E, "A1"), 0)))/100, 
   IF(F155="☆", ((N7 * 100) / (COUNTIFS(F:F, "☆", E:E, E155) + COUNTIFS(F:F, "☆", E:E, "A1") + IF(E155="A1", COUNTIFS(F:F, "☆", E:E, E2), 0) - IF(E155="A1", COUNTIFS(F:F, "☆", E:E, "A1"), 0)))/100, 
   IF(F155="☆☆", ((N8 * 100) / (COUNTIFS(F:F, "☆☆", E:E, E155) + COUNTIFS(F:F, "☆☆", E:E, "A1") + IF(E155="A1", COUNTIFS(F:F, "☆☆", E:E, E2), 0) - IF(E155="A1", COUNTIFS(F:F, "☆☆", E:E, "A1"), 0)))/100, 
   IF(F155="☆☆☆", ((N9 * 100) / (COUNTIFS(F:F, "☆☆☆", E:E, E155) + COUNTIFS(F:F, "☆☆☆", E:E, "A1") + IF(E155="A1", COUNTIFS(F:F, "☆☆☆", E:E, E2), 0) - IF(E155="A1", COUNTIFS(F:F, "☆☆☆", E:E, "A1"), 0)))/100, 
   IF(F155="♛", ((N10 * 100) / (COUNTIFS(F:F, "♛", E:E, E155) + COUNTIFS(F:F, "♛", E:E, "A1") + IF(E155="A1", COUNTIFS(F:F, "♛", E:E, E2), 0) - IF(E155="A1", COUNTIFS(F:F, "♛", E:E, "A1"), 0)))/100, "")))))))
</f>
        <v/>
      </c>
      <c r="J155" s="131"/>
      <c r="K155" s="247"/>
      <c r="L155" s="20"/>
      <c r="M155" s="20"/>
      <c r="N155" s="20"/>
      <c r="O155" s="249"/>
    </row>
    <row r="156">
      <c r="A156" s="125" t="b">
        <f t="shared" si="1"/>
        <v>0</v>
      </c>
      <c r="B156" s="126">
        <v>0.0</v>
      </c>
      <c r="C156" s="127" t="s">
        <v>425</v>
      </c>
      <c r="D156" s="127" t="s">
        <v>426</v>
      </c>
      <c r="E156" s="128" t="s">
        <v>32</v>
      </c>
      <c r="F156" s="127" t="s">
        <v>44</v>
      </c>
      <c r="G156" s="129">
        <f>IF(F156="♢", ((L3 * 100) / (COUNTIFS(F:F, "♢", E:E, E156) + COUNTIFS(F:F, "♢", E:E, "A1") + IF(E156="A1", COUNTIFS(F:F, "♢", E:E, E2), 0) - IF(E156="A1", COUNTIFS(F:F, "♢", E:E, "A1"), 0)))/100, "")
</f>
        <v>0.02</v>
      </c>
      <c r="H156" s="130" t="str">
        <f>IF(F156="♢♢", ((M4 * 100) / (COUNTIFS(F:F, "♢♢", E:E, E156) + COUNTIFS(F:F, "♢♢", E:E, "A1") + IF(E156="A1", COUNTIFS(F:F, "♢♢", E:E, E2), 0) - IF(E156="A1", COUNTIFS(F:F, "♢♢", E:E, "A1"), 0)))/100, 
   IF(F156="♢♢♢", ((M5 * 100) / (COUNTIFS(F:F, "♢♢♢", E:E, E156) + COUNTIFS(F:F, "♢♢♢", E:E, "A1") + IF(E156="A1", COUNTIFS(F:F, "♢♢♢", E:E, E2), 0) - IF(E156="A1", COUNTIFS(F:F, "♢♢♢", E:E, "A1"), 0)))/100, 
   IF(F156="♢♢♢♢", ((M6 * 100) / (COUNTIFS(F:F, "♢♢♢♢", E:E, E156) + COUNTIFS(F:F, "♢♢♢♢", E:E, "A1") + IF(E156="A1", COUNTIFS(F:F, "♢♢♢♢", E:E, E2), 0) - IF(E156="A1", COUNTIFS(F:F, "♢♢♢♢", E:E, "A1"), 0)))/100, 
   IF(F156="☆", ((M7 * 100) / (COUNTIFS(F:F, "☆", E:E, E156) + COUNTIFS(F:F, "☆", E:E, "A1") + IF(E156="A1", COUNTIFS(F:F, "☆", E:E, E2), 0) - IF(E156="A1", COUNTIFS(F:F, "☆", E:E, "A1"), 0)))/100, 
   IF(F156="☆☆", ((M8 * 100) / (COUNTIFS(F:F, "☆☆", E:E, E156) + COUNTIFS(F:F, "☆☆", E:E, "A1") + IF(E156="A1", COUNTIFS(F:F, "☆☆", E:E, E2), 0) - IF(E156="A1", COUNTIFS(F:F, "☆☆", E:E, "A1"), 0)))/100, 
   IF(F156="☆☆☆", ((M9 * 100) / (COUNTIFS(F:F, "☆☆☆", E:E, E156) + COUNTIFS(F:F, "☆☆☆", E:E, "A1") + IF(E156="A1", COUNTIFS(F:F, "☆☆☆", E:E, E2), 0) - IF(E156="A1", COUNTIFS(F:F, "☆☆☆", E:E, "A1"), 0)))/100, 
   IF(F156="♛", ((M10 * 100) / (COUNTIFS(F:F, "♛", E:E, E156) + COUNTIFS(F:F, "♛", E:E, "A1") + IF(E156="A1", COUNTIFS(F:F, "♛", E:E, E2), 0) - IF(E156="A1", COUNTIFS(F:F, "♛", E:E, "A1"), 0)))/100, "")))))))
</f>
        <v/>
      </c>
      <c r="I156" s="130" t="str">
        <f>IF(F156="♢♢", ((N4 * 100) / (COUNTIFS(F:F, "♢♢", E:E, E156) + COUNTIFS(F:F, "♢♢", E:E, "A1") + IF(E156="A1", COUNTIFS(F:F, "♢♢", E:E, E2), 0) - IF(E156="A1", COUNTIFS(F:F, "♢♢", E:E, "A1"), 0)))/100, 
   IF(F156="♢♢♢", ((N5 * 100) / (COUNTIFS(F:F, "♢♢♢", E:E, E156) + COUNTIFS(F:F, "♢♢♢", E:E, "A1") + IF(E156="A1", COUNTIFS(F:F, "♢♢♢", E:E, E2), 0) - IF(E156="A1", COUNTIFS(F:F, "♢♢♢", E:E, "A1"), 0)))/100, 
   IF(F156="♢♢♢♢", ((N6 * 100) / (COUNTIFS(F:F, "♢♢♢♢", E:E, E156) + COUNTIFS(F:F, "♢♢♢♢", E:E, "A1") + IF(E156="A1", COUNTIFS(F:F, "♢♢♢♢", E:E, E2), 0) - IF(E156="A1", COUNTIFS(F:F, "♢♢♢♢", E:E, "A1"), 0)))/100, 
   IF(F156="☆", ((N7 * 100) / (COUNTIFS(F:F, "☆", E:E, E156) + COUNTIFS(F:F, "☆", E:E, "A1") + IF(E156="A1", COUNTIFS(F:F, "☆", E:E, E2), 0) - IF(E156="A1", COUNTIFS(F:F, "☆", E:E, "A1"), 0)))/100, 
   IF(F156="☆☆", ((N8 * 100) / (COUNTIFS(F:F, "☆☆", E:E, E156) + COUNTIFS(F:F, "☆☆", E:E, "A1") + IF(E156="A1", COUNTIFS(F:F, "☆☆", E:E, E2), 0) - IF(E156="A1", COUNTIFS(F:F, "☆☆", E:E, "A1"), 0)))/100, 
   IF(F156="☆☆☆", ((N9 * 100) / (COUNTIFS(F:F, "☆☆☆", E:E, E156) + COUNTIFS(F:F, "☆☆☆", E:E, "A1") + IF(E156="A1", COUNTIFS(F:F, "☆☆☆", E:E, E2), 0) - IF(E156="A1", COUNTIFS(F:F, "☆☆☆", E:E, "A1"), 0)))/100, 
   IF(F156="♛", ((N10 * 100) / (COUNTIFS(F:F, "♛", E:E, E156) + COUNTIFS(F:F, "♛", E:E, "A1") + IF(E156="A1", COUNTIFS(F:F, "♛", E:E, E2), 0) - IF(E156="A1", COUNTIFS(F:F, "♛", E:E, "A1"), 0)))/100, "")))))))
</f>
        <v/>
      </c>
      <c r="J156" s="131"/>
      <c r="K156" s="247"/>
      <c r="L156" s="20"/>
      <c r="M156" s="20"/>
      <c r="N156" s="20"/>
      <c r="O156" s="249"/>
    </row>
    <row r="157">
      <c r="A157" s="125" t="b">
        <f t="shared" si="1"/>
        <v>0</v>
      </c>
      <c r="B157" s="126">
        <v>0.0</v>
      </c>
      <c r="C157" s="127" t="s">
        <v>427</v>
      </c>
      <c r="D157" s="127" t="s">
        <v>428</v>
      </c>
      <c r="E157" s="128" t="s">
        <v>29</v>
      </c>
      <c r="F157" s="127" t="s">
        <v>44</v>
      </c>
      <c r="G157" s="129">
        <f>IF(F157="♢", ((L3 * 100) / (COUNTIFS(F:F, "♢", E:E, E157) + COUNTIFS(F:F, "♢", E:E, "A1") + IF(E157="A1", COUNTIFS(F:F, "♢", E:E, E2), 0) - IF(E157="A1", COUNTIFS(F:F, "♢", E:E, "A1"), 0)))/100, "")
</f>
        <v>0.02</v>
      </c>
      <c r="H157" s="130" t="str">
        <f>IF(F157="♢♢", ((M4 * 100) / (COUNTIFS(F:F, "♢♢", E:E, E157) + COUNTIFS(F:F, "♢♢", E:E, "A1") + IF(E157="A1", COUNTIFS(F:F, "♢♢", E:E, E2), 0) - IF(E157="A1", COUNTIFS(F:F, "♢♢", E:E, "A1"), 0)))/100, 
   IF(F157="♢♢♢", ((M5 * 100) / (COUNTIFS(F:F, "♢♢♢", E:E, E157) + COUNTIFS(F:F, "♢♢♢", E:E, "A1") + IF(E157="A1", COUNTIFS(F:F, "♢♢♢", E:E, E2), 0) - IF(E157="A1", COUNTIFS(F:F, "♢♢♢", E:E, "A1"), 0)))/100, 
   IF(F157="♢♢♢♢", ((M6 * 100) / (COUNTIFS(F:F, "♢♢♢♢", E:E, E157) + COUNTIFS(F:F, "♢♢♢♢", E:E, "A1") + IF(E157="A1", COUNTIFS(F:F, "♢♢♢♢", E:E, E2), 0) - IF(E157="A1", COUNTIFS(F:F, "♢♢♢♢", E:E, "A1"), 0)))/100, 
   IF(F157="☆", ((M7 * 100) / (COUNTIFS(F:F, "☆", E:E, E157) + COUNTIFS(F:F, "☆", E:E, "A1") + IF(E157="A1", COUNTIFS(F:F, "☆", E:E, E2), 0) - IF(E157="A1", COUNTIFS(F:F, "☆", E:E, "A1"), 0)))/100, 
   IF(F157="☆☆", ((M8 * 100) / (COUNTIFS(F:F, "☆☆", E:E, E157) + COUNTIFS(F:F, "☆☆", E:E, "A1") + IF(E157="A1", COUNTIFS(F:F, "☆☆", E:E, E2), 0) - IF(E157="A1", COUNTIFS(F:F, "☆☆", E:E, "A1"), 0)))/100, 
   IF(F157="☆☆☆", ((M9 * 100) / (COUNTIFS(F:F, "☆☆☆", E:E, E157) + COUNTIFS(F:F, "☆☆☆", E:E, "A1") + IF(E157="A1", COUNTIFS(F:F, "☆☆☆", E:E, E2), 0) - IF(E157="A1", COUNTIFS(F:F, "☆☆☆", E:E, "A1"), 0)))/100, 
   IF(F157="♛", ((M10 * 100) / (COUNTIFS(F:F, "♛", E:E, E157) + COUNTIFS(F:F, "♛", E:E, "A1") + IF(E157="A1", COUNTIFS(F:F, "♛", E:E, E2), 0) - IF(E157="A1", COUNTIFS(F:F, "♛", E:E, "A1"), 0)))/100, "")))))))
</f>
        <v/>
      </c>
      <c r="I157" s="130" t="str">
        <f>IF(F157="♢♢", ((N4 * 100) / (COUNTIFS(F:F, "♢♢", E:E, E157) + COUNTIFS(F:F, "♢♢", E:E, "A1") + IF(E157="A1", COUNTIFS(F:F, "♢♢", E:E, E2), 0) - IF(E157="A1", COUNTIFS(F:F, "♢♢", E:E, "A1"), 0)))/100, 
   IF(F157="♢♢♢", ((N5 * 100) / (COUNTIFS(F:F, "♢♢♢", E:E, E157) + COUNTIFS(F:F, "♢♢♢", E:E, "A1") + IF(E157="A1", COUNTIFS(F:F, "♢♢♢", E:E, E2), 0) - IF(E157="A1", COUNTIFS(F:F, "♢♢♢", E:E, "A1"), 0)))/100, 
   IF(F157="♢♢♢♢", ((N6 * 100) / (COUNTIFS(F:F, "♢♢♢♢", E:E, E157) + COUNTIFS(F:F, "♢♢♢♢", E:E, "A1") + IF(E157="A1", COUNTIFS(F:F, "♢♢♢♢", E:E, E2), 0) - IF(E157="A1", COUNTIFS(F:F, "♢♢♢♢", E:E, "A1"), 0)))/100, 
   IF(F157="☆", ((N7 * 100) / (COUNTIFS(F:F, "☆", E:E, E157) + COUNTIFS(F:F, "☆", E:E, "A1") + IF(E157="A1", COUNTIFS(F:F, "☆", E:E, E2), 0) - IF(E157="A1", COUNTIFS(F:F, "☆", E:E, "A1"), 0)))/100, 
   IF(F157="☆☆", ((N8 * 100) / (COUNTIFS(F:F, "☆☆", E:E, E157) + COUNTIFS(F:F, "☆☆", E:E, "A1") + IF(E157="A1", COUNTIFS(F:F, "☆☆", E:E, E2), 0) - IF(E157="A1", COUNTIFS(F:F, "☆☆", E:E, "A1"), 0)))/100, 
   IF(F157="☆☆☆", ((N9 * 100) / (COUNTIFS(F:F, "☆☆☆", E:E, E157) + COUNTIFS(F:F, "☆☆☆", E:E, "A1") + IF(E157="A1", COUNTIFS(F:F, "☆☆☆", E:E, E2), 0) - IF(E157="A1", COUNTIFS(F:F, "☆☆☆", E:E, "A1"), 0)))/100, 
   IF(F157="♛", ((N10 * 100) / (COUNTIFS(F:F, "♛", E:E, E157) + COUNTIFS(F:F, "♛", E:E, "A1") + IF(E157="A1", COUNTIFS(F:F, "♛", E:E, E2), 0) - IF(E157="A1", COUNTIFS(F:F, "♛", E:E, "A1"), 0)))/100, "")))))))
</f>
        <v/>
      </c>
      <c r="J157" s="131"/>
      <c r="K157" s="247"/>
      <c r="L157" s="20"/>
      <c r="M157" s="20"/>
      <c r="N157" s="20"/>
      <c r="O157" s="249"/>
    </row>
    <row r="158">
      <c r="A158" s="125" t="b">
        <f t="shared" si="1"/>
        <v>0</v>
      </c>
      <c r="B158" s="126">
        <v>0.0</v>
      </c>
      <c r="C158" s="127" t="s">
        <v>429</v>
      </c>
      <c r="D158" s="127" t="s">
        <v>430</v>
      </c>
      <c r="E158" s="128" t="s">
        <v>29</v>
      </c>
      <c r="F158" s="127" t="s">
        <v>46</v>
      </c>
      <c r="G158" s="130" t="str">
        <f>IF(F158="♢", ((L3 * 100) / (COUNTIFS(F:F, "♢", E:E, E158) + COUNTIFS(F:F, "♢", E:E, "A1") + IF(E158="A1", COUNTIFS(F:F, "♢", E:E, E2), 0) - IF(E158="A1", COUNTIFS(F:F, "♢", E:E, "A1"), 0)))/100, "")
</f>
        <v/>
      </c>
      <c r="H158" s="129">
        <f>IF(F158="♢♢", ((M4 * 100) / (COUNTIFS(F:F, "♢♢", E:E, E158) + COUNTIFS(F:F, "♢♢", E:E, "A1") + IF(E158="A1", COUNTIFS(F:F, "♢♢", E:E, E2), 0) - IF(E158="A1", COUNTIFS(F:F, "♢♢", E:E, "A1"), 0)))/100, 
   IF(F158="♢♢♢", ((M5 * 100) / (COUNTIFS(F:F, "♢♢♢", E:E, E158) + COUNTIFS(F:F, "♢♢♢", E:E, "A1") + IF(E158="A1", COUNTIFS(F:F, "♢♢♢", E:E, E2), 0) - IF(E158="A1", COUNTIFS(F:F, "♢♢♢", E:E, "A1"), 0)))/100, 
   IF(F158="♢♢♢♢", ((M6 * 100) / (COUNTIFS(F:F, "♢♢♢♢", E:E, E158) + COUNTIFS(F:F, "♢♢♢♢", E:E, "A1") + IF(E158="A1", COUNTIFS(F:F, "♢♢♢♢", E:E, E2), 0) - IF(E158="A1", COUNTIFS(F:F, "♢♢♢♢", E:E, "A1"), 0)))/100, 
   IF(F158="☆", ((M7 * 100) / (COUNTIFS(F:F, "☆", E:E, E158) + COUNTIFS(F:F, "☆", E:E, "A1") + IF(E158="A1", COUNTIFS(F:F, "☆", E:E, E2), 0) - IF(E158="A1", COUNTIFS(F:F, "☆", E:E, "A1"), 0)))/100, 
   IF(F158="☆☆", ((M8 * 100) / (COUNTIFS(F:F, "☆☆", E:E, E158) + COUNTIFS(F:F, "☆☆", E:E, "A1") + IF(E158="A1", COUNTIFS(F:F, "☆☆", E:E, E2), 0) - IF(E158="A1", COUNTIFS(F:F, "☆☆", E:E, "A1"), 0)))/100, 
   IF(F158="☆☆☆", ((M9 * 100) / (COUNTIFS(F:F, "☆☆☆", E:E, E158) + COUNTIFS(F:F, "☆☆☆", E:E, "A1") + IF(E158="A1", COUNTIFS(F:F, "☆☆☆", E:E, E2), 0) - IF(E158="A1", COUNTIFS(F:F, "☆☆☆", E:E, "A1"), 0)))/100, 
   IF(F158="♛", ((M10 * 100) / (COUNTIFS(F:F, "♛", E:E, E158) + COUNTIFS(F:F, "♛", E:E, "A1") + IF(E158="A1", COUNTIFS(F:F, "♛", E:E, E2), 0) - IF(E158="A1", COUNTIFS(F:F, "♛", E:E, "A1"), 0)))/100, "")))))))
</f>
        <v>0.02571428571</v>
      </c>
      <c r="I158" s="129">
        <f>IF(F158="♢♢", ((N4 * 100) / (COUNTIFS(F:F, "♢♢", E:E, E158) + COUNTIFS(F:F, "♢♢", E:E, "A1") + IF(E158="A1", COUNTIFS(F:F, "♢♢", E:E, E2), 0) - IF(E158="A1", COUNTIFS(F:F, "♢♢", E:E, "A1"), 0)))/100, 
   IF(F158="♢♢♢", ((N5 * 100) / (COUNTIFS(F:F, "♢♢♢", E:E, E158) + COUNTIFS(F:F, "♢♢♢", E:E, "A1") + IF(E158="A1", COUNTIFS(F:F, "♢♢♢", E:E, E2), 0) - IF(E158="A1", COUNTIFS(F:F, "♢♢♢", E:E, "A1"), 0)))/100, 
   IF(F158="♢♢♢♢", ((N6 * 100) / (COUNTIFS(F:F, "♢♢♢♢", E:E, E158) + COUNTIFS(F:F, "♢♢♢♢", E:E, "A1") + IF(E158="A1", COUNTIFS(F:F, "♢♢♢♢", E:E, E2), 0) - IF(E158="A1", COUNTIFS(F:F, "♢♢♢♢", E:E, "A1"), 0)))/100, 
   IF(F158="☆", ((N7 * 100) / (COUNTIFS(F:F, "☆", E:E, E158) + COUNTIFS(F:F, "☆", E:E, "A1") + IF(E158="A1", COUNTIFS(F:F, "☆", E:E, E2), 0) - IF(E158="A1", COUNTIFS(F:F, "☆", E:E, "A1"), 0)))/100, 
   IF(F158="☆☆", ((N8 * 100) / (COUNTIFS(F:F, "☆☆", E:E, E158) + COUNTIFS(F:F, "☆☆", E:E, "A1") + IF(E158="A1", COUNTIFS(F:F, "☆☆", E:E, E2), 0) - IF(E158="A1", COUNTIFS(F:F, "☆☆", E:E, "A1"), 0)))/100, 
   IF(F158="☆☆☆", ((N9 * 100) / (COUNTIFS(F:F, "☆☆☆", E:E, E158) + COUNTIFS(F:F, "☆☆☆", E:E, "A1") + IF(E158="A1", COUNTIFS(F:F, "☆☆☆", E:E, E2), 0) - IF(E158="A1", COUNTIFS(F:F, "☆☆☆", E:E, "A1"), 0)))/100, 
   IF(F158="♛", ((N10 * 100) / (COUNTIFS(F:F, "♛", E:E, E158) + COUNTIFS(F:F, "♛", E:E, "A1") + IF(E158="A1", COUNTIFS(F:F, "♛", E:E, E2), 0) - IF(E158="A1", COUNTIFS(F:F, "♛", E:E, "A1"), 0)))/100, "")))))))
</f>
        <v>0.01714285714</v>
      </c>
      <c r="J158" s="131"/>
      <c r="K158" s="247"/>
      <c r="L158" s="20"/>
      <c r="M158" s="20"/>
      <c r="N158" s="20"/>
      <c r="O158" s="249"/>
    </row>
    <row r="159">
      <c r="A159" s="125" t="b">
        <f t="shared" si="1"/>
        <v>0</v>
      </c>
      <c r="B159" s="126">
        <v>0.0</v>
      </c>
      <c r="C159" s="127" t="s">
        <v>431</v>
      </c>
      <c r="D159" s="127" t="s">
        <v>432</v>
      </c>
      <c r="E159" s="128" t="s">
        <v>32</v>
      </c>
      <c r="F159" s="127" t="s">
        <v>46</v>
      </c>
      <c r="G159" s="130" t="str">
        <f>IF(F159="♢", ((L3 * 100) / (COUNTIFS(F:F, "♢", E:E, E159) + COUNTIFS(F:F, "♢", E:E, "A1") + IF(E159="A1", COUNTIFS(F:F, "♢", E:E, E2), 0) - IF(E159="A1", COUNTIFS(F:F, "♢", E:E, "A1"), 0)))/100, "")
</f>
        <v/>
      </c>
      <c r="H159" s="129">
        <f>IF(F159="♢♢", ((M4 * 100) / (COUNTIFS(F:F, "♢♢", E:E, E159) + COUNTIFS(F:F, "♢♢", E:E, "A1") + IF(E159="A1", COUNTIFS(F:F, "♢♢", E:E, E2), 0) - IF(E159="A1", COUNTIFS(F:F, "♢♢", E:E, "A1"), 0)))/100, 
   IF(F159="♢♢♢", ((M5 * 100) / (COUNTIFS(F:F, "♢♢♢", E:E, E159) + COUNTIFS(F:F, "♢♢♢", E:E, "A1") + IF(E159="A1", COUNTIFS(F:F, "♢♢♢", E:E, E2), 0) - IF(E159="A1", COUNTIFS(F:F, "♢♢♢", E:E, "A1"), 0)))/100, 
   IF(F159="♢♢♢♢", ((M6 * 100) / (COUNTIFS(F:F, "♢♢♢♢", E:E, E159) + COUNTIFS(F:F, "♢♢♢♢", E:E, "A1") + IF(E159="A1", COUNTIFS(F:F, "♢♢♢♢", E:E, E2), 0) - IF(E159="A1", COUNTIFS(F:F, "♢♢♢♢", E:E, "A1"), 0)))/100, 
   IF(F159="☆", ((M7 * 100) / (COUNTIFS(F:F, "☆", E:E, E159) + COUNTIFS(F:F, "☆", E:E, "A1") + IF(E159="A1", COUNTIFS(F:F, "☆", E:E, E2), 0) - IF(E159="A1", COUNTIFS(F:F, "☆", E:E, "A1"), 0)))/100, 
   IF(F159="☆☆", ((M8 * 100) / (COUNTIFS(F:F, "☆☆", E:E, E159) + COUNTIFS(F:F, "☆☆", E:E, "A1") + IF(E159="A1", COUNTIFS(F:F, "☆☆", E:E, E2), 0) - IF(E159="A1", COUNTIFS(F:F, "☆☆", E:E, "A1"), 0)))/100, 
   IF(F159="☆☆☆", ((M9 * 100) / (COUNTIFS(F:F, "☆☆☆", E:E, E159) + COUNTIFS(F:F, "☆☆☆", E:E, "A1") + IF(E159="A1", COUNTIFS(F:F, "☆☆☆", E:E, E2), 0) - IF(E159="A1", COUNTIFS(F:F, "☆☆☆", E:E, "A1"), 0)))/100, 
   IF(F159="♛", ((M10 * 100) / (COUNTIFS(F:F, "♛", E:E, E159) + COUNTIFS(F:F, "♛", E:E, "A1") + IF(E159="A1", COUNTIFS(F:F, "♛", E:E, E2), 0) - IF(E159="A1", COUNTIFS(F:F, "♛", E:E, "A1"), 0)))/100, "")))))))
</f>
        <v>0.02571428571</v>
      </c>
      <c r="I159" s="129">
        <f>IF(F159="♢♢", ((N4 * 100) / (COUNTIFS(F:F, "♢♢", E:E, E159) + COUNTIFS(F:F, "♢♢", E:E, "A1") + IF(E159="A1", COUNTIFS(F:F, "♢♢", E:E, E2), 0) - IF(E159="A1", COUNTIFS(F:F, "♢♢", E:E, "A1"), 0)))/100, 
   IF(F159="♢♢♢", ((N5 * 100) / (COUNTIFS(F:F, "♢♢♢", E:E, E159) + COUNTIFS(F:F, "♢♢♢", E:E, "A1") + IF(E159="A1", COUNTIFS(F:F, "♢♢♢", E:E, E2), 0) - IF(E159="A1", COUNTIFS(F:F, "♢♢♢", E:E, "A1"), 0)))/100, 
   IF(F159="♢♢♢♢", ((N6 * 100) / (COUNTIFS(F:F, "♢♢♢♢", E:E, E159) + COUNTIFS(F:F, "♢♢♢♢", E:E, "A1") + IF(E159="A1", COUNTIFS(F:F, "♢♢♢♢", E:E, E2), 0) - IF(E159="A1", COUNTIFS(F:F, "♢♢♢♢", E:E, "A1"), 0)))/100, 
   IF(F159="☆", ((N7 * 100) / (COUNTIFS(F:F, "☆", E:E, E159) + COUNTIFS(F:F, "☆", E:E, "A1") + IF(E159="A1", COUNTIFS(F:F, "☆", E:E, E2), 0) - IF(E159="A1", COUNTIFS(F:F, "☆", E:E, "A1"), 0)))/100, 
   IF(F159="☆☆", ((N8 * 100) / (COUNTIFS(F:F, "☆☆", E:E, E159) + COUNTIFS(F:F, "☆☆", E:E, "A1") + IF(E159="A1", COUNTIFS(F:F, "☆☆", E:E, E2), 0) - IF(E159="A1", COUNTIFS(F:F, "☆☆", E:E, "A1"), 0)))/100, 
   IF(F159="☆☆☆", ((N9 * 100) / (COUNTIFS(F:F, "☆☆☆", E:E, E159) + COUNTIFS(F:F, "☆☆☆", E:E, "A1") + IF(E159="A1", COUNTIFS(F:F, "☆☆☆", E:E, E2), 0) - IF(E159="A1", COUNTIFS(F:F, "☆☆☆", E:E, "A1"), 0)))/100, 
   IF(F159="♛", ((N10 * 100) / (COUNTIFS(F:F, "♛", E:E, E159) + COUNTIFS(F:F, "♛", E:E, "A1") + IF(E159="A1", COUNTIFS(F:F, "♛", E:E, E2), 0) - IF(E159="A1", COUNTIFS(F:F, "♛", E:E, "A1"), 0)))/100, "")))))))
</f>
        <v>0.01714285714</v>
      </c>
      <c r="J159" s="131"/>
      <c r="K159" s="247"/>
      <c r="L159" s="20"/>
      <c r="M159" s="20"/>
      <c r="N159" s="20"/>
      <c r="O159" s="249"/>
    </row>
    <row r="160">
      <c r="A160" s="125" t="b">
        <f t="shared" si="1"/>
        <v>0</v>
      </c>
      <c r="B160" s="126">
        <v>0.0</v>
      </c>
      <c r="C160" s="127" t="s">
        <v>433</v>
      </c>
      <c r="D160" s="127" t="s">
        <v>434</v>
      </c>
      <c r="E160" s="128" t="s">
        <v>32</v>
      </c>
      <c r="F160" s="127" t="s">
        <v>48</v>
      </c>
      <c r="G160" s="130" t="str">
        <f>IF(F160="♢", ((L3 * 100) / (COUNTIFS(F:F, "♢", E:E, E160) + COUNTIFS(F:F, "♢", E:E, "A1") + IF(E160="A1", COUNTIFS(F:F, "♢", E:E, E2), 0) - IF(E160="A1", COUNTIFS(F:F, "♢", E:E, "A1"), 0)))/100, "")
</f>
        <v/>
      </c>
      <c r="H160" s="129">
        <f>IF(F160="♢♢", ((M4 * 100) / (COUNTIFS(F:F, "♢♢", E:E, E160) + COUNTIFS(F:F, "♢♢", E:E, "A1") + IF(E160="A1", COUNTIFS(F:F, "♢♢", E:E, E2), 0) - IF(E160="A1", COUNTIFS(F:F, "♢♢", E:E, "A1"), 0)))/100, 
   IF(F160="♢♢♢", ((M5 * 100) / (COUNTIFS(F:F, "♢♢♢", E:E, E160) + COUNTIFS(F:F, "♢♢♢", E:E, "A1") + IF(E160="A1", COUNTIFS(F:F, "♢♢♢", E:E, E2), 0) - IF(E160="A1", COUNTIFS(F:F, "♢♢♢", E:E, "A1"), 0)))/100, 
   IF(F160="♢♢♢♢", ((M6 * 100) / (COUNTIFS(F:F, "♢♢♢♢", E:E, E160) + COUNTIFS(F:F, "♢♢♢♢", E:E, "A1") + IF(E160="A1", COUNTIFS(F:F, "♢♢♢♢", E:E, E2), 0) - IF(E160="A1", COUNTIFS(F:F, "♢♢♢♢", E:E, "A1"), 0)))/100, 
   IF(F160="☆", ((M7 * 100) / (COUNTIFS(F:F, "☆", E:E, E160) + COUNTIFS(F:F, "☆", E:E, "A1") + IF(E160="A1", COUNTIFS(F:F, "☆", E:E, E2), 0) - IF(E160="A1", COUNTIFS(F:F, "☆", E:E, "A1"), 0)))/100, 
   IF(F160="☆☆", ((M8 * 100) / (COUNTIFS(F:F, "☆☆", E:E, E160) + COUNTIFS(F:F, "☆☆", E:E, "A1") + IF(E160="A1", COUNTIFS(F:F, "☆☆", E:E, E2), 0) - IF(E160="A1", COUNTIFS(F:F, "☆☆", E:E, "A1"), 0)))/100, 
   IF(F160="☆☆☆", ((M9 * 100) / (COUNTIFS(F:F, "☆☆☆", E:E, E160) + COUNTIFS(F:F, "☆☆☆", E:E, "A1") + IF(E160="A1", COUNTIFS(F:F, "☆☆☆", E:E, E2), 0) - IF(E160="A1", COUNTIFS(F:F, "☆☆☆", E:E, "A1"), 0)))/100, 
   IF(F160="♛", ((M10 * 100) / (COUNTIFS(F:F, "♛", E:E, E160) + COUNTIFS(F:F, "♛", E:E, "A1") + IF(E160="A1", COUNTIFS(F:F, "♛", E:E, E2), 0) - IF(E160="A1", COUNTIFS(F:F, "♛", E:E, "A1"), 0)))/100, "")))))))
</f>
        <v>0.003571428571</v>
      </c>
      <c r="I160" s="129">
        <f>IF(F160="♢♢", ((N4 * 100) / (COUNTIFS(F:F, "♢♢", E:E, E160) + COUNTIFS(F:F, "♢♢", E:E, "A1") + IF(E160="A1", COUNTIFS(F:F, "♢♢", E:E, E2), 0) - IF(E160="A1", COUNTIFS(F:F, "♢♢", E:E, "A1"), 0)))/100, 
   IF(F160="♢♢♢", ((N5 * 100) / (COUNTIFS(F:F, "♢♢♢", E:E, E160) + COUNTIFS(F:F, "♢♢♢", E:E, "A1") + IF(E160="A1", COUNTIFS(F:F, "♢♢♢", E:E, E2), 0) - IF(E160="A1", COUNTIFS(F:F, "♢♢♢", E:E, "A1"), 0)))/100, 
   IF(F160="♢♢♢♢", ((N6 * 100) / (COUNTIFS(F:F, "♢♢♢♢", E:E, E160) + COUNTIFS(F:F, "♢♢♢♢", E:E, "A1") + IF(E160="A1", COUNTIFS(F:F, "♢♢♢♢", E:E, E2), 0) - IF(E160="A1", COUNTIFS(F:F, "♢♢♢♢", E:E, "A1"), 0)))/100, 
   IF(F160="☆", ((N7 * 100) / (COUNTIFS(F:F, "☆", E:E, E160) + COUNTIFS(F:F, "☆", E:E, "A1") + IF(E160="A1", COUNTIFS(F:F, "☆", E:E, E2), 0) - IF(E160="A1", COUNTIFS(F:F, "☆", E:E, "A1"), 0)))/100, 
   IF(F160="☆☆", ((N8 * 100) / (COUNTIFS(F:F, "☆☆", E:E, E160) + COUNTIFS(F:F, "☆☆", E:E, "A1") + IF(E160="A1", COUNTIFS(F:F, "☆☆", E:E, E2), 0) - IF(E160="A1", COUNTIFS(F:F, "☆☆", E:E, "A1"), 0)))/100, 
   IF(F160="☆☆☆", ((N9 * 100) / (COUNTIFS(F:F, "☆☆☆", E:E, E160) + COUNTIFS(F:F, "☆☆☆", E:E, "A1") + IF(E160="A1", COUNTIFS(F:F, "☆☆☆", E:E, E2), 0) - IF(E160="A1", COUNTIFS(F:F, "☆☆☆", E:E, "A1"), 0)))/100, 
   IF(F160="♛", ((N10 * 100) / (COUNTIFS(F:F, "♛", E:E, E160) + COUNTIFS(F:F, "♛", E:E, "A1") + IF(E160="A1", COUNTIFS(F:F, "♛", E:E, E2), 0) - IF(E160="A1", COUNTIFS(F:F, "♛", E:E, "A1"), 0)))/100, "")))))))
</f>
        <v>0.01428571429</v>
      </c>
      <c r="J160" s="131"/>
      <c r="K160" s="247"/>
      <c r="L160" s="20"/>
      <c r="M160" s="20"/>
      <c r="N160" s="20"/>
      <c r="O160" s="249"/>
    </row>
    <row r="161">
      <c r="A161" s="125" t="b">
        <f t="shared" si="1"/>
        <v>0</v>
      </c>
      <c r="B161" s="126">
        <v>0.0</v>
      </c>
      <c r="C161" s="127" t="s">
        <v>435</v>
      </c>
      <c r="D161" s="127" t="s">
        <v>436</v>
      </c>
      <c r="E161" s="128" t="s">
        <v>31</v>
      </c>
      <c r="F161" s="127" t="s">
        <v>44</v>
      </c>
      <c r="G161" s="129">
        <f>IF(F161="♢", ((L3 * 100) / (COUNTIFS(F:F, "♢", E:E, E161) + COUNTIFS(F:F, "♢", E:E, "A1") + IF(E161="A1", COUNTIFS(F:F, "♢", E:E, E2), 0) - IF(E161="A1", COUNTIFS(F:F, "♢", E:E, "A1"), 0)))/100, "")
</f>
        <v>0.02</v>
      </c>
      <c r="H161" s="130" t="str">
        <f>IF(F161="♢♢", ((M4 * 100) / (COUNTIFS(F:F, "♢♢", E:E, E161) + COUNTIFS(F:F, "♢♢", E:E, "A1") + IF(E161="A1", COUNTIFS(F:F, "♢♢", E:E, E2), 0) - IF(E161="A1", COUNTIFS(F:F, "♢♢", E:E, "A1"), 0)))/100, 
   IF(F161="♢♢♢", ((M5 * 100) / (COUNTIFS(F:F, "♢♢♢", E:E, E161) + COUNTIFS(F:F, "♢♢♢", E:E, "A1") + IF(E161="A1", COUNTIFS(F:F, "♢♢♢", E:E, E2), 0) - IF(E161="A1", COUNTIFS(F:F, "♢♢♢", E:E, "A1"), 0)))/100, 
   IF(F161="♢♢♢♢", ((M6 * 100) / (COUNTIFS(F:F, "♢♢♢♢", E:E, E161) + COUNTIFS(F:F, "♢♢♢♢", E:E, "A1") + IF(E161="A1", COUNTIFS(F:F, "♢♢♢♢", E:E, E2), 0) - IF(E161="A1", COUNTIFS(F:F, "♢♢♢♢", E:E, "A1"), 0)))/100, 
   IF(F161="☆", ((M7 * 100) / (COUNTIFS(F:F, "☆", E:E, E161) + COUNTIFS(F:F, "☆", E:E, "A1") + IF(E161="A1", COUNTIFS(F:F, "☆", E:E, E2), 0) - IF(E161="A1", COUNTIFS(F:F, "☆", E:E, "A1"), 0)))/100, 
   IF(F161="☆☆", ((M8 * 100) / (COUNTIFS(F:F, "☆☆", E:E, E161) + COUNTIFS(F:F, "☆☆", E:E, "A1") + IF(E161="A1", COUNTIFS(F:F, "☆☆", E:E, E2), 0) - IF(E161="A1", COUNTIFS(F:F, "☆☆", E:E, "A1"), 0)))/100, 
   IF(F161="☆☆☆", ((M9 * 100) / (COUNTIFS(F:F, "☆☆☆", E:E, E161) + COUNTIFS(F:F, "☆☆☆", E:E, "A1") + IF(E161="A1", COUNTIFS(F:F, "☆☆☆", E:E, E2), 0) - IF(E161="A1", COUNTIFS(F:F, "☆☆☆", E:E, "A1"), 0)))/100, 
   IF(F161="♛", ((M10 * 100) / (COUNTIFS(F:F, "♛", E:E, E161) + COUNTIFS(F:F, "♛", E:E, "A1") + IF(E161="A1", COUNTIFS(F:F, "♛", E:E, E2), 0) - IF(E161="A1", COUNTIFS(F:F, "♛", E:E, "A1"), 0)))/100, "")))))))
</f>
        <v/>
      </c>
      <c r="I161" s="130" t="str">
        <f>IF(F161="♢♢", ((N4 * 100) / (COUNTIFS(F:F, "♢♢", E:E, E161) + COUNTIFS(F:F, "♢♢", E:E, "A1") + IF(E161="A1", COUNTIFS(F:F, "♢♢", E:E, E2), 0) - IF(E161="A1", COUNTIFS(F:F, "♢♢", E:E, "A1"), 0)))/100, 
   IF(F161="♢♢♢", ((N5 * 100) / (COUNTIFS(F:F, "♢♢♢", E:E, E161) + COUNTIFS(F:F, "♢♢♢", E:E, "A1") + IF(E161="A1", COUNTIFS(F:F, "♢♢♢", E:E, E2), 0) - IF(E161="A1", COUNTIFS(F:F, "♢♢♢", E:E, "A1"), 0)))/100, 
   IF(F161="♢♢♢♢", ((N6 * 100) / (COUNTIFS(F:F, "♢♢♢♢", E:E, E161) + COUNTIFS(F:F, "♢♢♢♢", E:E, "A1") + IF(E161="A1", COUNTIFS(F:F, "♢♢♢♢", E:E, E2), 0) - IF(E161="A1", COUNTIFS(F:F, "♢♢♢♢", E:E, "A1"), 0)))/100, 
   IF(F161="☆", ((N7 * 100) / (COUNTIFS(F:F, "☆", E:E, E161) + COUNTIFS(F:F, "☆", E:E, "A1") + IF(E161="A1", COUNTIFS(F:F, "☆", E:E, E2), 0) - IF(E161="A1", COUNTIFS(F:F, "☆", E:E, "A1"), 0)))/100, 
   IF(F161="☆☆", ((N8 * 100) / (COUNTIFS(F:F, "☆☆", E:E, E161) + COUNTIFS(F:F, "☆☆", E:E, "A1") + IF(E161="A1", COUNTIFS(F:F, "☆☆", E:E, E2), 0) - IF(E161="A1", COUNTIFS(F:F, "☆☆", E:E, "A1"), 0)))/100, 
   IF(F161="☆☆☆", ((N9 * 100) / (COUNTIFS(F:F, "☆☆☆", E:E, E161) + COUNTIFS(F:F, "☆☆☆", E:E, "A1") + IF(E161="A1", COUNTIFS(F:F, "☆☆☆", E:E, E2), 0) - IF(E161="A1", COUNTIFS(F:F, "☆☆☆", E:E, "A1"), 0)))/100, 
   IF(F161="♛", ((N10 * 100) / (COUNTIFS(F:F, "♛", E:E, E161) + COUNTIFS(F:F, "♛", E:E, "A1") + IF(E161="A1", COUNTIFS(F:F, "♛", E:E, E2), 0) - IF(E161="A1", COUNTIFS(F:F, "♛", E:E, "A1"), 0)))/100, "")))))))
</f>
        <v/>
      </c>
      <c r="J161" s="131"/>
      <c r="K161" s="247"/>
      <c r="L161" s="20"/>
      <c r="M161" s="20"/>
      <c r="N161" s="20"/>
      <c r="O161" s="249"/>
    </row>
    <row r="162">
      <c r="A162" s="125" t="b">
        <f t="shared" si="1"/>
        <v>0</v>
      </c>
      <c r="B162" s="126">
        <v>0.0</v>
      </c>
      <c r="C162" s="127" t="s">
        <v>437</v>
      </c>
      <c r="D162" s="127" t="s">
        <v>438</v>
      </c>
      <c r="E162" s="128" t="s">
        <v>31</v>
      </c>
      <c r="F162" s="127" t="s">
        <v>46</v>
      </c>
      <c r="G162" s="130" t="str">
        <f>IF(F162="♢", ((L3 * 100) / (COUNTIFS(F:F, "♢", E:E, E162) + COUNTIFS(F:F, "♢", E:E, "A1") + IF(E162="A1", COUNTIFS(F:F, "♢", E:E, E2), 0) - IF(E162="A1", COUNTIFS(F:F, "♢", E:E, "A1"), 0)))/100, "")
</f>
        <v/>
      </c>
      <c r="H162" s="129">
        <f>IF(F162="♢♢", ((M4 * 100) / (COUNTIFS(F:F, "♢♢", E:E, E162) + COUNTIFS(F:F, "♢♢", E:E, "A1") + IF(E162="A1", COUNTIFS(F:F, "♢♢", E:E, E2), 0) - IF(E162="A1", COUNTIFS(F:F, "♢♢", E:E, "A1"), 0)))/100, 
   IF(F162="♢♢♢", ((M5 * 100) / (COUNTIFS(F:F, "♢♢♢", E:E, E162) + COUNTIFS(F:F, "♢♢♢", E:E, "A1") + IF(E162="A1", COUNTIFS(F:F, "♢♢♢", E:E, E2), 0) - IF(E162="A1", COUNTIFS(F:F, "♢♢♢", E:E, "A1"), 0)))/100, 
   IF(F162="♢♢♢♢", ((M6 * 100) / (COUNTIFS(F:F, "♢♢♢♢", E:E, E162) + COUNTIFS(F:F, "♢♢♢♢", E:E, "A1") + IF(E162="A1", COUNTIFS(F:F, "♢♢♢♢", E:E, E2), 0) - IF(E162="A1", COUNTIFS(F:F, "♢♢♢♢", E:E, "A1"), 0)))/100, 
   IF(F162="☆", ((M7 * 100) / (COUNTIFS(F:F, "☆", E:E, E162) + COUNTIFS(F:F, "☆", E:E, "A1") + IF(E162="A1", COUNTIFS(F:F, "☆", E:E, E2), 0) - IF(E162="A1", COUNTIFS(F:F, "☆", E:E, "A1"), 0)))/100, 
   IF(F162="☆☆", ((M8 * 100) / (COUNTIFS(F:F, "☆☆", E:E, E162) + COUNTIFS(F:F, "☆☆", E:E, "A1") + IF(E162="A1", COUNTIFS(F:F, "☆☆", E:E, E2), 0) - IF(E162="A1", COUNTIFS(F:F, "☆☆", E:E, "A1"), 0)))/100, 
   IF(F162="☆☆☆", ((M9 * 100) / (COUNTIFS(F:F, "☆☆☆", E:E, E162) + COUNTIFS(F:F, "☆☆☆", E:E, "A1") + IF(E162="A1", COUNTIFS(F:F, "☆☆☆", E:E, E2), 0) - IF(E162="A1", COUNTIFS(F:F, "☆☆☆", E:E, "A1"), 0)))/100, 
   IF(F162="♛", ((M10 * 100) / (COUNTIFS(F:F, "♛", E:E, E162) + COUNTIFS(F:F, "♛", E:E, "A1") + IF(E162="A1", COUNTIFS(F:F, "♛", E:E, E2), 0) - IF(E162="A1", COUNTIFS(F:F, "♛", E:E, "A1"), 0)))/100, "")))))))
</f>
        <v>0.02571428571</v>
      </c>
      <c r="I162" s="129">
        <f>IF(F162="♢♢", ((N4 * 100) / (COUNTIFS(F:F, "♢♢", E:E, E162) + COUNTIFS(F:F, "♢♢", E:E, "A1") + IF(E162="A1", COUNTIFS(F:F, "♢♢", E:E, E2), 0) - IF(E162="A1", COUNTIFS(F:F, "♢♢", E:E, "A1"), 0)))/100, 
   IF(F162="♢♢♢", ((N5 * 100) / (COUNTIFS(F:F, "♢♢♢", E:E, E162) + COUNTIFS(F:F, "♢♢♢", E:E, "A1") + IF(E162="A1", COUNTIFS(F:F, "♢♢♢", E:E, E2), 0) - IF(E162="A1", COUNTIFS(F:F, "♢♢♢", E:E, "A1"), 0)))/100, 
   IF(F162="♢♢♢♢", ((N6 * 100) / (COUNTIFS(F:F, "♢♢♢♢", E:E, E162) + COUNTIFS(F:F, "♢♢♢♢", E:E, "A1") + IF(E162="A1", COUNTIFS(F:F, "♢♢♢♢", E:E, E2), 0) - IF(E162="A1", COUNTIFS(F:F, "♢♢♢♢", E:E, "A1"), 0)))/100, 
   IF(F162="☆", ((N7 * 100) / (COUNTIFS(F:F, "☆", E:E, E162) + COUNTIFS(F:F, "☆", E:E, "A1") + IF(E162="A1", COUNTIFS(F:F, "☆", E:E, E2), 0) - IF(E162="A1", COUNTIFS(F:F, "☆", E:E, "A1"), 0)))/100, 
   IF(F162="☆☆", ((N8 * 100) / (COUNTIFS(F:F, "☆☆", E:E, E162) + COUNTIFS(F:F, "☆☆", E:E, "A1") + IF(E162="A1", COUNTIFS(F:F, "☆☆", E:E, E2), 0) - IF(E162="A1", COUNTIFS(F:F, "☆☆", E:E, "A1"), 0)))/100, 
   IF(F162="☆☆☆", ((N9 * 100) / (COUNTIFS(F:F, "☆☆☆", E:E, E162) + COUNTIFS(F:F, "☆☆☆", E:E, "A1") + IF(E162="A1", COUNTIFS(F:F, "☆☆☆", E:E, E2), 0) - IF(E162="A1", COUNTIFS(F:F, "☆☆☆", E:E, "A1"), 0)))/100, 
   IF(F162="♛", ((N10 * 100) / (COUNTIFS(F:F, "♛", E:E, E162) + COUNTIFS(F:F, "♛", E:E, "A1") + IF(E162="A1", COUNTIFS(F:F, "♛", E:E, E2), 0) - IF(E162="A1", COUNTIFS(F:F, "♛", E:E, "A1"), 0)))/100, "")))))))
</f>
        <v>0.01714285714</v>
      </c>
      <c r="J162" s="131"/>
      <c r="K162" s="247"/>
      <c r="L162" s="20"/>
      <c r="M162" s="20"/>
      <c r="N162" s="20"/>
      <c r="O162" s="249"/>
    </row>
    <row r="163">
      <c r="A163" s="125" t="b">
        <f t="shared" si="1"/>
        <v>0</v>
      </c>
      <c r="B163" s="126">
        <v>0.0</v>
      </c>
      <c r="C163" s="127" t="s">
        <v>439</v>
      </c>
      <c r="D163" s="127" t="s">
        <v>440</v>
      </c>
      <c r="E163" s="128" t="s">
        <v>137</v>
      </c>
      <c r="F163" s="127" t="s">
        <v>44</v>
      </c>
      <c r="G163" s="129">
        <f>IF(F163="♢", ((L3 * 100) / (COUNTIFS(F:F, "♢", E:E, E163) + COUNTIFS(F:F, "♢", E:E, "A1") + IF(E163="A1", COUNTIFS(F:F, "♢", E:E, E2), 0) - IF(E163="A1", COUNTIFS(F:F, "♢", E:E, "A1"), 0)))/100, "")
</f>
        <v>0.02</v>
      </c>
      <c r="H163" s="130" t="str">
        <f>IF(F163="♢♢", ((M4 * 100) / (COUNTIFS(F:F, "♢♢", E:E, E163) + COUNTIFS(F:F, "♢♢", E:E, "A1") + IF(E163="A1", COUNTIFS(F:F, "♢♢", E:E, E2), 0) - IF(E163="A1", COUNTIFS(F:F, "♢♢", E:E, "A1"), 0)))/100, 
   IF(F163="♢♢♢", ((M5 * 100) / (COUNTIFS(F:F, "♢♢♢", E:E, E163) + COUNTIFS(F:F, "♢♢♢", E:E, "A1") + IF(E163="A1", COUNTIFS(F:F, "♢♢♢", E:E, E2), 0) - IF(E163="A1", COUNTIFS(F:F, "♢♢♢", E:E, "A1"), 0)))/100, 
   IF(F163="♢♢♢♢", ((M6 * 100) / (COUNTIFS(F:F, "♢♢♢♢", E:E, E163) + COUNTIFS(F:F, "♢♢♢♢", E:E, "A1") + IF(E163="A1", COUNTIFS(F:F, "♢♢♢♢", E:E, E2), 0) - IF(E163="A1", COUNTIFS(F:F, "♢♢♢♢", E:E, "A1"), 0)))/100, 
   IF(F163="☆", ((M7 * 100) / (COUNTIFS(F:F, "☆", E:E, E163) + COUNTIFS(F:F, "☆", E:E, "A1") + IF(E163="A1", COUNTIFS(F:F, "☆", E:E, E2), 0) - IF(E163="A1", COUNTIFS(F:F, "☆", E:E, "A1"), 0)))/100, 
   IF(F163="☆☆", ((M8 * 100) / (COUNTIFS(F:F, "☆☆", E:E, E163) + COUNTIFS(F:F, "☆☆", E:E, "A1") + IF(E163="A1", COUNTIFS(F:F, "☆☆", E:E, E2), 0) - IF(E163="A1", COUNTIFS(F:F, "☆☆", E:E, "A1"), 0)))/100, 
   IF(F163="☆☆☆", ((M9 * 100) / (COUNTIFS(F:F, "☆☆☆", E:E, E163) + COUNTIFS(F:F, "☆☆☆", E:E, "A1") + IF(E163="A1", COUNTIFS(F:F, "☆☆☆", E:E, E2), 0) - IF(E163="A1", COUNTIFS(F:F, "☆☆☆", E:E, "A1"), 0)))/100, 
   IF(F163="♛", ((M10 * 100) / (COUNTIFS(F:F, "♛", E:E, E163) + COUNTIFS(F:F, "♛", E:E, "A1") + IF(E163="A1", COUNTIFS(F:F, "♛", E:E, E2), 0) - IF(E163="A1", COUNTIFS(F:F, "♛", E:E, "A1"), 0)))/100, "")))))))
</f>
        <v/>
      </c>
      <c r="I163" s="130" t="str">
        <f>IF(F163="♢♢", ((N4 * 100) / (COUNTIFS(F:F, "♢♢", E:E, E163) + COUNTIFS(F:F, "♢♢", E:E, "A1") + IF(E163="A1", COUNTIFS(F:F, "♢♢", E:E, E2), 0) - IF(E163="A1", COUNTIFS(F:F, "♢♢", E:E, "A1"), 0)))/100, 
   IF(F163="♢♢♢", ((N5 * 100) / (COUNTIFS(F:F, "♢♢♢", E:E, E163) + COUNTIFS(F:F, "♢♢♢", E:E, "A1") + IF(E163="A1", COUNTIFS(F:F, "♢♢♢", E:E, E2), 0) - IF(E163="A1", COUNTIFS(F:F, "♢♢♢", E:E, "A1"), 0)))/100, 
   IF(F163="♢♢♢♢", ((N6 * 100) / (COUNTIFS(F:F, "♢♢♢♢", E:E, E163) + COUNTIFS(F:F, "♢♢♢♢", E:E, "A1") + IF(E163="A1", COUNTIFS(F:F, "♢♢♢♢", E:E, E2), 0) - IF(E163="A1", COUNTIFS(F:F, "♢♢♢♢", E:E, "A1"), 0)))/100, 
   IF(F163="☆", ((N7 * 100) / (COUNTIFS(F:F, "☆", E:E, E163) + COUNTIFS(F:F, "☆", E:E, "A1") + IF(E163="A1", COUNTIFS(F:F, "☆", E:E, E2), 0) - IF(E163="A1", COUNTIFS(F:F, "☆", E:E, "A1"), 0)))/100, 
   IF(F163="☆☆", ((N8 * 100) / (COUNTIFS(F:F, "☆☆", E:E, E163) + COUNTIFS(F:F, "☆☆", E:E, "A1") + IF(E163="A1", COUNTIFS(F:F, "☆☆", E:E, E2), 0) - IF(E163="A1", COUNTIFS(F:F, "☆☆", E:E, "A1"), 0)))/100, 
   IF(F163="☆☆☆", ((N9 * 100) / (COUNTIFS(F:F, "☆☆☆", E:E, E163) + COUNTIFS(F:F, "☆☆☆", E:E, "A1") + IF(E163="A1", COUNTIFS(F:F, "☆☆☆", E:E, E2), 0) - IF(E163="A1", COUNTIFS(F:F, "☆☆☆", E:E, "A1"), 0)))/100, 
   IF(F163="♛", ((N10 * 100) / (COUNTIFS(F:F, "♛", E:E, E163) + COUNTIFS(F:F, "♛", E:E, "A1") + IF(E163="A1", COUNTIFS(F:F, "♛", E:E, E2), 0) - IF(E163="A1", COUNTIFS(F:F, "♛", E:E, "A1"), 0)))/100, "")))))))
</f>
        <v/>
      </c>
      <c r="J163" s="131"/>
      <c r="K163" s="247"/>
      <c r="L163" s="20"/>
      <c r="M163" s="20"/>
      <c r="N163" s="20"/>
      <c r="O163" s="249"/>
    </row>
    <row r="164">
      <c r="A164" s="125" t="b">
        <f t="shared" si="1"/>
        <v>0</v>
      </c>
      <c r="B164" s="126">
        <v>0.0</v>
      </c>
      <c r="C164" s="127" t="s">
        <v>441</v>
      </c>
      <c r="D164" s="127" t="s">
        <v>442</v>
      </c>
      <c r="E164" s="128" t="s">
        <v>137</v>
      </c>
      <c r="F164" s="127" t="s">
        <v>46</v>
      </c>
      <c r="G164" s="130" t="str">
        <f>IF(F164="♢", ((L3 * 100) / (COUNTIFS(F:F, "♢", E:E, E164) + COUNTIFS(F:F, "♢", E:E, "A1") + IF(E164="A1", COUNTIFS(F:F, "♢", E:E, E2), 0) - IF(E164="A1", COUNTIFS(F:F, "♢", E:E, "A1"), 0)))/100, "")
</f>
        <v/>
      </c>
      <c r="H164" s="129">
        <f>IF(F164="♢♢", ((M4 * 100) / (COUNTIFS(F:F, "♢♢", E:E, E164) + COUNTIFS(F:F, "♢♢", E:E, "A1") + IF(E164="A1", COUNTIFS(F:F, "♢♢", E:E, E2), 0) - IF(E164="A1", COUNTIFS(F:F, "♢♢", E:E, "A1"), 0)))/100, 
   IF(F164="♢♢♢", ((M5 * 100) / (COUNTIFS(F:F, "♢♢♢", E:E, E164) + COUNTIFS(F:F, "♢♢♢", E:E, "A1") + IF(E164="A1", COUNTIFS(F:F, "♢♢♢", E:E, E2), 0) - IF(E164="A1", COUNTIFS(F:F, "♢♢♢", E:E, "A1"), 0)))/100, 
   IF(F164="♢♢♢♢", ((M6 * 100) / (COUNTIFS(F:F, "♢♢♢♢", E:E, E164) + COUNTIFS(F:F, "♢♢♢♢", E:E, "A1") + IF(E164="A1", COUNTIFS(F:F, "♢♢♢♢", E:E, E2), 0) - IF(E164="A1", COUNTIFS(F:F, "♢♢♢♢", E:E, "A1"), 0)))/100, 
   IF(F164="☆", ((M7 * 100) / (COUNTIFS(F:F, "☆", E:E, E164) + COUNTIFS(F:F, "☆", E:E, "A1") + IF(E164="A1", COUNTIFS(F:F, "☆", E:E, E2), 0) - IF(E164="A1", COUNTIFS(F:F, "☆", E:E, "A1"), 0)))/100, 
   IF(F164="☆☆", ((M8 * 100) / (COUNTIFS(F:F, "☆☆", E:E, E164) + COUNTIFS(F:F, "☆☆", E:E, "A1") + IF(E164="A1", COUNTIFS(F:F, "☆☆", E:E, E2), 0) - IF(E164="A1", COUNTIFS(F:F, "☆☆", E:E, "A1"), 0)))/100, 
   IF(F164="☆☆☆", ((M9 * 100) / (COUNTIFS(F:F, "☆☆☆", E:E, E164) + COUNTIFS(F:F, "☆☆☆", E:E, "A1") + IF(E164="A1", COUNTIFS(F:F, "☆☆☆", E:E, E2), 0) - IF(E164="A1", COUNTIFS(F:F, "☆☆☆", E:E, "A1"), 0)))/100, 
   IF(F164="♛", ((M10 * 100) / (COUNTIFS(F:F, "♛", E:E, E164) + COUNTIFS(F:F, "♛", E:E, "A1") + IF(E164="A1", COUNTIFS(F:F, "♛", E:E, E2), 0) - IF(E164="A1", COUNTIFS(F:F, "♛", E:E, "A1"), 0)))/100, "")))))))
</f>
        <v>0.02571428571</v>
      </c>
      <c r="I164" s="129">
        <f>IF(F164="♢♢", ((N4 * 100) / (COUNTIFS(F:F, "♢♢", E:E, E164) + COUNTIFS(F:F, "♢♢", E:E, "A1") + IF(E164="A1", COUNTIFS(F:F, "♢♢", E:E, E2), 0) - IF(E164="A1", COUNTIFS(F:F, "♢♢", E:E, "A1"), 0)))/100, 
   IF(F164="♢♢♢", ((N5 * 100) / (COUNTIFS(F:F, "♢♢♢", E:E, E164) + COUNTIFS(F:F, "♢♢♢", E:E, "A1") + IF(E164="A1", COUNTIFS(F:F, "♢♢♢", E:E, E2), 0) - IF(E164="A1", COUNTIFS(F:F, "♢♢♢", E:E, "A1"), 0)))/100, 
   IF(F164="♢♢♢♢", ((N6 * 100) / (COUNTIFS(F:F, "♢♢♢♢", E:E, E164) + COUNTIFS(F:F, "♢♢♢♢", E:E, "A1") + IF(E164="A1", COUNTIFS(F:F, "♢♢♢♢", E:E, E2), 0) - IF(E164="A1", COUNTIFS(F:F, "♢♢♢♢", E:E, "A1"), 0)))/100, 
   IF(F164="☆", ((N7 * 100) / (COUNTIFS(F:F, "☆", E:E, E164) + COUNTIFS(F:F, "☆", E:E, "A1") + IF(E164="A1", COUNTIFS(F:F, "☆", E:E, E2), 0) - IF(E164="A1", COUNTIFS(F:F, "☆", E:E, "A1"), 0)))/100, 
   IF(F164="☆☆", ((N8 * 100) / (COUNTIFS(F:F, "☆☆", E:E, E164) + COUNTIFS(F:F, "☆☆", E:E, "A1") + IF(E164="A1", COUNTIFS(F:F, "☆☆", E:E, E2), 0) - IF(E164="A1", COUNTIFS(F:F, "☆☆", E:E, "A1"), 0)))/100, 
   IF(F164="☆☆☆", ((N9 * 100) / (COUNTIFS(F:F, "☆☆☆", E:E, E164) + COUNTIFS(F:F, "☆☆☆", E:E, "A1") + IF(E164="A1", COUNTIFS(F:F, "☆☆☆", E:E, E2), 0) - IF(E164="A1", COUNTIFS(F:F, "☆☆☆", E:E, "A1"), 0)))/100, 
   IF(F164="♛", ((N10 * 100) / (COUNTIFS(F:F, "♛", E:E, E164) + COUNTIFS(F:F, "♛", E:E, "A1") + IF(E164="A1", COUNTIFS(F:F, "♛", E:E, E2), 0) - IF(E164="A1", COUNTIFS(F:F, "♛", E:E, "A1"), 0)))/100, "")))))))
</f>
        <v>0.01714285714</v>
      </c>
      <c r="J164" s="131"/>
      <c r="K164" s="247"/>
      <c r="L164" s="20"/>
      <c r="M164" s="20"/>
      <c r="N164" s="20"/>
      <c r="O164" s="249"/>
    </row>
    <row r="165">
      <c r="A165" s="125" t="b">
        <f t="shared" si="1"/>
        <v>0</v>
      </c>
      <c r="B165" s="126">
        <v>0.0</v>
      </c>
      <c r="C165" s="127" t="s">
        <v>443</v>
      </c>
      <c r="D165" s="127" t="s">
        <v>444</v>
      </c>
      <c r="E165" s="128" t="s">
        <v>137</v>
      </c>
      <c r="F165" s="127" t="s">
        <v>44</v>
      </c>
      <c r="G165" s="129">
        <f>IF(F165="♢", ((L3 * 100) / (COUNTIFS(F:F, "♢", E:E, E165) + COUNTIFS(F:F, "♢", E:E, "A1") + IF(E165="A1", COUNTIFS(F:F, "♢", E:E, E2), 0) - IF(E165="A1", COUNTIFS(F:F, "♢", E:E, "A1"), 0)))/100, "")
</f>
        <v>0.02</v>
      </c>
      <c r="H165" s="130" t="str">
        <f>IF(F165="♢♢", ((M4 * 100) / (COUNTIFS(F:F, "♢♢", E:E, E165) + COUNTIFS(F:F, "♢♢", E:E, "A1") + IF(E165="A1", COUNTIFS(F:F, "♢♢", E:E, E2), 0) - IF(E165="A1", COUNTIFS(F:F, "♢♢", E:E, "A1"), 0)))/100, 
   IF(F165="♢♢♢", ((M5 * 100) / (COUNTIFS(F:F, "♢♢♢", E:E, E165) + COUNTIFS(F:F, "♢♢♢", E:E, "A1") + IF(E165="A1", COUNTIFS(F:F, "♢♢♢", E:E, E2), 0) - IF(E165="A1", COUNTIFS(F:F, "♢♢♢", E:E, "A1"), 0)))/100, 
   IF(F165="♢♢♢♢", ((M6 * 100) / (COUNTIFS(F:F, "♢♢♢♢", E:E, E165) + COUNTIFS(F:F, "♢♢♢♢", E:E, "A1") + IF(E165="A1", COUNTIFS(F:F, "♢♢♢♢", E:E, E2), 0) - IF(E165="A1", COUNTIFS(F:F, "♢♢♢♢", E:E, "A1"), 0)))/100, 
   IF(F165="☆", ((M7 * 100) / (COUNTIFS(F:F, "☆", E:E, E165) + COUNTIFS(F:F, "☆", E:E, "A1") + IF(E165="A1", COUNTIFS(F:F, "☆", E:E, E2), 0) - IF(E165="A1", COUNTIFS(F:F, "☆", E:E, "A1"), 0)))/100, 
   IF(F165="☆☆", ((M8 * 100) / (COUNTIFS(F:F, "☆☆", E:E, E165) + COUNTIFS(F:F, "☆☆", E:E, "A1") + IF(E165="A1", COUNTIFS(F:F, "☆☆", E:E, E2), 0) - IF(E165="A1", COUNTIFS(F:F, "☆☆", E:E, "A1"), 0)))/100, 
   IF(F165="☆☆☆", ((M9 * 100) / (COUNTIFS(F:F, "☆☆☆", E:E, E165) + COUNTIFS(F:F, "☆☆☆", E:E, "A1") + IF(E165="A1", COUNTIFS(F:F, "☆☆☆", E:E, E2), 0) - IF(E165="A1", COUNTIFS(F:F, "☆☆☆", E:E, "A1"), 0)))/100, 
   IF(F165="♛", ((M10 * 100) / (COUNTIFS(F:F, "♛", E:E, E165) + COUNTIFS(F:F, "♛", E:E, "A1") + IF(E165="A1", COUNTIFS(F:F, "♛", E:E, E2), 0) - IF(E165="A1", COUNTIFS(F:F, "♛", E:E, "A1"), 0)))/100, "")))))))
</f>
        <v/>
      </c>
      <c r="I165" s="130" t="str">
        <f>IF(F165="♢♢", ((N4 * 100) / (COUNTIFS(F:F, "♢♢", E:E, E165) + COUNTIFS(F:F, "♢♢", E:E, "A1") + IF(E165="A1", COUNTIFS(F:F, "♢♢", E:E, E2), 0) - IF(E165="A1", COUNTIFS(F:F, "♢♢", E:E, "A1"), 0)))/100, 
   IF(F165="♢♢♢", ((N5 * 100) / (COUNTIFS(F:F, "♢♢♢", E:E, E165) + COUNTIFS(F:F, "♢♢♢", E:E, "A1") + IF(E165="A1", COUNTIFS(F:F, "♢♢♢", E:E, E2), 0) - IF(E165="A1", COUNTIFS(F:F, "♢♢♢", E:E, "A1"), 0)))/100, 
   IF(F165="♢♢♢♢", ((N6 * 100) / (COUNTIFS(F:F, "♢♢♢♢", E:E, E165) + COUNTIFS(F:F, "♢♢♢♢", E:E, "A1") + IF(E165="A1", COUNTIFS(F:F, "♢♢♢♢", E:E, E2), 0) - IF(E165="A1", COUNTIFS(F:F, "♢♢♢♢", E:E, "A1"), 0)))/100, 
   IF(F165="☆", ((N7 * 100) / (COUNTIFS(F:F, "☆", E:E, E165) + COUNTIFS(F:F, "☆", E:E, "A1") + IF(E165="A1", COUNTIFS(F:F, "☆", E:E, E2), 0) - IF(E165="A1", COUNTIFS(F:F, "☆", E:E, "A1"), 0)))/100, 
   IF(F165="☆☆", ((N8 * 100) / (COUNTIFS(F:F, "☆☆", E:E, E165) + COUNTIFS(F:F, "☆☆", E:E, "A1") + IF(E165="A1", COUNTIFS(F:F, "☆☆", E:E, E2), 0) - IF(E165="A1", COUNTIFS(F:F, "☆☆", E:E, "A1"), 0)))/100, 
   IF(F165="☆☆☆", ((N9 * 100) / (COUNTIFS(F:F, "☆☆☆", E:E, E165) + COUNTIFS(F:F, "☆☆☆", E:E, "A1") + IF(E165="A1", COUNTIFS(F:F, "☆☆☆", E:E, E2), 0) - IF(E165="A1", COUNTIFS(F:F, "☆☆☆", E:E, "A1"), 0)))/100, 
   IF(F165="♛", ((N10 * 100) / (COUNTIFS(F:F, "♛", E:E, E165) + COUNTIFS(F:F, "♛", E:E, "A1") + IF(E165="A1", COUNTIFS(F:F, "♛", E:E, E2), 0) - IF(E165="A1", COUNTIFS(F:F, "♛", E:E, "A1"), 0)))/100, "")))))))
</f>
        <v/>
      </c>
      <c r="J165" s="131"/>
      <c r="K165" s="247"/>
      <c r="L165" s="20"/>
      <c r="M165" s="20"/>
      <c r="N165" s="20"/>
      <c r="O165" s="249"/>
    </row>
    <row r="166">
      <c r="A166" s="125" t="b">
        <f t="shared" si="1"/>
        <v>0</v>
      </c>
      <c r="B166" s="126">
        <v>0.0</v>
      </c>
      <c r="C166" s="127" t="s">
        <v>445</v>
      </c>
      <c r="D166" s="127" t="s">
        <v>446</v>
      </c>
      <c r="E166" s="128" t="s">
        <v>137</v>
      </c>
      <c r="F166" s="127" t="s">
        <v>46</v>
      </c>
      <c r="G166" s="130" t="str">
        <f>IF(F166="♢", ((L3 * 100) / (COUNTIFS(F:F, "♢", E:E, E166) + COUNTIFS(F:F, "♢", E:E, "A1") + IF(E166="A1", COUNTIFS(F:F, "♢", E:E, E2), 0) - IF(E166="A1", COUNTIFS(F:F, "♢", E:E, "A1"), 0)))/100, "")
</f>
        <v/>
      </c>
      <c r="H166" s="129">
        <f>IF(F166="♢♢", ((M4 * 100) / (COUNTIFS(F:F, "♢♢", E:E, E166) + COUNTIFS(F:F, "♢♢", E:E, "A1") + IF(E166="A1", COUNTIFS(F:F, "♢♢", E:E, E2), 0) - IF(E166="A1", COUNTIFS(F:F, "♢♢", E:E, "A1"), 0)))/100, 
   IF(F166="♢♢♢", ((M5 * 100) / (COUNTIFS(F:F, "♢♢♢", E:E, E166) + COUNTIFS(F:F, "♢♢♢", E:E, "A1") + IF(E166="A1", COUNTIFS(F:F, "♢♢♢", E:E, E2), 0) - IF(E166="A1", COUNTIFS(F:F, "♢♢♢", E:E, "A1"), 0)))/100, 
   IF(F166="♢♢♢♢", ((M6 * 100) / (COUNTIFS(F:F, "♢♢♢♢", E:E, E166) + COUNTIFS(F:F, "♢♢♢♢", E:E, "A1") + IF(E166="A1", COUNTIFS(F:F, "♢♢♢♢", E:E, E2), 0) - IF(E166="A1", COUNTIFS(F:F, "♢♢♢♢", E:E, "A1"), 0)))/100, 
   IF(F166="☆", ((M7 * 100) / (COUNTIFS(F:F, "☆", E:E, E166) + COUNTIFS(F:F, "☆", E:E, "A1") + IF(E166="A1", COUNTIFS(F:F, "☆", E:E, E2), 0) - IF(E166="A1", COUNTIFS(F:F, "☆", E:E, "A1"), 0)))/100, 
   IF(F166="☆☆", ((M8 * 100) / (COUNTIFS(F:F, "☆☆", E:E, E166) + COUNTIFS(F:F, "☆☆", E:E, "A1") + IF(E166="A1", COUNTIFS(F:F, "☆☆", E:E, E2), 0) - IF(E166="A1", COUNTIFS(F:F, "☆☆", E:E, "A1"), 0)))/100, 
   IF(F166="☆☆☆", ((M9 * 100) / (COUNTIFS(F:F, "☆☆☆", E:E, E166) + COUNTIFS(F:F, "☆☆☆", E:E, "A1") + IF(E166="A1", COUNTIFS(F:F, "☆☆☆", E:E, E2), 0) - IF(E166="A1", COUNTIFS(F:F, "☆☆☆", E:E, "A1"), 0)))/100, 
   IF(F166="♛", ((M10 * 100) / (COUNTIFS(F:F, "♛", E:E, E166) + COUNTIFS(F:F, "♛", E:E, "A1") + IF(E166="A1", COUNTIFS(F:F, "♛", E:E, E2), 0) - IF(E166="A1", COUNTIFS(F:F, "♛", E:E, "A1"), 0)))/100, "")))))))
</f>
        <v>0.02571428571</v>
      </c>
      <c r="I166" s="129">
        <f>IF(F166="♢♢", ((N4 * 100) / (COUNTIFS(F:F, "♢♢", E:E, E166) + COUNTIFS(F:F, "♢♢", E:E, "A1") + IF(E166="A1", COUNTIFS(F:F, "♢♢", E:E, E2), 0) - IF(E166="A1", COUNTIFS(F:F, "♢♢", E:E, "A1"), 0)))/100, 
   IF(F166="♢♢♢", ((N5 * 100) / (COUNTIFS(F:F, "♢♢♢", E:E, E166) + COUNTIFS(F:F, "♢♢♢", E:E, "A1") + IF(E166="A1", COUNTIFS(F:F, "♢♢♢", E:E, E2), 0) - IF(E166="A1", COUNTIFS(F:F, "♢♢♢", E:E, "A1"), 0)))/100, 
   IF(F166="♢♢♢♢", ((N6 * 100) / (COUNTIFS(F:F, "♢♢♢♢", E:E, E166) + COUNTIFS(F:F, "♢♢♢♢", E:E, "A1") + IF(E166="A1", COUNTIFS(F:F, "♢♢♢♢", E:E, E2), 0) - IF(E166="A1", COUNTIFS(F:F, "♢♢♢♢", E:E, "A1"), 0)))/100, 
   IF(F166="☆", ((N7 * 100) / (COUNTIFS(F:F, "☆", E:E, E166) + COUNTIFS(F:F, "☆", E:E, "A1") + IF(E166="A1", COUNTIFS(F:F, "☆", E:E, E2), 0) - IF(E166="A1", COUNTIFS(F:F, "☆", E:E, "A1"), 0)))/100, 
   IF(F166="☆☆", ((N8 * 100) / (COUNTIFS(F:F, "☆☆", E:E, E166) + COUNTIFS(F:F, "☆☆", E:E, "A1") + IF(E166="A1", COUNTIFS(F:F, "☆☆", E:E, E2), 0) - IF(E166="A1", COUNTIFS(F:F, "☆☆", E:E, "A1"), 0)))/100, 
   IF(F166="☆☆☆", ((N9 * 100) / (COUNTIFS(F:F, "☆☆☆", E:E, E166) + COUNTIFS(F:F, "☆☆☆", E:E, "A1") + IF(E166="A1", COUNTIFS(F:F, "☆☆☆", E:E, E2), 0) - IF(E166="A1", COUNTIFS(F:F, "☆☆☆", E:E, "A1"), 0)))/100, 
   IF(F166="♛", ((N10 * 100) / (COUNTIFS(F:F, "♛", E:E, E166) + COUNTIFS(F:F, "♛", E:E, "A1") + IF(E166="A1", COUNTIFS(F:F, "♛", E:E, E2), 0) - IF(E166="A1", COUNTIFS(F:F, "♛", E:E, "A1"), 0)))/100, "")))))))
</f>
        <v>0.01714285714</v>
      </c>
      <c r="J166" s="131"/>
      <c r="K166" s="247"/>
      <c r="L166" s="20"/>
      <c r="M166" s="20"/>
      <c r="N166" s="20"/>
      <c r="O166" s="249"/>
    </row>
    <row r="167">
      <c r="A167" s="125" t="b">
        <f t="shared" si="1"/>
        <v>0</v>
      </c>
      <c r="B167" s="126">
        <v>0.0</v>
      </c>
      <c r="C167" s="127" t="s">
        <v>447</v>
      </c>
      <c r="D167" s="128" t="s">
        <v>448</v>
      </c>
      <c r="E167" s="128" t="s">
        <v>31</v>
      </c>
      <c r="F167" s="127" t="s">
        <v>44</v>
      </c>
      <c r="G167" s="129">
        <f>IF(F167="♢", ((L3 * 100) / (COUNTIFS(F:F, "♢", E:E, E167) + COUNTIFS(F:F, "♢", E:E, "A1") + IF(E167="A1", COUNTIFS(F:F, "♢", E:E, E2), 0) - IF(E167="A1", COUNTIFS(F:F, "♢", E:E, "A1"), 0)))/100, "")
</f>
        <v>0.02</v>
      </c>
      <c r="H167" s="130" t="str">
        <f>IF(F167="♢♢", ((M4 * 100) / (COUNTIFS(F:F, "♢♢", E:E, E167) + COUNTIFS(F:F, "♢♢", E:E, "A1") + IF(E167="A1", COUNTIFS(F:F, "♢♢", E:E, E2), 0) - IF(E167="A1", COUNTIFS(F:F, "♢♢", E:E, "A1"), 0)))/100, 
   IF(F167="♢♢♢", ((M5 * 100) / (COUNTIFS(F:F, "♢♢♢", E:E, E167) + COUNTIFS(F:F, "♢♢♢", E:E, "A1") + IF(E167="A1", COUNTIFS(F:F, "♢♢♢", E:E, E2), 0) - IF(E167="A1", COUNTIFS(F:F, "♢♢♢", E:E, "A1"), 0)))/100, 
   IF(F167="♢♢♢♢", ((M6 * 100) / (COUNTIFS(F:F, "♢♢♢♢", E:E, E167) + COUNTIFS(F:F, "♢♢♢♢", E:E, "A1") + IF(E167="A1", COUNTIFS(F:F, "♢♢♢♢", E:E, E2), 0) - IF(E167="A1", COUNTIFS(F:F, "♢♢♢♢", E:E, "A1"), 0)))/100, 
   IF(F167="☆", ((M7 * 100) / (COUNTIFS(F:F, "☆", E:E, E167) + COUNTIFS(F:F, "☆", E:E, "A1") + IF(E167="A1", COUNTIFS(F:F, "☆", E:E, E2), 0) - IF(E167="A1", COUNTIFS(F:F, "☆", E:E, "A1"), 0)))/100, 
   IF(F167="☆☆", ((M8 * 100) / (COUNTIFS(F:F, "☆☆", E:E, E167) + COUNTIFS(F:F, "☆☆", E:E, "A1") + IF(E167="A1", COUNTIFS(F:F, "☆☆", E:E, E2), 0) - IF(E167="A1", COUNTIFS(F:F, "☆☆", E:E, "A1"), 0)))/100, 
   IF(F167="☆☆☆", ((M9 * 100) / (COUNTIFS(F:F, "☆☆☆", E:E, E167) + COUNTIFS(F:F, "☆☆☆", E:E, "A1") + IF(E167="A1", COUNTIFS(F:F, "☆☆☆", E:E, E2), 0) - IF(E167="A1", COUNTIFS(F:F, "☆☆☆", E:E, "A1"), 0)))/100, 
   IF(F167="♛", ((M10 * 100) / (COUNTIFS(F:F, "♛", E:E, E167) + COUNTIFS(F:F, "♛", E:E, "A1") + IF(E167="A1", COUNTIFS(F:F, "♛", E:E, E2), 0) - IF(E167="A1", COUNTIFS(F:F, "♛", E:E, "A1"), 0)))/100, "")))))))
</f>
        <v/>
      </c>
      <c r="I167" s="130" t="str">
        <f>IF(F167="♢♢", ((N4 * 100) / (COUNTIFS(F:F, "♢♢", E:E, E167) + COUNTIFS(F:F, "♢♢", E:E, "A1") + IF(E167="A1", COUNTIFS(F:F, "♢♢", E:E, E2), 0) - IF(E167="A1", COUNTIFS(F:F, "♢♢", E:E, "A1"), 0)))/100, 
   IF(F167="♢♢♢", ((N5 * 100) / (COUNTIFS(F:F, "♢♢♢", E:E, E167) + COUNTIFS(F:F, "♢♢♢", E:E, "A1") + IF(E167="A1", COUNTIFS(F:F, "♢♢♢", E:E, E2), 0) - IF(E167="A1", COUNTIFS(F:F, "♢♢♢", E:E, "A1"), 0)))/100, 
   IF(F167="♢♢♢♢", ((N6 * 100) / (COUNTIFS(F:F, "♢♢♢♢", E:E, E167) + COUNTIFS(F:F, "♢♢♢♢", E:E, "A1") + IF(E167="A1", COUNTIFS(F:F, "♢♢♢♢", E:E, E2), 0) - IF(E167="A1", COUNTIFS(F:F, "♢♢♢♢", E:E, "A1"), 0)))/100, 
   IF(F167="☆", ((N7 * 100) / (COUNTIFS(F:F, "☆", E:E, E167) + COUNTIFS(F:F, "☆", E:E, "A1") + IF(E167="A1", COUNTIFS(F:F, "☆", E:E, E2), 0) - IF(E167="A1", COUNTIFS(F:F, "☆", E:E, "A1"), 0)))/100, 
   IF(F167="☆☆", ((N8 * 100) / (COUNTIFS(F:F, "☆☆", E:E, E167) + COUNTIFS(F:F, "☆☆", E:E, "A1") + IF(E167="A1", COUNTIFS(F:F, "☆☆", E:E, E2), 0) - IF(E167="A1", COUNTIFS(F:F, "☆☆", E:E, "A1"), 0)))/100, 
   IF(F167="☆☆☆", ((N9 * 100) / (COUNTIFS(F:F, "☆☆☆", E:E, E167) + COUNTIFS(F:F, "☆☆☆", E:E, "A1") + IF(E167="A1", COUNTIFS(F:F, "☆☆☆", E:E, E2), 0) - IF(E167="A1", COUNTIFS(F:F, "☆☆☆", E:E, "A1"), 0)))/100, 
   IF(F167="♛", ((N10 * 100) / (COUNTIFS(F:F, "♛", E:E, E167) + COUNTIFS(F:F, "♛", E:E, "A1") + IF(E167="A1", COUNTIFS(F:F, "♛", E:E, E2), 0) - IF(E167="A1", COUNTIFS(F:F, "♛", E:E, "A1"), 0)))/100, "")))))))
</f>
        <v/>
      </c>
      <c r="J167" s="131"/>
      <c r="K167" s="247"/>
      <c r="L167" s="20"/>
      <c r="M167" s="20"/>
      <c r="N167" s="20"/>
      <c r="O167" s="249"/>
    </row>
    <row r="168">
      <c r="A168" s="125" t="b">
        <f t="shared" si="1"/>
        <v>0</v>
      </c>
      <c r="B168" s="126">
        <v>0.0</v>
      </c>
      <c r="C168" s="127" t="s">
        <v>449</v>
      </c>
      <c r="D168" s="127" t="s">
        <v>450</v>
      </c>
      <c r="E168" s="128" t="s">
        <v>31</v>
      </c>
      <c r="F168" s="127" t="s">
        <v>46</v>
      </c>
      <c r="G168" s="130" t="str">
        <f>IF(F168="♢", ((L3 * 100) / (COUNTIFS(F:F, "♢", E:E, E168) + COUNTIFS(F:F, "♢", E:E, "A1") + IF(E168="A1", COUNTIFS(F:F, "♢", E:E, E2), 0) - IF(E168="A1", COUNTIFS(F:F, "♢", E:E, "A1"), 0)))/100, "")
</f>
        <v/>
      </c>
      <c r="H168" s="129">
        <f>IF(F168="♢♢", ((M4 * 100) / (COUNTIFS(F:F, "♢♢", E:E, E168) + COUNTIFS(F:F, "♢♢", E:E, "A1") + IF(E168="A1", COUNTIFS(F:F, "♢♢", E:E, E2), 0) - IF(E168="A1", COUNTIFS(F:F, "♢♢", E:E, "A1"), 0)))/100, 
   IF(F168="♢♢♢", ((M5 * 100) / (COUNTIFS(F:F, "♢♢♢", E:E, E168) + COUNTIFS(F:F, "♢♢♢", E:E, "A1") + IF(E168="A1", COUNTIFS(F:F, "♢♢♢", E:E, E2), 0) - IF(E168="A1", COUNTIFS(F:F, "♢♢♢", E:E, "A1"), 0)))/100, 
   IF(F168="♢♢♢♢", ((M6 * 100) / (COUNTIFS(F:F, "♢♢♢♢", E:E, E168) + COUNTIFS(F:F, "♢♢♢♢", E:E, "A1") + IF(E168="A1", COUNTIFS(F:F, "♢♢♢♢", E:E, E2), 0) - IF(E168="A1", COUNTIFS(F:F, "♢♢♢♢", E:E, "A1"), 0)))/100, 
   IF(F168="☆", ((M7 * 100) / (COUNTIFS(F:F, "☆", E:E, E168) + COUNTIFS(F:F, "☆", E:E, "A1") + IF(E168="A1", COUNTIFS(F:F, "☆", E:E, E2), 0) - IF(E168="A1", COUNTIFS(F:F, "☆", E:E, "A1"), 0)))/100, 
   IF(F168="☆☆", ((M8 * 100) / (COUNTIFS(F:F, "☆☆", E:E, E168) + COUNTIFS(F:F, "☆☆", E:E, "A1") + IF(E168="A1", COUNTIFS(F:F, "☆☆", E:E, E2), 0) - IF(E168="A1", COUNTIFS(F:F, "☆☆", E:E, "A1"), 0)))/100, 
   IF(F168="☆☆☆", ((M9 * 100) / (COUNTIFS(F:F, "☆☆☆", E:E, E168) + COUNTIFS(F:F, "☆☆☆", E:E, "A1") + IF(E168="A1", COUNTIFS(F:F, "☆☆☆", E:E, E2), 0) - IF(E168="A1", COUNTIFS(F:F, "☆☆☆", E:E, "A1"), 0)))/100, 
   IF(F168="♛", ((M10 * 100) / (COUNTIFS(F:F, "♛", E:E, E168) + COUNTIFS(F:F, "♛", E:E, "A1") + IF(E168="A1", COUNTIFS(F:F, "♛", E:E, E2), 0) - IF(E168="A1", COUNTIFS(F:F, "♛", E:E, "A1"), 0)))/100, "")))))))
</f>
        <v>0.02571428571</v>
      </c>
      <c r="I168" s="129">
        <f>IF(F168="♢♢", ((N4 * 100) / (COUNTIFS(F:F, "♢♢", E:E, E168) + COUNTIFS(F:F, "♢♢", E:E, "A1") + IF(E168="A1", COUNTIFS(F:F, "♢♢", E:E, E2), 0) - IF(E168="A1", COUNTIFS(F:F, "♢♢", E:E, "A1"), 0)))/100, 
   IF(F168="♢♢♢", ((N5 * 100) / (COUNTIFS(F:F, "♢♢♢", E:E, E168) + COUNTIFS(F:F, "♢♢♢", E:E, "A1") + IF(E168="A1", COUNTIFS(F:F, "♢♢♢", E:E, E2), 0) - IF(E168="A1", COUNTIFS(F:F, "♢♢♢", E:E, "A1"), 0)))/100, 
   IF(F168="♢♢♢♢", ((N6 * 100) / (COUNTIFS(F:F, "♢♢♢♢", E:E, E168) + COUNTIFS(F:F, "♢♢♢♢", E:E, "A1") + IF(E168="A1", COUNTIFS(F:F, "♢♢♢♢", E:E, E2), 0) - IF(E168="A1", COUNTIFS(F:F, "♢♢♢♢", E:E, "A1"), 0)))/100, 
   IF(F168="☆", ((N7 * 100) / (COUNTIFS(F:F, "☆", E:E, E168) + COUNTIFS(F:F, "☆", E:E, "A1") + IF(E168="A1", COUNTIFS(F:F, "☆", E:E, E2), 0) - IF(E168="A1", COUNTIFS(F:F, "☆", E:E, "A1"), 0)))/100, 
   IF(F168="☆☆", ((N8 * 100) / (COUNTIFS(F:F, "☆☆", E:E, E168) + COUNTIFS(F:F, "☆☆", E:E, "A1") + IF(E168="A1", COUNTIFS(F:F, "☆☆", E:E, E2), 0) - IF(E168="A1", COUNTIFS(F:F, "☆☆", E:E, "A1"), 0)))/100, 
   IF(F168="☆☆☆", ((N9 * 100) / (COUNTIFS(F:F, "☆☆☆", E:E, E168) + COUNTIFS(F:F, "☆☆☆", E:E, "A1") + IF(E168="A1", COUNTIFS(F:F, "☆☆☆", E:E, E2), 0) - IF(E168="A1", COUNTIFS(F:F, "☆☆☆", E:E, "A1"), 0)))/100, 
   IF(F168="♛", ((N10 * 100) / (COUNTIFS(F:F, "♛", E:E, E168) + COUNTIFS(F:F, "♛", E:E, "A1") + IF(E168="A1", COUNTIFS(F:F, "♛", E:E, E2), 0) - IF(E168="A1", COUNTIFS(F:F, "♛", E:E, "A1"), 0)))/100, "")))))))
</f>
        <v>0.01714285714</v>
      </c>
      <c r="J168" s="131"/>
      <c r="K168" s="247"/>
      <c r="L168" s="20"/>
      <c r="M168" s="20"/>
      <c r="N168" s="20"/>
      <c r="O168" s="249"/>
    </row>
    <row r="169">
      <c r="A169" s="125" t="b">
        <f t="shared" si="1"/>
        <v>0</v>
      </c>
      <c r="B169" s="126">
        <v>0.0</v>
      </c>
      <c r="C169" s="127" t="s">
        <v>451</v>
      </c>
      <c r="D169" s="127" t="s">
        <v>452</v>
      </c>
      <c r="E169" s="128" t="s">
        <v>31</v>
      </c>
      <c r="F169" s="127" t="s">
        <v>48</v>
      </c>
      <c r="G169" s="130" t="str">
        <f>IF(F169="♢", ((L3 * 100) / (COUNTIFS(F:F, "♢", E:E, E169) + COUNTIFS(F:F, "♢", E:E, "A1") + IF(E169="A1", COUNTIFS(F:F, "♢", E:E, E2), 0) - IF(E169="A1", COUNTIFS(F:F, "♢", E:E, "A1"), 0)))/100, "")
</f>
        <v/>
      </c>
      <c r="H169" s="129">
        <f>IF(F169="♢♢", ((M4 * 100) / (COUNTIFS(F:F, "♢♢", E:E, E169) + COUNTIFS(F:F, "♢♢", E:E, "A1") + IF(E169="A1", COUNTIFS(F:F, "♢♢", E:E, E2), 0) - IF(E169="A1", COUNTIFS(F:F, "♢♢", E:E, "A1"), 0)))/100, 
   IF(F169="♢♢♢", ((M5 * 100) / (COUNTIFS(F:F, "♢♢♢", E:E, E169) + COUNTIFS(F:F, "♢♢♢", E:E, "A1") + IF(E169="A1", COUNTIFS(F:F, "♢♢♢", E:E, E2), 0) - IF(E169="A1", COUNTIFS(F:F, "♢♢♢", E:E, "A1"), 0)))/100, 
   IF(F169="♢♢♢♢", ((M6 * 100) / (COUNTIFS(F:F, "♢♢♢♢", E:E, E169) + COUNTIFS(F:F, "♢♢♢♢", E:E, "A1") + IF(E169="A1", COUNTIFS(F:F, "♢♢♢♢", E:E, E2), 0) - IF(E169="A1", COUNTIFS(F:F, "♢♢♢♢", E:E, "A1"), 0)))/100, 
   IF(F169="☆", ((M7 * 100) / (COUNTIFS(F:F, "☆", E:E, E169) + COUNTIFS(F:F, "☆", E:E, "A1") + IF(E169="A1", COUNTIFS(F:F, "☆", E:E, E2), 0) - IF(E169="A1", COUNTIFS(F:F, "☆", E:E, "A1"), 0)))/100, 
   IF(F169="☆☆", ((M8 * 100) / (COUNTIFS(F:F, "☆☆", E:E, E169) + COUNTIFS(F:F, "☆☆", E:E, "A1") + IF(E169="A1", COUNTIFS(F:F, "☆☆", E:E, E2), 0) - IF(E169="A1", COUNTIFS(F:F, "☆☆", E:E, "A1"), 0)))/100, 
   IF(F169="☆☆☆", ((M9 * 100) / (COUNTIFS(F:F, "☆☆☆", E:E, E169) + COUNTIFS(F:F, "☆☆☆", E:E, "A1") + IF(E169="A1", COUNTIFS(F:F, "☆☆☆", E:E, E2), 0) - IF(E169="A1", COUNTIFS(F:F, "☆☆☆", E:E, "A1"), 0)))/100, 
   IF(F169="♛", ((M10 * 100) / (COUNTIFS(F:F, "♛", E:E, E169) + COUNTIFS(F:F, "♛", E:E, "A1") + IF(E169="A1", COUNTIFS(F:F, "♛", E:E, E2), 0) - IF(E169="A1", COUNTIFS(F:F, "♛", E:E, "A1"), 0)))/100, "")))))))
</f>
        <v>0.003571428571</v>
      </c>
      <c r="I169" s="129">
        <f>IF(F169="♢♢", ((N4 * 100) / (COUNTIFS(F:F, "♢♢", E:E, E169) + COUNTIFS(F:F, "♢♢", E:E, "A1") + IF(E169="A1", COUNTIFS(F:F, "♢♢", E:E, E2), 0) - IF(E169="A1", COUNTIFS(F:F, "♢♢", E:E, "A1"), 0)))/100, 
   IF(F169="♢♢♢", ((N5 * 100) / (COUNTIFS(F:F, "♢♢♢", E:E, E169) + COUNTIFS(F:F, "♢♢♢", E:E, "A1") + IF(E169="A1", COUNTIFS(F:F, "♢♢♢", E:E, E2), 0) - IF(E169="A1", COUNTIFS(F:F, "♢♢♢", E:E, "A1"), 0)))/100, 
   IF(F169="♢♢♢♢", ((N6 * 100) / (COUNTIFS(F:F, "♢♢♢♢", E:E, E169) + COUNTIFS(F:F, "♢♢♢♢", E:E, "A1") + IF(E169="A1", COUNTIFS(F:F, "♢♢♢♢", E:E, E2), 0) - IF(E169="A1", COUNTIFS(F:F, "♢♢♢♢", E:E, "A1"), 0)))/100, 
   IF(F169="☆", ((N7 * 100) / (COUNTIFS(F:F, "☆", E:E, E169) + COUNTIFS(F:F, "☆", E:E, "A1") + IF(E169="A1", COUNTIFS(F:F, "☆", E:E, E2), 0) - IF(E169="A1", COUNTIFS(F:F, "☆", E:E, "A1"), 0)))/100, 
   IF(F169="☆☆", ((N8 * 100) / (COUNTIFS(F:F, "☆☆", E:E, E169) + COUNTIFS(F:F, "☆☆", E:E, "A1") + IF(E169="A1", COUNTIFS(F:F, "☆☆", E:E, E2), 0) - IF(E169="A1", COUNTIFS(F:F, "☆☆", E:E, "A1"), 0)))/100, 
   IF(F169="☆☆☆", ((N9 * 100) / (COUNTIFS(F:F, "☆☆☆", E:E, E169) + COUNTIFS(F:F, "☆☆☆", E:E, "A1") + IF(E169="A1", COUNTIFS(F:F, "☆☆☆", E:E, E2), 0) - IF(E169="A1", COUNTIFS(F:F, "☆☆☆", E:E, "A1"), 0)))/100, 
   IF(F169="♛", ((N10 * 100) / (COUNTIFS(F:F, "♛", E:E, E169) + COUNTIFS(F:F, "♛", E:E, "A1") + IF(E169="A1", COUNTIFS(F:F, "♛", E:E, E2), 0) - IF(E169="A1", COUNTIFS(F:F, "♛", E:E, "A1"), 0)))/100, "")))))))
</f>
        <v>0.01428571429</v>
      </c>
      <c r="J169" s="131"/>
      <c r="K169" s="247"/>
      <c r="L169" s="20"/>
      <c r="M169" s="20"/>
      <c r="N169" s="20"/>
      <c r="O169" s="249"/>
    </row>
    <row r="170">
      <c r="A170" s="125" t="b">
        <f t="shared" si="1"/>
        <v>0</v>
      </c>
      <c r="B170" s="126">
        <v>0.0</v>
      </c>
      <c r="C170" s="127" t="s">
        <v>453</v>
      </c>
      <c r="D170" s="128" t="s">
        <v>454</v>
      </c>
      <c r="E170" s="128" t="s">
        <v>31</v>
      </c>
      <c r="F170" s="127" t="s">
        <v>44</v>
      </c>
      <c r="G170" s="129">
        <f>IF(F170="♢", ((L3 * 100) / (COUNTIFS(F:F, "♢", E:E, E170) + COUNTIFS(F:F, "♢", E:E, "A1") + IF(E170="A1", COUNTIFS(F:F, "♢", E:E, E2), 0) - IF(E170="A1", COUNTIFS(F:F, "♢", E:E, "A1"), 0)))/100, "")
</f>
        <v>0.02</v>
      </c>
      <c r="H170" s="130" t="str">
        <f>IF(F170="♢♢", ((M4 * 100) / (COUNTIFS(F:F, "♢♢", E:E, E170) + COUNTIFS(F:F, "♢♢", E:E, "A1") + IF(E170="A1", COUNTIFS(F:F, "♢♢", E:E, E2), 0) - IF(E170="A1", COUNTIFS(F:F, "♢♢", E:E, "A1"), 0)))/100, 
   IF(F170="♢♢♢", ((M5 * 100) / (COUNTIFS(F:F, "♢♢♢", E:E, E170) + COUNTIFS(F:F, "♢♢♢", E:E, "A1") + IF(E170="A1", COUNTIFS(F:F, "♢♢♢", E:E, E2), 0) - IF(E170="A1", COUNTIFS(F:F, "♢♢♢", E:E, "A1"), 0)))/100, 
   IF(F170="♢♢♢♢", ((M6 * 100) / (COUNTIFS(F:F, "♢♢♢♢", E:E, E170) + COUNTIFS(F:F, "♢♢♢♢", E:E, "A1") + IF(E170="A1", COUNTIFS(F:F, "♢♢♢♢", E:E, E2), 0) - IF(E170="A1", COUNTIFS(F:F, "♢♢♢♢", E:E, "A1"), 0)))/100, 
   IF(F170="☆", ((M7 * 100) / (COUNTIFS(F:F, "☆", E:E, E170) + COUNTIFS(F:F, "☆", E:E, "A1") + IF(E170="A1", COUNTIFS(F:F, "☆", E:E, E2), 0) - IF(E170="A1", COUNTIFS(F:F, "☆", E:E, "A1"), 0)))/100, 
   IF(F170="☆☆", ((M8 * 100) / (COUNTIFS(F:F, "☆☆", E:E, E170) + COUNTIFS(F:F, "☆☆", E:E, "A1") + IF(E170="A1", COUNTIFS(F:F, "☆☆", E:E, E2), 0) - IF(E170="A1", COUNTIFS(F:F, "☆☆", E:E, "A1"), 0)))/100, 
   IF(F170="☆☆☆", ((M9 * 100) / (COUNTIFS(F:F, "☆☆☆", E:E, E170) + COUNTIFS(F:F, "☆☆☆", E:E, "A1") + IF(E170="A1", COUNTIFS(F:F, "☆☆☆", E:E, E2), 0) - IF(E170="A1", COUNTIFS(F:F, "☆☆☆", E:E, "A1"), 0)))/100, 
   IF(F170="♛", ((M10 * 100) / (COUNTIFS(F:F, "♛", E:E, E170) + COUNTIFS(F:F, "♛", E:E, "A1") + IF(E170="A1", COUNTIFS(F:F, "♛", E:E, E2), 0) - IF(E170="A1", COUNTIFS(F:F, "♛", E:E, "A1"), 0)))/100, "")))))))
</f>
        <v/>
      </c>
      <c r="I170" s="130" t="str">
        <f>IF(F170="♢♢", ((N4 * 100) / (COUNTIFS(F:F, "♢♢", E:E, E170) + COUNTIFS(F:F, "♢♢", E:E, "A1") + IF(E170="A1", COUNTIFS(F:F, "♢♢", E:E, E2), 0) - IF(E170="A1", COUNTIFS(F:F, "♢♢", E:E, "A1"), 0)))/100, 
   IF(F170="♢♢♢", ((N5 * 100) / (COUNTIFS(F:F, "♢♢♢", E:E, E170) + COUNTIFS(F:F, "♢♢♢", E:E, "A1") + IF(E170="A1", COUNTIFS(F:F, "♢♢♢", E:E, E2), 0) - IF(E170="A1", COUNTIFS(F:F, "♢♢♢", E:E, "A1"), 0)))/100, 
   IF(F170="♢♢♢♢", ((N6 * 100) / (COUNTIFS(F:F, "♢♢♢♢", E:E, E170) + COUNTIFS(F:F, "♢♢♢♢", E:E, "A1") + IF(E170="A1", COUNTIFS(F:F, "♢♢♢♢", E:E, E2), 0) - IF(E170="A1", COUNTIFS(F:F, "♢♢♢♢", E:E, "A1"), 0)))/100, 
   IF(F170="☆", ((N7 * 100) / (COUNTIFS(F:F, "☆", E:E, E170) + COUNTIFS(F:F, "☆", E:E, "A1") + IF(E170="A1", COUNTIFS(F:F, "☆", E:E, E2), 0) - IF(E170="A1", COUNTIFS(F:F, "☆", E:E, "A1"), 0)))/100, 
   IF(F170="☆☆", ((N8 * 100) / (COUNTIFS(F:F, "☆☆", E:E, E170) + COUNTIFS(F:F, "☆☆", E:E, "A1") + IF(E170="A1", COUNTIFS(F:F, "☆☆", E:E, E2), 0) - IF(E170="A1", COUNTIFS(F:F, "☆☆", E:E, "A1"), 0)))/100, 
   IF(F170="☆☆☆", ((N9 * 100) / (COUNTIFS(F:F, "☆☆☆", E:E, E170) + COUNTIFS(F:F, "☆☆☆", E:E, "A1") + IF(E170="A1", COUNTIFS(F:F, "☆☆☆", E:E, E2), 0) - IF(E170="A1", COUNTIFS(F:F, "☆☆☆", E:E, "A1"), 0)))/100, 
   IF(F170="♛", ((N10 * 100) / (COUNTIFS(F:F, "♛", E:E, E170) + COUNTIFS(F:F, "♛", E:E, "A1") + IF(E170="A1", COUNTIFS(F:F, "♛", E:E, E2), 0) - IF(E170="A1", COUNTIFS(F:F, "♛", E:E, "A1"), 0)))/100, "")))))))
</f>
        <v/>
      </c>
      <c r="J170" s="131"/>
      <c r="K170" s="247"/>
      <c r="L170" s="20"/>
      <c r="M170" s="20"/>
      <c r="N170" s="20"/>
      <c r="O170" s="249"/>
    </row>
    <row r="171">
      <c r="A171" s="125" t="b">
        <f t="shared" si="1"/>
        <v>0</v>
      </c>
      <c r="B171" s="126">
        <v>0.0</v>
      </c>
      <c r="C171" s="127" t="s">
        <v>455</v>
      </c>
      <c r="D171" s="127" t="s">
        <v>456</v>
      </c>
      <c r="E171" s="128" t="s">
        <v>31</v>
      </c>
      <c r="F171" s="127" t="s">
        <v>46</v>
      </c>
      <c r="G171" s="130" t="str">
        <f>IF(F171="♢", ((L3 * 100) / (COUNTIFS(F:F, "♢", E:E, E171) + COUNTIFS(F:F, "♢", E:E, "A1") + IF(E171="A1", COUNTIFS(F:F, "♢", E:E, E2), 0) - IF(E171="A1", COUNTIFS(F:F, "♢", E:E, "A1"), 0)))/100, "")
</f>
        <v/>
      </c>
      <c r="H171" s="129">
        <f>IF(F171="♢♢", ((M4 * 100) / (COUNTIFS(F:F, "♢♢", E:E, E171) + COUNTIFS(F:F, "♢♢", E:E, "A1") + IF(E171="A1", COUNTIFS(F:F, "♢♢", E:E, E2), 0) - IF(E171="A1", COUNTIFS(F:F, "♢♢", E:E, "A1"), 0)))/100, 
   IF(F171="♢♢♢", ((M5 * 100) / (COUNTIFS(F:F, "♢♢♢", E:E, E171) + COUNTIFS(F:F, "♢♢♢", E:E, "A1") + IF(E171="A1", COUNTIFS(F:F, "♢♢♢", E:E, E2), 0) - IF(E171="A1", COUNTIFS(F:F, "♢♢♢", E:E, "A1"), 0)))/100, 
   IF(F171="♢♢♢♢", ((M6 * 100) / (COUNTIFS(F:F, "♢♢♢♢", E:E, E171) + COUNTIFS(F:F, "♢♢♢♢", E:E, "A1") + IF(E171="A1", COUNTIFS(F:F, "♢♢♢♢", E:E, E2), 0) - IF(E171="A1", COUNTIFS(F:F, "♢♢♢♢", E:E, "A1"), 0)))/100, 
   IF(F171="☆", ((M7 * 100) / (COUNTIFS(F:F, "☆", E:E, E171) + COUNTIFS(F:F, "☆", E:E, "A1") + IF(E171="A1", COUNTIFS(F:F, "☆", E:E, E2), 0) - IF(E171="A1", COUNTIFS(F:F, "☆", E:E, "A1"), 0)))/100, 
   IF(F171="☆☆", ((M8 * 100) / (COUNTIFS(F:F, "☆☆", E:E, E171) + COUNTIFS(F:F, "☆☆", E:E, "A1") + IF(E171="A1", COUNTIFS(F:F, "☆☆", E:E, E2), 0) - IF(E171="A1", COUNTIFS(F:F, "☆☆", E:E, "A1"), 0)))/100, 
   IF(F171="☆☆☆", ((M9 * 100) / (COUNTIFS(F:F, "☆☆☆", E:E, E171) + COUNTIFS(F:F, "☆☆☆", E:E, "A1") + IF(E171="A1", COUNTIFS(F:F, "☆☆☆", E:E, E2), 0) - IF(E171="A1", COUNTIFS(F:F, "☆☆☆", E:E, "A1"), 0)))/100, 
   IF(F171="♛", ((M10 * 100) / (COUNTIFS(F:F, "♛", E:E, E171) + COUNTIFS(F:F, "♛", E:E, "A1") + IF(E171="A1", COUNTIFS(F:F, "♛", E:E, E2), 0) - IF(E171="A1", COUNTIFS(F:F, "♛", E:E, "A1"), 0)))/100, "")))))))
</f>
        <v>0.02571428571</v>
      </c>
      <c r="I171" s="129">
        <f>IF(F171="♢♢", ((N4 * 100) / (COUNTIFS(F:F, "♢♢", E:E, E171) + COUNTIFS(F:F, "♢♢", E:E, "A1") + IF(E171="A1", COUNTIFS(F:F, "♢♢", E:E, E2), 0) - IF(E171="A1", COUNTIFS(F:F, "♢♢", E:E, "A1"), 0)))/100, 
   IF(F171="♢♢♢", ((N5 * 100) / (COUNTIFS(F:F, "♢♢♢", E:E, E171) + COUNTIFS(F:F, "♢♢♢", E:E, "A1") + IF(E171="A1", COUNTIFS(F:F, "♢♢♢", E:E, E2), 0) - IF(E171="A1", COUNTIFS(F:F, "♢♢♢", E:E, "A1"), 0)))/100, 
   IF(F171="♢♢♢♢", ((N6 * 100) / (COUNTIFS(F:F, "♢♢♢♢", E:E, E171) + COUNTIFS(F:F, "♢♢♢♢", E:E, "A1") + IF(E171="A1", COUNTIFS(F:F, "♢♢♢♢", E:E, E2), 0) - IF(E171="A1", COUNTIFS(F:F, "♢♢♢♢", E:E, "A1"), 0)))/100, 
   IF(F171="☆", ((N7 * 100) / (COUNTIFS(F:F, "☆", E:E, E171) + COUNTIFS(F:F, "☆", E:E, "A1") + IF(E171="A1", COUNTIFS(F:F, "☆", E:E, E2), 0) - IF(E171="A1", COUNTIFS(F:F, "☆", E:E, "A1"), 0)))/100, 
   IF(F171="☆☆", ((N8 * 100) / (COUNTIFS(F:F, "☆☆", E:E, E171) + COUNTIFS(F:F, "☆☆", E:E, "A1") + IF(E171="A1", COUNTIFS(F:F, "☆☆", E:E, E2), 0) - IF(E171="A1", COUNTIFS(F:F, "☆☆", E:E, "A1"), 0)))/100, 
   IF(F171="☆☆☆", ((N9 * 100) / (COUNTIFS(F:F, "☆☆☆", E:E, E171) + COUNTIFS(F:F, "☆☆☆", E:E, "A1") + IF(E171="A1", COUNTIFS(F:F, "☆☆☆", E:E, E2), 0) - IF(E171="A1", COUNTIFS(F:F, "☆☆☆", E:E, "A1"), 0)))/100, 
   IF(F171="♛", ((N10 * 100) / (COUNTIFS(F:F, "♛", E:E, E171) + COUNTIFS(F:F, "♛", E:E, "A1") + IF(E171="A1", COUNTIFS(F:F, "♛", E:E, E2), 0) - IF(E171="A1", COUNTIFS(F:F, "♛", E:E, "A1"), 0)))/100, "")))))))
</f>
        <v>0.01714285714</v>
      </c>
      <c r="J171" s="131"/>
      <c r="K171" s="247"/>
      <c r="L171" s="20"/>
      <c r="M171" s="20"/>
      <c r="N171" s="20"/>
      <c r="O171" s="249"/>
    </row>
    <row r="172">
      <c r="A172" s="125" t="b">
        <f t="shared" si="1"/>
        <v>0</v>
      </c>
      <c r="B172" s="126">
        <v>0.0</v>
      </c>
      <c r="C172" s="127" t="s">
        <v>457</v>
      </c>
      <c r="D172" s="127" t="s">
        <v>458</v>
      </c>
      <c r="E172" s="128" t="s">
        <v>31</v>
      </c>
      <c r="F172" s="127" t="s">
        <v>48</v>
      </c>
      <c r="G172" s="130" t="str">
        <f>IF(F172="♢", ((L3 * 100) / (COUNTIFS(F:F, "♢", E:E, E172) + COUNTIFS(F:F, "♢", E:E, "A1") + IF(E172="A1", COUNTIFS(F:F, "♢", E:E, E2), 0) - IF(E172="A1", COUNTIFS(F:F, "♢", E:E, "A1"), 0)))/100, "")
</f>
        <v/>
      </c>
      <c r="H172" s="129">
        <f>IF(F172="♢♢", ((M4 * 100) / (COUNTIFS(F:F, "♢♢", E:E, E172) + COUNTIFS(F:F, "♢♢", E:E, "A1") + IF(E172="A1", COUNTIFS(F:F, "♢♢", E:E, E2), 0) - IF(E172="A1", COUNTIFS(F:F, "♢♢", E:E, "A1"), 0)))/100, 
   IF(F172="♢♢♢", ((M5 * 100) / (COUNTIFS(F:F, "♢♢♢", E:E, E172) + COUNTIFS(F:F, "♢♢♢", E:E, "A1") + IF(E172="A1", COUNTIFS(F:F, "♢♢♢", E:E, E2), 0) - IF(E172="A1", COUNTIFS(F:F, "♢♢♢", E:E, "A1"), 0)))/100, 
   IF(F172="♢♢♢♢", ((M6 * 100) / (COUNTIFS(F:F, "♢♢♢♢", E:E, E172) + COUNTIFS(F:F, "♢♢♢♢", E:E, "A1") + IF(E172="A1", COUNTIFS(F:F, "♢♢♢♢", E:E, E2), 0) - IF(E172="A1", COUNTIFS(F:F, "♢♢♢♢", E:E, "A1"), 0)))/100, 
   IF(F172="☆", ((M7 * 100) / (COUNTIFS(F:F, "☆", E:E, E172) + COUNTIFS(F:F, "☆", E:E, "A1") + IF(E172="A1", COUNTIFS(F:F, "☆", E:E, E2), 0) - IF(E172="A1", COUNTIFS(F:F, "☆", E:E, "A1"), 0)))/100, 
   IF(F172="☆☆", ((M8 * 100) / (COUNTIFS(F:F, "☆☆", E:E, E172) + COUNTIFS(F:F, "☆☆", E:E, "A1") + IF(E172="A1", COUNTIFS(F:F, "☆☆", E:E, E2), 0) - IF(E172="A1", COUNTIFS(F:F, "☆☆", E:E, "A1"), 0)))/100, 
   IF(F172="☆☆☆", ((M9 * 100) / (COUNTIFS(F:F, "☆☆☆", E:E, E172) + COUNTIFS(F:F, "☆☆☆", E:E, "A1") + IF(E172="A1", COUNTIFS(F:F, "☆☆☆", E:E, E2), 0) - IF(E172="A1", COUNTIFS(F:F, "☆☆☆", E:E, "A1"), 0)))/100, 
   IF(F172="♛", ((M10 * 100) / (COUNTIFS(F:F, "♛", E:E, E172) + COUNTIFS(F:F, "♛", E:E, "A1") + IF(E172="A1", COUNTIFS(F:F, "♛", E:E, E2), 0) - IF(E172="A1", COUNTIFS(F:F, "♛", E:E, "A1"), 0)))/100, "")))))))
</f>
        <v>0.003571428571</v>
      </c>
      <c r="I172" s="129">
        <f>IF(F172="♢♢", ((N4 * 100) / (COUNTIFS(F:F, "♢♢", E:E, E172) + COUNTIFS(F:F, "♢♢", E:E, "A1") + IF(E172="A1", COUNTIFS(F:F, "♢♢", E:E, E2), 0) - IF(E172="A1", COUNTIFS(F:F, "♢♢", E:E, "A1"), 0)))/100, 
   IF(F172="♢♢♢", ((N5 * 100) / (COUNTIFS(F:F, "♢♢♢", E:E, E172) + COUNTIFS(F:F, "♢♢♢", E:E, "A1") + IF(E172="A1", COUNTIFS(F:F, "♢♢♢", E:E, E2), 0) - IF(E172="A1", COUNTIFS(F:F, "♢♢♢", E:E, "A1"), 0)))/100, 
   IF(F172="♢♢♢♢", ((N6 * 100) / (COUNTIFS(F:F, "♢♢♢♢", E:E, E172) + COUNTIFS(F:F, "♢♢♢♢", E:E, "A1") + IF(E172="A1", COUNTIFS(F:F, "♢♢♢♢", E:E, E2), 0) - IF(E172="A1", COUNTIFS(F:F, "♢♢♢♢", E:E, "A1"), 0)))/100, 
   IF(F172="☆", ((N7 * 100) / (COUNTIFS(F:F, "☆", E:E, E172) + COUNTIFS(F:F, "☆", E:E, "A1") + IF(E172="A1", COUNTIFS(F:F, "☆", E:E, E2), 0) - IF(E172="A1", COUNTIFS(F:F, "☆", E:E, "A1"), 0)))/100, 
   IF(F172="☆☆", ((N8 * 100) / (COUNTIFS(F:F, "☆☆", E:E, E172) + COUNTIFS(F:F, "☆☆", E:E, "A1") + IF(E172="A1", COUNTIFS(F:F, "☆☆", E:E, E2), 0) - IF(E172="A1", COUNTIFS(F:F, "☆☆", E:E, "A1"), 0)))/100, 
   IF(F172="☆☆☆", ((N9 * 100) / (COUNTIFS(F:F, "☆☆☆", E:E, E172) + COUNTIFS(F:F, "☆☆☆", E:E, "A1") + IF(E172="A1", COUNTIFS(F:F, "☆☆☆", E:E, E2), 0) - IF(E172="A1", COUNTIFS(F:F, "☆☆☆", E:E, "A1"), 0)))/100, 
   IF(F172="♛", ((N10 * 100) / (COUNTIFS(F:F, "♛", E:E, E172) + COUNTIFS(F:F, "♛", E:E, "A1") + IF(E172="A1", COUNTIFS(F:F, "♛", E:E, E2), 0) - IF(E172="A1", COUNTIFS(F:F, "♛", E:E, "A1"), 0)))/100, "")))))))
</f>
        <v>0.01428571429</v>
      </c>
      <c r="J172" s="131"/>
      <c r="K172" s="247"/>
      <c r="L172" s="20"/>
      <c r="M172" s="20"/>
      <c r="N172" s="20"/>
      <c r="O172" s="249"/>
    </row>
    <row r="173">
      <c r="A173" s="125" t="b">
        <f t="shared" si="1"/>
        <v>0</v>
      </c>
      <c r="B173" s="126">
        <v>0.0</v>
      </c>
      <c r="C173" s="127" t="s">
        <v>459</v>
      </c>
      <c r="D173" s="127" t="s">
        <v>460</v>
      </c>
      <c r="E173" s="128" t="s">
        <v>29</v>
      </c>
      <c r="F173" s="127" t="s">
        <v>44</v>
      </c>
      <c r="G173" s="129">
        <f>IF(F173="♢", ((L3 * 100) / (COUNTIFS(F:F, "♢", E:E, E173) + COUNTIFS(F:F, "♢", E:E, "A1") + IF(E173="A1", COUNTIFS(F:F, "♢", E:E, E2), 0) - IF(E173="A1", COUNTIFS(F:F, "♢", E:E, "A1"), 0)))/100, "")
</f>
        <v>0.02</v>
      </c>
      <c r="H173" s="130" t="str">
        <f>IF(F173="♢♢", ((M4 * 100) / (COUNTIFS(F:F, "♢♢", E:E, E173) + COUNTIFS(F:F, "♢♢", E:E, "A1") + IF(E173="A1", COUNTIFS(F:F, "♢♢", E:E, E2), 0) - IF(E173="A1", COUNTIFS(F:F, "♢♢", E:E, "A1"), 0)))/100, 
   IF(F173="♢♢♢", ((M5 * 100) / (COUNTIFS(F:F, "♢♢♢", E:E, E173) + COUNTIFS(F:F, "♢♢♢", E:E, "A1") + IF(E173="A1", COUNTIFS(F:F, "♢♢♢", E:E, E2), 0) - IF(E173="A1", COUNTIFS(F:F, "♢♢♢", E:E, "A1"), 0)))/100, 
   IF(F173="♢♢♢♢", ((M6 * 100) / (COUNTIFS(F:F, "♢♢♢♢", E:E, E173) + COUNTIFS(F:F, "♢♢♢♢", E:E, "A1") + IF(E173="A1", COUNTIFS(F:F, "♢♢♢♢", E:E, E2), 0) - IF(E173="A1", COUNTIFS(F:F, "♢♢♢♢", E:E, "A1"), 0)))/100, 
   IF(F173="☆", ((M7 * 100) / (COUNTIFS(F:F, "☆", E:E, E173) + COUNTIFS(F:F, "☆", E:E, "A1") + IF(E173="A1", COUNTIFS(F:F, "☆", E:E, E2), 0) - IF(E173="A1", COUNTIFS(F:F, "☆", E:E, "A1"), 0)))/100, 
   IF(F173="☆☆", ((M8 * 100) / (COUNTIFS(F:F, "☆☆", E:E, E173) + COUNTIFS(F:F, "☆☆", E:E, "A1") + IF(E173="A1", COUNTIFS(F:F, "☆☆", E:E, E2), 0) - IF(E173="A1", COUNTIFS(F:F, "☆☆", E:E, "A1"), 0)))/100, 
   IF(F173="☆☆☆", ((M9 * 100) / (COUNTIFS(F:F, "☆☆☆", E:E, E173) + COUNTIFS(F:F, "☆☆☆", E:E, "A1") + IF(E173="A1", COUNTIFS(F:F, "☆☆☆", E:E, E2), 0) - IF(E173="A1", COUNTIFS(F:F, "☆☆☆", E:E, "A1"), 0)))/100, 
   IF(F173="♛", ((M10 * 100) / (COUNTIFS(F:F, "♛", E:E, E173) + COUNTIFS(F:F, "♛", E:E, "A1") + IF(E173="A1", COUNTIFS(F:F, "♛", E:E, E2), 0) - IF(E173="A1", COUNTIFS(F:F, "♛", E:E, "A1"), 0)))/100, "")))))))
</f>
        <v/>
      </c>
      <c r="I173" s="130" t="str">
        <f>IF(F173="♢♢", ((N4 * 100) / (COUNTIFS(F:F, "♢♢", E:E, E173) + COUNTIFS(F:F, "♢♢", E:E, "A1") + IF(E173="A1", COUNTIFS(F:F, "♢♢", E:E, E2), 0) - IF(E173="A1", COUNTIFS(F:F, "♢♢", E:E, "A1"), 0)))/100, 
   IF(F173="♢♢♢", ((N5 * 100) / (COUNTIFS(F:F, "♢♢♢", E:E, E173) + COUNTIFS(F:F, "♢♢♢", E:E, "A1") + IF(E173="A1", COUNTIFS(F:F, "♢♢♢", E:E, E2), 0) - IF(E173="A1", COUNTIFS(F:F, "♢♢♢", E:E, "A1"), 0)))/100, 
   IF(F173="♢♢♢♢", ((N6 * 100) / (COUNTIFS(F:F, "♢♢♢♢", E:E, E173) + COUNTIFS(F:F, "♢♢♢♢", E:E, "A1") + IF(E173="A1", COUNTIFS(F:F, "♢♢♢♢", E:E, E2), 0) - IF(E173="A1", COUNTIFS(F:F, "♢♢♢♢", E:E, "A1"), 0)))/100, 
   IF(F173="☆", ((N7 * 100) / (COUNTIFS(F:F, "☆", E:E, E173) + COUNTIFS(F:F, "☆", E:E, "A1") + IF(E173="A1", COUNTIFS(F:F, "☆", E:E, E2), 0) - IF(E173="A1", COUNTIFS(F:F, "☆", E:E, "A1"), 0)))/100, 
   IF(F173="☆☆", ((N8 * 100) / (COUNTIFS(F:F, "☆☆", E:E, E173) + COUNTIFS(F:F, "☆☆", E:E, "A1") + IF(E173="A1", COUNTIFS(F:F, "☆☆", E:E, E2), 0) - IF(E173="A1", COUNTIFS(F:F, "☆☆", E:E, "A1"), 0)))/100, 
   IF(F173="☆☆☆", ((N9 * 100) / (COUNTIFS(F:F, "☆☆☆", E:E, E173) + COUNTIFS(F:F, "☆☆☆", E:E, "A1") + IF(E173="A1", COUNTIFS(F:F, "☆☆☆", E:E, E2), 0) - IF(E173="A1", COUNTIFS(F:F, "☆☆☆", E:E, "A1"), 0)))/100, 
   IF(F173="♛", ((N10 * 100) / (COUNTIFS(F:F, "♛", E:E, E173) + COUNTIFS(F:F, "♛", E:E, "A1") + IF(E173="A1", COUNTIFS(F:F, "♛", E:E, E2), 0) - IF(E173="A1", COUNTIFS(F:F, "♛", E:E, "A1"), 0)))/100, "")))))))
</f>
        <v/>
      </c>
      <c r="J173" s="131"/>
      <c r="K173" s="247"/>
      <c r="L173" s="20"/>
      <c r="M173" s="20"/>
      <c r="N173" s="20"/>
      <c r="O173" s="249"/>
    </row>
    <row r="174">
      <c r="A174" s="125" t="b">
        <f t="shared" si="1"/>
        <v>0</v>
      </c>
      <c r="B174" s="126">
        <v>0.0</v>
      </c>
      <c r="C174" s="127" t="s">
        <v>461</v>
      </c>
      <c r="D174" s="127" t="s">
        <v>462</v>
      </c>
      <c r="E174" s="128" t="s">
        <v>29</v>
      </c>
      <c r="F174" s="127" t="s">
        <v>46</v>
      </c>
      <c r="G174" s="130" t="str">
        <f>IF(F174="♢", ((L3 * 100) / (COUNTIFS(F:F, "♢", E:E, E174) + COUNTIFS(F:F, "♢", E:E, "A1") + IF(E174="A1", COUNTIFS(F:F, "♢", E:E, E2), 0) - IF(E174="A1", COUNTIFS(F:F, "♢", E:E, "A1"), 0)))/100, "")
</f>
        <v/>
      </c>
      <c r="H174" s="129">
        <f>IF(F174="♢♢", ((M4 * 100) / (COUNTIFS(F:F, "♢♢", E:E, E174) + COUNTIFS(F:F, "♢♢", E:E, "A1") + IF(E174="A1", COUNTIFS(F:F, "♢♢", E:E, E2), 0) - IF(E174="A1", COUNTIFS(F:F, "♢♢", E:E, "A1"), 0)))/100, 
   IF(F174="♢♢♢", ((M5 * 100) / (COUNTIFS(F:F, "♢♢♢", E:E, E174) + COUNTIFS(F:F, "♢♢♢", E:E, "A1") + IF(E174="A1", COUNTIFS(F:F, "♢♢♢", E:E, E2), 0) - IF(E174="A1", COUNTIFS(F:F, "♢♢♢", E:E, "A1"), 0)))/100, 
   IF(F174="♢♢♢♢", ((M6 * 100) / (COUNTIFS(F:F, "♢♢♢♢", E:E, E174) + COUNTIFS(F:F, "♢♢♢♢", E:E, "A1") + IF(E174="A1", COUNTIFS(F:F, "♢♢♢♢", E:E, E2), 0) - IF(E174="A1", COUNTIFS(F:F, "♢♢♢♢", E:E, "A1"), 0)))/100, 
   IF(F174="☆", ((M7 * 100) / (COUNTIFS(F:F, "☆", E:E, E174) + COUNTIFS(F:F, "☆", E:E, "A1") + IF(E174="A1", COUNTIFS(F:F, "☆", E:E, E2), 0) - IF(E174="A1", COUNTIFS(F:F, "☆", E:E, "A1"), 0)))/100, 
   IF(F174="☆☆", ((M8 * 100) / (COUNTIFS(F:F, "☆☆", E:E, E174) + COUNTIFS(F:F, "☆☆", E:E, "A1") + IF(E174="A1", COUNTIFS(F:F, "☆☆", E:E, E2), 0) - IF(E174="A1", COUNTIFS(F:F, "☆☆", E:E, "A1"), 0)))/100, 
   IF(F174="☆☆☆", ((M9 * 100) / (COUNTIFS(F:F, "☆☆☆", E:E, E174) + COUNTIFS(F:F, "☆☆☆", E:E, "A1") + IF(E174="A1", COUNTIFS(F:F, "☆☆☆", E:E, E2), 0) - IF(E174="A1", COUNTIFS(F:F, "☆☆☆", E:E, "A1"), 0)))/100, 
   IF(F174="♛", ((M10 * 100) / (COUNTIFS(F:F, "♛", E:E, E174) + COUNTIFS(F:F, "♛", E:E, "A1") + IF(E174="A1", COUNTIFS(F:F, "♛", E:E, E2), 0) - IF(E174="A1", COUNTIFS(F:F, "♛", E:E, "A1"), 0)))/100, "")))))))
</f>
        <v>0.02571428571</v>
      </c>
      <c r="I174" s="129">
        <f>IF(F174="♢♢", ((N4 * 100) / (COUNTIFS(F:F, "♢♢", E:E, E174) + COUNTIFS(F:F, "♢♢", E:E, "A1") + IF(E174="A1", COUNTIFS(F:F, "♢♢", E:E, E2), 0) - IF(E174="A1", COUNTIFS(F:F, "♢♢", E:E, "A1"), 0)))/100, 
   IF(F174="♢♢♢", ((N5 * 100) / (COUNTIFS(F:F, "♢♢♢", E:E, E174) + COUNTIFS(F:F, "♢♢♢", E:E, "A1") + IF(E174="A1", COUNTIFS(F:F, "♢♢♢", E:E, E2), 0) - IF(E174="A1", COUNTIFS(F:F, "♢♢♢", E:E, "A1"), 0)))/100, 
   IF(F174="♢♢♢♢", ((N6 * 100) / (COUNTIFS(F:F, "♢♢♢♢", E:E, E174) + COUNTIFS(F:F, "♢♢♢♢", E:E, "A1") + IF(E174="A1", COUNTIFS(F:F, "♢♢♢♢", E:E, E2), 0) - IF(E174="A1", COUNTIFS(F:F, "♢♢♢♢", E:E, "A1"), 0)))/100, 
   IF(F174="☆", ((N7 * 100) / (COUNTIFS(F:F, "☆", E:E, E174) + COUNTIFS(F:F, "☆", E:E, "A1") + IF(E174="A1", COUNTIFS(F:F, "☆", E:E, E2), 0) - IF(E174="A1", COUNTIFS(F:F, "☆", E:E, "A1"), 0)))/100, 
   IF(F174="☆☆", ((N8 * 100) / (COUNTIFS(F:F, "☆☆", E:E, E174) + COUNTIFS(F:F, "☆☆", E:E, "A1") + IF(E174="A1", COUNTIFS(F:F, "☆☆", E:E, E2), 0) - IF(E174="A1", COUNTIFS(F:F, "☆☆", E:E, "A1"), 0)))/100, 
   IF(F174="☆☆☆", ((N9 * 100) / (COUNTIFS(F:F, "☆☆☆", E:E, E174) + COUNTIFS(F:F, "☆☆☆", E:E, "A1") + IF(E174="A1", COUNTIFS(F:F, "☆☆☆", E:E, E2), 0) - IF(E174="A1", COUNTIFS(F:F, "☆☆☆", E:E, "A1"), 0)))/100, 
   IF(F174="♛", ((N10 * 100) / (COUNTIFS(F:F, "♛", E:E, E174) + COUNTIFS(F:F, "♛", E:E, "A1") + IF(E174="A1", COUNTIFS(F:F, "♛", E:E, E2), 0) - IF(E174="A1", COUNTIFS(F:F, "♛", E:E, "A1"), 0)))/100, "")))))))
</f>
        <v>0.01714285714</v>
      </c>
      <c r="J174" s="131"/>
      <c r="K174" s="247"/>
      <c r="L174" s="20"/>
      <c r="M174" s="20"/>
      <c r="N174" s="20"/>
      <c r="O174" s="249"/>
    </row>
    <row r="175">
      <c r="A175" s="125" t="b">
        <f t="shared" si="1"/>
        <v>0</v>
      </c>
      <c r="B175" s="126">
        <v>0.0</v>
      </c>
      <c r="C175" s="127" t="s">
        <v>463</v>
      </c>
      <c r="D175" s="127" t="s">
        <v>464</v>
      </c>
      <c r="E175" s="128" t="s">
        <v>29</v>
      </c>
      <c r="F175" s="127" t="s">
        <v>44</v>
      </c>
      <c r="G175" s="129">
        <f>IF(F175="♢", ((L3 * 100) / (COUNTIFS(F:F, "♢", E:E, E175) + COUNTIFS(F:F, "♢", E:E, "A1") + IF(E175="A1", COUNTIFS(F:F, "♢", E:E, E2), 0) - IF(E175="A1", COUNTIFS(F:F, "♢", E:E, "A1"), 0)))/100, "")
</f>
        <v>0.02</v>
      </c>
      <c r="H175" s="130" t="str">
        <f>IF(F175="♢♢", ((M4 * 100) / (COUNTIFS(F:F, "♢♢", E:E, E175) + COUNTIFS(F:F, "♢♢", E:E, "A1") + IF(E175="A1", COUNTIFS(F:F, "♢♢", E:E, E2), 0) - IF(E175="A1", COUNTIFS(F:F, "♢♢", E:E, "A1"), 0)))/100, 
   IF(F175="♢♢♢", ((M5 * 100) / (COUNTIFS(F:F, "♢♢♢", E:E, E175) + COUNTIFS(F:F, "♢♢♢", E:E, "A1") + IF(E175="A1", COUNTIFS(F:F, "♢♢♢", E:E, E2), 0) - IF(E175="A1", COUNTIFS(F:F, "♢♢♢", E:E, "A1"), 0)))/100, 
   IF(F175="♢♢♢♢", ((M6 * 100) / (COUNTIFS(F:F, "♢♢♢♢", E:E, E175) + COUNTIFS(F:F, "♢♢♢♢", E:E, "A1") + IF(E175="A1", COUNTIFS(F:F, "♢♢♢♢", E:E, E2), 0) - IF(E175="A1", COUNTIFS(F:F, "♢♢♢♢", E:E, "A1"), 0)))/100, 
   IF(F175="☆", ((M7 * 100) / (COUNTIFS(F:F, "☆", E:E, E175) + COUNTIFS(F:F, "☆", E:E, "A1") + IF(E175="A1", COUNTIFS(F:F, "☆", E:E, E2), 0) - IF(E175="A1", COUNTIFS(F:F, "☆", E:E, "A1"), 0)))/100, 
   IF(F175="☆☆", ((M8 * 100) / (COUNTIFS(F:F, "☆☆", E:E, E175) + COUNTIFS(F:F, "☆☆", E:E, "A1") + IF(E175="A1", COUNTIFS(F:F, "☆☆", E:E, E2), 0) - IF(E175="A1", COUNTIFS(F:F, "☆☆", E:E, "A1"), 0)))/100, 
   IF(F175="☆☆☆", ((M9 * 100) / (COUNTIFS(F:F, "☆☆☆", E:E, E175) + COUNTIFS(F:F, "☆☆☆", E:E, "A1") + IF(E175="A1", COUNTIFS(F:F, "☆☆☆", E:E, E2), 0) - IF(E175="A1", COUNTIFS(F:F, "☆☆☆", E:E, "A1"), 0)))/100, 
   IF(F175="♛", ((M10 * 100) / (COUNTIFS(F:F, "♛", E:E, E175) + COUNTIFS(F:F, "♛", E:E, "A1") + IF(E175="A1", COUNTIFS(F:F, "♛", E:E, E2), 0) - IF(E175="A1", COUNTIFS(F:F, "♛", E:E, "A1"), 0)))/100, "")))))))
</f>
        <v/>
      </c>
      <c r="I175" s="130" t="str">
        <f>IF(F175="♢♢", ((N4 * 100) / (COUNTIFS(F:F, "♢♢", E:E, E175) + COUNTIFS(F:F, "♢♢", E:E, "A1") + IF(E175="A1", COUNTIFS(F:F, "♢♢", E:E, E2), 0) - IF(E175="A1", COUNTIFS(F:F, "♢♢", E:E, "A1"), 0)))/100, 
   IF(F175="♢♢♢", ((N5 * 100) / (COUNTIFS(F:F, "♢♢♢", E:E, E175) + COUNTIFS(F:F, "♢♢♢", E:E, "A1") + IF(E175="A1", COUNTIFS(F:F, "♢♢♢", E:E, E2), 0) - IF(E175="A1", COUNTIFS(F:F, "♢♢♢", E:E, "A1"), 0)))/100, 
   IF(F175="♢♢♢♢", ((N6 * 100) / (COUNTIFS(F:F, "♢♢♢♢", E:E, E175) + COUNTIFS(F:F, "♢♢♢♢", E:E, "A1") + IF(E175="A1", COUNTIFS(F:F, "♢♢♢♢", E:E, E2), 0) - IF(E175="A1", COUNTIFS(F:F, "♢♢♢♢", E:E, "A1"), 0)))/100, 
   IF(F175="☆", ((N7 * 100) / (COUNTIFS(F:F, "☆", E:E, E175) + COUNTIFS(F:F, "☆", E:E, "A1") + IF(E175="A1", COUNTIFS(F:F, "☆", E:E, E2), 0) - IF(E175="A1", COUNTIFS(F:F, "☆", E:E, "A1"), 0)))/100, 
   IF(F175="☆☆", ((N8 * 100) / (COUNTIFS(F:F, "☆☆", E:E, E175) + COUNTIFS(F:F, "☆☆", E:E, "A1") + IF(E175="A1", COUNTIFS(F:F, "☆☆", E:E, E2), 0) - IF(E175="A1", COUNTIFS(F:F, "☆☆", E:E, "A1"), 0)))/100, 
   IF(F175="☆☆☆", ((N9 * 100) / (COUNTIFS(F:F, "☆☆☆", E:E, E175) + COUNTIFS(F:F, "☆☆☆", E:E, "A1") + IF(E175="A1", COUNTIFS(F:F, "☆☆☆", E:E, E2), 0) - IF(E175="A1", COUNTIFS(F:F, "☆☆☆", E:E, "A1"), 0)))/100, 
   IF(F175="♛", ((N10 * 100) / (COUNTIFS(F:F, "♛", E:E, E175) + COUNTIFS(F:F, "♛", E:E, "A1") + IF(E175="A1", COUNTIFS(F:F, "♛", E:E, E2), 0) - IF(E175="A1", COUNTIFS(F:F, "♛", E:E, "A1"), 0)))/100, "")))))))
</f>
        <v/>
      </c>
      <c r="J175" s="131"/>
      <c r="K175" s="247"/>
      <c r="L175" s="20"/>
      <c r="M175" s="20"/>
      <c r="N175" s="20"/>
      <c r="O175" s="249"/>
    </row>
    <row r="176">
      <c r="A176" s="125" t="b">
        <f t="shared" si="1"/>
        <v>0</v>
      </c>
      <c r="B176" s="126">
        <v>0.0</v>
      </c>
      <c r="C176" s="127" t="s">
        <v>465</v>
      </c>
      <c r="D176" s="127" t="s">
        <v>466</v>
      </c>
      <c r="E176" s="128" t="s">
        <v>29</v>
      </c>
      <c r="F176" s="127" t="s">
        <v>48</v>
      </c>
      <c r="G176" s="130" t="str">
        <f>IF(F176="♢", ((L3 * 100) / (COUNTIFS(F:F, "♢", E:E, E176) + COUNTIFS(F:F, "♢", E:E, "A1") + IF(E176="A1", COUNTIFS(F:F, "♢", E:E, E2), 0) - IF(E176="A1", COUNTIFS(F:F, "♢", E:E, "A1"), 0)))/100, "")
</f>
        <v/>
      </c>
      <c r="H176" s="129">
        <f>IF(F176="♢♢", ((M4 * 100) / (COUNTIFS(F:F, "♢♢", E:E, E176) + COUNTIFS(F:F, "♢♢", E:E, "A1") + IF(E176="A1", COUNTIFS(F:F, "♢♢", E:E, E2), 0) - IF(E176="A1", COUNTIFS(F:F, "♢♢", E:E, "A1"), 0)))/100, 
   IF(F176="♢♢♢", ((M5 * 100) / (COUNTIFS(F:F, "♢♢♢", E:E, E176) + COUNTIFS(F:F, "♢♢♢", E:E, "A1") + IF(E176="A1", COUNTIFS(F:F, "♢♢♢", E:E, E2), 0) - IF(E176="A1", COUNTIFS(F:F, "♢♢♢", E:E, "A1"), 0)))/100, 
   IF(F176="♢♢♢♢", ((M6 * 100) / (COUNTIFS(F:F, "♢♢♢♢", E:E, E176) + COUNTIFS(F:F, "♢♢♢♢", E:E, "A1") + IF(E176="A1", COUNTIFS(F:F, "♢♢♢♢", E:E, E2), 0) - IF(E176="A1", COUNTIFS(F:F, "♢♢♢♢", E:E, "A1"), 0)))/100, 
   IF(F176="☆", ((M7 * 100) / (COUNTIFS(F:F, "☆", E:E, E176) + COUNTIFS(F:F, "☆", E:E, "A1") + IF(E176="A1", COUNTIFS(F:F, "☆", E:E, E2), 0) - IF(E176="A1", COUNTIFS(F:F, "☆", E:E, "A1"), 0)))/100, 
   IF(F176="☆☆", ((M8 * 100) / (COUNTIFS(F:F, "☆☆", E:E, E176) + COUNTIFS(F:F, "☆☆", E:E, "A1") + IF(E176="A1", COUNTIFS(F:F, "☆☆", E:E, E2), 0) - IF(E176="A1", COUNTIFS(F:F, "☆☆", E:E, "A1"), 0)))/100, 
   IF(F176="☆☆☆", ((M9 * 100) / (COUNTIFS(F:F, "☆☆☆", E:E, E176) + COUNTIFS(F:F, "☆☆☆", E:E, "A1") + IF(E176="A1", COUNTIFS(F:F, "☆☆☆", E:E, E2), 0) - IF(E176="A1", COUNTIFS(F:F, "☆☆☆", E:E, "A1"), 0)))/100, 
   IF(F176="♛", ((M10 * 100) / (COUNTIFS(F:F, "♛", E:E, E176) + COUNTIFS(F:F, "♛", E:E, "A1") + IF(E176="A1", COUNTIFS(F:F, "♛", E:E, E2), 0) - IF(E176="A1", COUNTIFS(F:F, "♛", E:E, "A1"), 0)))/100, "")))))))
</f>
        <v>0.003571428571</v>
      </c>
      <c r="I176" s="129">
        <f>IF(F176="♢♢", ((N4 * 100) / (COUNTIFS(F:F, "♢♢", E:E, E176) + COUNTIFS(F:F, "♢♢", E:E, "A1") + IF(E176="A1", COUNTIFS(F:F, "♢♢", E:E, E2), 0) - IF(E176="A1", COUNTIFS(F:F, "♢♢", E:E, "A1"), 0)))/100, 
   IF(F176="♢♢♢", ((N5 * 100) / (COUNTIFS(F:F, "♢♢♢", E:E, E176) + COUNTIFS(F:F, "♢♢♢", E:E, "A1") + IF(E176="A1", COUNTIFS(F:F, "♢♢♢", E:E, E2), 0) - IF(E176="A1", COUNTIFS(F:F, "♢♢♢", E:E, "A1"), 0)))/100, 
   IF(F176="♢♢♢♢", ((N6 * 100) / (COUNTIFS(F:F, "♢♢♢♢", E:E, E176) + COUNTIFS(F:F, "♢♢♢♢", E:E, "A1") + IF(E176="A1", COUNTIFS(F:F, "♢♢♢♢", E:E, E2), 0) - IF(E176="A1", COUNTIFS(F:F, "♢♢♢♢", E:E, "A1"), 0)))/100, 
   IF(F176="☆", ((N7 * 100) / (COUNTIFS(F:F, "☆", E:E, E176) + COUNTIFS(F:F, "☆", E:E, "A1") + IF(E176="A1", COUNTIFS(F:F, "☆", E:E, E2), 0) - IF(E176="A1", COUNTIFS(F:F, "☆", E:E, "A1"), 0)))/100, 
   IF(F176="☆☆", ((N8 * 100) / (COUNTIFS(F:F, "☆☆", E:E, E176) + COUNTIFS(F:F, "☆☆", E:E, "A1") + IF(E176="A1", COUNTIFS(F:F, "☆☆", E:E, E2), 0) - IF(E176="A1", COUNTIFS(F:F, "☆☆", E:E, "A1"), 0)))/100, 
   IF(F176="☆☆☆", ((N9 * 100) / (COUNTIFS(F:F, "☆☆☆", E:E, E176) + COUNTIFS(F:F, "☆☆☆", E:E, "A1") + IF(E176="A1", COUNTIFS(F:F, "☆☆☆", E:E, E2), 0) - IF(E176="A1", COUNTIFS(F:F, "☆☆☆", E:E, "A1"), 0)))/100, 
   IF(F176="♛", ((N10 * 100) / (COUNTIFS(F:F, "♛", E:E, E176) + COUNTIFS(F:F, "♛", E:E, "A1") + IF(E176="A1", COUNTIFS(F:F, "♛", E:E, E2), 0) - IF(E176="A1", COUNTIFS(F:F, "♛", E:E, "A1"), 0)))/100, "")))))))
</f>
        <v>0.01428571429</v>
      </c>
      <c r="J176" s="131"/>
      <c r="K176" s="247"/>
      <c r="L176" s="20"/>
      <c r="M176" s="20"/>
      <c r="N176" s="20"/>
      <c r="O176" s="249"/>
    </row>
    <row r="177">
      <c r="A177" s="125" t="b">
        <f t="shared" si="1"/>
        <v>0</v>
      </c>
      <c r="B177" s="126">
        <v>0.0</v>
      </c>
      <c r="C177" s="127" t="s">
        <v>467</v>
      </c>
      <c r="D177" s="127" t="s">
        <v>468</v>
      </c>
      <c r="E177" s="128" t="s">
        <v>29</v>
      </c>
      <c r="F177" s="127" t="s">
        <v>44</v>
      </c>
      <c r="G177" s="129">
        <f>IF(F177="♢", ((L3 * 100) / (COUNTIFS(F:F, "♢", E:E, E177) + COUNTIFS(F:F, "♢", E:E, "A1") + IF(E177="A1", COUNTIFS(F:F, "♢", E:E, E2), 0) - IF(E177="A1", COUNTIFS(F:F, "♢", E:E, "A1"), 0)))/100, "")
</f>
        <v>0.02</v>
      </c>
      <c r="H177" s="130" t="str">
        <f>IF(F177="♢♢", ((M4 * 100) / (COUNTIFS(F:F, "♢♢", E:E, E177) + COUNTIFS(F:F, "♢♢", E:E, "A1") + IF(E177="A1", COUNTIFS(F:F, "♢♢", E:E, E2), 0) - IF(E177="A1", COUNTIFS(F:F, "♢♢", E:E, "A1"), 0)))/100, 
   IF(F177="♢♢♢", ((M5 * 100) / (COUNTIFS(F:F, "♢♢♢", E:E, E177) + COUNTIFS(F:F, "♢♢♢", E:E, "A1") + IF(E177="A1", COUNTIFS(F:F, "♢♢♢", E:E, E2), 0) - IF(E177="A1", COUNTIFS(F:F, "♢♢♢", E:E, "A1"), 0)))/100, 
   IF(F177="♢♢♢♢", ((M6 * 100) / (COUNTIFS(F:F, "♢♢♢♢", E:E, E177) + COUNTIFS(F:F, "♢♢♢♢", E:E, "A1") + IF(E177="A1", COUNTIFS(F:F, "♢♢♢♢", E:E, E2), 0) - IF(E177="A1", COUNTIFS(F:F, "♢♢♢♢", E:E, "A1"), 0)))/100, 
   IF(F177="☆", ((M7 * 100) / (COUNTIFS(F:F, "☆", E:E, E177) + COUNTIFS(F:F, "☆", E:E, "A1") + IF(E177="A1", COUNTIFS(F:F, "☆", E:E, E2), 0) - IF(E177="A1", COUNTIFS(F:F, "☆", E:E, "A1"), 0)))/100, 
   IF(F177="☆☆", ((M8 * 100) / (COUNTIFS(F:F, "☆☆", E:E, E177) + COUNTIFS(F:F, "☆☆", E:E, "A1") + IF(E177="A1", COUNTIFS(F:F, "☆☆", E:E, E2), 0) - IF(E177="A1", COUNTIFS(F:F, "☆☆", E:E, "A1"), 0)))/100, 
   IF(F177="☆☆☆", ((M9 * 100) / (COUNTIFS(F:F, "☆☆☆", E:E, E177) + COUNTIFS(F:F, "☆☆☆", E:E, "A1") + IF(E177="A1", COUNTIFS(F:F, "☆☆☆", E:E, E2), 0) - IF(E177="A1", COUNTIFS(F:F, "☆☆☆", E:E, "A1"), 0)))/100, 
   IF(F177="♛", ((M10 * 100) / (COUNTIFS(F:F, "♛", E:E, E177) + COUNTIFS(F:F, "♛", E:E, "A1") + IF(E177="A1", COUNTIFS(F:F, "♛", E:E, E2), 0) - IF(E177="A1", COUNTIFS(F:F, "♛", E:E, "A1"), 0)))/100, "")))))))
</f>
        <v/>
      </c>
      <c r="I177" s="130" t="str">
        <f>IF(F177="♢♢", ((N4 * 100) / (COUNTIFS(F:F, "♢♢", E:E, E177) + COUNTIFS(F:F, "♢♢", E:E, "A1") + IF(E177="A1", COUNTIFS(F:F, "♢♢", E:E, E2), 0) - IF(E177="A1", COUNTIFS(F:F, "♢♢", E:E, "A1"), 0)))/100, 
   IF(F177="♢♢♢", ((N5 * 100) / (COUNTIFS(F:F, "♢♢♢", E:E, E177) + COUNTIFS(F:F, "♢♢♢", E:E, "A1") + IF(E177="A1", COUNTIFS(F:F, "♢♢♢", E:E, E2), 0) - IF(E177="A1", COUNTIFS(F:F, "♢♢♢", E:E, "A1"), 0)))/100, 
   IF(F177="♢♢♢♢", ((N6 * 100) / (COUNTIFS(F:F, "♢♢♢♢", E:E, E177) + COUNTIFS(F:F, "♢♢♢♢", E:E, "A1") + IF(E177="A1", COUNTIFS(F:F, "♢♢♢♢", E:E, E2), 0) - IF(E177="A1", COUNTIFS(F:F, "♢♢♢♢", E:E, "A1"), 0)))/100, 
   IF(F177="☆", ((N7 * 100) / (COUNTIFS(F:F, "☆", E:E, E177) + COUNTIFS(F:F, "☆", E:E, "A1") + IF(E177="A1", COUNTIFS(F:F, "☆", E:E, E2), 0) - IF(E177="A1", COUNTIFS(F:F, "☆", E:E, "A1"), 0)))/100, 
   IF(F177="☆☆", ((N8 * 100) / (COUNTIFS(F:F, "☆☆", E:E, E177) + COUNTIFS(F:F, "☆☆", E:E, "A1") + IF(E177="A1", COUNTIFS(F:F, "☆☆", E:E, E2), 0) - IF(E177="A1", COUNTIFS(F:F, "☆☆", E:E, "A1"), 0)))/100, 
   IF(F177="☆☆☆", ((N9 * 100) / (COUNTIFS(F:F, "☆☆☆", E:E, E177) + COUNTIFS(F:F, "☆☆☆", E:E, "A1") + IF(E177="A1", COUNTIFS(F:F, "☆☆☆", E:E, E2), 0) - IF(E177="A1", COUNTIFS(F:F, "☆☆☆", E:E, "A1"), 0)))/100, 
   IF(F177="♛", ((N10 * 100) / (COUNTIFS(F:F, "♛", E:E, E177) + COUNTIFS(F:F, "♛", E:E, "A1") + IF(E177="A1", COUNTIFS(F:F, "♛", E:E, E2), 0) - IF(E177="A1", COUNTIFS(F:F, "♛", E:E, "A1"), 0)))/100, "")))))))
</f>
        <v/>
      </c>
      <c r="J177" s="131"/>
      <c r="K177" s="247"/>
      <c r="L177" s="20"/>
      <c r="M177" s="20"/>
      <c r="N177" s="20"/>
      <c r="O177" s="249"/>
    </row>
    <row r="178">
      <c r="A178" s="125" t="b">
        <f t="shared" si="1"/>
        <v>0</v>
      </c>
      <c r="B178" s="126">
        <v>0.0</v>
      </c>
      <c r="C178" s="127" t="s">
        <v>469</v>
      </c>
      <c r="D178" s="127" t="s">
        <v>470</v>
      </c>
      <c r="E178" s="128" t="s">
        <v>29</v>
      </c>
      <c r="F178" s="127" t="s">
        <v>48</v>
      </c>
      <c r="G178" s="130" t="str">
        <f>IF(F178="♢", ((L3 * 100) / (COUNTIFS(F:F, "♢", E:E, E178) + COUNTIFS(F:F, "♢", E:E, "A1") + IF(E178="A1", COUNTIFS(F:F, "♢", E:E, E2), 0) - IF(E178="A1", COUNTIFS(F:F, "♢", E:E, "A1"), 0)))/100, "")
</f>
        <v/>
      </c>
      <c r="H178" s="129">
        <f>IF(F178="♢♢", ((M4 * 100) / (COUNTIFS(F:F, "♢♢", E:E, E178) + COUNTIFS(F:F, "♢♢", E:E, "A1") + IF(E178="A1", COUNTIFS(F:F, "♢♢", E:E, E2), 0) - IF(E178="A1", COUNTIFS(F:F, "♢♢", E:E, "A1"), 0)))/100, 
   IF(F178="♢♢♢", ((M5 * 100) / (COUNTIFS(F:F, "♢♢♢", E:E, E178) + COUNTIFS(F:F, "♢♢♢", E:E, "A1") + IF(E178="A1", COUNTIFS(F:F, "♢♢♢", E:E, E2), 0) - IF(E178="A1", COUNTIFS(F:F, "♢♢♢", E:E, "A1"), 0)))/100, 
   IF(F178="♢♢♢♢", ((M6 * 100) / (COUNTIFS(F:F, "♢♢♢♢", E:E, E178) + COUNTIFS(F:F, "♢♢♢♢", E:E, "A1") + IF(E178="A1", COUNTIFS(F:F, "♢♢♢♢", E:E, E2), 0) - IF(E178="A1", COUNTIFS(F:F, "♢♢♢♢", E:E, "A1"), 0)))/100, 
   IF(F178="☆", ((M7 * 100) / (COUNTIFS(F:F, "☆", E:E, E178) + COUNTIFS(F:F, "☆", E:E, "A1") + IF(E178="A1", COUNTIFS(F:F, "☆", E:E, E2), 0) - IF(E178="A1", COUNTIFS(F:F, "☆", E:E, "A1"), 0)))/100, 
   IF(F178="☆☆", ((M8 * 100) / (COUNTIFS(F:F, "☆☆", E:E, E178) + COUNTIFS(F:F, "☆☆", E:E, "A1") + IF(E178="A1", COUNTIFS(F:F, "☆☆", E:E, E2), 0) - IF(E178="A1", COUNTIFS(F:F, "☆☆", E:E, "A1"), 0)))/100, 
   IF(F178="☆☆☆", ((M9 * 100) / (COUNTIFS(F:F, "☆☆☆", E:E, E178) + COUNTIFS(F:F, "☆☆☆", E:E, "A1") + IF(E178="A1", COUNTIFS(F:F, "☆☆☆", E:E, E2), 0) - IF(E178="A1", COUNTIFS(F:F, "☆☆☆", E:E, "A1"), 0)))/100, 
   IF(F178="♛", ((M10 * 100) / (COUNTIFS(F:F, "♛", E:E, E178) + COUNTIFS(F:F, "♛", E:E, "A1") + IF(E178="A1", COUNTIFS(F:F, "♛", E:E, E2), 0) - IF(E178="A1", COUNTIFS(F:F, "♛", E:E, "A1"), 0)))/100, "")))))))
</f>
        <v>0.003571428571</v>
      </c>
      <c r="I178" s="129">
        <f>IF(F178="♢♢", ((N4 * 100) / (COUNTIFS(F:F, "♢♢", E:E, E178) + COUNTIFS(F:F, "♢♢", E:E, "A1") + IF(E178="A1", COUNTIFS(F:F, "♢♢", E:E, E2), 0) - IF(E178="A1", COUNTIFS(F:F, "♢♢", E:E, "A1"), 0)))/100, 
   IF(F178="♢♢♢", ((N5 * 100) / (COUNTIFS(F:F, "♢♢♢", E:E, E178) + COUNTIFS(F:F, "♢♢♢", E:E, "A1") + IF(E178="A1", COUNTIFS(F:F, "♢♢♢", E:E, E2), 0) - IF(E178="A1", COUNTIFS(F:F, "♢♢♢", E:E, "A1"), 0)))/100, 
   IF(F178="♢♢♢♢", ((N6 * 100) / (COUNTIFS(F:F, "♢♢♢♢", E:E, E178) + COUNTIFS(F:F, "♢♢♢♢", E:E, "A1") + IF(E178="A1", COUNTIFS(F:F, "♢♢♢♢", E:E, E2), 0) - IF(E178="A1", COUNTIFS(F:F, "♢♢♢♢", E:E, "A1"), 0)))/100, 
   IF(F178="☆", ((N7 * 100) / (COUNTIFS(F:F, "☆", E:E, E178) + COUNTIFS(F:F, "☆", E:E, "A1") + IF(E178="A1", COUNTIFS(F:F, "☆", E:E, E2), 0) - IF(E178="A1", COUNTIFS(F:F, "☆", E:E, "A1"), 0)))/100, 
   IF(F178="☆☆", ((N8 * 100) / (COUNTIFS(F:F, "☆☆", E:E, E178) + COUNTIFS(F:F, "☆☆", E:E, "A1") + IF(E178="A1", COUNTIFS(F:F, "☆☆", E:E, E2), 0) - IF(E178="A1", COUNTIFS(F:F, "☆☆", E:E, "A1"), 0)))/100, 
   IF(F178="☆☆☆", ((N9 * 100) / (COUNTIFS(F:F, "☆☆☆", E:E, E178) + COUNTIFS(F:F, "☆☆☆", E:E, "A1") + IF(E178="A1", COUNTIFS(F:F, "☆☆☆", E:E, E2), 0) - IF(E178="A1", COUNTIFS(F:F, "☆☆☆", E:E, "A1"), 0)))/100, 
   IF(F178="♛", ((N10 * 100) / (COUNTIFS(F:F, "♛", E:E, E178) + COUNTIFS(F:F, "♛", E:E, "A1") + IF(E178="A1", COUNTIFS(F:F, "♛", E:E, E2), 0) - IF(E178="A1", COUNTIFS(F:F, "♛", E:E, "A1"), 0)))/100, "")))))))
</f>
        <v>0.01428571429</v>
      </c>
      <c r="J178" s="131"/>
      <c r="K178" s="247"/>
      <c r="L178" s="20"/>
      <c r="M178" s="20"/>
      <c r="N178" s="20"/>
      <c r="O178" s="249"/>
    </row>
    <row r="179">
      <c r="A179" s="125" t="b">
        <f t="shared" si="1"/>
        <v>0</v>
      </c>
      <c r="B179" s="126">
        <v>0.0</v>
      </c>
      <c r="C179" s="127" t="s">
        <v>471</v>
      </c>
      <c r="D179" s="127" t="s">
        <v>472</v>
      </c>
      <c r="E179" s="128" t="s">
        <v>32</v>
      </c>
      <c r="F179" s="127" t="s">
        <v>44</v>
      </c>
      <c r="G179" s="129">
        <f>IF(F179="♢", ((L3 * 100) / (COUNTIFS(F:F, "♢", E:E, E179) + COUNTIFS(F:F, "♢", E:E, "A1") + IF(E179="A1", COUNTIFS(F:F, "♢", E:E, E2), 0) - IF(E179="A1", COUNTIFS(F:F, "♢", E:E, "A1"), 0)))/100, "")
</f>
        <v>0.02</v>
      </c>
      <c r="H179" s="130" t="str">
        <f>IF(F179="♢♢", ((M4 * 100) / (COUNTIFS(F:F, "♢♢", E:E, E179) + COUNTIFS(F:F, "♢♢", E:E, "A1") + IF(E179="A1", COUNTIFS(F:F, "♢♢", E:E, E2), 0) - IF(E179="A1", COUNTIFS(F:F, "♢♢", E:E, "A1"), 0)))/100, 
   IF(F179="♢♢♢", ((M5 * 100) / (COUNTIFS(F:F, "♢♢♢", E:E, E179) + COUNTIFS(F:F, "♢♢♢", E:E, "A1") + IF(E179="A1", COUNTIFS(F:F, "♢♢♢", E:E, E2), 0) - IF(E179="A1", COUNTIFS(F:F, "♢♢♢", E:E, "A1"), 0)))/100, 
   IF(F179="♢♢♢♢", ((M6 * 100) / (COUNTIFS(F:F, "♢♢♢♢", E:E, E179) + COUNTIFS(F:F, "♢♢♢♢", E:E, "A1") + IF(E179="A1", COUNTIFS(F:F, "♢♢♢♢", E:E, E2), 0) - IF(E179="A1", COUNTIFS(F:F, "♢♢♢♢", E:E, "A1"), 0)))/100, 
   IF(F179="☆", ((M7 * 100) / (COUNTIFS(F:F, "☆", E:E, E179) + COUNTIFS(F:F, "☆", E:E, "A1") + IF(E179="A1", COUNTIFS(F:F, "☆", E:E, E2), 0) - IF(E179="A1", COUNTIFS(F:F, "☆", E:E, "A1"), 0)))/100, 
   IF(F179="☆☆", ((M8 * 100) / (COUNTIFS(F:F, "☆☆", E:E, E179) + COUNTIFS(F:F, "☆☆", E:E, "A1") + IF(E179="A1", COUNTIFS(F:F, "☆☆", E:E, E2), 0) - IF(E179="A1", COUNTIFS(F:F, "☆☆", E:E, "A1"), 0)))/100, 
   IF(F179="☆☆☆", ((M9 * 100) / (COUNTIFS(F:F, "☆☆☆", E:E, E179) + COUNTIFS(F:F, "☆☆☆", E:E, "A1") + IF(E179="A1", COUNTIFS(F:F, "☆☆☆", E:E, E2), 0) - IF(E179="A1", COUNTIFS(F:F, "☆☆☆", E:E, "A1"), 0)))/100, 
   IF(F179="♛", ((M10 * 100) / (COUNTIFS(F:F, "♛", E:E, E179) + COUNTIFS(F:F, "♛", E:E, "A1") + IF(E179="A1", COUNTIFS(F:F, "♛", E:E, E2), 0) - IF(E179="A1", COUNTIFS(F:F, "♛", E:E, "A1"), 0)))/100, "")))))))
</f>
        <v/>
      </c>
      <c r="I179" s="130" t="str">
        <f>IF(F179="♢♢", ((N4 * 100) / (COUNTIFS(F:F, "♢♢", E:E, E179) + COUNTIFS(F:F, "♢♢", E:E, "A1") + IF(E179="A1", COUNTIFS(F:F, "♢♢", E:E, E2), 0) - IF(E179="A1", COUNTIFS(F:F, "♢♢", E:E, "A1"), 0)))/100, 
   IF(F179="♢♢♢", ((N5 * 100) / (COUNTIFS(F:F, "♢♢♢", E:E, E179) + COUNTIFS(F:F, "♢♢♢", E:E, "A1") + IF(E179="A1", COUNTIFS(F:F, "♢♢♢", E:E, E2), 0) - IF(E179="A1", COUNTIFS(F:F, "♢♢♢", E:E, "A1"), 0)))/100, 
   IF(F179="♢♢♢♢", ((N6 * 100) / (COUNTIFS(F:F, "♢♢♢♢", E:E, E179) + COUNTIFS(F:F, "♢♢♢♢", E:E, "A1") + IF(E179="A1", COUNTIFS(F:F, "♢♢♢♢", E:E, E2), 0) - IF(E179="A1", COUNTIFS(F:F, "♢♢♢♢", E:E, "A1"), 0)))/100, 
   IF(F179="☆", ((N7 * 100) / (COUNTIFS(F:F, "☆", E:E, E179) + COUNTIFS(F:F, "☆", E:E, "A1") + IF(E179="A1", COUNTIFS(F:F, "☆", E:E, E2), 0) - IF(E179="A1", COUNTIFS(F:F, "☆", E:E, "A1"), 0)))/100, 
   IF(F179="☆☆", ((N8 * 100) / (COUNTIFS(F:F, "☆☆", E:E, E179) + COUNTIFS(F:F, "☆☆", E:E, "A1") + IF(E179="A1", COUNTIFS(F:F, "☆☆", E:E, E2), 0) - IF(E179="A1", COUNTIFS(F:F, "☆☆", E:E, "A1"), 0)))/100, 
   IF(F179="☆☆☆", ((N9 * 100) / (COUNTIFS(F:F, "☆☆☆", E:E, E179) + COUNTIFS(F:F, "☆☆☆", E:E, "A1") + IF(E179="A1", COUNTIFS(F:F, "☆☆☆", E:E, E2), 0) - IF(E179="A1", COUNTIFS(F:F, "☆☆☆", E:E, "A1"), 0)))/100, 
   IF(F179="♛", ((N10 * 100) / (COUNTIFS(F:F, "♛", E:E, E179) + COUNTIFS(F:F, "♛", E:E, "A1") + IF(E179="A1", COUNTIFS(F:F, "♛", E:E, E2), 0) - IF(E179="A1", COUNTIFS(F:F, "♛", E:E, "A1"), 0)))/100, "")))))))
</f>
        <v/>
      </c>
      <c r="J179" s="131"/>
      <c r="K179" s="247"/>
      <c r="L179" s="20"/>
      <c r="M179" s="20"/>
      <c r="N179" s="20"/>
      <c r="O179" s="249"/>
    </row>
    <row r="180">
      <c r="A180" s="125" t="b">
        <f t="shared" si="1"/>
        <v>0</v>
      </c>
      <c r="B180" s="126">
        <v>0.0</v>
      </c>
      <c r="C180" s="127" t="s">
        <v>473</v>
      </c>
      <c r="D180" s="127" t="s">
        <v>474</v>
      </c>
      <c r="E180" s="128" t="s">
        <v>137</v>
      </c>
      <c r="F180" s="127" t="s">
        <v>44</v>
      </c>
      <c r="G180" s="129">
        <f>IF(F180="♢", ((L3 * 100) / (COUNTIFS(F:F, "♢", E:E, E180) + COUNTIFS(F:F, "♢", E:E, "A1") + IF(E180="A1", COUNTIFS(F:F, "♢", E:E, E2), 0) - IF(E180="A1", COUNTIFS(F:F, "♢", E:E, "A1"), 0)))/100, "")
</f>
        <v>0.02</v>
      </c>
      <c r="H180" s="130" t="str">
        <f>IF(F180="♢♢", ((M4 * 100) / (COUNTIFS(F:F, "♢♢", E:E, E180) + COUNTIFS(F:F, "♢♢", E:E, "A1") + IF(E180="A1", COUNTIFS(F:F, "♢♢", E:E, E2), 0) - IF(E180="A1", COUNTIFS(F:F, "♢♢", E:E, "A1"), 0)))/100, 
   IF(F180="♢♢♢", ((M5 * 100) / (COUNTIFS(F:F, "♢♢♢", E:E, E180) + COUNTIFS(F:F, "♢♢♢", E:E, "A1") + IF(E180="A1", COUNTIFS(F:F, "♢♢♢", E:E, E2), 0) - IF(E180="A1", COUNTIFS(F:F, "♢♢♢", E:E, "A1"), 0)))/100, 
   IF(F180="♢♢♢♢", ((M6 * 100) / (COUNTIFS(F:F, "♢♢♢♢", E:E, E180) + COUNTIFS(F:F, "♢♢♢♢", E:E, "A1") + IF(E180="A1", COUNTIFS(F:F, "♢♢♢♢", E:E, E2), 0) - IF(E180="A1", COUNTIFS(F:F, "♢♢♢♢", E:E, "A1"), 0)))/100, 
   IF(F180="☆", ((M7 * 100) / (COUNTIFS(F:F, "☆", E:E, E180) + COUNTIFS(F:F, "☆", E:E, "A1") + IF(E180="A1", COUNTIFS(F:F, "☆", E:E, E2), 0) - IF(E180="A1", COUNTIFS(F:F, "☆", E:E, "A1"), 0)))/100, 
   IF(F180="☆☆", ((M8 * 100) / (COUNTIFS(F:F, "☆☆", E:E, E180) + COUNTIFS(F:F, "☆☆", E:E, "A1") + IF(E180="A1", COUNTIFS(F:F, "☆☆", E:E, E2), 0) - IF(E180="A1", COUNTIFS(F:F, "☆☆", E:E, "A1"), 0)))/100, 
   IF(F180="☆☆☆", ((M9 * 100) / (COUNTIFS(F:F, "☆☆☆", E:E, E180) + COUNTIFS(F:F, "☆☆☆", E:E, "A1") + IF(E180="A1", COUNTIFS(F:F, "☆☆☆", E:E, E2), 0) - IF(E180="A1", COUNTIFS(F:F, "☆☆☆", E:E, "A1"), 0)))/100, 
   IF(F180="♛", ((M10 * 100) / (COUNTIFS(F:F, "♛", E:E, E180) + COUNTIFS(F:F, "♛", E:E, "A1") + IF(E180="A1", COUNTIFS(F:F, "♛", E:E, E2), 0) - IF(E180="A1", COUNTIFS(F:F, "♛", E:E, "A1"), 0)))/100, "")))))))
</f>
        <v/>
      </c>
      <c r="I180" s="130" t="str">
        <f>IF(F180="♢♢", ((N4 * 100) / (COUNTIFS(F:F, "♢♢", E:E, E180) + COUNTIFS(F:F, "♢♢", E:E, "A1") + IF(E180="A1", COUNTIFS(F:F, "♢♢", E:E, E2), 0) - IF(E180="A1", COUNTIFS(F:F, "♢♢", E:E, "A1"), 0)))/100, 
   IF(F180="♢♢♢", ((N5 * 100) / (COUNTIFS(F:F, "♢♢♢", E:E, E180) + COUNTIFS(F:F, "♢♢♢", E:E, "A1") + IF(E180="A1", COUNTIFS(F:F, "♢♢♢", E:E, E2), 0) - IF(E180="A1", COUNTIFS(F:F, "♢♢♢", E:E, "A1"), 0)))/100, 
   IF(F180="♢♢♢♢", ((N6 * 100) / (COUNTIFS(F:F, "♢♢♢♢", E:E, E180) + COUNTIFS(F:F, "♢♢♢♢", E:E, "A1") + IF(E180="A1", COUNTIFS(F:F, "♢♢♢♢", E:E, E2), 0) - IF(E180="A1", COUNTIFS(F:F, "♢♢♢♢", E:E, "A1"), 0)))/100, 
   IF(F180="☆", ((N7 * 100) / (COUNTIFS(F:F, "☆", E:E, E180) + COUNTIFS(F:F, "☆", E:E, "A1") + IF(E180="A1", COUNTIFS(F:F, "☆", E:E, E2), 0) - IF(E180="A1", COUNTIFS(F:F, "☆", E:E, "A1"), 0)))/100, 
   IF(F180="☆☆", ((N8 * 100) / (COUNTIFS(F:F, "☆☆", E:E, E180) + COUNTIFS(F:F, "☆☆", E:E, "A1") + IF(E180="A1", COUNTIFS(F:F, "☆☆", E:E, E2), 0) - IF(E180="A1", COUNTIFS(F:F, "☆☆", E:E, "A1"), 0)))/100, 
   IF(F180="☆☆☆", ((N9 * 100) / (COUNTIFS(F:F, "☆☆☆", E:E, E180) + COUNTIFS(F:F, "☆☆☆", E:E, "A1") + IF(E180="A1", COUNTIFS(F:F, "☆☆☆", E:E, E2), 0) - IF(E180="A1", COUNTIFS(F:F, "☆☆☆", E:E, "A1"), 0)))/100, 
   IF(F180="♛", ((N10 * 100) / (COUNTIFS(F:F, "♛", E:E, E180) + COUNTIFS(F:F, "♛", E:E, "A1") + IF(E180="A1", COUNTIFS(F:F, "♛", E:E, E2), 0) - IF(E180="A1", COUNTIFS(F:F, "♛", E:E, "A1"), 0)))/100, "")))))))
</f>
        <v/>
      </c>
      <c r="J180" s="131"/>
      <c r="K180" s="247"/>
      <c r="L180" s="20"/>
      <c r="M180" s="20"/>
      <c r="N180" s="20"/>
      <c r="O180" s="249"/>
    </row>
    <row r="181">
      <c r="A181" s="125" t="b">
        <f t="shared" si="1"/>
        <v>0</v>
      </c>
      <c r="B181" s="126">
        <v>0.0</v>
      </c>
      <c r="C181" s="127" t="s">
        <v>475</v>
      </c>
      <c r="D181" s="128" t="s">
        <v>476</v>
      </c>
      <c r="E181" s="128" t="s">
        <v>137</v>
      </c>
      <c r="F181" s="127" t="s">
        <v>46</v>
      </c>
      <c r="G181" s="130" t="str">
        <f>IF(F181="♢", ((L3 * 100) / (COUNTIFS(F:F, "♢", E:E, E181) + COUNTIFS(F:F, "♢", E:E, "A1") + IF(E181="A1", COUNTIFS(F:F, "♢", E:E, E2), 0) - IF(E181="A1", COUNTIFS(F:F, "♢", E:E, "A1"), 0)))/100, "")
</f>
        <v/>
      </c>
      <c r="H181" s="129">
        <f>IF(F181="♢♢", ((M4 * 100) / (COUNTIFS(F:F, "♢♢", E:E, E181) + COUNTIFS(F:F, "♢♢", E:E, "A1") + IF(E181="A1", COUNTIFS(F:F, "♢♢", E:E, E2), 0) - IF(E181="A1", COUNTIFS(F:F, "♢♢", E:E, "A1"), 0)))/100, 
   IF(F181="♢♢♢", ((M5 * 100) / (COUNTIFS(F:F, "♢♢♢", E:E, E181) + COUNTIFS(F:F, "♢♢♢", E:E, "A1") + IF(E181="A1", COUNTIFS(F:F, "♢♢♢", E:E, E2), 0) - IF(E181="A1", COUNTIFS(F:F, "♢♢♢", E:E, "A1"), 0)))/100, 
   IF(F181="♢♢♢♢", ((M6 * 100) / (COUNTIFS(F:F, "♢♢♢♢", E:E, E181) + COUNTIFS(F:F, "♢♢♢♢", E:E, "A1") + IF(E181="A1", COUNTIFS(F:F, "♢♢♢♢", E:E, E2), 0) - IF(E181="A1", COUNTIFS(F:F, "♢♢♢♢", E:E, "A1"), 0)))/100, 
   IF(F181="☆", ((M7 * 100) / (COUNTIFS(F:F, "☆", E:E, E181) + COUNTIFS(F:F, "☆", E:E, "A1") + IF(E181="A1", COUNTIFS(F:F, "☆", E:E, E2), 0) - IF(E181="A1", COUNTIFS(F:F, "☆", E:E, "A1"), 0)))/100, 
   IF(F181="☆☆", ((M8 * 100) / (COUNTIFS(F:F, "☆☆", E:E, E181) + COUNTIFS(F:F, "☆☆", E:E, "A1") + IF(E181="A1", COUNTIFS(F:F, "☆☆", E:E, E2), 0) - IF(E181="A1", COUNTIFS(F:F, "☆☆", E:E, "A1"), 0)))/100, 
   IF(F181="☆☆☆", ((M9 * 100) / (COUNTIFS(F:F, "☆☆☆", E:E, E181) + COUNTIFS(F:F, "☆☆☆", E:E, "A1") + IF(E181="A1", COUNTIFS(F:F, "☆☆☆", E:E, E2), 0) - IF(E181="A1", COUNTIFS(F:F, "☆☆☆", E:E, "A1"), 0)))/100, 
   IF(F181="♛", ((M10 * 100) / (COUNTIFS(F:F, "♛", E:E, E181) + COUNTIFS(F:F, "♛", E:E, "A1") + IF(E181="A1", COUNTIFS(F:F, "♛", E:E, E2), 0) - IF(E181="A1", COUNTIFS(F:F, "♛", E:E, "A1"), 0)))/100, "")))))))
</f>
        <v>0.02571428571</v>
      </c>
      <c r="I181" s="129">
        <f>IF(F181="♢♢", ((N4 * 100) / (COUNTIFS(F:F, "♢♢", E:E, E181) + COUNTIFS(F:F, "♢♢", E:E, "A1") + IF(E181="A1", COUNTIFS(F:F, "♢♢", E:E, E2), 0) - IF(E181="A1", COUNTIFS(F:F, "♢♢", E:E, "A1"), 0)))/100, 
   IF(F181="♢♢♢", ((N5 * 100) / (COUNTIFS(F:F, "♢♢♢", E:E, E181) + COUNTIFS(F:F, "♢♢♢", E:E, "A1") + IF(E181="A1", COUNTIFS(F:F, "♢♢♢", E:E, E2), 0) - IF(E181="A1", COUNTIFS(F:F, "♢♢♢", E:E, "A1"), 0)))/100, 
   IF(F181="♢♢♢♢", ((N6 * 100) / (COUNTIFS(F:F, "♢♢♢♢", E:E, E181) + COUNTIFS(F:F, "♢♢♢♢", E:E, "A1") + IF(E181="A1", COUNTIFS(F:F, "♢♢♢♢", E:E, E2), 0) - IF(E181="A1", COUNTIFS(F:F, "♢♢♢♢", E:E, "A1"), 0)))/100, 
   IF(F181="☆", ((N7 * 100) / (COUNTIFS(F:F, "☆", E:E, E181) + COUNTIFS(F:F, "☆", E:E, "A1") + IF(E181="A1", COUNTIFS(F:F, "☆", E:E, E2), 0) - IF(E181="A1", COUNTIFS(F:F, "☆", E:E, "A1"), 0)))/100, 
   IF(F181="☆☆", ((N8 * 100) / (COUNTIFS(F:F, "☆☆", E:E, E181) + COUNTIFS(F:F, "☆☆", E:E, "A1") + IF(E181="A1", COUNTIFS(F:F, "☆☆", E:E, E2), 0) - IF(E181="A1", COUNTIFS(F:F, "☆☆", E:E, "A1"), 0)))/100, 
   IF(F181="☆☆☆", ((N9 * 100) / (COUNTIFS(F:F, "☆☆☆", E:E, E181) + COUNTIFS(F:F, "☆☆☆", E:E, "A1") + IF(E181="A1", COUNTIFS(F:F, "☆☆☆", E:E, E2), 0) - IF(E181="A1", COUNTIFS(F:F, "☆☆☆", E:E, "A1"), 0)))/100, 
   IF(F181="♛", ((N10 * 100) / (COUNTIFS(F:F, "♛", E:E, E181) + COUNTIFS(F:F, "♛", E:E, "A1") + IF(E181="A1", COUNTIFS(F:F, "♛", E:E, E2), 0) - IF(E181="A1", COUNTIFS(F:F, "♛", E:E, "A1"), 0)))/100, "")))))))
</f>
        <v>0.01714285714</v>
      </c>
      <c r="J181" s="131"/>
      <c r="K181" s="247"/>
      <c r="L181" s="20"/>
      <c r="M181" s="20"/>
      <c r="N181" s="20"/>
      <c r="O181" s="249"/>
    </row>
    <row r="182">
      <c r="A182" s="125" t="b">
        <f t="shared" si="1"/>
        <v>0</v>
      </c>
      <c r="B182" s="126">
        <v>0.0</v>
      </c>
      <c r="C182" s="127" t="s">
        <v>477</v>
      </c>
      <c r="D182" s="127" t="s">
        <v>478</v>
      </c>
      <c r="E182" s="128" t="s">
        <v>32</v>
      </c>
      <c r="F182" s="127" t="s">
        <v>44</v>
      </c>
      <c r="G182" s="129">
        <f>IF(F182="♢", ((L3 * 100) / (COUNTIFS(F:F, "♢", E:E, E182) + COUNTIFS(F:F, "♢", E:E, "A1") + IF(E182="A1", COUNTIFS(F:F, "♢", E:E, E2), 0) - IF(E182="A1", COUNTIFS(F:F, "♢", E:E, "A1"), 0)))/100, "")
</f>
        <v>0.02</v>
      </c>
      <c r="H182" s="130" t="str">
        <f>IF(F182="♢♢", ((M4 * 100) / (COUNTIFS(F:F, "♢♢", E:E, E182) + COUNTIFS(F:F, "♢♢", E:E, "A1") + IF(E182="A1", COUNTIFS(F:F, "♢♢", E:E, E2), 0) - IF(E182="A1", COUNTIFS(F:F, "♢♢", E:E, "A1"), 0)))/100, 
   IF(F182="♢♢♢", ((M5 * 100) / (COUNTIFS(F:F, "♢♢♢", E:E, E182) + COUNTIFS(F:F, "♢♢♢", E:E, "A1") + IF(E182="A1", COUNTIFS(F:F, "♢♢♢", E:E, E2), 0) - IF(E182="A1", COUNTIFS(F:F, "♢♢♢", E:E, "A1"), 0)))/100, 
   IF(F182="♢♢♢♢", ((M6 * 100) / (COUNTIFS(F:F, "♢♢♢♢", E:E, E182) + COUNTIFS(F:F, "♢♢♢♢", E:E, "A1") + IF(E182="A1", COUNTIFS(F:F, "♢♢♢♢", E:E, E2), 0) - IF(E182="A1", COUNTIFS(F:F, "♢♢♢♢", E:E, "A1"), 0)))/100, 
   IF(F182="☆", ((M7 * 100) / (COUNTIFS(F:F, "☆", E:E, E182) + COUNTIFS(F:F, "☆", E:E, "A1") + IF(E182="A1", COUNTIFS(F:F, "☆", E:E, E2), 0) - IF(E182="A1", COUNTIFS(F:F, "☆", E:E, "A1"), 0)))/100, 
   IF(F182="☆☆", ((M8 * 100) / (COUNTIFS(F:F, "☆☆", E:E, E182) + COUNTIFS(F:F, "☆☆", E:E, "A1") + IF(E182="A1", COUNTIFS(F:F, "☆☆", E:E, E2), 0) - IF(E182="A1", COUNTIFS(F:F, "☆☆", E:E, "A1"), 0)))/100, 
   IF(F182="☆☆☆", ((M9 * 100) / (COUNTIFS(F:F, "☆☆☆", E:E, E182) + COUNTIFS(F:F, "☆☆☆", E:E, "A1") + IF(E182="A1", COUNTIFS(F:F, "☆☆☆", E:E, E2), 0) - IF(E182="A1", COUNTIFS(F:F, "☆☆☆", E:E, "A1"), 0)))/100, 
   IF(F182="♛", ((M10 * 100) / (COUNTIFS(F:F, "♛", E:E, E182) + COUNTIFS(F:F, "♛", E:E, "A1") + IF(E182="A1", COUNTIFS(F:F, "♛", E:E, E2), 0) - IF(E182="A1", COUNTIFS(F:F, "♛", E:E, "A1"), 0)))/100, "")))))))
</f>
        <v/>
      </c>
      <c r="I182" s="130" t="str">
        <f>IF(F182="♢♢", ((N4 * 100) / (COUNTIFS(F:F, "♢♢", E:E, E182) + COUNTIFS(F:F, "♢♢", E:E, "A1") + IF(E182="A1", COUNTIFS(F:F, "♢♢", E:E, E2), 0) - IF(E182="A1", COUNTIFS(F:F, "♢♢", E:E, "A1"), 0)))/100, 
   IF(F182="♢♢♢", ((N5 * 100) / (COUNTIFS(F:F, "♢♢♢", E:E, E182) + COUNTIFS(F:F, "♢♢♢", E:E, "A1") + IF(E182="A1", COUNTIFS(F:F, "♢♢♢", E:E, E2), 0) - IF(E182="A1", COUNTIFS(F:F, "♢♢♢", E:E, "A1"), 0)))/100, 
   IF(F182="♢♢♢♢", ((N6 * 100) / (COUNTIFS(F:F, "♢♢♢♢", E:E, E182) + COUNTIFS(F:F, "♢♢♢♢", E:E, "A1") + IF(E182="A1", COUNTIFS(F:F, "♢♢♢♢", E:E, E2), 0) - IF(E182="A1", COUNTIFS(F:F, "♢♢♢♢", E:E, "A1"), 0)))/100, 
   IF(F182="☆", ((N7 * 100) / (COUNTIFS(F:F, "☆", E:E, E182) + COUNTIFS(F:F, "☆", E:E, "A1") + IF(E182="A1", COUNTIFS(F:F, "☆", E:E, E2), 0) - IF(E182="A1", COUNTIFS(F:F, "☆", E:E, "A1"), 0)))/100, 
   IF(F182="☆☆", ((N8 * 100) / (COUNTIFS(F:F, "☆☆", E:E, E182) + COUNTIFS(F:F, "☆☆", E:E, "A1") + IF(E182="A1", COUNTIFS(F:F, "☆☆", E:E, E2), 0) - IF(E182="A1", COUNTIFS(F:F, "☆☆", E:E, "A1"), 0)))/100, 
   IF(F182="☆☆☆", ((N9 * 100) / (COUNTIFS(F:F, "☆☆☆", E:E, E182) + COUNTIFS(F:F, "☆☆☆", E:E, "A1") + IF(E182="A1", COUNTIFS(F:F, "☆☆☆", E:E, E2), 0) - IF(E182="A1", COUNTIFS(F:F, "☆☆☆", E:E, "A1"), 0)))/100, 
   IF(F182="♛", ((N10 * 100) / (COUNTIFS(F:F, "♛", E:E, E182) + COUNTIFS(F:F, "♛", E:E, "A1") + IF(E182="A1", COUNTIFS(F:F, "♛", E:E, E2), 0) - IF(E182="A1", COUNTIFS(F:F, "♛", E:E, "A1"), 0)))/100, "")))))))
</f>
        <v/>
      </c>
      <c r="J182" s="131"/>
      <c r="K182" s="247"/>
      <c r="L182" s="20"/>
      <c r="M182" s="20"/>
      <c r="N182" s="20"/>
      <c r="O182" s="249"/>
    </row>
    <row r="183">
      <c r="A183" s="125" t="b">
        <f t="shared" si="1"/>
        <v>0</v>
      </c>
      <c r="B183" s="126">
        <v>0.0</v>
      </c>
      <c r="C183" s="127" t="s">
        <v>479</v>
      </c>
      <c r="D183" s="127" t="s">
        <v>480</v>
      </c>
      <c r="E183" s="128" t="s">
        <v>32</v>
      </c>
      <c r="F183" s="127" t="s">
        <v>48</v>
      </c>
      <c r="G183" s="130" t="str">
        <f>IF(F183="♢", ((L3 * 100) / (COUNTIFS(F:F, "♢", E:E, E183) + COUNTIFS(F:F, "♢", E:E, "A1") + IF(E183="A1", COUNTIFS(F:F, "♢", E:E, E2), 0) - IF(E183="A1", COUNTIFS(F:F, "♢", E:E, "A1"), 0)))/100, "")
</f>
        <v/>
      </c>
      <c r="H183" s="129">
        <f>IF(F183="♢♢", ((M4 * 100) / (COUNTIFS(F:F, "♢♢", E:E, E183) + COUNTIFS(F:F, "♢♢", E:E, "A1") + IF(E183="A1", COUNTIFS(F:F, "♢♢", E:E, E2), 0) - IF(E183="A1", COUNTIFS(F:F, "♢♢", E:E, "A1"), 0)))/100, 
   IF(F183="♢♢♢", ((M5 * 100) / (COUNTIFS(F:F, "♢♢♢", E:E, E183) + COUNTIFS(F:F, "♢♢♢", E:E, "A1") + IF(E183="A1", COUNTIFS(F:F, "♢♢♢", E:E, E2), 0) - IF(E183="A1", COUNTIFS(F:F, "♢♢♢", E:E, "A1"), 0)))/100, 
   IF(F183="♢♢♢♢", ((M6 * 100) / (COUNTIFS(F:F, "♢♢♢♢", E:E, E183) + COUNTIFS(F:F, "♢♢♢♢", E:E, "A1") + IF(E183="A1", COUNTIFS(F:F, "♢♢♢♢", E:E, E2), 0) - IF(E183="A1", COUNTIFS(F:F, "♢♢♢♢", E:E, "A1"), 0)))/100, 
   IF(F183="☆", ((M7 * 100) / (COUNTIFS(F:F, "☆", E:E, E183) + COUNTIFS(F:F, "☆", E:E, "A1") + IF(E183="A1", COUNTIFS(F:F, "☆", E:E, E2), 0) - IF(E183="A1", COUNTIFS(F:F, "☆", E:E, "A1"), 0)))/100, 
   IF(F183="☆☆", ((M8 * 100) / (COUNTIFS(F:F, "☆☆", E:E, E183) + COUNTIFS(F:F, "☆☆", E:E, "A1") + IF(E183="A1", COUNTIFS(F:F, "☆☆", E:E, E2), 0) - IF(E183="A1", COUNTIFS(F:F, "☆☆", E:E, "A1"), 0)))/100, 
   IF(F183="☆☆☆", ((M9 * 100) / (COUNTIFS(F:F, "☆☆☆", E:E, E183) + COUNTIFS(F:F, "☆☆☆", E:E, "A1") + IF(E183="A1", COUNTIFS(F:F, "☆☆☆", E:E, E2), 0) - IF(E183="A1", COUNTIFS(F:F, "☆☆☆", E:E, "A1"), 0)))/100, 
   IF(F183="♛", ((M10 * 100) / (COUNTIFS(F:F, "♛", E:E, E183) + COUNTIFS(F:F, "♛", E:E, "A1") + IF(E183="A1", COUNTIFS(F:F, "♛", E:E, E2), 0) - IF(E183="A1", COUNTIFS(F:F, "♛", E:E, "A1"), 0)))/100, "")))))))
</f>
        <v>0.003571428571</v>
      </c>
      <c r="I183" s="129">
        <f>IF(F183="♢♢", ((N4 * 100) / (COUNTIFS(F:F, "♢♢", E:E, E183) + COUNTIFS(F:F, "♢♢", E:E, "A1") + IF(E183="A1", COUNTIFS(F:F, "♢♢", E:E, E2), 0) - IF(E183="A1", COUNTIFS(F:F, "♢♢", E:E, "A1"), 0)))/100, 
   IF(F183="♢♢♢", ((N5 * 100) / (COUNTIFS(F:F, "♢♢♢", E:E, E183) + COUNTIFS(F:F, "♢♢♢", E:E, "A1") + IF(E183="A1", COUNTIFS(F:F, "♢♢♢", E:E, E2), 0) - IF(E183="A1", COUNTIFS(F:F, "♢♢♢", E:E, "A1"), 0)))/100, 
   IF(F183="♢♢♢♢", ((N6 * 100) / (COUNTIFS(F:F, "♢♢♢♢", E:E, E183) + COUNTIFS(F:F, "♢♢♢♢", E:E, "A1") + IF(E183="A1", COUNTIFS(F:F, "♢♢♢♢", E:E, E2), 0) - IF(E183="A1", COUNTIFS(F:F, "♢♢♢♢", E:E, "A1"), 0)))/100, 
   IF(F183="☆", ((N7 * 100) / (COUNTIFS(F:F, "☆", E:E, E183) + COUNTIFS(F:F, "☆", E:E, "A1") + IF(E183="A1", COUNTIFS(F:F, "☆", E:E, E2), 0) - IF(E183="A1", COUNTIFS(F:F, "☆", E:E, "A1"), 0)))/100, 
   IF(F183="☆☆", ((N8 * 100) / (COUNTIFS(F:F, "☆☆", E:E, E183) + COUNTIFS(F:F, "☆☆", E:E, "A1") + IF(E183="A1", COUNTIFS(F:F, "☆☆", E:E, E2), 0) - IF(E183="A1", COUNTIFS(F:F, "☆☆", E:E, "A1"), 0)))/100, 
   IF(F183="☆☆☆", ((N9 * 100) / (COUNTIFS(F:F, "☆☆☆", E:E, E183) + COUNTIFS(F:F, "☆☆☆", E:E, "A1") + IF(E183="A1", COUNTIFS(F:F, "☆☆☆", E:E, E2), 0) - IF(E183="A1", COUNTIFS(F:F, "☆☆☆", E:E, "A1"), 0)))/100, 
   IF(F183="♛", ((N10 * 100) / (COUNTIFS(F:F, "♛", E:E, E183) + COUNTIFS(F:F, "♛", E:E, "A1") + IF(E183="A1", COUNTIFS(F:F, "♛", E:E, E2), 0) - IF(E183="A1", COUNTIFS(F:F, "♛", E:E, "A1"), 0)))/100, "")))))))
</f>
        <v>0.01428571429</v>
      </c>
      <c r="J183" s="131"/>
      <c r="K183" s="247"/>
      <c r="L183" s="20"/>
      <c r="M183" s="20"/>
      <c r="N183" s="20"/>
      <c r="O183" s="249"/>
    </row>
    <row r="184">
      <c r="A184" s="125" t="b">
        <f t="shared" si="1"/>
        <v>0</v>
      </c>
      <c r="B184" s="126">
        <v>0.0</v>
      </c>
      <c r="C184" s="127" t="s">
        <v>481</v>
      </c>
      <c r="D184" s="127" t="s">
        <v>482</v>
      </c>
      <c r="E184" s="128" t="s">
        <v>29</v>
      </c>
      <c r="F184" s="127" t="s">
        <v>44</v>
      </c>
      <c r="G184" s="129">
        <f>IF(F184="♢", ((L3 * 100) / (COUNTIFS(F:F, "♢", E:E, E184) + COUNTIFS(F:F, "♢", E:E, "A1") + IF(E184="A1", COUNTIFS(F:F, "♢", E:E, E2), 0) - IF(E184="A1", COUNTIFS(F:F, "♢", E:E, "A1"), 0)))/100, "")
</f>
        <v>0.02</v>
      </c>
      <c r="H184" s="130" t="str">
        <f>IF(F184="♢♢", ((M4 * 100) / (COUNTIFS(F:F, "♢♢", E:E, E184) + COUNTIFS(F:F, "♢♢", E:E, "A1") + IF(E184="A1", COUNTIFS(F:F, "♢♢", E:E, E2), 0) - IF(E184="A1", COUNTIFS(F:F, "♢♢", E:E, "A1"), 0)))/100, 
   IF(F184="♢♢♢", ((M5 * 100) / (COUNTIFS(F:F, "♢♢♢", E:E, E184) + COUNTIFS(F:F, "♢♢♢", E:E, "A1") + IF(E184="A1", COUNTIFS(F:F, "♢♢♢", E:E, E2), 0) - IF(E184="A1", COUNTIFS(F:F, "♢♢♢", E:E, "A1"), 0)))/100, 
   IF(F184="♢♢♢♢", ((M6 * 100) / (COUNTIFS(F:F, "♢♢♢♢", E:E, E184) + COUNTIFS(F:F, "♢♢♢♢", E:E, "A1") + IF(E184="A1", COUNTIFS(F:F, "♢♢♢♢", E:E, E2), 0) - IF(E184="A1", COUNTIFS(F:F, "♢♢♢♢", E:E, "A1"), 0)))/100, 
   IF(F184="☆", ((M7 * 100) / (COUNTIFS(F:F, "☆", E:E, E184) + COUNTIFS(F:F, "☆", E:E, "A1") + IF(E184="A1", COUNTIFS(F:F, "☆", E:E, E2), 0) - IF(E184="A1", COUNTIFS(F:F, "☆", E:E, "A1"), 0)))/100, 
   IF(F184="☆☆", ((M8 * 100) / (COUNTIFS(F:F, "☆☆", E:E, E184) + COUNTIFS(F:F, "☆☆", E:E, "A1") + IF(E184="A1", COUNTIFS(F:F, "☆☆", E:E, E2), 0) - IF(E184="A1", COUNTIFS(F:F, "☆☆", E:E, "A1"), 0)))/100, 
   IF(F184="☆☆☆", ((M9 * 100) / (COUNTIFS(F:F, "☆☆☆", E:E, E184) + COUNTIFS(F:F, "☆☆☆", E:E, "A1") + IF(E184="A1", COUNTIFS(F:F, "☆☆☆", E:E, E2), 0) - IF(E184="A1", COUNTIFS(F:F, "☆☆☆", E:E, "A1"), 0)))/100, 
   IF(F184="♛", ((M10 * 100) / (COUNTIFS(F:F, "♛", E:E, E184) + COUNTIFS(F:F, "♛", E:E, "A1") + IF(E184="A1", COUNTIFS(F:F, "♛", E:E, E2), 0) - IF(E184="A1", COUNTIFS(F:F, "♛", E:E, "A1"), 0)))/100, "")))))))
</f>
        <v/>
      </c>
      <c r="I184" s="130" t="str">
        <f>IF(F184="♢♢", ((N4 * 100) / (COUNTIFS(F:F, "♢♢", E:E, E184) + COUNTIFS(F:F, "♢♢", E:E, "A1") + IF(E184="A1", COUNTIFS(F:F, "♢♢", E:E, E2), 0) - IF(E184="A1", COUNTIFS(F:F, "♢♢", E:E, "A1"), 0)))/100, 
   IF(F184="♢♢♢", ((N5 * 100) / (COUNTIFS(F:F, "♢♢♢", E:E, E184) + COUNTIFS(F:F, "♢♢♢", E:E, "A1") + IF(E184="A1", COUNTIFS(F:F, "♢♢♢", E:E, E2), 0) - IF(E184="A1", COUNTIFS(F:F, "♢♢♢", E:E, "A1"), 0)))/100, 
   IF(F184="♢♢♢♢", ((N6 * 100) / (COUNTIFS(F:F, "♢♢♢♢", E:E, E184) + COUNTIFS(F:F, "♢♢♢♢", E:E, "A1") + IF(E184="A1", COUNTIFS(F:F, "♢♢♢♢", E:E, E2), 0) - IF(E184="A1", COUNTIFS(F:F, "♢♢♢♢", E:E, "A1"), 0)))/100, 
   IF(F184="☆", ((N7 * 100) / (COUNTIFS(F:F, "☆", E:E, E184) + COUNTIFS(F:F, "☆", E:E, "A1") + IF(E184="A1", COUNTIFS(F:F, "☆", E:E, E2), 0) - IF(E184="A1", COUNTIFS(F:F, "☆", E:E, "A1"), 0)))/100, 
   IF(F184="☆☆", ((N8 * 100) / (COUNTIFS(F:F, "☆☆", E:E, E184) + COUNTIFS(F:F, "☆☆", E:E, "A1") + IF(E184="A1", COUNTIFS(F:F, "☆☆", E:E, E2), 0) - IF(E184="A1", COUNTIFS(F:F, "☆☆", E:E, "A1"), 0)))/100, 
   IF(F184="☆☆☆", ((N9 * 100) / (COUNTIFS(F:F, "☆☆☆", E:E, E184) + COUNTIFS(F:F, "☆☆☆", E:E, "A1") + IF(E184="A1", COUNTIFS(F:F, "☆☆☆", E:E, E2), 0) - IF(E184="A1", COUNTIFS(F:F, "☆☆☆", E:E, "A1"), 0)))/100, 
   IF(F184="♛", ((N10 * 100) / (COUNTIFS(F:F, "♛", E:E, E184) + COUNTIFS(F:F, "♛", E:E, "A1") + IF(E184="A1", COUNTIFS(F:F, "♛", E:E, E2), 0) - IF(E184="A1", COUNTIFS(F:F, "♛", E:E, "A1"), 0)))/100, "")))))))
</f>
        <v/>
      </c>
      <c r="J184" s="131"/>
      <c r="K184" s="247"/>
      <c r="L184" s="20"/>
      <c r="M184" s="20"/>
      <c r="N184" s="20"/>
      <c r="O184" s="249"/>
    </row>
    <row r="185">
      <c r="A185" s="125" t="b">
        <f t="shared" si="1"/>
        <v>0</v>
      </c>
      <c r="B185" s="126">
        <v>0.0</v>
      </c>
      <c r="C185" s="127" t="s">
        <v>483</v>
      </c>
      <c r="D185" s="127" t="s">
        <v>484</v>
      </c>
      <c r="E185" s="128" t="s">
        <v>29</v>
      </c>
      <c r="F185" s="127" t="s">
        <v>46</v>
      </c>
      <c r="G185" s="130" t="str">
        <f>IF(F185="♢", ((L3 * 100) / (COUNTIFS(F:F, "♢", E:E, E185) + COUNTIFS(F:F, "♢", E:E, "A1") + IF(E185="A1", COUNTIFS(F:F, "♢", E:E, E2), 0) - IF(E185="A1", COUNTIFS(F:F, "♢", E:E, "A1"), 0)))/100, "")
</f>
        <v/>
      </c>
      <c r="H185" s="129">
        <f>IF(F185="♢♢", ((M4 * 100) / (COUNTIFS(F:F, "♢♢", E:E, E185) + COUNTIFS(F:F, "♢♢", E:E, "A1") + IF(E185="A1", COUNTIFS(F:F, "♢♢", E:E, E2), 0) - IF(E185="A1", COUNTIFS(F:F, "♢♢", E:E, "A1"), 0)))/100, 
   IF(F185="♢♢♢", ((M5 * 100) / (COUNTIFS(F:F, "♢♢♢", E:E, E185) + COUNTIFS(F:F, "♢♢♢", E:E, "A1") + IF(E185="A1", COUNTIFS(F:F, "♢♢♢", E:E, E2), 0) - IF(E185="A1", COUNTIFS(F:F, "♢♢♢", E:E, "A1"), 0)))/100, 
   IF(F185="♢♢♢♢", ((M6 * 100) / (COUNTIFS(F:F, "♢♢♢♢", E:E, E185) + COUNTIFS(F:F, "♢♢♢♢", E:E, "A1") + IF(E185="A1", COUNTIFS(F:F, "♢♢♢♢", E:E, E2), 0) - IF(E185="A1", COUNTIFS(F:F, "♢♢♢♢", E:E, "A1"), 0)))/100, 
   IF(F185="☆", ((M7 * 100) / (COUNTIFS(F:F, "☆", E:E, E185) + COUNTIFS(F:F, "☆", E:E, "A1") + IF(E185="A1", COUNTIFS(F:F, "☆", E:E, E2), 0) - IF(E185="A1", COUNTIFS(F:F, "☆", E:E, "A1"), 0)))/100, 
   IF(F185="☆☆", ((M8 * 100) / (COUNTIFS(F:F, "☆☆", E:E, E185) + COUNTIFS(F:F, "☆☆", E:E, "A1") + IF(E185="A1", COUNTIFS(F:F, "☆☆", E:E, E2), 0) - IF(E185="A1", COUNTIFS(F:F, "☆☆", E:E, "A1"), 0)))/100, 
   IF(F185="☆☆☆", ((M9 * 100) / (COUNTIFS(F:F, "☆☆☆", E:E, E185) + COUNTIFS(F:F, "☆☆☆", E:E, "A1") + IF(E185="A1", COUNTIFS(F:F, "☆☆☆", E:E, E2), 0) - IF(E185="A1", COUNTIFS(F:F, "☆☆☆", E:E, "A1"), 0)))/100, 
   IF(F185="♛", ((M10 * 100) / (COUNTIFS(F:F, "♛", E:E, E185) + COUNTIFS(F:F, "♛", E:E, "A1") + IF(E185="A1", COUNTIFS(F:F, "♛", E:E, E2), 0) - IF(E185="A1", COUNTIFS(F:F, "♛", E:E, "A1"), 0)))/100, "")))))))
</f>
        <v>0.02571428571</v>
      </c>
      <c r="I185" s="129">
        <f>IF(F185="♢♢", ((N4 * 100) / (COUNTIFS(F:F, "♢♢", E:E, E185) + COUNTIFS(F:F, "♢♢", E:E, "A1") + IF(E185="A1", COUNTIFS(F:F, "♢♢", E:E, E2), 0) - IF(E185="A1", COUNTIFS(F:F, "♢♢", E:E, "A1"), 0)))/100, 
   IF(F185="♢♢♢", ((N5 * 100) / (COUNTIFS(F:F, "♢♢♢", E:E, E185) + COUNTIFS(F:F, "♢♢♢", E:E, "A1") + IF(E185="A1", COUNTIFS(F:F, "♢♢♢", E:E, E2), 0) - IF(E185="A1", COUNTIFS(F:F, "♢♢♢", E:E, "A1"), 0)))/100, 
   IF(F185="♢♢♢♢", ((N6 * 100) / (COUNTIFS(F:F, "♢♢♢♢", E:E, E185) + COUNTIFS(F:F, "♢♢♢♢", E:E, "A1") + IF(E185="A1", COUNTIFS(F:F, "♢♢♢♢", E:E, E2), 0) - IF(E185="A1", COUNTIFS(F:F, "♢♢♢♢", E:E, "A1"), 0)))/100, 
   IF(F185="☆", ((N7 * 100) / (COUNTIFS(F:F, "☆", E:E, E185) + COUNTIFS(F:F, "☆", E:E, "A1") + IF(E185="A1", COUNTIFS(F:F, "☆", E:E, E2), 0) - IF(E185="A1", COUNTIFS(F:F, "☆", E:E, "A1"), 0)))/100, 
   IF(F185="☆☆", ((N8 * 100) / (COUNTIFS(F:F, "☆☆", E:E, E185) + COUNTIFS(F:F, "☆☆", E:E, "A1") + IF(E185="A1", COUNTIFS(F:F, "☆☆", E:E, E2), 0) - IF(E185="A1", COUNTIFS(F:F, "☆☆", E:E, "A1"), 0)))/100, 
   IF(F185="☆☆☆", ((N9 * 100) / (COUNTIFS(F:F, "☆☆☆", E:E, E185) + COUNTIFS(F:F, "☆☆☆", E:E, "A1") + IF(E185="A1", COUNTIFS(F:F, "☆☆☆", E:E, E2), 0) - IF(E185="A1", COUNTIFS(F:F, "☆☆☆", E:E, "A1"), 0)))/100, 
   IF(F185="♛", ((N10 * 100) / (COUNTIFS(F:F, "♛", E:E, E185) + COUNTIFS(F:F, "♛", E:E, "A1") + IF(E185="A1", COUNTIFS(F:F, "♛", E:E, E2), 0) - IF(E185="A1", COUNTIFS(F:F, "♛", E:E, "A1"), 0)))/100, "")))))))
</f>
        <v>0.01714285714</v>
      </c>
      <c r="J185" s="131"/>
      <c r="K185" s="247"/>
      <c r="L185" s="20"/>
      <c r="M185" s="20"/>
      <c r="N185" s="20"/>
      <c r="O185" s="249"/>
    </row>
    <row r="186">
      <c r="A186" s="125" t="b">
        <f t="shared" si="1"/>
        <v>0</v>
      </c>
      <c r="B186" s="126">
        <v>0.0</v>
      </c>
      <c r="C186" s="127" t="s">
        <v>485</v>
      </c>
      <c r="D186" s="127" t="s">
        <v>486</v>
      </c>
      <c r="E186" s="128" t="s">
        <v>29</v>
      </c>
      <c r="F186" s="127" t="s">
        <v>48</v>
      </c>
      <c r="G186" s="130" t="str">
        <f>IF(F186="♢", ((L3 * 100) / (COUNTIFS(F:F, "♢", E:E, E186) + COUNTIFS(F:F, "♢", E:E, "A1") + IF(E186="A1", COUNTIFS(F:F, "♢", E:E, E2), 0) - IF(E186="A1", COUNTIFS(F:F, "♢", E:E, "A1"), 0)))/100, "")
</f>
        <v/>
      </c>
      <c r="H186" s="129">
        <f>IF(F186="♢♢", ((M4 * 100) / (COUNTIFS(F:F, "♢♢", E:E, E186) + COUNTIFS(F:F, "♢♢", E:E, "A1") + IF(E186="A1", COUNTIFS(F:F, "♢♢", E:E, E2), 0) - IF(E186="A1", COUNTIFS(F:F, "♢♢", E:E, "A1"), 0)))/100, 
   IF(F186="♢♢♢", ((M5 * 100) / (COUNTIFS(F:F, "♢♢♢", E:E, E186) + COUNTIFS(F:F, "♢♢♢", E:E, "A1") + IF(E186="A1", COUNTIFS(F:F, "♢♢♢", E:E, E2), 0) - IF(E186="A1", COUNTIFS(F:F, "♢♢♢", E:E, "A1"), 0)))/100, 
   IF(F186="♢♢♢♢", ((M6 * 100) / (COUNTIFS(F:F, "♢♢♢♢", E:E, E186) + COUNTIFS(F:F, "♢♢♢♢", E:E, "A1") + IF(E186="A1", COUNTIFS(F:F, "♢♢♢♢", E:E, E2), 0) - IF(E186="A1", COUNTIFS(F:F, "♢♢♢♢", E:E, "A1"), 0)))/100, 
   IF(F186="☆", ((M7 * 100) / (COUNTIFS(F:F, "☆", E:E, E186) + COUNTIFS(F:F, "☆", E:E, "A1") + IF(E186="A1", COUNTIFS(F:F, "☆", E:E, E2), 0) - IF(E186="A1", COUNTIFS(F:F, "☆", E:E, "A1"), 0)))/100, 
   IF(F186="☆☆", ((M8 * 100) / (COUNTIFS(F:F, "☆☆", E:E, E186) + COUNTIFS(F:F, "☆☆", E:E, "A1") + IF(E186="A1", COUNTIFS(F:F, "☆☆", E:E, E2), 0) - IF(E186="A1", COUNTIFS(F:F, "☆☆", E:E, "A1"), 0)))/100, 
   IF(F186="☆☆☆", ((M9 * 100) / (COUNTIFS(F:F, "☆☆☆", E:E, E186) + COUNTIFS(F:F, "☆☆☆", E:E, "A1") + IF(E186="A1", COUNTIFS(F:F, "☆☆☆", E:E, E2), 0) - IF(E186="A1", COUNTIFS(F:F, "☆☆☆", E:E, "A1"), 0)))/100, 
   IF(F186="♛", ((M10 * 100) / (COUNTIFS(F:F, "♛", E:E, E186) + COUNTIFS(F:F, "♛", E:E, "A1") + IF(E186="A1", COUNTIFS(F:F, "♛", E:E, E2), 0) - IF(E186="A1", COUNTIFS(F:F, "♛", E:E, "A1"), 0)))/100, "")))))))
</f>
        <v>0.003571428571</v>
      </c>
      <c r="I186" s="129">
        <f>IF(F186="♢♢", ((N4 * 100) / (COUNTIFS(F:F, "♢♢", E:E, E186) + COUNTIFS(F:F, "♢♢", E:E, "A1") + IF(E186="A1", COUNTIFS(F:F, "♢♢", E:E, E2), 0) - IF(E186="A1", COUNTIFS(F:F, "♢♢", E:E, "A1"), 0)))/100, 
   IF(F186="♢♢♢", ((N5 * 100) / (COUNTIFS(F:F, "♢♢♢", E:E, E186) + COUNTIFS(F:F, "♢♢♢", E:E, "A1") + IF(E186="A1", COUNTIFS(F:F, "♢♢♢", E:E, E2), 0) - IF(E186="A1", COUNTIFS(F:F, "♢♢♢", E:E, "A1"), 0)))/100, 
   IF(F186="♢♢♢♢", ((N6 * 100) / (COUNTIFS(F:F, "♢♢♢♢", E:E, E186) + COUNTIFS(F:F, "♢♢♢♢", E:E, "A1") + IF(E186="A1", COUNTIFS(F:F, "♢♢♢♢", E:E, E2), 0) - IF(E186="A1", COUNTIFS(F:F, "♢♢♢♢", E:E, "A1"), 0)))/100, 
   IF(F186="☆", ((N7 * 100) / (COUNTIFS(F:F, "☆", E:E, E186) + COUNTIFS(F:F, "☆", E:E, "A1") + IF(E186="A1", COUNTIFS(F:F, "☆", E:E, E2), 0) - IF(E186="A1", COUNTIFS(F:F, "☆", E:E, "A1"), 0)))/100, 
   IF(F186="☆☆", ((N8 * 100) / (COUNTIFS(F:F, "☆☆", E:E, E186) + COUNTIFS(F:F, "☆☆", E:E, "A1") + IF(E186="A1", COUNTIFS(F:F, "☆☆", E:E, E2), 0) - IF(E186="A1", COUNTIFS(F:F, "☆☆", E:E, "A1"), 0)))/100, 
   IF(F186="☆☆☆", ((N9 * 100) / (COUNTIFS(F:F, "☆☆☆", E:E, E186) + COUNTIFS(F:F, "☆☆☆", E:E, "A1") + IF(E186="A1", COUNTIFS(F:F, "☆☆☆", E:E, E2), 0) - IF(E186="A1", COUNTIFS(F:F, "☆☆☆", E:E, "A1"), 0)))/100, 
   IF(F186="♛", ((N10 * 100) / (COUNTIFS(F:F, "♛", E:E, E186) + COUNTIFS(F:F, "♛", E:E, "A1") + IF(E186="A1", COUNTIFS(F:F, "♛", E:E, E2), 0) - IF(E186="A1", COUNTIFS(F:F, "♛", E:E, "A1"), 0)))/100, "")))))))
</f>
        <v>0.01428571429</v>
      </c>
      <c r="J186" s="131"/>
      <c r="K186" s="247"/>
      <c r="L186" s="20"/>
      <c r="M186" s="20"/>
      <c r="N186" s="20"/>
      <c r="O186" s="249"/>
    </row>
    <row r="187">
      <c r="A187" s="125" t="b">
        <f t="shared" si="1"/>
        <v>0</v>
      </c>
      <c r="B187" s="126">
        <v>0.0</v>
      </c>
      <c r="C187" s="127" t="s">
        <v>487</v>
      </c>
      <c r="D187" s="127" t="s">
        <v>488</v>
      </c>
      <c r="E187" s="128" t="s">
        <v>29</v>
      </c>
      <c r="F187" s="127" t="s">
        <v>44</v>
      </c>
      <c r="G187" s="129">
        <f>IF(F187="♢", ((L3 * 100) / (COUNTIFS(F:F, "♢", E:E, E187) + COUNTIFS(F:F, "♢", E:E, "A1") + IF(E187="A1", COUNTIFS(F:F, "♢", E:E, E2), 0) - IF(E187="A1", COUNTIFS(F:F, "♢", E:E, "A1"), 0)))/100, "")
</f>
        <v>0.02</v>
      </c>
      <c r="H187" s="130" t="str">
        <f>IF(F187="♢♢", ((M4 * 100) / (COUNTIFS(F:F, "♢♢", E:E, E187) + COUNTIFS(F:F, "♢♢", E:E, "A1") + IF(E187="A1", COUNTIFS(F:F, "♢♢", E:E, E2), 0) - IF(E187="A1", COUNTIFS(F:F, "♢♢", E:E, "A1"), 0)))/100, 
   IF(F187="♢♢♢", ((M5 * 100) / (COUNTIFS(F:F, "♢♢♢", E:E, E187) + COUNTIFS(F:F, "♢♢♢", E:E, "A1") + IF(E187="A1", COUNTIFS(F:F, "♢♢♢", E:E, E2), 0) - IF(E187="A1", COUNTIFS(F:F, "♢♢♢", E:E, "A1"), 0)))/100, 
   IF(F187="♢♢♢♢", ((M6 * 100) / (COUNTIFS(F:F, "♢♢♢♢", E:E, E187) + COUNTIFS(F:F, "♢♢♢♢", E:E, "A1") + IF(E187="A1", COUNTIFS(F:F, "♢♢♢♢", E:E, E2), 0) - IF(E187="A1", COUNTIFS(F:F, "♢♢♢♢", E:E, "A1"), 0)))/100, 
   IF(F187="☆", ((M7 * 100) / (COUNTIFS(F:F, "☆", E:E, E187) + COUNTIFS(F:F, "☆", E:E, "A1") + IF(E187="A1", COUNTIFS(F:F, "☆", E:E, E2), 0) - IF(E187="A1", COUNTIFS(F:F, "☆", E:E, "A1"), 0)))/100, 
   IF(F187="☆☆", ((M8 * 100) / (COUNTIFS(F:F, "☆☆", E:E, E187) + COUNTIFS(F:F, "☆☆", E:E, "A1") + IF(E187="A1", COUNTIFS(F:F, "☆☆", E:E, E2), 0) - IF(E187="A1", COUNTIFS(F:F, "☆☆", E:E, "A1"), 0)))/100, 
   IF(F187="☆☆☆", ((M9 * 100) / (COUNTIFS(F:F, "☆☆☆", E:E, E187) + COUNTIFS(F:F, "☆☆☆", E:E, "A1") + IF(E187="A1", COUNTIFS(F:F, "☆☆☆", E:E, E2), 0) - IF(E187="A1", COUNTIFS(F:F, "☆☆☆", E:E, "A1"), 0)))/100, 
   IF(F187="♛", ((M10 * 100) / (COUNTIFS(F:F, "♛", E:E, E187) + COUNTIFS(F:F, "♛", E:E, "A1") + IF(E187="A1", COUNTIFS(F:F, "♛", E:E, E2), 0) - IF(E187="A1", COUNTIFS(F:F, "♛", E:E, "A1"), 0)))/100, "")))))))
</f>
        <v/>
      </c>
      <c r="I187" s="130" t="str">
        <f>IF(F187="♢♢", ((N4 * 100) / (COUNTIFS(F:F, "♢♢", E:E, E187) + COUNTIFS(F:F, "♢♢", E:E, "A1") + IF(E187="A1", COUNTIFS(F:F, "♢♢", E:E, E2), 0) - IF(E187="A1", COUNTIFS(F:F, "♢♢", E:E, "A1"), 0)))/100, 
   IF(F187="♢♢♢", ((N5 * 100) / (COUNTIFS(F:F, "♢♢♢", E:E, E187) + COUNTIFS(F:F, "♢♢♢", E:E, "A1") + IF(E187="A1", COUNTIFS(F:F, "♢♢♢", E:E, E2), 0) - IF(E187="A1", COUNTIFS(F:F, "♢♢♢", E:E, "A1"), 0)))/100, 
   IF(F187="♢♢♢♢", ((N6 * 100) / (COUNTIFS(F:F, "♢♢♢♢", E:E, E187) + COUNTIFS(F:F, "♢♢♢♢", E:E, "A1") + IF(E187="A1", COUNTIFS(F:F, "♢♢♢♢", E:E, E2), 0) - IF(E187="A1", COUNTIFS(F:F, "♢♢♢♢", E:E, "A1"), 0)))/100, 
   IF(F187="☆", ((N7 * 100) / (COUNTIFS(F:F, "☆", E:E, E187) + COUNTIFS(F:F, "☆", E:E, "A1") + IF(E187="A1", COUNTIFS(F:F, "☆", E:E, E2), 0) - IF(E187="A1", COUNTIFS(F:F, "☆", E:E, "A1"), 0)))/100, 
   IF(F187="☆☆", ((N8 * 100) / (COUNTIFS(F:F, "☆☆", E:E, E187) + COUNTIFS(F:F, "☆☆", E:E, "A1") + IF(E187="A1", COUNTIFS(F:F, "☆☆", E:E, E2), 0) - IF(E187="A1", COUNTIFS(F:F, "☆☆", E:E, "A1"), 0)))/100, 
   IF(F187="☆☆☆", ((N9 * 100) / (COUNTIFS(F:F, "☆☆☆", E:E, E187) + COUNTIFS(F:F, "☆☆☆", E:E, "A1") + IF(E187="A1", COUNTIFS(F:F, "☆☆☆", E:E, E2), 0) - IF(E187="A1", COUNTIFS(F:F, "☆☆☆", E:E, "A1"), 0)))/100, 
   IF(F187="♛", ((N10 * 100) / (COUNTIFS(F:F, "♛", E:E, E187) + COUNTIFS(F:F, "♛", E:E, "A1") + IF(E187="A1", COUNTIFS(F:F, "♛", E:E, E2), 0) - IF(E187="A1", COUNTIFS(F:F, "♛", E:E, "A1"), 0)))/100, "")))))))
</f>
        <v/>
      </c>
      <c r="J187" s="131"/>
      <c r="K187" s="247"/>
      <c r="L187" s="20"/>
      <c r="M187" s="20"/>
      <c r="N187" s="20"/>
      <c r="O187" s="249"/>
    </row>
    <row r="188">
      <c r="A188" s="125" t="b">
        <f t="shared" si="1"/>
        <v>0</v>
      </c>
      <c r="B188" s="126">
        <v>0.0</v>
      </c>
      <c r="C188" s="127" t="s">
        <v>489</v>
      </c>
      <c r="D188" s="127" t="s">
        <v>490</v>
      </c>
      <c r="E188" s="128" t="s">
        <v>29</v>
      </c>
      <c r="F188" s="127" t="s">
        <v>44</v>
      </c>
      <c r="G188" s="129">
        <f>IF(F188="♢", ((L3 * 100) / (COUNTIFS(F:F, "♢", E:E, E188) + COUNTIFS(F:F, "♢", E:E, "A1") + IF(E188="A1", COUNTIFS(F:F, "♢", E:E, E2), 0) - IF(E188="A1", COUNTIFS(F:F, "♢", E:E, "A1"), 0)))/100, "")
</f>
        <v>0.02</v>
      </c>
      <c r="H188" s="130" t="str">
        <f>IF(F188="♢♢", ((M4 * 100) / (COUNTIFS(F:F, "♢♢", E:E, E188) + COUNTIFS(F:F, "♢♢", E:E, "A1") + IF(E188="A1", COUNTIFS(F:F, "♢♢", E:E, E2), 0) - IF(E188="A1", COUNTIFS(F:F, "♢♢", E:E, "A1"), 0)))/100, 
   IF(F188="♢♢♢", ((M5 * 100) / (COUNTIFS(F:F, "♢♢♢", E:E, E188) + COUNTIFS(F:F, "♢♢♢", E:E, "A1") + IF(E188="A1", COUNTIFS(F:F, "♢♢♢", E:E, E2), 0) - IF(E188="A1", COUNTIFS(F:F, "♢♢♢", E:E, "A1"), 0)))/100, 
   IF(F188="♢♢♢♢", ((M6 * 100) / (COUNTIFS(F:F, "♢♢♢♢", E:E, E188) + COUNTIFS(F:F, "♢♢♢♢", E:E, "A1") + IF(E188="A1", COUNTIFS(F:F, "♢♢♢♢", E:E, E2), 0) - IF(E188="A1", COUNTIFS(F:F, "♢♢♢♢", E:E, "A1"), 0)))/100, 
   IF(F188="☆", ((M7 * 100) / (COUNTIFS(F:F, "☆", E:E, E188) + COUNTIFS(F:F, "☆", E:E, "A1") + IF(E188="A1", COUNTIFS(F:F, "☆", E:E, E2), 0) - IF(E188="A1", COUNTIFS(F:F, "☆", E:E, "A1"), 0)))/100, 
   IF(F188="☆☆", ((M8 * 100) / (COUNTIFS(F:F, "☆☆", E:E, E188) + COUNTIFS(F:F, "☆☆", E:E, "A1") + IF(E188="A1", COUNTIFS(F:F, "☆☆", E:E, E2), 0) - IF(E188="A1", COUNTIFS(F:F, "☆☆", E:E, "A1"), 0)))/100, 
   IF(F188="☆☆☆", ((M9 * 100) / (COUNTIFS(F:F, "☆☆☆", E:E, E188) + COUNTIFS(F:F, "☆☆☆", E:E, "A1") + IF(E188="A1", COUNTIFS(F:F, "☆☆☆", E:E, E2), 0) - IF(E188="A1", COUNTIFS(F:F, "☆☆☆", E:E, "A1"), 0)))/100, 
   IF(F188="♛", ((M10 * 100) / (COUNTIFS(F:F, "♛", E:E, E188) + COUNTIFS(F:F, "♛", E:E, "A1") + IF(E188="A1", COUNTIFS(F:F, "♛", E:E, E2), 0) - IF(E188="A1", COUNTIFS(F:F, "♛", E:E, "A1"), 0)))/100, "")))))))
</f>
        <v/>
      </c>
      <c r="I188" s="130" t="str">
        <f>IF(F188="♢♢", ((N4 * 100) / (COUNTIFS(F:F, "♢♢", E:E, E188) + COUNTIFS(F:F, "♢♢", E:E, "A1") + IF(E188="A1", COUNTIFS(F:F, "♢♢", E:E, E2), 0) - IF(E188="A1", COUNTIFS(F:F, "♢♢", E:E, "A1"), 0)))/100, 
   IF(F188="♢♢♢", ((N5 * 100) / (COUNTIFS(F:F, "♢♢♢", E:E, E188) + COUNTIFS(F:F, "♢♢♢", E:E, "A1") + IF(E188="A1", COUNTIFS(F:F, "♢♢♢", E:E, E2), 0) - IF(E188="A1", COUNTIFS(F:F, "♢♢♢", E:E, "A1"), 0)))/100, 
   IF(F188="♢♢♢♢", ((N6 * 100) / (COUNTIFS(F:F, "♢♢♢♢", E:E, E188) + COUNTIFS(F:F, "♢♢♢♢", E:E, "A1") + IF(E188="A1", COUNTIFS(F:F, "♢♢♢♢", E:E, E2), 0) - IF(E188="A1", COUNTIFS(F:F, "♢♢♢♢", E:E, "A1"), 0)))/100, 
   IF(F188="☆", ((N7 * 100) / (COUNTIFS(F:F, "☆", E:E, E188) + COUNTIFS(F:F, "☆", E:E, "A1") + IF(E188="A1", COUNTIFS(F:F, "☆", E:E, E2), 0) - IF(E188="A1", COUNTIFS(F:F, "☆", E:E, "A1"), 0)))/100, 
   IF(F188="☆☆", ((N8 * 100) / (COUNTIFS(F:F, "☆☆", E:E, E188) + COUNTIFS(F:F, "☆☆", E:E, "A1") + IF(E188="A1", COUNTIFS(F:F, "☆☆", E:E, E2), 0) - IF(E188="A1", COUNTIFS(F:F, "☆☆", E:E, "A1"), 0)))/100, 
   IF(F188="☆☆☆", ((N9 * 100) / (COUNTIFS(F:F, "☆☆☆", E:E, E188) + COUNTIFS(F:F, "☆☆☆", E:E, "A1") + IF(E188="A1", COUNTIFS(F:F, "☆☆☆", E:E, E2), 0) - IF(E188="A1", COUNTIFS(F:F, "☆☆☆", E:E, "A1"), 0)))/100, 
   IF(F188="♛", ((N10 * 100) / (COUNTIFS(F:F, "♛", E:E, E188) + COUNTIFS(F:F, "♛", E:E, "A1") + IF(E188="A1", COUNTIFS(F:F, "♛", E:E, E2), 0) - IF(E188="A1", COUNTIFS(F:F, "♛", E:E, "A1"), 0)))/100, "")))))))
</f>
        <v/>
      </c>
      <c r="J188" s="131"/>
      <c r="K188" s="247"/>
      <c r="L188" s="20"/>
      <c r="M188" s="20"/>
      <c r="N188" s="20"/>
      <c r="O188" s="249"/>
    </row>
    <row r="189">
      <c r="A189" s="125" t="b">
        <f t="shared" si="1"/>
        <v>0</v>
      </c>
      <c r="B189" s="126">
        <v>0.0</v>
      </c>
      <c r="C189" s="127" t="s">
        <v>491</v>
      </c>
      <c r="D189" s="127" t="s">
        <v>492</v>
      </c>
      <c r="E189" s="128" t="s">
        <v>29</v>
      </c>
      <c r="F189" s="127" t="s">
        <v>48</v>
      </c>
      <c r="G189" s="130" t="str">
        <f>IF(F189="♢", ((L3 * 100) / (COUNTIFS(F:F, "♢", E:E, E189) + COUNTIFS(F:F, "♢", E:E, "A1") + IF(E189="A1", COUNTIFS(F:F, "♢", E:E, E2), 0) - IF(E189="A1", COUNTIFS(F:F, "♢", E:E, "A1"), 0)))/100, "")
</f>
        <v/>
      </c>
      <c r="H189" s="129">
        <f>IF(F189="♢♢", ((M4 * 100) / (COUNTIFS(F:F, "♢♢", E:E, E189) + COUNTIFS(F:F, "♢♢", E:E, "A1") + IF(E189="A1", COUNTIFS(F:F, "♢♢", E:E, E2), 0) - IF(E189="A1", COUNTIFS(F:F, "♢♢", E:E, "A1"), 0)))/100, 
   IF(F189="♢♢♢", ((M5 * 100) / (COUNTIFS(F:F, "♢♢♢", E:E, E189) + COUNTIFS(F:F, "♢♢♢", E:E, "A1") + IF(E189="A1", COUNTIFS(F:F, "♢♢♢", E:E, E2), 0) - IF(E189="A1", COUNTIFS(F:F, "♢♢♢", E:E, "A1"), 0)))/100, 
   IF(F189="♢♢♢♢", ((M6 * 100) / (COUNTIFS(F:F, "♢♢♢♢", E:E, E189) + COUNTIFS(F:F, "♢♢♢♢", E:E, "A1") + IF(E189="A1", COUNTIFS(F:F, "♢♢♢♢", E:E, E2), 0) - IF(E189="A1", COUNTIFS(F:F, "♢♢♢♢", E:E, "A1"), 0)))/100, 
   IF(F189="☆", ((M7 * 100) / (COUNTIFS(F:F, "☆", E:E, E189) + COUNTIFS(F:F, "☆", E:E, "A1") + IF(E189="A1", COUNTIFS(F:F, "☆", E:E, E2), 0) - IF(E189="A1", COUNTIFS(F:F, "☆", E:E, "A1"), 0)))/100, 
   IF(F189="☆☆", ((M8 * 100) / (COUNTIFS(F:F, "☆☆", E:E, E189) + COUNTIFS(F:F, "☆☆", E:E, "A1") + IF(E189="A1", COUNTIFS(F:F, "☆☆", E:E, E2), 0) - IF(E189="A1", COUNTIFS(F:F, "☆☆", E:E, "A1"), 0)))/100, 
   IF(F189="☆☆☆", ((M9 * 100) / (COUNTIFS(F:F, "☆☆☆", E:E, E189) + COUNTIFS(F:F, "☆☆☆", E:E, "A1") + IF(E189="A1", COUNTIFS(F:F, "☆☆☆", E:E, E2), 0) - IF(E189="A1", COUNTIFS(F:F, "☆☆☆", E:E, "A1"), 0)))/100, 
   IF(F189="♛", ((M10 * 100) / (COUNTIFS(F:F, "♛", E:E, E189) + COUNTIFS(F:F, "♛", E:E, "A1") + IF(E189="A1", COUNTIFS(F:F, "♛", E:E, E2), 0) - IF(E189="A1", COUNTIFS(F:F, "♛", E:E, "A1"), 0)))/100, "")))))))
</f>
        <v>0.003571428571</v>
      </c>
      <c r="I189" s="129">
        <f>IF(F189="♢♢", ((N4 * 100) / (COUNTIFS(F:F, "♢♢", E:E, E189) + COUNTIFS(F:F, "♢♢", E:E, "A1") + IF(E189="A1", COUNTIFS(F:F, "♢♢", E:E, E2), 0) - IF(E189="A1", COUNTIFS(F:F, "♢♢", E:E, "A1"), 0)))/100, 
   IF(F189="♢♢♢", ((N5 * 100) / (COUNTIFS(F:F, "♢♢♢", E:E, E189) + COUNTIFS(F:F, "♢♢♢", E:E, "A1") + IF(E189="A1", COUNTIFS(F:F, "♢♢♢", E:E, E2), 0) - IF(E189="A1", COUNTIFS(F:F, "♢♢♢", E:E, "A1"), 0)))/100, 
   IF(F189="♢♢♢♢", ((N6 * 100) / (COUNTIFS(F:F, "♢♢♢♢", E:E, E189) + COUNTIFS(F:F, "♢♢♢♢", E:E, "A1") + IF(E189="A1", COUNTIFS(F:F, "♢♢♢♢", E:E, E2), 0) - IF(E189="A1", COUNTIFS(F:F, "♢♢♢♢", E:E, "A1"), 0)))/100, 
   IF(F189="☆", ((N7 * 100) / (COUNTIFS(F:F, "☆", E:E, E189) + COUNTIFS(F:F, "☆", E:E, "A1") + IF(E189="A1", COUNTIFS(F:F, "☆", E:E, E2), 0) - IF(E189="A1", COUNTIFS(F:F, "☆", E:E, "A1"), 0)))/100, 
   IF(F189="☆☆", ((N8 * 100) / (COUNTIFS(F:F, "☆☆", E:E, E189) + COUNTIFS(F:F, "☆☆", E:E, "A1") + IF(E189="A1", COUNTIFS(F:F, "☆☆", E:E, E2), 0) - IF(E189="A1", COUNTIFS(F:F, "☆☆", E:E, "A1"), 0)))/100, 
   IF(F189="☆☆☆", ((N9 * 100) / (COUNTIFS(F:F, "☆☆☆", E:E, E189) + COUNTIFS(F:F, "☆☆☆", E:E, "A1") + IF(E189="A1", COUNTIFS(F:F, "☆☆☆", E:E, E2), 0) - IF(E189="A1", COUNTIFS(F:F, "☆☆☆", E:E, "A1"), 0)))/100, 
   IF(F189="♛", ((N10 * 100) / (COUNTIFS(F:F, "♛", E:E, E189) + COUNTIFS(F:F, "♛", E:E, "A1") + IF(E189="A1", COUNTIFS(F:F, "♛", E:E, E2), 0) - IF(E189="A1", COUNTIFS(F:F, "♛", E:E, "A1"), 0)))/100, "")))))))
</f>
        <v>0.01428571429</v>
      </c>
      <c r="J189" s="131"/>
      <c r="K189" s="247"/>
      <c r="L189" s="20"/>
      <c r="M189" s="20"/>
      <c r="N189" s="20"/>
      <c r="O189" s="249"/>
    </row>
    <row r="190">
      <c r="A190" s="125" t="b">
        <f t="shared" si="1"/>
        <v>0</v>
      </c>
      <c r="B190" s="126">
        <v>0.0</v>
      </c>
      <c r="C190" s="127" t="s">
        <v>493</v>
      </c>
      <c r="D190" s="127" t="s">
        <v>494</v>
      </c>
      <c r="E190" s="128" t="s">
        <v>137</v>
      </c>
      <c r="F190" s="127" t="s">
        <v>44</v>
      </c>
      <c r="G190" s="129">
        <f>IF(F190="♢", ((L3 * 100) / (COUNTIFS(F:F, "♢", E:E, E190) + COUNTIFS(F:F, "♢", E:E, "A1") + IF(E190="A1", COUNTIFS(F:F, "♢", E:E, E2), 0) - IF(E190="A1", COUNTIFS(F:F, "♢", E:E, "A1"), 0)))/100, "")
</f>
        <v>0.02</v>
      </c>
      <c r="H190" s="130" t="str">
        <f>IF(F190="♢♢", ((M4 * 100) / (COUNTIFS(F:F, "♢♢", E:E, E190) + COUNTIFS(F:F, "♢♢", E:E, "A1") + IF(E190="A1", COUNTIFS(F:F, "♢♢", E:E, E2), 0) - IF(E190="A1", COUNTIFS(F:F, "♢♢", E:E, "A1"), 0)))/100, 
   IF(F190="♢♢♢", ((M5 * 100) / (COUNTIFS(F:F, "♢♢♢", E:E, E190) + COUNTIFS(F:F, "♢♢♢", E:E, "A1") + IF(E190="A1", COUNTIFS(F:F, "♢♢♢", E:E, E2), 0) - IF(E190="A1", COUNTIFS(F:F, "♢♢♢", E:E, "A1"), 0)))/100, 
   IF(F190="♢♢♢♢", ((M6 * 100) / (COUNTIFS(F:F, "♢♢♢♢", E:E, E190) + COUNTIFS(F:F, "♢♢♢♢", E:E, "A1") + IF(E190="A1", COUNTIFS(F:F, "♢♢♢♢", E:E, E2), 0) - IF(E190="A1", COUNTIFS(F:F, "♢♢♢♢", E:E, "A1"), 0)))/100, 
   IF(F190="☆", ((M7 * 100) / (COUNTIFS(F:F, "☆", E:E, E190) + COUNTIFS(F:F, "☆", E:E, "A1") + IF(E190="A1", COUNTIFS(F:F, "☆", E:E, E2), 0) - IF(E190="A1", COUNTIFS(F:F, "☆", E:E, "A1"), 0)))/100, 
   IF(F190="☆☆", ((M8 * 100) / (COUNTIFS(F:F, "☆☆", E:E, E190) + COUNTIFS(F:F, "☆☆", E:E, "A1") + IF(E190="A1", COUNTIFS(F:F, "☆☆", E:E, E2), 0) - IF(E190="A1", COUNTIFS(F:F, "☆☆", E:E, "A1"), 0)))/100, 
   IF(F190="☆☆☆", ((M9 * 100) / (COUNTIFS(F:F, "☆☆☆", E:E, E190) + COUNTIFS(F:F, "☆☆☆", E:E, "A1") + IF(E190="A1", COUNTIFS(F:F, "☆☆☆", E:E, E2), 0) - IF(E190="A1", COUNTIFS(F:F, "☆☆☆", E:E, "A1"), 0)))/100, 
   IF(F190="♛", ((M10 * 100) / (COUNTIFS(F:F, "♛", E:E, E190) + COUNTIFS(F:F, "♛", E:E, "A1") + IF(E190="A1", COUNTIFS(F:F, "♛", E:E, E2), 0) - IF(E190="A1", COUNTIFS(F:F, "♛", E:E, "A1"), 0)))/100, "")))))))
</f>
        <v/>
      </c>
      <c r="I190" s="130" t="str">
        <f>IF(F190="♢♢", ((N4 * 100) / (COUNTIFS(F:F, "♢♢", E:E, E190) + COUNTIFS(F:F, "♢♢", E:E, "A1") + IF(E190="A1", COUNTIFS(F:F, "♢♢", E:E, E2), 0) - IF(E190="A1", COUNTIFS(F:F, "♢♢", E:E, "A1"), 0)))/100, 
   IF(F190="♢♢♢", ((N5 * 100) / (COUNTIFS(F:F, "♢♢♢", E:E, E190) + COUNTIFS(F:F, "♢♢♢", E:E, "A1") + IF(E190="A1", COUNTIFS(F:F, "♢♢♢", E:E, E2), 0) - IF(E190="A1", COUNTIFS(F:F, "♢♢♢", E:E, "A1"), 0)))/100, 
   IF(F190="♢♢♢♢", ((N6 * 100) / (COUNTIFS(F:F, "♢♢♢♢", E:E, E190) + COUNTIFS(F:F, "♢♢♢♢", E:E, "A1") + IF(E190="A1", COUNTIFS(F:F, "♢♢♢♢", E:E, E2), 0) - IF(E190="A1", COUNTIFS(F:F, "♢♢♢♢", E:E, "A1"), 0)))/100, 
   IF(F190="☆", ((N7 * 100) / (COUNTIFS(F:F, "☆", E:E, E190) + COUNTIFS(F:F, "☆", E:E, "A1") + IF(E190="A1", COUNTIFS(F:F, "☆", E:E, E2), 0) - IF(E190="A1", COUNTIFS(F:F, "☆", E:E, "A1"), 0)))/100, 
   IF(F190="☆☆", ((N8 * 100) / (COUNTIFS(F:F, "☆☆", E:E, E190) + COUNTIFS(F:F, "☆☆", E:E, "A1") + IF(E190="A1", COUNTIFS(F:F, "☆☆", E:E, E2), 0) - IF(E190="A1", COUNTIFS(F:F, "☆☆", E:E, "A1"), 0)))/100, 
   IF(F190="☆☆☆", ((N9 * 100) / (COUNTIFS(F:F, "☆☆☆", E:E, E190) + COUNTIFS(F:F, "☆☆☆", E:E, "A1") + IF(E190="A1", COUNTIFS(F:F, "☆☆☆", E:E, E2), 0) - IF(E190="A1", COUNTIFS(F:F, "☆☆☆", E:E, "A1"), 0)))/100, 
   IF(F190="♛", ((N10 * 100) / (COUNTIFS(F:F, "♛", E:E, E190) + COUNTIFS(F:F, "♛", E:E, "A1") + IF(E190="A1", COUNTIFS(F:F, "♛", E:E, E2), 0) - IF(E190="A1", COUNTIFS(F:F, "♛", E:E, "A1"), 0)))/100, "")))))))
</f>
        <v/>
      </c>
      <c r="J190" s="131"/>
      <c r="K190" s="247"/>
      <c r="L190" s="20"/>
      <c r="M190" s="20"/>
      <c r="N190" s="20"/>
      <c r="O190" s="249"/>
    </row>
    <row r="191">
      <c r="A191" s="125" t="b">
        <f t="shared" si="1"/>
        <v>0</v>
      </c>
      <c r="B191" s="126">
        <v>0.0</v>
      </c>
      <c r="C191" s="127" t="s">
        <v>495</v>
      </c>
      <c r="D191" s="127" t="s">
        <v>496</v>
      </c>
      <c r="E191" s="128" t="s">
        <v>137</v>
      </c>
      <c r="F191" s="127" t="s">
        <v>44</v>
      </c>
      <c r="G191" s="129">
        <f>IF(F191="♢", ((L3 * 100) / (COUNTIFS(F:F, "♢", E:E, E191) + COUNTIFS(F:F, "♢", E:E, "A1") + IF(E191="A1", COUNTIFS(F:F, "♢", E:E, E2), 0) - IF(E191="A1", COUNTIFS(F:F, "♢", E:E, "A1"), 0)))/100, "")
</f>
        <v>0.02</v>
      </c>
      <c r="H191" s="130" t="str">
        <f>IF(F191="♢♢", ((M4 * 100) / (COUNTIFS(F:F, "♢♢", E:E, E191) + COUNTIFS(F:F, "♢♢", E:E, "A1") + IF(E191="A1", COUNTIFS(F:F, "♢♢", E:E, E2), 0) - IF(E191="A1", COUNTIFS(F:F, "♢♢", E:E, "A1"), 0)))/100, 
   IF(F191="♢♢♢", ((M5 * 100) / (COUNTIFS(F:F, "♢♢♢", E:E, E191) + COUNTIFS(F:F, "♢♢♢", E:E, "A1") + IF(E191="A1", COUNTIFS(F:F, "♢♢♢", E:E, E2), 0) - IF(E191="A1", COUNTIFS(F:F, "♢♢♢", E:E, "A1"), 0)))/100, 
   IF(F191="♢♢♢♢", ((M6 * 100) / (COUNTIFS(F:F, "♢♢♢♢", E:E, E191) + COUNTIFS(F:F, "♢♢♢♢", E:E, "A1") + IF(E191="A1", COUNTIFS(F:F, "♢♢♢♢", E:E, E2), 0) - IF(E191="A1", COUNTIFS(F:F, "♢♢♢♢", E:E, "A1"), 0)))/100, 
   IF(F191="☆", ((M7 * 100) / (COUNTIFS(F:F, "☆", E:E, E191) + COUNTIFS(F:F, "☆", E:E, "A1") + IF(E191="A1", COUNTIFS(F:F, "☆", E:E, E2), 0) - IF(E191="A1", COUNTIFS(F:F, "☆", E:E, "A1"), 0)))/100, 
   IF(F191="☆☆", ((M8 * 100) / (COUNTIFS(F:F, "☆☆", E:E, E191) + COUNTIFS(F:F, "☆☆", E:E, "A1") + IF(E191="A1", COUNTIFS(F:F, "☆☆", E:E, E2), 0) - IF(E191="A1", COUNTIFS(F:F, "☆☆", E:E, "A1"), 0)))/100, 
   IF(F191="☆☆☆", ((M9 * 100) / (COUNTIFS(F:F, "☆☆☆", E:E, E191) + COUNTIFS(F:F, "☆☆☆", E:E, "A1") + IF(E191="A1", COUNTIFS(F:F, "☆☆☆", E:E, E2), 0) - IF(E191="A1", COUNTIFS(F:F, "☆☆☆", E:E, "A1"), 0)))/100, 
   IF(F191="♛", ((M10 * 100) / (COUNTIFS(F:F, "♛", E:E, E191) + COUNTIFS(F:F, "♛", E:E, "A1") + IF(E191="A1", COUNTIFS(F:F, "♛", E:E, E2), 0) - IF(E191="A1", COUNTIFS(F:F, "♛", E:E, "A1"), 0)))/100, "")))))))
</f>
        <v/>
      </c>
      <c r="I191" s="130" t="str">
        <f>IF(F191="♢♢", ((N4 * 100) / (COUNTIFS(F:F, "♢♢", E:E, E191) + COUNTIFS(F:F, "♢♢", E:E, "A1") + IF(E191="A1", COUNTIFS(F:F, "♢♢", E:E, E2), 0) - IF(E191="A1", COUNTIFS(F:F, "♢♢", E:E, "A1"), 0)))/100, 
   IF(F191="♢♢♢", ((N5 * 100) / (COUNTIFS(F:F, "♢♢♢", E:E, E191) + COUNTIFS(F:F, "♢♢♢", E:E, "A1") + IF(E191="A1", COUNTIFS(F:F, "♢♢♢", E:E, E2), 0) - IF(E191="A1", COUNTIFS(F:F, "♢♢♢", E:E, "A1"), 0)))/100, 
   IF(F191="♢♢♢♢", ((N6 * 100) / (COUNTIFS(F:F, "♢♢♢♢", E:E, E191) + COUNTIFS(F:F, "♢♢♢♢", E:E, "A1") + IF(E191="A1", COUNTIFS(F:F, "♢♢♢♢", E:E, E2), 0) - IF(E191="A1", COUNTIFS(F:F, "♢♢♢♢", E:E, "A1"), 0)))/100, 
   IF(F191="☆", ((N7 * 100) / (COUNTIFS(F:F, "☆", E:E, E191) + COUNTIFS(F:F, "☆", E:E, "A1") + IF(E191="A1", COUNTIFS(F:F, "☆", E:E, E2), 0) - IF(E191="A1", COUNTIFS(F:F, "☆", E:E, "A1"), 0)))/100, 
   IF(F191="☆☆", ((N8 * 100) / (COUNTIFS(F:F, "☆☆", E:E, E191) + COUNTIFS(F:F, "☆☆", E:E, "A1") + IF(E191="A1", COUNTIFS(F:F, "☆☆", E:E, E2), 0) - IF(E191="A1", COUNTIFS(F:F, "☆☆", E:E, "A1"), 0)))/100, 
   IF(F191="☆☆☆", ((N9 * 100) / (COUNTIFS(F:F, "☆☆☆", E:E, E191) + COUNTIFS(F:F, "☆☆☆", E:E, "A1") + IF(E191="A1", COUNTIFS(F:F, "☆☆☆", E:E, E2), 0) - IF(E191="A1", COUNTIFS(F:F, "☆☆☆", E:E, "A1"), 0)))/100, 
   IF(F191="♛", ((N10 * 100) / (COUNTIFS(F:F, "♛", E:E, E191) + COUNTIFS(F:F, "♛", E:E, "A1") + IF(E191="A1", COUNTIFS(F:F, "♛", E:E, E2), 0) - IF(E191="A1", COUNTIFS(F:F, "♛", E:E, "A1"), 0)))/100, "")))))))
</f>
        <v/>
      </c>
      <c r="J191" s="131"/>
      <c r="K191" s="247"/>
      <c r="L191" s="20"/>
      <c r="M191" s="20"/>
      <c r="N191" s="20"/>
      <c r="O191" s="249"/>
    </row>
    <row r="192">
      <c r="A192" s="125" t="b">
        <f t="shared" si="1"/>
        <v>0</v>
      </c>
      <c r="B192" s="126">
        <v>0.0</v>
      </c>
      <c r="C192" s="127" t="s">
        <v>497</v>
      </c>
      <c r="D192" s="127" t="s">
        <v>498</v>
      </c>
      <c r="E192" s="128" t="s">
        <v>32</v>
      </c>
      <c r="F192" s="127" t="s">
        <v>44</v>
      </c>
      <c r="G192" s="129">
        <f>IF(F192="♢", ((L3 * 100) / (COUNTIFS(F:F, "♢", E:E, E192) + COUNTIFS(F:F, "♢", E:E, "A1") + IF(E192="A1", COUNTIFS(F:F, "♢", E:E, E2), 0) - IF(E192="A1", COUNTIFS(F:F, "♢", E:E, "A1"), 0)))/100, "")
</f>
        <v>0.02</v>
      </c>
      <c r="H192" s="130" t="str">
        <f>IF(F192="♢♢", ((M4 * 100) / (COUNTIFS(F:F, "♢♢", E:E, E192) + COUNTIFS(F:F, "♢♢", E:E, "A1") + IF(E192="A1", COUNTIFS(F:F, "♢♢", E:E, E2), 0) - IF(E192="A1", COUNTIFS(F:F, "♢♢", E:E, "A1"), 0)))/100, 
   IF(F192="♢♢♢", ((M5 * 100) / (COUNTIFS(F:F, "♢♢♢", E:E, E192) + COUNTIFS(F:F, "♢♢♢", E:E, "A1") + IF(E192="A1", COUNTIFS(F:F, "♢♢♢", E:E, E2), 0) - IF(E192="A1", COUNTIFS(F:F, "♢♢♢", E:E, "A1"), 0)))/100, 
   IF(F192="♢♢♢♢", ((M6 * 100) / (COUNTIFS(F:F, "♢♢♢♢", E:E, E192) + COUNTIFS(F:F, "♢♢♢♢", E:E, "A1") + IF(E192="A1", COUNTIFS(F:F, "♢♢♢♢", E:E, E2), 0) - IF(E192="A1", COUNTIFS(F:F, "♢♢♢♢", E:E, "A1"), 0)))/100, 
   IF(F192="☆", ((M7 * 100) / (COUNTIFS(F:F, "☆", E:E, E192) + COUNTIFS(F:F, "☆", E:E, "A1") + IF(E192="A1", COUNTIFS(F:F, "☆", E:E, E2), 0) - IF(E192="A1", COUNTIFS(F:F, "☆", E:E, "A1"), 0)))/100, 
   IF(F192="☆☆", ((M8 * 100) / (COUNTIFS(F:F, "☆☆", E:E, E192) + COUNTIFS(F:F, "☆☆", E:E, "A1") + IF(E192="A1", COUNTIFS(F:F, "☆☆", E:E, E2), 0) - IF(E192="A1", COUNTIFS(F:F, "☆☆", E:E, "A1"), 0)))/100, 
   IF(F192="☆☆☆", ((M9 * 100) / (COUNTIFS(F:F, "☆☆☆", E:E, E192) + COUNTIFS(F:F, "☆☆☆", E:E, "A1") + IF(E192="A1", COUNTIFS(F:F, "☆☆☆", E:E, E2), 0) - IF(E192="A1", COUNTIFS(F:F, "☆☆☆", E:E, "A1"), 0)))/100, 
   IF(F192="♛", ((M10 * 100) / (COUNTIFS(F:F, "♛", E:E, E192) + COUNTIFS(F:F, "♛", E:E, "A1") + IF(E192="A1", COUNTIFS(F:F, "♛", E:E, E2), 0) - IF(E192="A1", COUNTIFS(F:F, "♛", E:E, "A1"), 0)))/100, "")))))))
</f>
        <v/>
      </c>
      <c r="I192" s="130" t="str">
        <f>IF(F192="♢♢", ((N4 * 100) / (COUNTIFS(F:F, "♢♢", E:E, E192) + COUNTIFS(F:F, "♢♢", E:E, "A1") + IF(E192="A1", COUNTIFS(F:F, "♢♢", E:E, E2), 0) - IF(E192="A1", COUNTIFS(F:F, "♢♢", E:E, "A1"), 0)))/100, 
   IF(F192="♢♢♢", ((N5 * 100) / (COUNTIFS(F:F, "♢♢♢", E:E, E192) + COUNTIFS(F:F, "♢♢♢", E:E, "A1") + IF(E192="A1", COUNTIFS(F:F, "♢♢♢", E:E, E2), 0) - IF(E192="A1", COUNTIFS(F:F, "♢♢♢", E:E, "A1"), 0)))/100, 
   IF(F192="♢♢♢♢", ((N6 * 100) / (COUNTIFS(F:F, "♢♢♢♢", E:E, E192) + COUNTIFS(F:F, "♢♢♢♢", E:E, "A1") + IF(E192="A1", COUNTIFS(F:F, "♢♢♢♢", E:E, E2), 0) - IF(E192="A1", COUNTIFS(F:F, "♢♢♢♢", E:E, "A1"), 0)))/100, 
   IF(F192="☆", ((N7 * 100) / (COUNTIFS(F:F, "☆", E:E, E192) + COUNTIFS(F:F, "☆", E:E, "A1") + IF(E192="A1", COUNTIFS(F:F, "☆", E:E, E2), 0) - IF(E192="A1", COUNTIFS(F:F, "☆", E:E, "A1"), 0)))/100, 
   IF(F192="☆☆", ((N8 * 100) / (COUNTIFS(F:F, "☆☆", E:E, E192) + COUNTIFS(F:F, "☆☆", E:E, "A1") + IF(E192="A1", COUNTIFS(F:F, "☆☆", E:E, E2), 0) - IF(E192="A1", COUNTIFS(F:F, "☆☆", E:E, "A1"), 0)))/100, 
   IF(F192="☆☆☆", ((N9 * 100) / (COUNTIFS(F:F, "☆☆☆", E:E, E192) + COUNTIFS(F:F, "☆☆☆", E:E, "A1") + IF(E192="A1", COUNTIFS(F:F, "☆☆☆", E:E, E2), 0) - IF(E192="A1", COUNTIFS(F:F, "☆☆☆", E:E, "A1"), 0)))/100, 
   IF(F192="♛", ((N10 * 100) / (COUNTIFS(F:F, "♛", E:E, E192) + COUNTIFS(F:F, "♛", E:E, "A1") + IF(E192="A1", COUNTIFS(F:F, "♛", E:E, E2), 0) - IF(E192="A1", COUNTIFS(F:F, "♛", E:E, "A1"), 0)))/100, "")))))))
</f>
        <v/>
      </c>
      <c r="J192" s="131"/>
      <c r="K192" s="247"/>
      <c r="L192" s="20"/>
      <c r="M192" s="20"/>
      <c r="N192" s="20"/>
      <c r="O192" s="249"/>
    </row>
    <row r="193">
      <c r="A193" s="125" t="b">
        <f t="shared" si="1"/>
        <v>0</v>
      </c>
      <c r="B193" s="126">
        <v>0.0</v>
      </c>
      <c r="C193" s="127" t="s">
        <v>499</v>
      </c>
      <c r="D193" s="127" t="s">
        <v>500</v>
      </c>
      <c r="E193" s="128" t="s">
        <v>32</v>
      </c>
      <c r="F193" s="127" t="s">
        <v>44</v>
      </c>
      <c r="G193" s="129">
        <f>IF(F193="♢", ((L3 * 100) / (COUNTIFS(F:F, "♢", E:E, E193) + COUNTIFS(F:F, "♢", E:E, "A1") + IF(E193="A1", COUNTIFS(F:F, "♢", E:E, E2), 0) - IF(E193="A1", COUNTIFS(F:F, "♢", E:E, "A1"), 0)))/100, "")
</f>
        <v>0.02</v>
      </c>
      <c r="H193" s="130" t="str">
        <f>IF(F193="♢♢", ((M4 * 100) / (COUNTIFS(F:F, "♢♢", E:E, E193) + COUNTIFS(F:F, "♢♢", E:E, "A1") + IF(E193="A1", COUNTIFS(F:F, "♢♢", E:E, E2), 0) - IF(E193="A1", COUNTIFS(F:F, "♢♢", E:E, "A1"), 0)))/100, 
   IF(F193="♢♢♢", ((M5 * 100) / (COUNTIFS(F:F, "♢♢♢", E:E, E193) + COUNTIFS(F:F, "♢♢♢", E:E, "A1") + IF(E193="A1", COUNTIFS(F:F, "♢♢♢", E:E, E2), 0) - IF(E193="A1", COUNTIFS(F:F, "♢♢♢", E:E, "A1"), 0)))/100, 
   IF(F193="♢♢♢♢", ((M6 * 100) / (COUNTIFS(F:F, "♢♢♢♢", E:E, E193) + COUNTIFS(F:F, "♢♢♢♢", E:E, "A1") + IF(E193="A1", COUNTIFS(F:F, "♢♢♢♢", E:E, E2), 0) - IF(E193="A1", COUNTIFS(F:F, "♢♢♢♢", E:E, "A1"), 0)))/100, 
   IF(F193="☆", ((M7 * 100) / (COUNTIFS(F:F, "☆", E:E, E193) + COUNTIFS(F:F, "☆", E:E, "A1") + IF(E193="A1", COUNTIFS(F:F, "☆", E:E, E2), 0) - IF(E193="A1", COUNTIFS(F:F, "☆", E:E, "A1"), 0)))/100, 
   IF(F193="☆☆", ((M8 * 100) / (COUNTIFS(F:F, "☆☆", E:E, E193) + COUNTIFS(F:F, "☆☆", E:E, "A1") + IF(E193="A1", COUNTIFS(F:F, "☆☆", E:E, E2), 0) - IF(E193="A1", COUNTIFS(F:F, "☆☆", E:E, "A1"), 0)))/100, 
   IF(F193="☆☆☆", ((M9 * 100) / (COUNTIFS(F:F, "☆☆☆", E:E, E193) + COUNTIFS(F:F, "☆☆☆", E:E, "A1") + IF(E193="A1", COUNTIFS(F:F, "☆☆☆", E:E, E2), 0) - IF(E193="A1", COUNTIFS(F:F, "☆☆☆", E:E, "A1"), 0)))/100, 
   IF(F193="♛", ((M10 * 100) / (COUNTIFS(F:F, "♛", E:E, E193) + COUNTIFS(F:F, "♛", E:E, "A1") + IF(E193="A1", COUNTIFS(F:F, "♛", E:E, E2), 0) - IF(E193="A1", COUNTIFS(F:F, "♛", E:E, "A1"), 0)))/100, "")))))))
</f>
        <v/>
      </c>
      <c r="I193" s="130" t="str">
        <f>IF(F193="♢♢", ((N4 * 100) / (COUNTIFS(F:F, "♢♢", E:E, E193) + COUNTIFS(F:F, "♢♢", E:E, "A1") + IF(E193="A1", COUNTIFS(F:F, "♢♢", E:E, E2), 0) - IF(E193="A1", COUNTIFS(F:F, "♢♢", E:E, "A1"), 0)))/100, 
   IF(F193="♢♢♢", ((N5 * 100) / (COUNTIFS(F:F, "♢♢♢", E:E, E193) + COUNTIFS(F:F, "♢♢♢", E:E, "A1") + IF(E193="A1", COUNTIFS(F:F, "♢♢♢", E:E, E2), 0) - IF(E193="A1", COUNTIFS(F:F, "♢♢♢", E:E, "A1"), 0)))/100, 
   IF(F193="♢♢♢♢", ((N6 * 100) / (COUNTIFS(F:F, "♢♢♢♢", E:E, E193) + COUNTIFS(F:F, "♢♢♢♢", E:E, "A1") + IF(E193="A1", COUNTIFS(F:F, "♢♢♢♢", E:E, E2), 0) - IF(E193="A1", COUNTIFS(F:F, "♢♢♢♢", E:E, "A1"), 0)))/100, 
   IF(F193="☆", ((N7 * 100) / (COUNTIFS(F:F, "☆", E:E, E193) + COUNTIFS(F:F, "☆", E:E, "A1") + IF(E193="A1", COUNTIFS(F:F, "☆", E:E, E2), 0) - IF(E193="A1", COUNTIFS(F:F, "☆", E:E, "A1"), 0)))/100, 
   IF(F193="☆☆", ((N8 * 100) / (COUNTIFS(F:F, "☆☆", E:E, E193) + COUNTIFS(F:F, "☆☆", E:E, "A1") + IF(E193="A1", COUNTIFS(F:F, "☆☆", E:E, E2), 0) - IF(E193="A1", COUNTIFS(F:F, "☆☆", E:E, "A1"), 0)))/100, 
   IF(F193="☆☆☆", ((N9 * 100) / (COUNTIFS(F:F, "☆☆☆", E:E, E193) + COUNTIFS(F:F, "☆☆☆", E:E, "A1") + IF(E193="A1", COUNTIFS(F:F, "☆☆☆", E:E, E2), 0) - IF(E193="A1", COUNTIFS(F:F, "☆☆☆", E:E, "A1"), 0)))/100, 
   IF(F193="♛", ((N10 * 100) / (COUNTIFS(F:F, "♛", E:E, E193) + COUNTIFS(F:F, "♛", E:E, "A1") + IF(E193="A1", COUNTIFS(F:F, "♛", E:E, E2), 0) - IF(E193="A1", COUNTIFS(F:F, "♛", E:E, "A1"), 0)))/100, "")))))))
</f>
        <v/>
      </c>
      <c r="J193" s="131"/>
      <c r="K193" s="247"/>
      <c r="L193" s="20"/>
      <c r="M193" s="20"/>
      <c r="N193" s="20"/>
      <c r="O193" s="249"/>
    </row>
    <row r="194">
      <c r="A194" s="125" t="b">
        <f t="shared" si="1"/>
        <v>0</v>
      </c>
      <c r="B194" s="126">
        <v>0.0</v>
      </c>
      <c r="C194" s="127" t="s">
        <v>501</v>
      </c>
      <c r="D194" s="127" t="s">
        <v>502</v>
      </c>
      <c r="E194" s="128" t="s">
        <v>31</v>
      </c>
      <c r="F194" s="127" t="s">
        <v>44</v>
      </c>
      <c r="G194" s="129">
        <f>IF(F194="♢", ((L3 * 100) / (COUNTIFS(F:F, "♢", E:E, E194) + COUNTIFS(F:F, "♢", E:E, "A1") + IF(E194="A1", COUNTIFS(F:F, "♢", E:E, E2), 0) - IF(E194="A1", COUNTIFS(F:F, "♢", E:E, "A1"), 0)))/100, "")
</f>
        <v>0.02</v>
      </c>
      <c r="H194" s="130" t="str">
        <f>IF(F194="♢♢", ((M4 * 100) / (COUNTIFS(F:F, "♢♢", E:E, E194) + COUNTIFS(F:F, "♢♢", E:E, "A1") + IF(E194="A1", COUNTIFS(F:F, "♢♢", E:E, E2), 0) - IF(E194="A1", COUNTIFS(F:F, "♢♢", E:E, "A1"), 0)))/100, 
   IF(F194="♢♢♢", ((M5 * 100) / (COUNTIFS(F:F, "♢♢♢", E:E, E194) + COUNTIFS(F:F, "♢♢♢", E:E, "A1") + IF(E194="A1", COUNTIFS(F:F, "♢♢♢", E:E, E2), 0) - IF(E194="A1", COUNTIFS(F:F, "♢♢♢", E:E, "A1"), 0)))/100, 
   IF(F194="♢♢♢♢", ((M6 * 100) / (COUNTIFS(F:F, "♢♢♢♢", E:E, E194) + COUNTIFS(F:F, "♢♢♢♢", E:E, "A1") + IF(E194="A1", COUNTIFS(F:F, "♢♢♢♢", E:E, E2), 0) - IF(E194="A1", COUNTIFS(F:F, "♢♢♢♢", E:E, "A1"), 0)))/100, 
   IF(F194="☆", ((M7 * 100) / (COUNTIFS(F:F, "☆", E:E, E194) + COUNTIFS(F:F, "☆", E:E, "A1") + IF(E194="A1", COUNTIFS(F:F, "☆", E:E, E2), 0) - IF(E194="A1", COUNTIFS(F:F, "☆", E:E, "A1"), 0)))/100, 
   IF(F194="☆☆", ((M8 * 100) / (COUNTIFS(F:F, "☆☆", E:E, E194) + COUNTIFS(F:F, "☆☆", E:E, "A1") + IF(E194="A1", COUNTIFS(F:F, "☆☆", E:E, E2), 0) - IF(E194="A1", COUNTIFS(F:F, "☆☆", E:E, "A1"), 0)))/100, 
   IF(F194="☆☆☆", ((M9 * 100) / (COUNTIFS(F:F, "☆☆☆", E:E, E194) + COUNTIFS(F:F, "☆☆☆", E:E, "A1") + IF(E194="A1", COUNTIFS(F:F, "☆☆☆", E:E, E2), 0) - IF(E194="A1", COUNTIFS(F:F, "☆☆☆", E:E, "A1"), 0)))/100, 
   IF(F194="♛", ((M10 * 100) / (COUNTIFS(F:F, "♛", E:E, E194) + COUNTIFS(F:F, "♛", E:E, "A1") + IF(E194="A1", COUNTIFS(F:F, "♛", E:E, E2), 0) - IF(E194="A1", COUNTIFS(F:F, "♛", E:E, "A1"), 0)))/100, "")))))))
</f>
        <v/>
      </c>
      <c r="I194" s="130" t="str">
        <f>IF(F194="♢♢", ((N4 * 100) / (COUNTIFS(F:F, "♢♢", E:E, E194) + COUNTIFS(F:F, "♢♢", E:E, "A1") + IF(E194="A1", COUNTIFS(F:F, "♢♢", E:E, E2), 0) - IF(E194="A1", COUNTIFS(F:F, "♢♢", E:E, "A1"), 0)))/100, 
   IF(F194="♢♢♢", ((N5 * 100) / (COUNTIFS(F:F, "♢♢♢", E:E, E194) + COUNTIFS(F:F, "♢♢♢", E:E, "A1") + IF(E194="A1", COUNTIFS(F:F, "♢♢♢", E:E, E2), 0) - IF(E194="A1", COUNTIFS(F:F, "♢♢♢", E:E, "A1"), 0)))/100, 
   IF(F194="♢♢♢♢", ((N6 * 100) / (COUNTIFS(F:F, "♢♢♢♢", E:E, E194) + COUNTIFS(F:F, "♢♢♢♢", E:E, "A1") + IF(E194="A1", COUNTIFS(F:F, "♢♢♢♢", E:E, E2), 0) - IF(E194="A1", COUNTIFS(F:F, "♢♢♢♢", E:E, "A1"), 0)))/100, 
   IF(F194="☆", ((N7 * 100) / (COUNTIFS(F:F, "☆", E:E, E194) + COUNTIFS(F:F, "☆", E:E, "A1") + IF(E194="A1", COUNTIFS(F:F, "☆", E:E, E2), 0) - IF(E194="A1", COUNTIFS(F:F, "☆", E:E, "A1"), 0)))/100, 
   IF(F194="☆☆", ((N8 * 100) / (COUNTIFS(F:F, "☆☆", E:E, E194) + COUNTIFS(F:F, "☆☆", E:E, "A1") + IF(E194="A1", COUNTIFS(F:F, "☆☆", E:E, E2), 0) - IF(E194="A1", COUNTIFS(F:F, "☆☆", E:E, "A1"), 0)))/100, 
   IF(F194="☆☆☆", ((N9 * 100) / (COUNTIFS(F:F, "☆☆☆", E:E, E194) + COUNTIFS(F:F, "☆☆☆", E:E, "A1") + IF(E194="A1", COUNTIFS(F:F, "☆☆☆", E:E, E2), 0) - IF(E194="A1", COUNTIFS(F:F, "☆☆☆", E:E, "A1"), 0)))/100, 
   IF(F194="♛", ((N10 * 100) / (COUNTIFS(F:F, "♛", E:E, E194) + COUNTIFS(F:F, "♛", E:E, "A1") + IF(E194="A1", COUNTIFS(F:F, "♛", E:E, E2), 0) - IF(E194="A1", COUNTIFS(F:F, "♛", E:E, "A1"), 0)))/100, "")))))))
</f>
        <v/>
      </c>
      <c r="J194" s="131"/>
      <c r="K194" s="247"/>
      <c r="L194" s="20"/>
      <c r="M194" s="20"/>
      <c r="N194" s="20"/>
      <c r="O194" s="249"/>
    </row>
    <row r="195">
      <c r="A195" s="125" t="b">
        <f t="shared" si="1"/>
        <v>0</v>
      </c>
      <c r="B195" s="126">
        <v>0.0</v>
      </c>
      <c r="C195" s="127" t="s">
        <v>503</v>
      </c>
      <c r="D195" s="127" t="s">
        <v>504</v>
      </c>
      <c r="E195" s="128" t="s">
        <v>31</v>
      </c>
      <c r="F195" s="127" t="s">
        <v>44</v>
      </c>
      <c r="G195" s="129">
        <f>IF(F195="♢", ((L3 * 100) / (COUNTIFS(F:F, "♢", E:E, E195) + COUNTIFS(F:F, "♢", E:E, "A1") + IF(E195="A1", COUNTIFS(F:F, "♢", E:E, E2), 0) - IF(E195="A1", COUNTIFS(F:F, "♢", E:E, "A1"), 0)))/100, "")
</f>
        <v>0.02</v>
      </c>
      <c r="H195" s="130" t="str">
        <f>IF(F195="♢♢", ((M4 * 100) / (COUNTIFS(F:F, "♢♢", E:E, E195) + COUNTIFS(F:F, "♢♢", E:E, "A1") + IF(E195="A1", COUNTIFS(F:F, "♢♢", E:E, E2), 0) - IF(E195="A1", COUNTIFS(F:F, "♢♢", E:E, "A1"), 0)))/100, 
   IF(F195="♢♢♢", ((M5 * 100) / (COUNTIFS(F:F, "♢♢♢", E:E, E195) + COUNTIFS(F:F, "♢♢♢", E:E, "A1") + IF(E195="A1", COUNTIFS(F:F, "♢♢♢", E:E, E2), 0) - IF(E195="A1", COUNTIFS(F:F, "♢♢♢", E:E, "A1"), 0)))/100, 
   IF(F195="♢♢♢♢", ((M6 * 100) / (COUNTIFS(F:F, "♢♢♢♢", E:E, E195) + COUNTIFS(F:F, "♢♢♢♢", E:E, "A1") + IF(E195="A1", COUNTIFS(F:F, "♢♢♢♢", E:E, E2), 0) - IF(E195="A1", COUNTIFS(F:F, "♢♢♢♢", E:E, "A1"), 0)))/100, 
   IF(F195="☆", ((M7 * 100) / (COUNTIFS(F:F, "☆", E:E, E195) + COUNTIFS(F:F, "☆", E:E, "A1") + IF(E195="A1", COUNTIFS(F:F, "☆", E:E, E2), 0) - IF(E195="A1", COUNTIFS(F:F, "☆", E:E, "A1"), 0)))/100, 
   IF(F195="☆☆", ((M8 * 100) / (COUNTIFS(F:F, "☆☆", E:E, E195) + COUNTIFS(F:F, "☆☆", E:E, "A1") + IF(E195="A1", COUNTIFS(F:F, "☆☆", E:E, E2), 0) - IF(E195="A1", COUNTIFS(F:F, "☆☆", E:E, "A1"), 0)))/100, 
   IF(F195="☆☆☆", ((M9 * 100) / (COUNTIFS(F:F, "☆☆☆", E:E, E195) + COUNTIFS(F:F, "☆☆☆", E:E, "A1") + IF(E195="A1", COUNTIFS(F:F, "☆☆☆", E:E, E2), 0) - IF(E195="A1", COUNTIFS(F:F, "☆☆☆", E:E, "A1"), 0)))/100, 
   IF(F195="♛", ((M10 * 100) / (COUNTIFS(F:F, "♛", E:E, E195) + COUNTIFS(F:F, "♛", E:E, "A1") + IF(E195="A1", COUNTIFS(F:F, "♛", E:E, E2), 0) - IF(E195="A1", COUNTIFS(F:F, "♛", E:E, "A1"), 0)))/100, "")))))))
</f>
        <v/>
      </c>
      <c r="I195" s="130" t="str">
        <f>IF(F195="♢♢", ((N4 * 100) / (COUNTIFS(F:F, "♢♢", E:E, E195) + COUNTIFS(F:F, "♢♢", E:E, "A1") + IF(E195="A1", COUNTIFS(F:F, "♢♢", E:E, E2), 0) - IF(E195="A1", COUNTIFS(F:F, "♢♢", E:E, "A1"), 0)))/100, 
   IF(F195="♢♢♢", ((N5 * 100) / (COUNTIFS(F:F, "♢♢♢", E:E, E195) + COUNTIFS(F:F, "♢♢♢", E:E, "A1") + IF(E195="A1", COUNTIFS(F:F, "♢♢♢", E:E, E2), 0) - IF(E195="A1", COUNTIFS(F:F, "♢♢♢", E:E, "A1"), 0)))/100, 
   IF(F195="♢♢♢♢", ((N6 * 100) / (COUNTIFS(F:F, "♢♢♢♢", E:E, E195) + COUNTIFS(F:F, "♢♢♢♢", E:E, "A1") + IF(E195="A1", COUNTIFS(F:F, "♢♢♢♢", E:E, E2), 0) - IF(E195="A1", COUNTIFS(F:F, "♢♢♢♢", E:E, "A1"), 0)))/100, 
   IF(F195="☆", ((N7 * 100) / (COUNTIFS(F:F, "☆", E:E, E195) + COUNTIFS(F:F, "☆", E:E, "A1") + IF(E195="A1", COUNTIFS(F:F, "☆", E:E, E2), 0) - IF(E195="A1", COUNTIFS(F:F, "☆", E:E, "A1"), 0)))/100, 
   IF(F195="☆☆", ((N8 * 100) / (COUNTIFS(F:F, "☆☆", E:E, E195) + COUNTIFS(F:F, "☆☆", E:E, "A1") + IF(E195="A1", COUNTIFS(F:F, "☆☆", E:E, E2), 0) - IF(E195="A1", COUNTIFS(F:F, "☆☆", E:E, "A1"), 0)))/100, 
   IF(F195="☆☆☆", ((N9 * 100) / (COUNTIFS(F:F, "☆☆☆", E:E, E195) + COUNTIFS(F:F, "☆☆☆", E:E, "A1") + IF(E195="A1", COUNTIFS(F:F, "☆☆☆", E:E, E2), 0) - IF(E195="A1", COUNTIFS(F:F, "☆☆☆", E:E, "A1"), 0)))/100, 
   IF(F195="♛", ((N10 * 100) / (COUNTIFS(F:F, "♛", E:E, E195) + COUNTIFS(F:F, "♛", E:E, "A1") + IF(E195="A1", COUNTIFS(F:F, "♛", E:E, E2), 0) - IF(E195="A1", COUNTIFS(F:F, "♛", E:E, "A1"), 0)))/100, "")))))))
</f>
        <v/>
      </c>
      <c r="J195" s="131"/>
      <c r="K195" s="247"/>
      <c r="L195" s="20"/>
      <c r="M195" s="20"/>
      <c r="N195" s="20"/>
      <c r="O195" s="249"/>
    </row>
    <row r="196">
      <c r="A196" s="125" t="b">
        <f t="shared" si="1"/>
        <v>0</v>
      </c>
      <c r="B196" s="126">
        <v>0.0</v>
      </c>
      <c r="C196" s="127" t="s">
        <v>505</v>
      </c>
      <c r="D196" s="128" t="s">
        <v>506</v>
      </c>
      <c r="E196" s="128" t="s">
        <v>31</v>
      </c>
      <c r="F196" s="127" t="s">
        <v>51</v>
      </c>
      <c r="G196" s="130" t="str">
        <f>IF(F196="♢", ((L3 * 100) / (COUNTIFS(F:F, "♢", E:E, E196) + COUNTIFS(F:F, "♢", E:E, "A1") + IF(E196="A1", COUNTIFS(F:F, "♢", E:E, E2), 0) - IF(E196="A1", COUNTIFS(F:F, "♢", E:E, "A1"), 0)))/100, "")
</f>
        <v/>
      </c>
      <c r="H196" s="129">
        <f>IF(F196="♢♢", ((M4 * 100) / (COUNTIFS(F:F, "♢♢", E:E, E196) + COUNTIFS(F:F, "♢♢", E:E, "A1") + IF(E196="A1", COUNTIFS(F:F, "♢♢", E:E, E2), 0) - IF(E196="A1", COUNTIFS(F:F, "♢♢", E:E, "A1"), 0)))/100, 
   IF(F196="♢♢♢", ((M5 * 100) / (COUNTIFS(F:F, "♢♢♢", E:E, E196) + COUNTIFS(F:F, "♢♢♢", E:E, "A1") + IF(E196="A1", COUNTIFS(F:F, "♢♢♢", E:E, E2), 0) - IF(E196="A1", COUNTIFS(F:F, "♢♢♢", E:E, "A1"), 0)))/100, 
   IF(F196="♢♢♢♢", ((M6 * 100) / (COUNTIFS(F:F, "♢♢♢♢", E:E, E196) + COUNTIFS(F:F, "♢♢♢♢", E:E, "A1") + IF(E196="A1", COUNTIFS(F:F, "♢♢♢♢", E:E, E2), 0) - IF(E196="A1", COUNTIFS(F:F, "♢♢♢♢", E:E, "A1"), 0)))/100, 
   IF(F196="☆", ((M7 * 100) / (COUNTIFS(F:F, "☆", E:E, E196) + COUNTIFS(F:F, "☆", E:E, "A1") + IF(E196="A1", COUNTIFS(F:F, "☆", E:E, E2), 0) - IF(E196="A1", COUNTIFS(F:F, "☆", E:E, "A1"), 0)))/100, 
   IF(F196="☆☆", ((M8 * 100) / (COUNTIFS(F:F, "☆☆", E:E, E196) + COUNTIFS(F:F, "☆☆", E:E, "A1") + IF(E196="A1", COUNTIFS(F:F, "☆☆", E:E, E2), 0) - IF(E196="A1", COUNTIFS(F:F, "☆☆", E:E, "A1"), 0)))/100, 
   IF(F196="☆☆☆", ((M9 * 100) / (COUNTIFS(F:F, "☆☆☆", E:E, E196) + COUNTIFS(F:F, "☆☆☆", E:E, "A1") + IF(E196="A1", COUNTIFS(F:F, "☆☆☆", E:E, E2), 0) - IF(E196="A1", COUNTIFS(F:F, "☆☆☆", E:E, "A1"), 0)))/100, 
   IF(F196="♛", ((M10 * 100) / (COUNTIFS(F:F, "♛", E:E, E196) + COUNTIFS(F:F, "♛", E:E, "A1") + IF(E196="A1", COUNTIFS(F:F, "♛", E:E, E2), 0) - IF(E196="A1", COUNTIFS(F:F, "♛", E:E, "A1"), 0)))/100, "")))))))
</f>
        <v>0.003332</v>
      </c>
      <c r="I196" s="129">
        <f>IF(F196="♢♢", ((N4 * 100) / (COUNTIFS(F:F, "♢♢", E:E, E196) + COUNTIFS(F:F, "♢♢", E:E, "A1") + IF(E196="A1", COUNTIFS(F:F, "♢♢", E:E, E2), 0) - IF(E196="A1", COUNTIFS(F:F, "♢♢", E:E, "A1"), 0)))/100, 
   IF(F196="♢♢♢", ((N5 * 100) / (COUNTIFS(F:F, "♢♢♢", E:E, E196) + COUNTIFS(F:F, "♢♢♢", E:E, "A1") + IF(E196="A1", COUNTIFS(F:F, "♢♢♢", E:E, E2), 0) - IF(E196="A1", COUNTIFS(F:F, "♢♢♢", E:E, "A1"), 0)))/100, 
   IF(F196="♢♢♢♢", ((N6 * 100) / (COUNTIFS(F:F, "♢♢♢♢", E:E, E196) + COUNTIFS(F:F, "♢♢♢♢", E:E, "A1") + IF(E196="A1", COUNTIFS(F:F, "♢♢♢♢", E:E, E2), 0) - IF(E196="A1", COUNTIFS(F:F, "♢♢♢♢", E:E, "A1"), 0)))/100, 
   IF(F196="☆", ((N7 * 100) / (COUNTIFS(F:F, "☆", E:E, E196) + COUNTIFS(F:F, "☆", E:E, "A1") + IF(E196="A1", COUNTIFS(F:F, "☆", E:E, E2), 0) - IF(E196="A1", COUNTIFS(F:F, "☆", E:E, "A1"), 0)))/100, 
   IF(F196="☆☆", ((N8 * 100) / (COUNTIFS(F:F, "☆☆", E:E, E196) + COUNTIFS(F:F, "☆☆", E:E, "A1") + IF(E196="A1", COUNTIFS(F:F, "☆☆", E:E, E2), 0) - IF(E196="A1", COUNTIFS(F:F, "☆☆", E:E, "A1"), 0)))/100, 
   IF(F196="☆☆☆", ((N9 * 100) / (COUNTIFS(F:F, "☆☆☆", E:E, E196) + COUNTIFS(F:F, "☆☆☆", E:E, "A1") + IF(E196="A1", COUNTIFS(F:F, "☆☆☆", E:E, E2), 0) - IF(E196="A1", COUNTIFS(F:F, "☆☆☆", E:E, "A1"), 0)))/100, 
   IF(F196="♛", ((N10 * 100) / (COUNTIFS(F:F, "♛", E:E, E196) + COUNTIFS(F:F, "♛", E:E, "A1") + IF(E196="A1", COUNTIFS(F:F, "♛", E:E, E2), 0) - IF(E196="A1", COUNTIFS(F:F, "♛", E:E, "A1"), 0)))/100, "")))))))
</f>
        <v>0.013328</v>
      </c>
      <c r="J196" s="131"/>
      <c r="K196" s="247"/>
      <c r="L196" s="20"/>
      <c r="M196" s="20"/>
      <c r="N196" s="20"/>
      <c r="O196" s="249"/>
    </row>
    <row r="197">
      <c r="A197" s="125" t="b">
        <f t="shared" si="1"/>
        <v>0</v>
      </c>
      <c r="B197" s="126">
        <v>0.0</v>
      </c>
      <c r="C197" s="127" t="s">
        <v>507</v>
      </c>
      <c r="D197" s="127" t="s">
        <v>508</v>
      </c>
      <c r="E197" s="128" t="s">
        <v>32</v>
      </c>
      <c r="F197" s="127" t="s">
        <v>44</v>
      </c>
      <c r="G197" s="129">
        <f>IF(F197="♢", ((L3 * 100) / (COUNTIFS(F:F, "♢", E:E, E197) + COUNTIFS(F:F, "♢", E:E, "A1") + IF(E197="A1", COUNTIFS(F:F, "♢", E:E, E2), 0) - IF(E197="A1", COUNTIFS(F:F, "♢", E:E, "A1"), 0)))/100, "")
</f>
        <v>0.02</v>
      </c>
      <c r="H197" s="130" t="str">
        <f>IF(F197="♢♢", ((M4 * 100) / (COUNTIFS(F:F, "♢♢", E:E, E197) + COUNTIFS(F:F, "♢♢", E:E, "A1") + IF(E197="A1", COUNTIFS(F:F, "♢♢", E:E, E2), 0) - IF(E197="A1", COUNTIFS(F:F, "♢♢", E:E, "A1"), 0)))/100, 
   IF(F197="♢♢♢", ((M5 * 100) / (COUNTIFS(F:F, "♢♢♢", E:E, E197) + COUNTIFS(F:F, "♢♢♢", E:E, "A1") + IF(E197="A1", COUNTIFS(F:F, "♢♢♢", E:E, E2), 0) - IF(E197="A1", COUNTIFS(F:F, "♢♢♢", E:E, "A1"), 0)))/100, 
   IF(F197="♢♢♢♢", ((M6 * 100) / (COUNTIFS(F:F, "♢♢♢♢", E:E, E197) + COUNTIFS(F:F, "♢♢♢♢", E:E, "A1") + IF(E197="A1", COUNTIFS(F:F, "♢♢♢♢", E:E, E2), 0) - IF(E197="A1", COUNTIFS(F:F, "♢♢♢♢", E:E, "A1"), 0)))/100, 
   IF(F197="☆", ((M7 * 100) / (COUNTIFS(F:F, "☆", E:E, E197) + COUNTIFS(F:F, "☆", E:E, "A1") + IF(E197="A1", COUNTIFS(F:F, "☆", E:E, E2), 0) - IF(E197="A1", COUNTIFS(F:F, "☆", E:E, "A1"), 0)))/100, 
   IF(F197="☆☆", ((M8 * 100) / (COUNTIFS(F:F, "☆☆", E:E, E197) + COUNTIFS(F:F, "☆☆", E:E, "A1") + IF(E197="A1", COUNTIFS(F:F, "☆☆", E:E, E2), 0) - IF(E197="A1", COUNTIFS(F:F, "☆☆", E:E, "A1"), 0)))/100, 
   IF(F197="☆☆☆", ((M9 * 100) / (COUNTIFS(F:F, "☆☆☆", E:E, E197) + COUNTIFS(F:F, "☆☆☆", E:E, "A1") + IF(E197="A1", COUNTIFS(F:F, "☆☆☆", E:E, E2), 0) - IF(E197="A1", COUNTIFS(F:F, "☆☆☆", E:E, "A1"), 0)))/100, 
   IF(F197="♛", ((M10 * 100) / (COUNTIFS(F:F, "♛", E:E, E197) + COUNTIFS(F:F, "♛", E:E, "A1") + IF(E197="A1", COUNTIFS(F:F, "♛", E:E, E2), 0) - IF(E197="A1", COUNTIFS(F:F, "♛", E:E, "A1"), 0)))/100, "")))))))
</f>
        <v/>
      </c>
      <c r="I197" s="130" t="str">
        <f>IF(F197="♢♢", ((N4 * 100) / (COUNTIFS(F:F, "♢♢", E:E, E197) + COUNTIFS(F:F, "♢♢", E:E, "A1") + IF(E197="A1", COUNTIFS(F:F, "♢♢", E:E, E2), 0) - IF(E197="A1", COUNTIFS(F:F, "♢♢", E:E, "A1"), 0)))/100, 
   IF(F197="♢♢♢", ((N5 * 100) / (COUNTIFS(F:F, "♢♢♢", E:E, E197) + COUNTIFS(F:F, "♢♢♢", E:E, "A1") + IF(E197="A1", COUNTIFS(F:F, "♢♢♢", E:E, E2), 0) - IF(E197="A1", COUNTIFS(F:F, "♢♢♢", E:E, "A1"), 0)))/100, 
   IF(F197="♢♢♢♢", ((N6 * 100) / (COUNTIFS(F:F, "♢♢♢♢", E:E, E197) + COUNTIFS(F:F, "♢♢♢♢", E:E, "A1") + IF(E197="A1", COUNTIFS(F:F, "♢♢♢♢", E:E, E2), 0) - IF(E197="A1", COUNTIFS(F:F, "♢♢♢♢", E:E, "A1"), 0)))/100, 
   IF(F197="☆", ((N7 * 100) / (COUNTIFS(F:F, "☆", E:E, E197) + COUNTIFS(F:F, "☆", E:E, "A1") + IF(E197="A1", COUNTIFS(F:F, "☆", E:E, E2), 0) - IF(E197="A1", COUNTIFS(F:F, "☆", E:E, "A1"), 0)))/100, 
   IF(F197="☆☆", ((N8 * 100) / (COUNTIFS(F:F, "☆☆", E:E, E197) + COUNTIFS(F:F, "☆☆", E:E, "A1") + IF(E197="A1", COUNTIFS(F:F, "☆☆", E:E, E2), 0) - IF(E197="A1", COUNTIFS(F:F, "☆☆", E:E, "A1"), 0)))/100, 
   IF(F197="☆☆☆", ((N9 * 100) / (COUNTIFS(F:F, "☆☆☆", E:E, E197) + COUNTIFS(F:F, "☆☆☆", E:E, "A1") + IF(E197="A1", COUNTIFS(F:F, "☆☆☆", E:E, E2), 0) - IF(E197="A1", COUNTIFS(F:F, "☆☆☆", E:E, "A1"), 0)))/100, 
   IF(F197="♛", ((N10 * 100) / (COUNTIFS(F:F, "♛", E:E, E197) + COUNTIFS(F:F, "♛", E:E, "A1") + IF(E197="A1", COUNTIFS(F:F, "♛", E:E, E2), 0) - IF(E197="A1", COUNTIFS(F:F, "♛", E:E, "A1"), 0)))/100, "")))))))
</f>
        <v/>
      </c>
      <c r="J197" s="131"/>
      <c r="K197" s="247"/>
      <c r="L197" s="20"/>
      <c r="M197" s="20"/>
      <c r="N197" s="20"/>
      <c r="O197" s="249"/>
    </row>
    <row r="198">
      <c r="A198" s="125" t="b">
        <f t="shared" si="1"/>
        <v>0</v>
      </c>
      <c r="B198" s="126">
        <v>0.0</v>
      </c>
      <c r="C198" s="127" t="s">
        <v>509</v>
      </c>
      <c r="D198" s="127" t="s">
        <v>510</v>
      </c>
      <c r="E198" s="128" t="s">
        <v>32</v>
      </c>
      <c r="F198" s="127" t="s">
        <v>46</v>
      </c>
      <c r="G198" s="130" t="str">
        <f>IF(F198="♢", ((L3 * 100) / (COUNTIFS(F:F, "♢", E:E, E198) + COUNTIFS(F:F, "♢", E:E, "A1") + IF(E198="A1", COUNTIFS(F:F, "♢", E:E, E2), 0) - IF(E198="A1", COUNTIFS(F:F, "♢", E:E, "A1"), 0)))/100, "")
</f>
        <v/>
      </c>
      <c r="H198" s="129">
        <f>IF(F198="♢♢", ((M4 * 100) / (COUNTIFS(F:F, "♢♢", E:E, E198) + COUNTIFS(F:F, "♢♢", E:E, "A1") + IF(E198="A1", COUNTIFS(F:F, "♢♢", E:E, E2), 0) - IF(E198="A1", COUNTIFS(F:F, "♢♢", E:E, "A1"), 0)))/100, 
   IF(F198="♢♢♢", ((M5 * 100) / (COUNTIFS(F:F, "♢♢♢", E:E, E198) + COUNTIFS(F:F, "♢♢♢", E:E, "A1") + IF(E198="A1", COUNTIFS(F:F, "♢♢♢", E:E, E2), 0) - IF(E198="A1", COUNTIFS(F:F, "♢♢♢", E:E, "A1"), 0)))/100, 
   IF(F198="♢♢♢♢", ((M6 * 100) / (COUNTIFS(F:F, "♢♢♢♢", E:E, E198) + COUNTIFS(F:F, "♢♢♢♢", E:E, "A1") + IF(E198="A1", COUNTIFS(F:F, "♢♢♢♢", E:E, E2), 0) - IF(E198="A1", COUNTIFS(F:F, "♢♢♢♢", E:E, "A1"), 0)))/100, 
   IF(F198="☆", ((M7 * 100) / (COUNTIFS(F:F, "☆", E:E, E198) + COUNTIFS(F:F, "☆", E:E, "A1") + IF(E198="A1", COUNTIFS(F:F, "☆", E:E, E2), 0) - IF(E198="A1", COUNTIFS(F:F, "☆", E:E, "A1"), 0)))/100, 
   IF(F198="☆☆", ((M8 * 100) / (COUNTIFS(F:F, "☆☆", E:E, E198) + COUNTIFS(F:F, "☆☆", E:E, "A1") + IF(E198="A1", COUNTIFS(F:F, "☆☆", E:E, E2), 0) - IF(E198="A1", COUNTIFS(F:F, "☆☆", E:E, "A1"), 0)))/100, 
   IF(F198="☆☆☆", ((M9 * 100) / (COUNTIFS(F:F, "☆☆☆", E:E, E198) + COUNTIFS(F:F, "☆☆☆", E:E, "A1") + IF(E198="A1", COUNTIFS(F:F, "☆☆☆", E:E, E2), 0) - IF(E198="A1", COUNTIFS(F:F, "☆☆☆", E:E, "A1"), 0)))/100, 
   IF(F198="♛", ((M10 * 100) / (COUNTIFS(F:F, "♛", E:E, E198) + COUNTIFS(F:F, "♛", E:E, "A1") + IF(E198="A1", COUNTIFS(F:F, "♛", E:E, E2), 0) - IF(E198="A1", COUNTIFS(F:F, "♛", E:E, "A1"), 0)))/100, "")))))))
</f>
        <v>0.02571428571</v>
      </c>
      <c r="I198" s="129">
        <f>IF(F198="♢♢", ((N4 * 100) / (COUNTIFS(F:F, "♢♢", E:E, E198) + COUNTIFS(F:F, "♢♢", E:E, "A1") + IF(E198="A1", COUNTIFS(F:F, "♢♢", E:E, E2), 0) - IF(E198="A1", COUNTIFS(F:F, "♢♢", E:E, "A1"), 0)))/100, 
   IF(F198="♢♢♢", ((N5 * 100) / (COUNTIFS(F:F, "♢♢♢", E:E, E198) + COUNTIFS(F:F, "♢♢♢", E:E, "A1") + IF(E198="A1", COUNTIFS(F:F, "♢♢♢", E:E, E2), 0) - IF(E198="A1", COUNTIFS(F:F, "♢♢♢", E:E, "A1"), 0)))/100, 
   IF(F198="♢♢♢♢", ((N6 * 100) / (COUNTIFS(F:F, "♢♢♢♢", E:E, E198) + COUNTIFS(F:F, "♢♢♢♢", E:E, "A1") + IF(E198="A1", COUNTIFS(F:F, "♢♢♢♢", E:E, E2), 0) - IF(E198="A1", COUNTIFS(F:F, "♢♢♢♢", E:E, "A1"), 0)))/100, 
   IF(F198="☆", ((N7 * 100) / (COUNTIFS(F:F, "☆", E:E, E198) + COUNTIFS(F:F, "☆", E:E, "A1") + IF(E198="A1", COUNTIFS(F:F, "☆", E:E, E2), 0) - IF(E198="A1", COUNTIFS(F:F, "☆", E:E, "A1"), 0)))/100, 
   IF(F198="☆☆", ((N8 * 100) / (COUNTIFS(F:F, "☆☆", E:E, E198) + COUNTIFS(F:F, "☆☆", E:E, "A1") + IF(E198="A1", COUNTIFS(F:F, "☆☆", E:E, E2), 0) - IF(E198="A1", COUNTIFS(F:F, "☆☆", E:E, "A1"), 0)))/100, 
   IF(F198="☆☆☆", ((N9 * 100) / (COUNTIFS(F:F, "☆☆☆", E:E, E198) + COUNTIFS(F:F, "☆☆☆", E:E, "A1") + IF(E198="A1", COUNTIFS(F:F, "☆☆☆", E:E, E2), 0) - IF(E198="A1", COUNTIFS(F:F, "☆☆☆", E:E, "A1"), 0)))/100, 
   IF(F198="♛", ((N10 * 100) / (COUNTIFS(F:F, "♛", E:E, E198) + COUNTIFS(F:F, "♛", E:E, "A1") + IF(E198="A1", COUNTIFS(F:F, "♛", E:E, E2), 0) - IF(E198="A1", COUNTIFS(F:F, "♛", E:E, "A1"), 0)))/100, "")))))))
</f>
        <v>0.01714285714</v>
      </c>
      <c r="J198" s="131"/>
      <c r="K198" s="247"/>
      <c r="L198" s="20"/>
      <c r="M198" s="20"/>
      <c r="N198" s="20"/>
      <c r="O198" s="249"/>
    </row>
    <row r="199">
      <c r="A199" s="125" t="b">
        <f t="shared" si="1"/>
        <v>0</v>
      </c>
      <c r="B199" s="126">
        <v>0.0</v>
      </c>
      <c r="C199" s="127" t="s">
        <v>511</v>
      </c>
      <c r="D199" s="127" t="s">
        <v>512</v>
      </c>
      <c r="E199" s="128" t="s">
        <v>137</v>
      </c>
      <c r="F199" s="127" t="s">
        <v>44</v>
      </c>
      <c r="G199" s="129">
        <f>IF(F199="♢", ((L3 * 100) / (COUNTIFS(F:F, "♢", E:E, E199) + COUNTIFS(F:F, "♢", E:E, "A1") + IF(E199="A1", COUNTIFS(F:F, "♢", E:E, E2), 0) - IF(E199="A1", COUNTIFS(F:F, "♢", E:E, "A1"), 0)))/100, "")
</f>
        <v>0.02</v>
      </c>
      <c r="H199" s="130" t="str">
        <f>IF(F199="♢♢", ((M4 * 100) / (COUNTIFS(F:F, "♢♢", E:E, E199) + COUNTIFS(F:F, "♢♢", E:E, "A1") + IF(E199="A1", COUNTIFS(F:F, "♢♢", E:E, E2), 0) - IF(E199="A1", COUNTIFS(F:F, "♢♢", E:E, "A1"), 0)))/100, 
   IF(F199="♢♢♢", ((M5 * 100) / (COUNTIFS(F:F, "♢♢♢", E:E, E199) + COUNTIFS(F:F, "♢♢♢", E:E, "A1") + IF(E199="A1", COUNTIFS(F:F, "♢♢♢", E:E, E2), 0) - IF(E199="A1", COUNTIFS(F:F, "♢♢♢", E:E, "A1"), 0)))/100, 
   IF(F199="♢♢♢♢", ((M6 * 100) / (COUNTIFS(F:F, "♢♢♢♢", E:E, E199) + COUNTIFS(F:F, "♢♢♢♢", E:E, "A1") + IF(E199="A1", COUNTIFS(F:F, "♢♢♢♢", E:E, E2), 0) - IF(E199="A1", COUNTIFS(F:F, "♢♢♢♢", E:E, "A1"), 0)))/100, 
   IF(F199="☆", ((M7 * 100) / (COUNTIFS(F:F, "☆", E:E, E199) + COUNTIFS(F:F, "☆", E:E, "A1") + IF(E199="A1", COUNTIFS(F:F, "☆", E:E, E2), 0) - IF(E199="A1", COUNTIFS(F:F, "☆", E:E, "A1"), 0)))/100, 
   IF(F199="☆☆", ((M8 * 100) / (COUNTIFS(F:F, "☆☆", E:E, E199) + COUNTIFS(F:F, "☆☆", E:E, "A1") + IF(E199="A1", COUNTIFS(F:F, "☆☆", E:E, E2), 0) - IF(E199="A1", COUNTIFS(F:F, "☆☆", E:E, "A1"), 0)))/100, 
   IF(F199="☆☆☆", ((M9 * 100) / (COUNTIFS(F:F, "☆☆☆", E:E, E199) + COUNTIFS(F:F, "☆☆☆", E:E, "A1") + IF(E199="A1", COUNTIFS(F:F, "☆☆☆", E:E, E2), 0) - IF(E199="A1", COUNTIFS(F:F, "☆☆☆", E:E, "A1"), 0)))/100, 
   IF(F199="♛", ((M10 * 100) / (COUNTIFS(F:F, "♛", E:E, E199) + COUNTIFS(F:F, "♛", E:E, "A1") + IF(E199="A1", COUNTIFS(F:F, "♛", E:E, E2), 0) - IF(E199="A1", COUNTIFS(F:F, "♛", E:E, "A1"), 0)))/100, "")))))))
</f>
        <v/>
      </c>
      <c r="I199" s="130" t="str">
        <f>IF(F199="♢♢", ((N4 * 100) / (COUNTIFS(F:F, "♢♢", E:E, E199) + COUNTIFS(F:F, "♢♢", E:E, "A1") + IF(E199="A1", COUNTIFS(F:F, "♢♢", E:E, E2), 0) - IF(E199="A1", COUNTIFS(F:F, "♢♢", E:E, "A1"), 0)))/100, 
   IF(F199="♢♢♢", ((N5 * 100) / (COUNTIFS(F:F, "♢♢♢", E:E, E199) + COUNTIFS(F:F, "♢♢♢", E:E, "A1") + IF(E199="A1", COUNTIFS(F:F, "♢♢♢", E:E, E2), 0) - IF(E199="A1", COUNTIFS(F:F, "♢♢♢", E:E, "A1"), 0)))/100, 
   IF(F199="♢♢♢♢", ((N6 * 100) / (COUNTIFS(F:F, "♢♢♢♢", E:E, E199) + COUNTIFS(F:F, "♢♢♢♢", E:E, "A1") + IF(E199="A1", COUNTIFS(F:F, "♢♢♢♢", E:E, E2), 0) - IF(E199="A1", COUNTIFS(F:F, "♢♢♢♢", E:E, "A1"), 0)))/100, 
   IF(F199="☆", ((N7 * 100) / (COUNTIFS(F:F, "☆", E:E, E199) + COUNTIFS(F:F, "☆", E:E, "A1") + IF(E199="A1", COUNTIFS(F:F, "☆", E:E, E2), 0) - IF(E199="A1", COUNTIFS(F:F, "☆", E:E, "A1"), 0)))/100, 
   IF(F199="☆☆", ((N8 * 100) / (COUNTIFS(F:F, "☆☆", E:E, E199) + COUNTIFS(F:F, "☆☆", E:E, "A1") + IF(E199="A1", COUNTIFS(F:F, "☆☆", E:E, E2), 0) - IF(E199="A1", COUNTIFS(F:F, "☆☆", E:E, "A1"), 0)))/100, 
   IF(F199="☆☆☆", ((N9 * 100) / (COUNTIFS(F:F, "☆☆☆", E:E, E199) + COUNTIFS(F:F, "☆☆☆", E:E, "A1") + IF(E199="A1", COUNTIFS(F:F, "☆☆☆", E:E, E2), 0) - IF(E199="A1", COUNTIFS(F:F, "☆☆☆", E:E, "A1"), 0)))/100, 
   IF(F199="♛", ((N10 * 100) / (COUNTIFS(F:F, "♛", E:E, E199) + COUNTIFS(F:F, "♛", E:E, "A1") + IF(E199="A1", COUNTIFS(F:F, "♛", E:E, E2), 0) - IF(E199="A1", COUNTIFS(F:F, "♛", E:E, "A1"), 0)))/100, "")))))))
</f>
        <v/>
      </c>
      <c r="J199" s="131"/>
      <c r="K199" s="247"/>
      <c r="L199" s="20"/>
      <c r="M199" s="20"/>
      <c r="N199" s="20"/>
      <c r="O199" s="249"/>
    </row>
    <row r="200">
      <c r="A200" s="125" t="b">
        <f t="shared" si="1"/>
        <v>0</v>
      </c>
      <c r="B200" s="126">
        <v>0.0</v>
      </c>
      <c r="C200" s="127" t="s">
        <v>513</v>
      </c>
      <c r="D200" s="127" t="s">
        <v>514</v>
      </c>
      <c r="E200" s="128" t="s">
        <v>137</v>
      </c>
      <c r="F200" s="127" t="s">
        <v>44</v>
      </c>
      <c r="G200" s="129">
        <f>IF(F200="♢", ((L3 * 100) / (COUNTIFS(F:F, "♢", E:E, E200) + COUNTIFS(F:F, "♢", E:E, "A1") + IF(E200="A1", COUNTIFS(F:F, "♢", E:E, E2), 0) - IF(E200="A1", COUNTIFS(F:F, "♢", E:E, "A1"), 0)))/100, "")
</f>
        <v>0.02</v>
      </c>
      <c r="H200" s="130" t="str">
        <f>IF(F200="♢♢", ((M4 * 100) / (COUNTIFS(F:F, "♢♢", E:E, E200) + COUNTIFS(F:F, "♢♢", E:E, "A1") + IF(E200="A1", COUNTIFS(F:F, "♢♢", E:E, E2), 0) - IF(E200="A1", COUNTIFS(F:F, "♢♢", E:E, "A1"), 0)))/100, 
   IF(F200="♢♢♢", ((M5 * 100) / (COUNTIFS(F:F, "♢♢♢", E:E, E200) + COUNTIFS(F:F, "♢♢♢", E:E, "A1") + IF(E200="A1", COUNTIFS(F:F, "♢♢♢", E:E, E2), 0) - IF(E200="A1", COUNTIFS(F:F, "♢♢♢", E:E, "A1"), 0)))/100, 
   IF(F200="♢♢♢♢", ((M6 * 100) / (COUNTIFS(F:F, "♢♢♢♢", E:E, E200) + COUNTIFS(F:F, "♢♢♢♢", E:E, "A1") + IF(E200="A1", COUNTIFS(F:F, "♢♢♢♢", E:E, E2), 0) - IF(E200="A1", COUNTIFS(F:F, "♢♢♢♢", E:E, "A1"), 0)))/100, 
   IF(F200="☆", ((M7 * 100) / (COUNTIFS(F:F, "☆", E:E, E200) + COUNTIFS(F:F, "☆", E:E, "A1") + IF(E200="A1", COUNTIFS(F:F, "☆", E:E, E2), 0) - IF(E200="A1", COUNTIFS(F:F, "☆", E:E, "A1"), 0)))/100, 
   IF(F200="☆☆", ((M8 * 100) / (COUNTIFS(F:F, "☆☆", E:E, E200) + COUNTIFS(F:F, "☆☆", E:E, "A1") + IF(E200="A1", COUNTIFS(F:F, "☆☆", E:E, E2), 0) - IF(E200="A1", COUNTIFS(F:F, "☆☆", E:E, "A1"), 0)))/100, 
   IF(F200="☆☆☆", ((M9 * 100) / (COUNTIFS(F:F, "☆☆☆", E:E, E200) + COUNTIFS(F:F, "☆☆☆", E:E, "A1") + IF(E200="A1", COUNTIFS(F:F, "☆☆☆", E:E, E2), 0) - IF(E200="A1", COUNTIFS(F:F, "☆☆☆", E:E, "A1"), 0)))/100, 
   IF(F200="♛", ((M10 * 100) / (COUNTIFS(F:F, "♛", E:E, E200) + COUNTIFS(F:F, "♛", E:E, "A1") + IF(E200="A1", COUNTIFS(F:F, "♛", E:E, E2), 0) - IF(E200="A1", COUNTIFS(F:F, "♛", E:E, "A1"), 0)))/100, "")))))))
</f>
        <v/>
      </c>
      <c r="I200" s="130" t="str">
        <f>IF(F200="♢♢", ((N4 * 100) / (COUNTIFS(F:F, "♢♢", E:E, E200) + COUNTIFS(F:F, "♢♢", E:E, "A1") + IF(E200="A1", COUNTIFS(F:F, "♢♢", E:E, E2), 0) - IF(E200="A1", COUNTIFS(F:F, "♢♢", E:E, "A1"), 0)))/100, 
   IF(F200="♢♢♢", ((N5 * 100) / (COUNTIFS(F:F, "♢♢♢", E:E, E200) + COUNTIFS(F:F, "♢♢♢", E:E, "A1") + IF(E200="A1", COUNTIFS(F:F, "♢♢♢", E:E, E2), 0) - IF(E200="A1", COUNTIFS(F:F, "♢♢♢", E:E, "A1"), 0)))/100, 
   IF(F200="♢♢♢♢", ((N6 * 100) / (COUNTIFS(F:F, "♢♢♢♢", E:E, E200) + COUNTIFS(F:F, "♢♢♢♢", E:E, "A1") + IF(E200="A1", COUNTIFS(F:F, "♢♢♢♢", E:E, E2), 0) - IF(E200="A1", COUNTIFS(F:F, "♢♢♢♢", E:E, "A1"), 0)))/100, 
   IF(F200="☆", ((N7 * 100) / (COUNTIFS(F:F, "☆", E:E, E200) + COUNTIFS(F:F, "☆", E:E, "A1") + IF(E200="A1", COUNTIFS(F:F, "☆", E:E, E2), 0) - IF(E200="A1", COUNTIFS(F:F, "☆", E:E, "A1"), 0)))/100, 
   IF(F200="☆☆", ((N8 * 100) / (COUNTIFS(F:F, "☆☆", E:E, E200) + COUNTIFS(F:F, "☆☆", E:E, "A1") + IF(E200="A1", COUNTIFS(F:F, "☆☆", E:E, E2), 0) - IF(E200="A1", COUNTIFS(F:F, "☆☆", E:E, "A1"), 0)))/100, 
   IF(F200="☆☆☆", ((N9 * 100) / (COUNTIFS(F:F, "☆☆☆", E:E, E200) + COUNTIFS(F:F, "☆☆☆", E:E, "A1") + IF(E200="A1", COUNTIFS(F:F, "☆☆☆", E:E, E2), 0) - IF(E200="A1", COUNTIFS(F:F, "☆☆☆", E:E, "A1"), 0)))/100, 
   IF(F200="♛", ((N10 * 100) / (COUNTIFS(F:F, "♛", E:E, E200) + COUNTIFS(F:F, "♛", E:E, "A1") + IF(E200="A1", COUNTIFS(F:F, "♛", E:E, E2), 0) - IF(E200="A1", COUNTIFS(F:F, "♛", E:E, "A1"), 0)))/100, "")))))))
</f>
        <v/>
      </c>
      <c r="J200" s="131"/>
      <c r="K200" s="247"/>
      <c r="L200" s="20"/>
      <c r="M200" s="20"/>
      <c r="N200" s="20"/>
      <c r="O200" s="249"/>
    </row>
    <row r="201">
      <c r="A201" s="125" t="b">
        <f t="shared" si="1"/>
        <v>0</v>
      </c>
      <c r="B201" s="126">
        <v>0.0</v>
      </c>
      <c r="C201" s="127" t="s">
        <v>515</v>
      </c>
      <c r="D201" s="127" t="s">
        <v>516</v>
      </c>
      <c r="E201" s="128" t="s">
        <v>137</v>
      </c>
      <c r="F201" s="127" t="s">
        <v>46</v>
      </c>
      <c r="G201" s="130" t="str">
        <f>IF(F201="♢", ((L3 * 100) / (COUNTIFS(F:F, "♢", E:E, E201) + COUNTIFS(F:F, "♢", E:E, "A1") + IF(E201="A1", COUNTIFS(F:F, "♢", E:E, E2), 0) - IF(E201="A1", COUNTIFS(F:F, "♢", E:E, "A1"), 0)))/100, "")
</f>
        <v/>
      </c>
      <c r="H201" s="129">
        <f>IF(F201="♢♢", ((M4 * 100) / (COUNTIFS(F:F, "♢♢", E:E, E201) + COUNTIFS(F:F, "♢♢", E:E, "A1") + IF(E201="A1", COUNTIFS(F:F, "♢♢", E:E, E2), 0) - IF(E201="A1", COUNTIFS(F:F, "♢♢", E:E, "A1"), 0)))/100, 
   IF(F201="♢♢♢", ((M5 * 100) / (COUNTIFS(F:F, "♢♢♢", E:E, E201) + COUNTIFS(F:F, "♢♢♢", E:E, "A1") + IF(E201="A1", COUNTIFS(F:F, "♢♢♢", E:E, E2), 0) - IF(E201="A1", COUNTIFS(F:F, "♢♢♢", E:E, "A1"), 0)))/100, 
   IF(F201="♢♢♢♢", ((M6 * 100) / (COUNTIFS(F:F, "♢♢♢♢", E:E, E201) + COUNTIFS(F:F, "♢♢♢♢", E:E, "A1") + IF(E201="A1", COUNTIFS(F:F, "♢♢♢♢", E:E, E2), 0) - IF(E201="A1", COUNTIFS(F:F, "♢♢♢♢", E:E, "A1"), 0)))/100, 
   IF(F201="☆", ((M7 * 100) / (COUNTIFS(F:F, "☆", E:E, E201) + COUNTIFS(F:F, "☆", E:E, "A1") + IF(E201="A1", COUNTIFS(F:F, "☆", E:E, E2), 0) - IF(E201="A1", COUNTIFS(F:F, "☆", E:E, "A1"), 0)))/100, 
   IF(F201="☆☆", ((M8 * 100) / (COUNTIFS(F:F, "☆☆", E:E, E201) + COUNTIFS(F:F, "☆☆", E:E, "A1") + IF(E201="A1", COUNTIFS(F:F, "☆☆", E:E, E2), 0) - IF(E201="A1", COUNTIFS(F:F, "☆☆", E:E, "A1"), 0)))/100, 
   IF(F201="☆☆☆", ((M9 * 100) / (COUNTIFS(F:F, "☆☆☆", E:E, E201) + COUNTIFS(F:F, "☆☆☆", E:E, "A1") + IF(E201="A1", COUNTIFS(F:F, "☆☆☆", E:E, E2), 0) - IF(E201="A1", COUNTIFS(F:F, "☆☆☆", E:E, "A1"), 0)))/100, 
   IF(F201="♛", ((M10 * 100) / (COUNTIFS(F:F, "♛", E:E, E201) + COUNTIFS(F:F, "♛", E:E, "A1") + IF(E201="A1", COUNTIFS(F:F, "♛", E:E, E2), 0) - IF(E201="A1", COUNTIFS(F:F, "♛", E:E, "A1"), 0)))/100, "")))))))
</f>
        <v>0.02571428571</v>
      </c>
      <c r="I201" s="129">
        <f>IF(F201="♢♢", ((N4 * 100) / (COUNTIFS(F:F, "♢♢", E:E, E201) + COUNTIFS(F:F, "♢♢", E:E, "A1") + IF(E201="A1", COUNTIFS(F:F, "♢♢", E:E, E2), 0) - IF(E201="A1", COUNTIFS(F:F, "♢♢", E:E, "A1"), 0)))/100, 
   IF(F201="♢♢♢", ((N5 * 100) / (COUNTIFS(F:F, "♢♢♢", E:E, E201) + COUNTIFS(F:F, "♢♢♢", E:E, "A1") + IF(E201="A1", COUNTIFS(F:F, "♢♢♢", E:E, E2), 0) - IF(E201="A1", COUNTIFS(F:F, "♢♢♢", E:E, "A1"), 0)))/100, 
   IF(F201="♢♢♢♢", ((N6 * 100) / (COUNTIFS(F:F, "♢♢♢♢", E:E, E201) + COUNTIFS(F:F, "♢♢♢♢", E:E, "A1") + IF(E201="A1", COUNTIFS(F:F, "♢♢♢♢", E:E, E2), 0) - IF(E201="A1", COUNTIFS(F:F, "♢♢♢♢", E:E, "A1"), 0)))/100, 
   IF(F201="☆", ((N7 * 100) / (COUNTIFS(F:F, "☆", E:E, E201) + COUNTIFS(F:F, "☆", E:E, "A1") + IF(E201="A1", COUNTIFS(F:F, "☆", E:E, E2), 0) - IF(E201="A1", COUNTIFS(F:F, "☆", E:E, "A1"), 0)))/100, 
   IF(F201="☆☆", ((N8 * 100) / (COUNTIFS(F:F, "☆☆", E:E, E201) + COUNTIFS(F:F, "☆☆", E:E, "A1") + IF(E201="A1", COUNTIFS(F:F, "☆☆", E:E, E2), 0) - IF(E201="A1", COUNTIFS(F:F, "☆☆", E:E, "A1"), 0)))/100, 
   IF(F201="☆☆☆", ((N9 * 100) / (COUNTIFS(F:F, "☆☆☆", E:E, E201) + COUNTIFS(F:F, "☆☆☆", E:E, "A1") + IF(E201="A1", COUNTIFS(F:F, "☆☆☆", E:E, E2), 0) - IF(E201="A1", COUNTIFS(F:F, "☆☆☆", E:E, "A1"), 0)))/100, 
   IF(F201="♛", ((N10 * 100) / (COUNTIFS(F:F, "♛", E:E, E201) + COUNTIFS(F:F, "♛", E:E, "A1") + IF(E201="A1", COUNTIFS(F:F, "♛", E:E, E2), 0) - IF(E201="A1", COUNTIFS(F:F, "♛", E:E, "A1"), 0)))/100, "")))))))
</f>
        <v>0.01714285714</v>
      </c>
      <c r="J201" s="131"/>
      <c r="K201" s="247"/>
      <c r="L201" s="20"/>
      <c r="M201" s="20"/>
      <c r="N201" s="20"/>
      <c r="O201" s="249"/>
    </row>
    <row r="202">
      <c r="A202" s="125" t="b">
        <f t="shared" si="1"/>
        <v>0</v>
      </c>
      <c r="B202" s="126">
        <v>0.0</v>
      </c>
      <c r="C202" s="127" t="s">
        <v>517</v>
      </c>
      <c r="D202" s="127" t="s">
        <v>518</v>
      </c>
      <c r="E202" s="128" t="s">
        <v>29</v>
      </c>
      <c r="F202" s="127" t="s">
        <v>46</v>
      </c>
      <c r="G202" s="130" t="str">
        <f>IF(F202="♢", ((L3 * 100) / (COUNTIFS(F:F, "♢", E:E, E202) + COUNTIFS(F:F, "♢", E:E, "A1") + IF(E202="A1", COUNTIFS(F:F, "♢", E:E, E2), 0) - IF(E202="A1", COUNTIFS(F:F, "♢", E:E, "A1"), 0)))/100, "")
</f>
        <v/>
      </c>
      <c r="H202" s="129">
        <f>IF(F202="♢♢", ((M4 * 100) / (COUNTIFS(F:F, "♢♢", E:E, E202) + COUNTIFS(F:F, "♢♢", E:E, "A1") + IF(E202="A1", COUNTIFS(F:F, "♢♢", E:E, E2), 0) - IF(E202="A1", COUNTIFS(F:F, "♢♢", E:E, "A1"), 0)))/100, 
   IF(F202="♢♢♢", ((M5 * 100) / (COUNTIFS(F:F, "♢♢♢", E:E, E202) + COUNTIFS(F:F, "♢♢♢", E:E, "A1") + IF(E202="A1", COUNTIFS(F:F, "♢♢♢", E:E, E2), 0) - IF(E202="A1", COUNTIFS(F:F, "♢♢♢", E:E, "A1"), 0)))/100, 
   IF(F202="♢♢♢♢", ((M6 * 100) / (COUNTIFS(F:F, "♢♢♢♢", E:E, E202) + COUNTIFS(F:F, "♢♢♢♢", E:E, "A1") + IF(E202="A1", COUNTIFS(F:F, "♢♢♢♢", E:E, E2), 0) - IF(E202="A1", COUNTIFS(F:F, "♢♢♢♢", E:E, "A1"), 0)))/100, 
   IF(F202="☆", ((M7 * 100) / (COUNTIFS(F:F, "☆", E:E, E202) + COUNTIFS(F:F, "☆", E:E, "A1") + IF(E202="A1", COUNTIFS(F:F, "☆", E:E, E2), 0) - IF(E202="A1", COUNTIFS(F:F, "☆", E:E, "A1"), 0)))/100, 
   IF(F202="☆☆", ((M8 * 100) / (COUNTIFS(F:F, "☆☆", E:E, E202) + COUNTIFS(F:F, "☆☆", E:E, "A1") + IF(E202="A1", COUNTIFS(F:F, "☆☆", E:E, E2), 0) - IF(E202="A1", COUNTIFS(F:F, "☆☆", E:E, "A1"), 0)))/100, 
   IF(F202="☆☆☆", ((M9 * 100) / (COUNTIFS(F:F, "☆☆☆", E:E, E202) + COUNTIFS(F:F, "☆☆☆", E:E, "A1") + IF(E202="A1", COUNTIFS(F:F, "☆☆☆", E:E, E2), 0) - IF(E202="A1", COUNTIFS(F:F, "☆☆☆", E:E, "A1"), 0)))/100, 
   IF(F202="♛", ((M10 * 100) / (COUNTIFS(F:F, "♛", E:E, E202) + COUNTIFS(F:F, "♛", E:E, "A1") + IF(E202="A1", COUNTIFS(F:F, "♛", E:E, E2), 0) - IF(E202="A1", COUNTIFS(F:F, "♛", E:E, "A1"), 0)))/100, "")))))))
</f>
        <v>0.02571428571</v>
      </c>
      <c r="I202" s="129">
        <f>IF(F202="♢♢", ((N4 * 100) / (COUNTIFS(F:F, "♢♢", E:E, E202) + COUNTIFS(F:F, "♢♢", E:E, "A1") + IF(E202="A1", COUNTIFS(F:F, "♢♢", E:E, E2), 0) - IF(E202="A1", COUNTIFS(F:F, "♢♢", E:E, "A1"), 0)))/100, 
   IF(F202="♢♢♢", ((N5 * 100) / (COUNTIFS(F:F, "♢♢♢", E:E, E202) + COUNTIFS(F:F, "♢♢♢", E:E, "A1") + IF(E202="A1", COUNTIFS(F:F, "♢♢♢", E:E, E2), 0) - IF(E202="A1", COUNTIFS(F:F, "♢♢♢", E:E, "A1"), 0)))/100, 
   IF(F202="♢♢♢♢", ((N6 * 100) / (COUNTIFS(F:F, "♢♢♢♢", E:E, E202) + COUNTIFS(F:F, "♢♢♢♢", E:E, "A1") + IF(E202="A1", COUNTIFS(F:F, "♢♢♢♢", E:E, E2), 0) - IF(E202="A1", COUNTIFS(F:F, "♢♢♢♢", E:E, "A1"), 0)))/100, 
   IF(F202="☆", ((N7 * 100) / (COUNTIFS(F:F, "☆", E:E, E202) + COUNTIFS(F:F, "☆", E:E, "A1") + IF(E202="A1", COUNTIFS(F:F, "☆", E:E, E2), 0) - IF(E202="A1", COUNTIFS(F:F, "☆", E:E, "A1"), 0)))/100, 
   IF(F202="☆☆", ((N8 * 100) / (COUNTIFS(F:F, "☆☆", E:E, E202) + COUNTIFS(F:F, "☆☆", E:E, "A1") + IF(E202="A1", COUNTIFS(F:F, "☆☆", E:E, E2), 0) - IF(E202="A1", COUNTIFS(F:F, "☆☆", E:E, "A1"), 0)))/100, 
   IF(F202="☆☆☆", ((N9 * 100) / (COUNTIFS(F:F, "☆☆☆", E:E, E202) + COUNTIFS(F:F, "☆☆☆", E:E, "A1") + IF(E202="A1", COUNTIFS(F:F, "☆☆☆", E:E, E2), 0) - IF(E202="A1", COUNTIFS(F:F, "☆☆☆", E:E, "A1"), 0)))/100, 
   IF(F202="♛", ((N10 * 100) / (COUNTIFS(F:F, "♛", E:E, E202) + COUNTIFS(F:F, "♛", E:E, "A1") + IF(E202="A1", COUNTIFS(F:F, "♛", E:E, E2), 0) - IF(E202="A1", COUNTIFS(F:F, "♛", E:E, "A1"), 0)))/100, "")))))))
</f>
        <v>0.01714285714</v>
      </c>
      <c r="J202" s="131"/>
      <c r="K202" s="247"/>
      <c r="L202" s="20"/>
      <c r="M202" s="20"/>
      <c r="N202" s="20"/>
      <c r="O202" s="249"/>
    </row>
    <row r="203">
      <c r="A203" s="125" t="b">
        <f t="shared" si="1"/>
        <v>0</v>
      </c>
      <c r="B203" s="126">
        <v>0.0</v>
      </c>
      <c r="C203" s="127" t="s">
        <v>519</v>
      </c>
      <c r="D203" s="127" t="s">
        <v>520</v>
      </c>
      <c r="E203" s="128" t="s">
        <v>31</v>
      </c>
      <c r="F203" s="127" t="s">
        <v>46</v>
      </c>
      <c r="G203" s="130" t="str">
        <f>IF(F203="♢", ((L3 * 100) / (COUNTIFS(F:F, "♢", E:E, E203) + COUNTIFS(F:F, "♢", E:E, "A1") + IF(E203="A1", COUNTIFS(F:F, "♢", E:E, E2), 0) - IF(E203="A1", COUNTIFS(F:F, "♢", E:E, "A1"), 0)))/100, "")
</f>
        <v/>
      </c>
      <c r="H203" s="129">
        <f>IF(F203="♢♢", ((M4 * 100) / (COUNTIFS(F:F, "♢♢", E:E, E203) + COUNTIFS(F:F, "♢♢", E:E, "A1") + IF(E203="A1", COUNTIFS(F:F, "♢♢", E:E, E2), 0) - IF(E203="A1", COUNTIFS(F:F, "♢♢", E:E, "A1"), 0)))/100, 
   IF(F203="♢♢♢", ((M5 * 100) / (COUNTIFS(F:F, "♢♢♢", E:E, E203) + COUNTIFS(F:F, "♢♢♢", E:E, "A1") + IF(E203="A1", COUNTIFS(F:F, "♢♢♢", E:E, E2), 0) - IF(E203="A1", COUNTIFS(F:F, "♢♢♢", E:E, "A1"), 0)))/100, 
   IF(F203="♢♢♢♢", ((M6 * 100) / (COUNTIFS(F:F, "♢♢♢♢", E:E, E203) + COUNTIFS(F:F, "♢♢♢♢", E:E, "A1") + IF(E203="A1", COUNTIFS(F:F, "♢♢♢♢", E:E, E2), 0) - IF(E203="A1", COUNTIFS(F:F, "♢♢♢♢", E:E, "A1"), 0)))/100, 
   IF(F203="☆", ((M7 * 100) / (COUNTIFS(F:F, "☆", E:E, E203) + COUNTIFS(F:F, "☆", E:E, "A1") + IF(E203="A1", COUNTIFS(F:F, "☆", E:E, E2), 0) - IF(E203="A1", COUNTIFS(F:F, "☆", E:E, "A1"), 0)))/100, 
   IF(F203="☆☆", ((M8 * 100) / (COUNTIFS(F:F, "☆☆", E:E, E203) + COUNTIFS(F:F, "☆☆", E:E, "A1") + IF(E203="A1", COUNTIFS(F:F, "☆☆", E:E, E2), 0) - IF(E203="A1", COUNTIFS(F:F, "☆☆", E:E, "A1"), 0)))/100, 
   IF(F203="☆☆☆", ((M9 * 100) / (COUNTIFS(F:F, "☆☆☆", E:E, E203) + COUNTIFS(F:F, "☆☆☆", E:E, "A1") + IF(E203="A1", COUNTIFS(F:F, "☆☆☆", E:E, E2), 0) - IF(E203="A1", COUNTIFS(F:F, "☆☆☆", E:E, "A1"), 0)))/100, 
   IF(F203="♛", ((M10 * 100) / (COUNTIFS(F:F, "♛", E:E, E203) + COUNTIFS(F:F, "♛", E:E, "A1") + IF(E203="A1", COUNTIFS(F:F, "♛", E:E, E2), 0) - IF(E203="A1", COUNTIFS(F:F, "♛", E:E, "A1"), 0)))/100, "")))))))
</f>
        <v>0.02571428571</v>
      </c>
      <c r="I203" s="129">
        <f>IF(F203="♢♢", ((N4 * 100) / (COUNTIFS(F:F, "♢♢", E:E, E203) + COUNTIFS(F:F, "♢♢", E:E, "A1") + IF(E203="A1", COUNTIFS(F:F, "♢♢", E:E, E2), 0) - IF(E203="A1", COUNTIFS(F:F, "♢♢", E:E, "A1"), 0)))/100, 
   IF(F203="♢♢♢", ((N5 * 100) / (COUNTIFS(F:F, "♢♢♢", E:E, E203) + COUNTIFS(F:F, "♢♢♢", E:E, "A1") + IF(E203="A1", COUNTIFS(F:F, "♢♢♢", E:E, E2), 0) - IF(E203="A1", COUNTIFS(F:F, "♢♢♢", E:E, "A1"), 0)))/100, 
   IF(F203="♢♢♢♢", ((N6 * 100) / (COUNTIFS(F:F, "♢♢♢♢", E:E, E203) + COUNTIFS(F:F, "♢♢♢♢", E:E, "A1") + IF(E203="A1", COUNTIFS(F:F, "♢♢♢♢", E:E, E2), 0) - IF(E203="A1", COUNTIFS(F:F, "♢♢♢♢", E:E, "A1"), 0)))/100, 
   IF(F203="☆", ((N7 * 100) / (COUNTIFS(F:F, "☆", E:E, E203) + COUNTIFS(F:F, "☆", E:E, "A1") + IF(E203="A1", COUNTIFS(F:F, "☆", E:E, E2), 0) - IF(E203="A1", COUNTIFS(F:F, "☆", E:E, "A1"), 0)))/100, 
   IF(F203="☆☆", ((N8 * 100) / (COUNTIFS(F:F, "☆☆", E:E, E203) + COUNTIFS(F:F, "☆☆", E:E, "A1") + IF(E203="A1", COUNTIFS(F:F, "☆☆", E:E, E2), 0) - IF(E203="A1", COUNTIFS(F:F, "☆☆", E:E, "A1"), 0)))/100, 
   IF(F203="☆☆☆", ((N9 * 100) / (COUNTIFS(F:F, "☆☆☆", E:E, E203) + COUNTIFS(F:F, "☆☆☆", E:E, "A1") + IF(E203="A1", COUNTIFS(F:F, "☆☆☆", E:E, E2), 0) - IF(E203="A1", COUNTIFS(F:F, "☆☆☆", E:E, "A1"), 0)))/100, 
   IF(F203="♛", ((N10 * 100) / (COUNTIFS(F:F, "♛", E:E, E203) + COUNTIFS(F:F, "♛", E:E, "A1") + IF(E203="A1", COUNTIFS(F:F, "♛", E:E, E2), 0) - IF(E203="A1", COUNTIFS(F:F, "♛", E:E, "A1"), 0)))/100, "")))))))
</f>
        <v>0.01714285714</v>
      </c>
      <c r="J203" s="131"/>
      <c r="K203" s="247"/>
      <c r="L203" s="20"/>
      <c r="M203" s="20"/>
      <c r="N203" s="20"/>
      <c r="O203" s="249"/>
    </row>
    <row r="204">
      <c r="A204" s="125" t="b">
        <f t="shared" si="1"/>
        <v>0</v>
      </c>
      <c r="B204" s="126">
        <v>0.0</v>
      </c>
      <c r="C204" s="127" t="s">
        <v>521</v>
      </c>
      <c r="D204" s="127" t="s">
        <v>522</v>
      </c>
      <c r="E204" s="128" t="s">
        <v>32</v>
      </c>
      <c r="F204" s="127" t="s">
        <v>48</v>
      </c>
      <c r="G204" s="130" t="str">
        <f>IF(F204="♢", ((L3 * 100) / (COUNTIFS(F:F, "♢", E:E, E204) + COUNTIFS(F:F, "♢", E:E, "A1") + IF(E204="A1", COUNTIFS(F:F, "♢", E:E, E2), 0) - IF(E204="A1", COUNTIFS(F:F, "♢", E:E, "A1"), 0)))/100, "")
</f>
        <v/>
      </c>
      <c r="H204" s="129">
        <f>IF(F204="♢♢", ((M4 * 100) / (COUNTIFS(F:F, "♢♢", E:E, E204) + COUNTIFS(F:F, "♢♢", E:E, "A1") + IF(E204="A1", COUNTIFS(F:F, "♢♢", E:E, E2), 0) - IF(E204="A1", COUNTIFS(F:F, "♢♢", E:E, "A1"), 0)))/100, 
   IF(F204="♢♢♢", ((M5 * 100) / (COUNTIFS(F:F, "♢♢♢", E:E, E204) + COUNTIFS(F:F, "♢♢♢", E:E, "A1") + IF(E204="A1", COUNTIFS(F:F, "♢♢♢", E:E, E2), 0) - IF(E204="A1", COUNTIFS(F:F, "♢♢♢", E:E, "A1"), 0)))/100, 
   IF(F204="♢♢♢♢", ((M6 * 100) / (COUNTIFS(F:F, "♢♢♢♢", E:E, E204) + COUNTIFS(F:F, "♢♢♢♢", E:E, "A1") + IF(E204="A1", COUNTIFS(F:F, "♢♢♢♢", E:E, E2), 0) - IF(E204="A1", COUNTIFS(F:F, "♢♢♢♢", E:E, "A1"), 0)))/100, 
   IF(F204="☆", ((M7 * 100) / (COUNTIFS(F:F, "☆", E:E, E204) + COUNTIFS(F:F, "☆", E:E, "A1") + IF(E204="A1", COUNTIFS(F:F, "☆", E:E, E2), 0) - IF(E204="A1", COUNTIFS(F:F, "☆", E:E, "A1"), 0)))/100, 
   IF(F204="☆☆", ((M8 * 100) / (COUNTIFS(F:F, "☆☆", E:E, E204) + COUNTIFS(F:F, "☆☆", E:E, "A1") + IF(E204="A1", COUNTIFS(F:F, "☆☆", E:E, E2), 0) - IF(E204="A1", COUNTIFS(F:F, "☆☆", E:E, "A1"), 0)))/100, 
   IF(F204="☆☆☆", ((M9 * 100) / (COUNTIFS(F:F, "☆☆☆", E:E, E204) + COUNTIFS(F:F, "☆☆☆", E:E, "A1") + IF(E204="A1", COUNTIFS(F:F, "☆☆☆", E:E, E2), 0) - IF(E204="A1", COUNTIFS(F:F, "☆☆☆", E:E, "A1"), 0)))/100, 
   IF(F204="♛", ((M10 * 100) / (COUNTIFS(F:F, "♛", E:E, E204) + COUNTIFS(F:F, "♛", E:E, "A1") + IF(E204="A1", COUNTIFS(F:F, "♛", E:E, E2), 0) - IF(E204="A1", COUNTIFS(F:F, "♛", E:E, "A1"), 0)))/100, "")))))))
</f>
        <v>0.003571428571</v>
      </c>
      <c r="I204" s="129">
        <f>IF(F204="♢♢", ((N4 * 100) / (COUNTIFS(F:F, "♢♢", E:E, E204) + COUNTIFS(F:F, "♢♢", E:E, "A1") + IF(E204="A1", COUNTIFS(F:F, "♢♢", E:E, E2), 0) - IF(E204="A1", COUNTIFS(F:F, "♢♢", E:E, "A1"), 0)))/100, 
   IF(F204="♢♢♢", ((N5 * 100) / (COUNTIFS(F:F, "♢♢♢", E:E, E204) + COUNTIFS(F:F, "♢♢♢", E:E, "A1") + IF(E204="A1", COUNTIFS(F:F, "♢♢♢", E:E, E2), 0) - IF(E204="A1", COUNTIFS(F:F, "♢♢♢", E:E, "A1"), 0)))/100, 
   IF(F204="♢♢♢♢", ((N6 * 100) / (COUNTIFS(F:F, "♢♢♢♢", E:E, E204) + COUNTIFS(F:F, "♢♢♢♢", E:E, "A1") + IF(E204="A1", COUNTIFS(F:F, "♢♢♢♢", E:E, E2), 0) - IF(E204="A1", COUNTIFS(F:F, "♢♢♢♢", E:E, "A1"), 0)))/100, 
   IF(F204="☆", ((N7 * 100) / (COUNTIFS(F:F, "☆", E:E, E204) + COUNTIFS(F:F, "☆", E:E, "A1") + IF(E204="A1", COUNTIFS(F:F, "☆", E:E, E2), 0) - IF(E204="A1", COUNTIFS(F:F, "☆", E:E, "A1"), 0)))/100, 
   IF(F204="☆☆", ((N8 * 100) / (COUNTIFS(F:F, "☆☆", E:E, E204) + COUNTIFS(F:F, "☆☆", E:E, "A1") + IF(E204="A1", COUNTIFS(F:F, "☆☆", E:E, E2), 0) - IF(E204="A1", COUNTIFS(F:F, "☆☆", E:E, "A1"), 0)))/100, 
   IF(F204="☆☆☆", ((N9 * 100) / (COUNTIFS(F:F, "☆☆☆", E:E, E204) + COUNTIFS(F:F, "☆☆☆", E:E, "A1") + IF(E204="A1", COUNTIFS(F:F, "☆☆☆", E:E, E2), 0) - IF(E204="A1", COUNTIFS(F:F, "☆☆☆", E:E, "A1"), 0)))/100, 
   IF(F204="♛", ((N10 * 100) / (COUNTIFS(F:F, "♛", E:E, E204) + COUNTIFS(F:F, "♛", E:E, "A1") + IF(E204="A1", COUNTIFS(F:F, "♛", E:E, E2), 0) - IF(E204="A1", COUNTIFS(F:F, "♛", E:E, "A1"), 0)))/100, "")))))))
</f>
        <v>0.01428571429</v>
      </c>
      <c r="J204" s="131"/>
      <c r="K204" s="247"/>
      <c r="L204" s="20"/>
      <c r="M204" s="20"/>
      <c r="N204" s="20"/>
      <c r="O204" s="249"/>
    </row>
    <row r="205">
      <c r="A205" s="125" t="b">
        <f t="shared" si="1"/>
        <v>0</v>
      </c>
      <c r="B205" s="126">
        <v>0.0</v>
      </c>
      <c r="C205" s="127" t="s">
        <v>523</v>
      </c>
      <c r="D205" s="127" t="s">
        <v>524</v>
      </c>
      <c r="E205" s="128" t="s">
        <v>32</v>
      </c>
      <c r="F205" s="127" t="s">
        <v>46</v>
      </c>
      <c r="G205" s="130" t="str">
        <f>IF(F205="♢", ((L3 * 100) / (COUNTIFS(F:F, "♢", E:E, E205) + COUNTIFS(F:F, "♢", E:E, "A1") + IF(E205="A1", COUNTIFS(F:F, "♢", E:E, E2), 0) - IF(E205="A1", COUNTIFS(F:F, "♢", E:E, "A1"), 0)))/100, "")
</f>
        <v/>
      </c>
      <c r="H205" s="129">
        <f>IF(F205="♢♢", ((M4 * 100) / (COUNTIFS(F:F, "♢♢", E:E, E205) + COUNTIFS(F:F, "♢♢", E:E, "A1") + IF(E205="A1", COUNTIFS(F:F, "♢♢", E:E, E2), 0) - IF(E205="A1", COUNTIFS(F:F, "♢♢", E:E, "A1"), 0)))/100, 
   IF(F205="♢♢♢", ((M5 * 100) / (COUNTIFS(F:F, "♢♢♢", E:E, E205) + COUNTIFS(F:F, "♢♢♢", E:E, "A1") + IF(E205="A1", COUNTIFS(F:F, "♢♢♢", E:E, E2), 0) - IF(E205="A1", COUNTIFS(F:F, "♢♢♢", E:E, "A1"), 0)))/100, 
   IF(F205="♢♢♢♢", ((M6 * 100) / (COUNTIFS(F:F, "♢♢♢♢", E:E, E205) + COUNTIFS(F:F, "♢♢♢♢", E:E, "A1") + IF(E205="A1", COUNTIFS(F:F, "♢♢♢♢", E:E, E2), 0) - IF(E205="A1", COUNTIFS(F:F, "♢♢♢♢", E:E, "A1"), 0)))/100, 
   IF(F205="☆", ((M7 * 100) / (COUNTIFS(F:F, "☆", E:E, E205) + COUNTIFS(F:F, "☆", E:E, "A1") + IF(E205="A1", COUNTIFS(F:F, "☆", E:E, E2), 0) - IF(E205="A1", COUNTIFS(F:F, "☆", E:E, "A1"), 0)))/100, 
   IF(F205="☆☆", ((M8 * 100) / (COUNTIFS(F:F, "☆☆", E:E, E205) + COUNTIFS(F:F, "☆☆", E:E, "A1") + IF(E205="A1", COUNTIFS(F:F, "☆☆", E:E, E2), 0) - IF(E205="A1", COUNTIFS(F:F, "☆☆", E:E, "A1"), 0)))/100, 
   IF(F205="☆☆☆", ((M9 * 100) / (COUNTIFS(F:F, "☆☆☆", E:E, E205) + COUNTIFS(F:F, "☆☆☆", E:E, "A1") + IF(E205="A1", COUNTIFS(F:F, "☆☆☆", E:E, E2), 0) - IF(E205="A1", COUNTIFS(F:F, "☆☆☆", E:E, "A1"), 0)))/100, 
   IF(F205="♛", ((M10 * 100) / (COUNTIFS(F:F, "♛", E:E, E205) + COUNTIFS(F:F, "♛", E:E, "A1") + IF(E205="A1", COUNTIFS(F:F, "♛", E:E, E2), 0) - IF(E205="A1", COUNTIFS(F:F, "♛", E:E, "A1"), 0)))/100, "")))))))
</f>
        <v>0.02571428571</v>
      </c>
      <c r="I205" s="129">
        <f>IF(F205="♢♢", ((N4 * 100) / (COUNTIFS(F:F, "♢♢", E:E, E205) + COUNTIFS(F:F, "♢♢", E:E, "A1") + IF(E205="A1", COUNTIFS(F:F, "♢♢", E:E, E2), 0) - IF(E205="A1", COUNTIFS(F:F, "♢♢", E:E, "A1"), 0)))/100, 
   IF(F205="♢♢♢", ((N5 * 100) / (COUNTIFS(F:F, "♢♢♢", E:E, E205) + COUNTIFS(F:F, "♢♢♢", E:E, "A1") + IF(E205="A1", COUNTIFS(F:F, "♢♢♢", E:E, E2), 0) - IF(E205="A1", COUNTIFS(F:F, "♢♢♢", E:E, "A1"), 0)))/100, 
   IF(F205="♢♢♢♢", ((N6 * 100) / (COUNTIFS(F:F, "♢♢♢♢", E:E, E205) + COUNTIFS(F:F, "♢♢♢♢", E:E, "A1") + IF(E205="A1", COUNTIFS(F:F, "♢♢♢♢", E:E, E2), 0) - IF(E205="A1", COUNTIFS(F:F, "♢♢♢♢", E:E, "A1"), 0)))/100, 
   IF(F205="☆", ((N7 * 100) / (COUNTIFS(F:F, "☆", E:E, E205) + COUNTIFS(F:F, "☆", E:E, "A1") + IF(E205="A1", COUNTIFS(F:F, "☆", E:E, E2), 0) - IF(E205="A1", COUNTIFS(F:F, "☆", E:E, "A1"), 0)))/100, 
   IF(F205="☆☆", ((N8 * 100) / (COUNTIFS(F:F, "☆☆", E:E, E205) + COUNTIFS(F:F, "☆☆", E:E, "A1") + IF(E205="A1", COUNTIFS(F:F, "☆☆", E:E, E2), 0) - IF(E205="A1", COUNTIFS(F:F, "☆☆", E:E, "A1"), 0)))/100, 
   IF(F205="☆☆☆", ((N9 * 100) / (COUNTIFS(F:F, "☆☆☆", E:E, E205) + COUNTIFS(F:F, "☆☆☆", E:E, "A1") + IF(E205="A1", COUNTIFS(F:F, "☆☆☆", E:E, E2), 0) - IF(E205="A1", COUNTIFS(F:F, "☆☆☆", E:E, "A1"), 0)))/100, 
   IF(F205="♛", ((N10 * 100) / (COUNTIFS(F:F, "♛", E:E, E205) + COUNTIFS(F:F, "♛", E:E, "A1") + IF(E205="A1", COUNTIFS(F:F, "♛", E:E, E2), 0) - IF(E205="A1", COUNTIFS(F:F, "♛", E:E, "A1"), 0)))/100, "")))))))
</f>
        <v>0.01714285714</v>
      </c>
      <c r="J205" s="131"/>
      <c r="K205" s="247"/>
      <c r="L205" s="20"/>
      <c r="M205" s="20"/>
      <c r="N205" s="20"/>
      <c r="O205" s="249"/>
    </row>
    <row r="206">
      <c r="A206" s="125" t="b">
        <f t="shared" si="1"/>
        <v>0</v>
      </c>
      <c r="B206" s="126">
        <v>0.0</v>
      </c>
      <c r="C206" s="127" t="s">
        <v>525</v>
      </c>
      <c r="D206" s="127" t="s">
        <v>526</v>
      </c>
      <c r="E206" s="128" t="s">
        <v>29</v>
      </c>
      <c r="F206" s="127" t="s">
        <v>48</v>
      </c>
      <c r="G206" s="130" t="str">
        <f>IF(F206="♢", ((L3 * 100) / (COUNTIFS(F:F, "♢", E:E, E206) + COUNTIFS(F:F, "♢", E:E, "A1") + IF(E206="A1", COUNTIFS(F:F, "♢", E:E, E2), 0) - IF(E206="A1", COUNTIFS(F:F, "♢", E:E, "A1"), 0)))/100, "")
</f>
        <v/>
      </c>
      <c r="H206" s="129">
        <f>IF(F206="♢♢", ((M4 * 100) / (COUNTIFS(F:F, "♢♢", E:E, E206) + COUNTIFS(F:F, "♢♢", E:E, "A1") + IF(E206="A1", COUNTIFS(F:F, "♢♢", E:E, E2), 0) - IF(E206="A1", COUNTIFS(F:F, "♢♢", E:E, "A1"), 0)))/100, 
   IF(F206="♢♢♢", ((M5 * 100) / (COUNTIFS(F:F, "♢♢♢", E:E, E206) + COUNTIFS(F:F, "♢♢♢", E:E, "A1") + IF(E206="A1", COUNTIFS(F:F, "♢♢♢", E:E, E2), 0) - IF(E206="A1", COUNTIFS(F:F, "♢♢♢", E:E, "A1"), 0)))/100, 
   IF(F206="♢♢♢♢", ((M6 * 100) / (COUNTIFS(F:F, "♢♢♢♢", E:E, E206) + COUNTIFS(F:F, "♢♢♢♢", E:E, "A1") + IF(E206="A1", COUNTIFS(F:F, "♢♢♢♢", E:E, E2), 0) - IF(E206="A1", COUNTIFS(F:F, "♢♢♢♢", E:E, "A1"), 0)))/100, 
   IF(F206="☆", ((M7 * 100) / (COUNTIFS(F:F, "☆", E:E, E206) + COUNTIFS(F:F, "☆", E:E, "A1") + IF(E206="A1", COUNTIFS(F:F, "☆", E:E, E2), 0) - IF(E206="A1", COUNTIFS(F:F, "☆", E:E, "A1"), 0)))/100, 
   IF(F206="☆☆", ((M8 * 100) / (COUNTIFS(F:F, "☆☆", E:E, E206) + COUNTIFS(F:F, "☆☆", E:E, "A1") + IF(E206="A1", COUNTIFS(F:F, "☆☆", E:E, E2), 0) - IF(E206="A1", COUNTIFS(F:F, "☆☆", E:E, "A1"), 0)))/100, 
   IF(F206="☆☆☆", ((M9 * 100) / (COUNTIFS(F:F, "☆☆☆", E:E, E206) + COUNTIFS(F:F, "☆☆☆", E:E, "A1") + IF(E206="A1", COUNTIFS(F:F, "☆☆☆", E:E, E2), 0) - IF(E206="A1", COUNTIFS(F:F, "☆☆☆", E:E, "A1"), 0)))/100, 
   IF(F206="♛", ((M10 * 100) / (COUNTIFS(F:F, "♛", E:E, E206) + COUNTIFS(F:F, "♛", E:E, "A1") + IF(E206="A1", COUNTIFS(F:F, "♛", E:E, E2), 0) - IF(E206="A1", COUNTIFS(F:F, "♛", E:E, "A1"), 0)))/100, "")))))))
</f>
        <v>0.003571428571</v>
      </c>
      <c r="I206" s="129">
        <f>IF(F206="♢♢", ((N4 * 100) / (COUNTIFS(F:F, "♢♢", E:E, E206) + COUNTIFS(F:F, "♢♢", E:E, "A1") + IF(E206="A1", COUNTIFS(F:F, "♢♢", E:E, E2), 0) - IF(E206="A1", COUNTIFS(F:F, "♢♢", E:E, "A1"), 0)))/100, 
   IF(F206="♢♢♢", ((N5 * 100) / (COUNTIFS(F:F, "♢♢♢", E:E, E206) + COUNTIFS(F:F, "♢♢♢", E:E, "A1") + IF(E206="A1", COUNTIFS(F:F, "♢♢♢", E:E, E2), 0) - IF(E206="A1", COUNTIFS(F:F, "♢♢♢", E:E, "A1"), 0)))/100, 
   IF(F206="♢♢♢♢", ((N6 * 100) / (COUNTIFS(F:F, "♢♢♢♢", E:E, E206) + COUNTIFS(F:F, "♢♢♢♢", E:E, "A1") + IF(E206="A1", COUNTIFS(F:F, "♢♢♢♢", E:E, E2), 0) - IF(E206="A1", COUNTIFS(F:F, "♢♢♢♢", E:E, "A1"), 0)))/100, 
   IF(F206="☆", ((N7 * 100) / (COUNTIFS(F:F, "☆", E:E, E206) + COUNTIFS(F:F, "☆", E:E, "A1") + IF(E206="A1", COUNTIFS(F:F, "☆", E:E, E2), 0) - IF(E206="A1", COUNTIFS(F:F, "☆", E:E, "A1"), 0)))/100, 
   IF(F206="☆☆", ((N8 * 100) / (COUNTIFS(F:F, "☆☆", E:E, E206) + COUNTIFS(F:F, "☆☆", E:E, "A1") + IF(E206="A1", COUNTIFS(F:F, "☆☆", E:E, E2), 0) - IF(E206="A1", COUNTIFS(F:F, "☆☆", E:E, "A1"), 0)))/100, 
   IF(F206="☆☆☆", ((N9 * 100) / (COUNTIFS(F:F, "☆☆☆", E:E, E206) + COUNTIFS(F:F, "☆☆☆", E:E, "A1") + IF(E206="A1", COUNTIFS(F:F, "☆☆☆", E:E, E2), 0) - IF(E206="A1", COUNTIFS(F:F, "☆☆☆", E:E, "A1"), 0)))/100, 
   IF(F206="♛", ((N10 * 100) / (COUNTIFS(F:F, "♛", E:E, E206) + COUNTIFS(F:F, "♛", E:E, "A1") + IF(E206="A1", COUNTIFS(F:F, "♛", E:E, E2), 0) - IF(E206="A1", COUNTIFS(F:F, "♛", E:E, "A1"), 0)))/100, "")))))))
</f>
        <v>0.01428571429</v>
      </c>
      <c r="J206" s="131"/>
      <c r="K206" s="247"/>
      <c r="L206" s="20"/>
      <c r="M206" s="20"/>
      <c r="N206" s="20"/>
      <c r="O206" s="249"/>
    </row>
    <row r="207">
      <c r="A207" s="125" t="b">
        <f t="shared" si="1"/>
        <v>0</v>
      </c>
      <c r="B207" s="126">
        <v>0.0</v>
      </c>
      <c r="C207" s="127" t="s">
        <v>527</v>
      </c>
      <c r="D207" s="127" t="s">
        <v>528</v>
      </c>
      <c r="E207" s="128" t="s">
        <v>32</v>
      </c>
      <c r="F207" s="127" t="s">
        <v>44</v>
      </c>
      <c r="G207" s="129">
        <f>IF(F207="♢", ((L3 * 100) / (COUNTIFS(F:F, "♢", E:E, E207) + COUNTIFS(F:F, "♢", E:E, "A1") + IF(E207="A1", COUNTIFS(F:F, "♢", E:E, E2), 0) - IF(E207="A1", COUNTIFS(F:F, "♢", E:E, "A1"), 0)))/100, "")
</f>
        <v>0.02</v>
      </c>
      <c r="H207" s="130" t="str">
        <f>IF(F207="♢♢", ((M4 * 100) / (COUNTIFS(F:F, "♢♢", E:E, E207) + COUNTIFS(F:F, "♢♢", E:E, "A1") + IF(E207="A1", COUNTIFS(F:F, "♢♢", E:E, E2), 0) - IF(E207="A1", COUNTIFS(F:F, "♢♢", E:E, "A1"), 0)))/100, 
   IF(F207="♢♢♢", ((M5 * 100) / (COUNTIFS(F:F, "♢♢♢", E:E, E207) + COUNTIFS(F:F, "♢♢♢", E:E, "A1") + IF(E207="A1", COUNTIFS(F:F, "♢♢♢", E:E, E2), 0) - IF(E207="A1", COUNTIFS(F:F, "♢♢♢", E:E, "A1"), 0)))/100, 
   IF(F207="♢♢♢♢", ((M6 * 100) / (COUNTIFS(F:F, "♢♢♢♢", E:E, E207) + COUNTIFS(F:F, "♢♢♢♢", E:E, "A1") + IF(E207="A1", COUNTIFS(F:F, "♢♢♢♢", E:E, E2), 0) - IF(E207="A1", COUNTIFS(F:F, "♢♢♢♢", E:E, "A1"), 0)))/100, 
   IF(F207="☆", ((M7 * 100) / (COUNTIFS(F:F, "☆", E:E, E207) + COUNTIFS(F:F, "☆", E:E, "A1") + IF(E207="A1", COUNTIFS(F:F, "☆", E:E, E2), 0) - IF(E207="A1", COUNTIFS(F:F, "☆", E:E, "A1"), 0)))/100, 
   IF(F207="☆☆", ((M8 * 100) / (COUNTIFS(F:F, "☆☆", E:E, E207) + COUNTIFS(F:F, "☆☆", E:E, "A1") + IF(E207="A1", COUNTIFS(F:F, "☆☆", E:E, E2), 0) - IF(E207="A1", COUNTIFS(F:F, "☆☆", E:E, "A1"), 0)))/100, 
   IF(F207="☆☆☆", ((M9 * 100) / (COUNTIFS(F:F, "☆☆☆", E:E, E207) + COUNTIFS(F:F, "☆☆☆", E:E, "A1") + IF(E207="A1", COUNTIFS(F:F, "☆☆☆", E:E, E2), 0) - IF(E207="A1", COUNTIFS(F:F, "☆☆☆", E:E, "A1"), 0)))/100, 
   IF(F207="♛", ((M10 * 100) / (COUNTIFS(F:F, "♛", E:E, E207) + COUNTIFS(F:F, "♛", E:E, "A1") + IF(E207="A1", COUNTIFS(F:F, "♛", E:E, E2), 0) - IF(E207="A1", COUNTIFS(F:F, "♛", E:E, "A1"), 0)))/100, "")))))))
</f>
        <v/>
      </c>
      <c r="I207" s="130" t="str">
        <f>IF(F207="♢♢", ((N4 * 100) / (COUNTIFS(F:F, "♢♢", E:E, E207) + COUNTIFS(F:F, "♢♢", E:E, "A1") + IF(E207="A1", COUNTIFS(F:F, "♢♢", E:E, E2), 0) - IF(E207="A1", COUNTIFS(F:F, "♢♢", E:E, "A1"), 0)))/100, 
   IF(F207="♢♢♢", ((N5 * 100) / (COUNTIFS(F:F, "♢♢♢", E:E, E207) + COUNTIFS(F:F, "♢♢♢", E:E, "A1") + IF(E207="A1", COUNTIFS(F:F, "♢♢♢", E:E, E2), 0) - IF(E207="A1", COUNTIFS(F:F, "♢♢♢", E:E, "A1"), 0)))/100, 
   IF(F207="♢♢♢♢", ((N6 * 100) / (COUNTIFS(F:F, "♢♢♢♢", E:E, E207) + COUNTIFS(F:F, "♢♢♢♢", E:E, "A1") + IF(E207="A1", COUNTIFS(F:F, "♢♢♢♢", E:E, E2), 0) - IF(E207="A1", COUNTIFS(F:F, "♢♢♢♢", E:E, "A1"), 0)))/100, 
   IF(F207="☆", ((N7 * 100) / (COUNTIFS(F:F, "☆", E:E, E207) + COUNTIFS(F:F, "☆", E:E, "A1") + IF(E207="A1", COUNTIFS(F:F, "☆", E:E, E2), 0) - IF(E207="A1", COUNTIFS(F:F, "☆", E:E, "A1"), 0)))/100, 
   IF(F207="☆☆", ((N8 * 100) / (COUNTIFS(F:F, "☆☆", E:E, E207) + COUNTIFS(F:F, "☆☆", E:E, "A1") + IF(E207="A1", COUNTIFS(F:F, "☆☆", E:E, E2), 0) - IF(E207="A1", COUNTIFS(F:F, "☆☆", E:E, "A1"), 0)))/100, 
   IF(F207="☆☆☆", ((N9 * 100) / (COUNTIFS(F:F, "☆☆☆", E:E, E207) + COUNTIFS(F:F, "☆☆☆", E:E, "A1") + IF(E207="A1", COUNTIFS(F:F, "☆☆☆", E:E, E2), 0) - IF(E207="A1", COUNTIFS(F:F, "☆☆☆", E:E, "A1"), 0)))/100, 
   IF(F207="♛", ((N10 * 100) / (COUNTIFS(F:F, "♛", E:E, E207) + COUNTIFS(F:F, "♛", E:E, "A1") + IF(E207="A1", COUNTIFS(F:F, "♛", E:E, E2), 0) - IF(E207="A1", COUNTIFS(F:F, "♛", E:E, "A1"), 0)))/100, "")))))))
</f>
        <v/>
      </c>
      <c r="J207" s="131"/>
      <c r="K207" s="247"/>
      <c r="L207" s="20"/>
      <c r="M207" s="20"/>
      <c r="N207" s="20"/>
      <c r="O207" s="249"/>
    </row>
    <row r="208">
      <c r="A208" s="125" t="b">
        <f t="shared" si="1"/>
        <v>0</v>
      </c>
      <c r="B208" s="126">
        <v>0.0</v>
      </c>
      <c r="C208" s="127" t="s">
        <v>529</v>
      </c>
      <c r="D208" s="127" t="s">
        <v>528</v>
      </c>
      <c r="E208" s="128" t="s">
        <v>29</v>
      </c>
      <c r="F208" s="127" t="s">
        <v>44</v>
      </c>
      <c r="G208" s="129">
        <f>IF(F208="♢", ((L3 * 100) / (COUNTIFS(F:F, "♢", E:E, E208) + COUNTIFS(F:F, "♢", E:E, "A1") + IF(E208="A1", COUNTIFS(F:F, "♢", E:E, E2), 0) - IF(E208="A1", COUNTIFS(F:F, "♢", E:E, "A1"), 0)))/100, "")
</f>
        <v>0.02</v>
      </c>
      <c r="H208" s="130" t="str">
        <f>IF(F208="♢♢", ((M4 * 100) / (COUNTIFS(F:F, "♢♢", E:E, E208) + COUNTIFS(F:F, "♢♢", E:E, "A1") + IF(E208="A1", COUNTIFS(F:F, "♢♢", E:E, E2), 0) - IF(E208="A1", COUNTIFS(F:F, "♢♢", E:E, "A1"), 0)))/100, 
   IF(F208="♢♢♢", ((M5 * 100) / (COUNTIFS(F:F, "♢♢♢", E:E, E208) + COUNTIFS(F:F, "♢♢♢", E:E, "A1") + IF(E208="A1", COUNTIFS(F:F, "♢♢♢", E:E, E2), 0) - IF(E208="A1", COUNTIFS(F:F, "♢♢♢", E:E, "A1"), 0)))/100, 
   IF(F208="♢♢♢♢", ((M6 * 100) / (COUNTIFS(F:F, "♢♢♢♢", E:E, E208) + COUNTIFS(F:F, "♢♢♢♢", E:E, "A1") + IF(E208="A1", COUNTIFS(F:F, "♢♢♢♢", E:E, E2), 0) - IF(E208="A1", COUNTIFS(F:F, "♢♢♢♢", E:E, "A1"), 0)))/100, 
   IF(F208="☆", ((M7 * 100) / (COUNTIFS(F:F, "☆", E:E, E208) + COUNTIFS(F:F, "☆", E:E, "A1") + IF(E208="A1", COUNTIFS(F:F, "☆", E:E, E2), 0) - IF(E208="A1", COUNTIFS(F:F, "☆", E:E, "A1"), 0)))/100, 
   IF(F208="☆☆", ((M8 * 100) / (COUNTIFS(F:F, "☆☆", E:E, E208) + COUNTIFS(F:F, "☆☆", E:E, "A1") + IF(E208="A1", COUNTIFS(F:F, "☆☆", E:E, E2), 0) - IF(E208="A1", COUNTIFS(F:F, "☆☆", E:E, "A1"), 0)))/100, 
   IF(F208="☆☆☆", ((M9 * 100) / (COUNTIFS(F:F, "☆☆☆", E:E, E208) + COUNTIFS(F:F, "☆☆☆", E:E, "A1") + IF(E208="A1", COUNTIFS(F:F, "☆☆☆", E:E, E2), 0) - IF(E208="A1", COUNTIFS(F:F, "☆☆☆", E:E, "A1"), 0)))/100, 
   IF(F208="♛", ((M10 * 100) / (COUNTIFS(F:F, "♛", E:E, E208) + COUNTIFS(F:F, "♛", E:E, "A1") + IF(E208="A1", COUNTIFS(F:F, "♛", E:E, E2), 0) - IF(E208="A1", COUNTIFS(F:F, "♛", E:E, "A1"), 0)))/100, "")))))))
</f>
        <v/>
      </c>
      <c r="I208" s="130" t="str">
        <f>IF(F208="♢♢", ((N4 * 100) / (COUNTIFS(F:F, "♢♢", E:E, E208) + COUNTIFS(F:F, "♢♢", E:E, "A1") + IF(E208="A1", COUNTIFS(F:F, "♢♢", E:E, E2), 0) - IF(E208="A1", COUNTIFS(F:F, "♢♢", E:E, "A1"), 0)))/100, 
   IF(F208="♢♢♢", ((N5 * 100) / (COUNTIFS(F:F, "♢♢♢", E:E, E208) + COUNTIFS(F:F, "♢♢♢", E:E, "A1") + IF(E208="A1", COUNTIFS(F:F, "♢♢♢", E:E, E2), 0) - IF(E208="A1", COUNTIFS(F:F, "♢♢♢", E:E, "A1"), 0)))/100, 
   IF(F208="♢♢♢♢", ((N6 * 100) / (COUNTIFS(F:F, "♢♢♢♢", E:E, E208) + COUNTIFS(F:F, "♢♢♢♢", E:E, "A1") + IF(E208="A1", COUNTIFS(F:F, "♢♢♢♢", E:E, E2), 0) - IF(E208="A1", COUNTIFS(F:F, "♢♢♢♢", E:E, "A1"), 0)))/100, 
   IF(F208="☆", ((N7 * 100) / (COUNTIFS(F:F, "☆", E:E, E208) + COUNTIFS(F:F, "☆", E:E, "A1") + IF(E208="A1", COUNTIFS(F:F, "☆", E:E, E2), 0) - IF(E208="A1", COUNTIFS(F:F, "☆", E:E, "A1"), 0)))/100, 
   IF(F208="☆☆", ((N8 * 100) / (COUNTIFS(F:F, "☆☆", E:E, E208) + COUNTIFS(F:F, "☆☆", E:E, "A1") + IF(E208="A1", COUNTIFS(F:F, "☆☆", E:E, E2), 0) - IF(E208="A1", COUNTIFS(F:F, "☆☆", E:E, "A1"), 0)))/100, 
   IF(F208="☆☆☆", ((N9 * 100) / (COUNTIFS(F:F, "☆☆☆", E:E, E208) + COUNTIFS(F:F, "☆☆☆", E:E, "A1") + IF(E208="A1", COUNTIFS(F:F, "☆☆☆", E:E, E2), 0) - IF(E208="A1", COUNTIFS(F:F, "☆☆☆", E:E, "A1"), 0)))/100, 
   IF(F208="♛", ((N10 * 100) / (COUNTIFS(F:F, "♛", E:E, E208) + COUNTIFS(F:F, "♛", E:E, "A1") + IF(E208="A1", COUNTIFS(F:F, "♛", E:E, E2), 0) - IF(E208="A1", COUNTIFS(F:F, "♛", E:E, "A1"), 0)))/100, "")))))))
</f>
        <v/>
      </c>
      <c r="J208" s="131"/>
      <c r="K208" s="247"/>
      <c r="L208" s="20"/>
      <c r="M208" s="20"/>
      <c r="N208" s="20"/>
      <c r="O208" s="249"/>
    </row>
    <row r="209">
      <c r="A209" s="125" t="b">
        <f t="shared" si="1"/>
        <v>0</v>
      </c>
      <c r="B209" s="126">
        <v>0.0</v>
      </c>
      <c r="C209" s="127" t="s">
        <v>530</v>
      </c>
      <c r="D209" s="127" t="s">
        <v>528</v>
      </c>
      <c r="E209" s="128" t="s">
        <v>31</v>
      </c>
      <c r="F209" s="127" t="s">
        <v>44</v>
      </c>
      <c r="G209" s="129">
        <f>IF(F209="♢", ((L3 * 100) / (COUNTIFS(F:F, "♢", E:E, E209) + COUNTIFS(F:F, "♢", E:E, "A1") + IF(E209="A1", COUNTIFS(F:F, "♢", E:E, E2), 0) - IF(E209="A1", COUNTIFS(F:F, "♢", E:E, "A1"), 0)))/100, "")
</f>
        <v>0.02</v>
      </c>
      <c r="H209" s="130" t="str">
        <f>IF(F209="♢♢", ((M4 * 100) / (COUNTIFS(F:F, "♢♢", E:E, E209) + COUNTIFS(F:F, "♢♢", E:E, "A1") + IF(E209="A1", COUNTIFS(F:F, "♢♢", E:E, E2), 0) - IF(E209="A1", COUNTIFS(F:F, "♢♢", E:E, "A1"), 0)))/100, 
   IF(F209="♢♢♢", ((M5 * 100) / (COUNTIFS(F:F, "♢♢♢", E:E, E209) + COUNTIFS(F:F, "♢♢♢", E:E, "A1") + IF(E209="A1", COUNTIFS(F:F, "♢♢♢", E:E, E2), 0) - IF(E209="A1", COUNTIFS(F:F, "♢♢♢", E:E, "A1"), 0)))/100, 
   IF(F209="♢♢♢♢", ((M6 * 100) / (COUNTIFS(F:F, "♢♢♢♢", E:E, E209) + COUNTIFS(F:F, "♢♢♢♢", E:E, "A1") + IF(E209="A1", COUNTIFS(F:F, "♢♢♢♢", E:E, E2), 0) - IF(E209="A1", COUNTIFS(F:F, "♢♢♢♢", E:E, "A1"), 0)))/100, 
   IF(F209="☆", ((M7 * 100) / (COUNTIFS(F:F, "☆", E:E, E209) + COUNTIFS(F:F, "☆", E:E, "A1") + IF(E209="A1", COUNTIFS(F:F, "☆", E:E, E2), 0) - IF(E209="A1", COUNTIFS(F:F, "☆", E:E, "A1"), 0)))/100, 
   IF(F209="☆☆", ((M8 * 100) / (COUNTIFS(F:F, "☆☆", E:E, E209) + COUNTIFS(F:F, "☆☆", E:E, "A1") + IF(E209="A1", COUNTIFS(F:F, "☆☆", E:E, E2), 0) - IF(E209="A1", COUNTIFS(F:F, "☆☆", E:E, "A1"), 0)))/100, 
   IF(F209="☆☆☆", ((M9 * 100) / (COUNTIFS(F:F, "☆☆☆", E:E, E209) + COUNTIFS(F:F, "☆☆☆", E:E, "A1") + IF(E209="A1", COUNTIFS(F:F, "☆☆☆", E:E, E2), 0) - IF(E209="A1", COUNTIFS(F:F, "☆☆☆", E:E, "A1"), 0)))/100, 
   IF(F209="♛", ((M10 * 100) / (COUNTIFS(F:F, "♛", E:E, E209) + COUNTIFS(F:F, "♛", E:E, "A1") + IF(E209="A1", COUNTIFS(F:F, "♛", E:E, E2), 0) - IF(E209="A1", COUNTIFS(F:F, "♛", E:E, "A1"), 0)))/100, "")))))))
</f>
        <v/>
      </c>
      <c r="I209" s="130" t="str">
        <f>IF(F209="♢♢", ((N4 * 100) / (COUNTIFS(F:F, "♢♢", E:E, E209) + COUNTIFS(F:F, "♢♢", E:E, "A1") + IF(E209="A1", COUNTIFS(F:F, "♢♢", E:E, E2), 0) - IF(E209="A1", COUNTIFS(F:F, "♢♢", E:E, "A1"), 0)))/100, 
   IF(F209="♢♢♢", ((N5 * 100) / (COUNTIFS(F:F, "♢♢♢", E:E, E209) + COUNTIFS(F:F, "♢♢♢", E:E, "A1") + IF(E209="A1", COUNTIFS(F:F, "♢♢♢", E:E, E2), 0) - IF(E209="A1", COUNTIFS(F:F, "♢♢♢", E:E, "A1"), 0)))/100, 
   IF(F209="♢♢♢♢", ((N6 * 100) / (COUNTIFS(F:F, "♢♢♢♢", E:E, E209) + COUNTIFS(F:F, "♢♢♢♢", E:E, "A1") + IF(E209="A1", COUNTIFS(F:F, "♢♢♢♢", E:E, E2), 0) - IF(E209="A1", COUNTIFS(F:F, "♢♢♢♢", E:E, "A1"), 0)))/100, 
   IF(F209="☆", ((N7 * 100) / (COUNTIFS(F:F, "☆", E:E, E209) + COUNTIFS(F:F, "☆", E:E, "A1") + IF(E209="A1", COUNTIFS(F:F, "☆", E:E, E2), 0) - IF(E209="A1", COUNTIFS(F:F, "☆", E:E, "A1"), 0)))/100, 
   IF(F209="☆☆", ((N8 * 100) / (COUNTIFS(F:F, "☆☆", E:E, E209) + COUNTIFS(F:F, "☆☆", E:E, "A1") + IF(E209="A1", COUNTIFS(F:F, "☆☆", E:E, E2), 0) - IF(E209="A1", COUNTIFS(F:F, "☆☆", E:E, "A1"), 0)))/100, 
   IF(F209="☆☆☆", ((N9 * 100) / (COUNTIFS(F:F, "☆☆☆", E:E, E209) + COUNTIFS(F:F, "☆☆☆", E:E, "A1") + IF(E209="A1", COUNTIFS(F:F, "☆☆☆", E:E, E2), 0) - IF(E209="A1", COUNTIFS(F:F, "☆☆☆", E:E, "A1"), 0)))/100, 
   IF(F209="♛", ((N10 * 100) / (COUNTIFS(F:F, "♛", E:E, E209) + COUNTIFS(F:F, "♛", E:E, "A1") + IF(E209="A1", COUNTIFS(F:F, "♛", E:E, E2), 0) - IF(E209="A1", COUNTIFS(F:F, "♛", E:E, "A1"), 0)))/100, "")))))))
</f>
        <v/>
      </c>
      <c r="J209" s="131"/>
      <c r="K209" s="247"/>
      <c r="L209" s="20"/>
      <c r="M209" s="20"/>
      <c r="N209" s="20"/>
      <c r="O209" s="249"/>
    </row>
    <row r="210">
      <c r="A210" s="125" t="b">
        <f t="shared" si="1"/>
        <v>0</v>
      </c>
      <c r="B210" s="126">
        <v>0.0</v>
      </c>
      <c r="C210" s="127" t="s">
        <v>531</v>
      </c>
      <c r="D210" s="127" t="s">
        <v>532</v>
      </c>
      <c r="E210" s="128" t="s">
        <v>29</v>
      </c>
      <c r="F210" s="127" t="s">
        <v>46</v>
      </c>
      <c r="G210" s="130" t="str">
        <f>IF(F210="♢", ((L3 * 100) / (COUNTIFS(F:F, "♢", E:E, E210) + COUNTIFS(F:F, "♢", E:E, "A1") + IF(E210="A1", COUNTIFS(F:F, "♢", E:E, E2), 0) - IF(E210="A1", COUNTIFS(F:F, "♢", E:E, "A1"), 0)))/100, "")
</f>
        <v/>
      </c>
      <c r="H210" s="129">
        <f>IF(F210="♢♢", ((M4 * 100) / (COUNTIFS(F:F, "♢♢", E:E, E210) + COUNTIFS(F:F, "♢♢", E:E, "A1") + IF(E210="A1", COUNTIFS(F:F, "♢♢", E:E, E2), 0) - IF(E210="A1", COUNTIFS(F:F, "♢♢", E:E, "A1"), 0)))/100, 
   IF(F210="♢♢♢", ((M5 * 100) / (COUNTIFS(F:F, "♢♢♢", E:E, E210) + COUNTIFS(F:F, "♢♢♢", E:E, "A1") + IF(E210="A1", COUNTIFS(F:F, "♢♢♢", E:E, E2), 0) - IF(E210="A1", COUNTIFS(F:F, "♢♢♢", E:E, "A1"), 0)))/100, 
   IF(F210="♢♢♢♢", ((M6 * 100) / (COUNTIFS(F:F, "♢♢♢♢", E:E, E210) + COUNTIFS(F:F, "♢♢♢♢", E:E, "A1") + IF(E210="A1", COUNTIFS(F:F, "♢♢♢♢", E:E, E2), 0) - IF(E210="A1", COUNTIFS(F:F, "♢♢♢♢", E:E, "A1"), 0)))/100, 
   IF(F210="☆", ((M7 * 100) / (COUNTIFS(F:F, "☆", E:E, E210) + COUNTIFS(F:F, "☆", E:E, "A1") + IF(E210="A1", COUNTIFS(F:F, "☆", E:E, E2), 0) - IF(E210="A1", COUNTIFS(F:F, "☆", E:E, "A1"), 0)))/100, 
   IF(F210="☆☆", ((M8 * 100) / (COUNTIFS(F:F, "☆☆", E:E, E210) + COUNTIFS(F:F, "☆☆", E:E, "A1") + IF(E210="A1", COUNTIFS(F:F, "☆☆", E:E, E2), 0) - IF(E210="A1", COUNTIFS(F:F, "☆☆", E:E, "A1"), 0)))/100, 
   IF(F210="☆☆☆", ((M9 * 100) / (COUNTIFS(F:F, "☆☆☆", E:E, E210) + COUNTIFS(F:F, "☆☆☆", E:E, "A1") + IF(E210="A1", COUNTIFS(F:F, "☆☆☆", E:E, E2), 0) - IF(E210="A1", COUNTIFS(F:F, "☆☆☆", E:E, "A1"), 0)))/100, 
   IF(F210="♛", ((M10 * 100) / (COUNTIFS(F:F, "♛", E:E, E210) + COUNTIFS(F:F, "♛", E:E, "A1") + IF(E210="A1", COUNTIFS(F:F, "♛", E:E, E2), 0) - IF(E210="A1", COUNTIFS(F:F, "♛", E:E, "A1"), 0)))/100, "")))))))
</f>
        <v>0.02571428571</v>
      </c>
      <c r="I210" s="129">
        <f>IF(F210="♢♢", ((N4 * 100) / (COUNTIFS(F:F, "♢♢", E:E, E210) + COUNTIFS(F:F, "♢♢", E:E, "A1") + IF(E210="A1", COUNTIFS(F:F, "♢♢", E:E, E2), 0) - IF(E210="A1", COUNTIFS(F:F, "♢♢", E:E, "A1"), 0)))/100, 
   IF(F210="♢♢♢", ((N5 * 100) / (COUNTIFS(F:F, "♢♢♢", E:E, E210) + COUNTIFS(F:F, "♢♢♢", E:E, "A1") + IF(E210="A1", COUNTIFS(F:F, "♢♢♢", E:E, E2), 0) - IF(E210="A1", COUNTIFS(F:F, "♢♢♢", E:E, "A1"), 0)))/100, 
   IF(F210="♢♢♢♢", ((N6 * 100) / (COUNTIFS(F:F, "♢♢♢♢", E:E, E210) + COUNTIFS(F:F, "♢♢♢♢", E:E, "A1") + IF(E210="A1", COUNTIFS(F:F, "♢♢♢♢", E:E, E2), 0) - IF(E210="A1", COUNTIFS(F:F, "♢♢♢♢", E:E, "A1"), 0)))/100, 
   IF(F210="☆", ((N7 * 100) / (COUNTIFS(F:F, "☆", E:E, E210) + COUNTIFS(F:F, "☆", E:E, "A1") + IF(E210="A1", COUNTIFS(F:F, "☆", E:E, E2), 0) - IF(E210="A1", COUNTIFS(F:F, "☆", E:E, "A1"), 0)))/100, 
   IF(F210="☆☆", ((N8 * 100) / (COUNTIFS(F:F, "☆☆", E:E, E210) + COUNTIFS(F:F, "☆☆", E:E, "A1") + IF(E210="A1", COUNTIFS(F:F, "☆☆", E:E, E2), 0) - IF(E210="A1", COUNTIFS(F:F, "☆☆", E:E, "A1"), 0)))/100, 
   IF(F210="☆☆☆", ((N9 * 100) / (COUNTIFS(F:F, "☆☆☆", E:E, E210) + COUNTIFS(F:F, "☆☆☆", E:E, "A1") + IF(E210="A1", COUNTIFS(F:F, "☆☆☆", E:E, E2), 0) - IF(E210="A1", COUNTIFS(F:F, "☆☆☆", E:E, "A1"), 0)))/100, 
   IF(F210="♛", ((N10 * 100) / (COUNTIFS(F:F, "♛", E:E, E210) + COUNTIFS(F:F, "♛", E:E, "A1") + IF(E210="A1", COUNTIFS(F:F, "♛", E:E, E2), 0) - IF(E210="A1", COUNTIFS(F:F, "♛", E:E, "A1"), 0)))/100, "")))))))
</f>
        <v>0.01714285714</v>
      </c>
      <c r="J210" s="131"/>
      <c r="K210" s="247"/>
      <c r="L210" s="20"/>
      <c r="M210" s="20"/>
      <c r="N210" s="20"/>
      <c r="O210" s="249"/>
    </row>
    <row r="211">
      <c r="A211" s="125" t="b">
        <f t="shared" si="1"/>
        <v>0</v>
      </c>
      <c r="B211" s="126">
        <v>0.0</v>
      </c>
      <c r="C211" s="127" t="s">
        <v>533</v>
      </c>
      <c r="D211" s="127" t="s">
        <v>534</v>
      </c>
      <c r="E211" s="128" t="s">
        <v>29</v>
      </c>
      <c r="F211" s="127" t="s">
        <v>48</v>
      </c>
      <c r="G211" s="130" t="str">
        <f>IF(F211="♢", ((L3 * 100) / (COUNTIFS(F:F, "♢", E:E, E211) + COUNTIFS(F:F, "♢", E:E, "A1") + IF(E211="A1", COUNTIFS(F:F, "♢", E:E, E2), 0) - IF(E211="A1", COUNTIFS(F:F, "♢", E:E, "A1"), 0)))/100, "")
</f>
        <v/>
      </c>
      <c r="H211" s="129">
        <f>IF(F211="♢♢", ((M4 * 100) / (COUNTIFS(F:F, "♢♢", E:E, E211) + COUNTIFS(F:F, "♢♢", E:E, "A1") + IF(E211="A1", COUNTIFS(F:F, "♢♢", E:E, E2), 0) - IF(E211="A1", COUNTIFS(F:F, "♢♢", E:E, "A1"), 0)))/100, 
   IF(F211="♢♢♢", ((M5 * 100) / (COUNTIFS(F:F, "♢♢♢", E:E, E211) + COUNTIFS(F:F, "♢♢♢", E:E, "A1") + IF(E211="A1", COUNTIFS(F:F, "♢♢♢", E:E, E2), 0) - IF(E211="A1", COUNTIFS(F:F, "♢♢♢", E:E, "A1"), 0)))/100, 
   IF(F211="♢♢♢♢", ((M6 * 100) / (COUNTIFS(F:F, "♢♢♢♢", E:E, E211) + COUNTIFS(F:F, "♢♢♢♢", E:E, "A1") + IF(E211="A1", COUNTIFS(F:F, "♢♢♢♢", E:E, E2), 0) - IF(E211="A1", COUNTIFS(F:F, "♢♢♢♢", E:E, "A1"), 0)))/100, 
   IF(F211="☆", ((M7 * 100) / (COUNTIFS(F:F, "☆", E:E, E211) + COUNTIFS(F:F, "☆", E:E, "A1") + IF(E211="A1", COUNTIFS(F:F, "☆", E:E, E2), 0) - IF(E211="A1", COUNTIFS(F:F, "☆", E:E, "A1"), 0)))/100, 
   IF(F211="☆☆", ((M8 * 100) / (COUNTIFS(F:F, "☆☆", E:E, E211) + COUNTIFS(F:F, "☆☆", E:E, "A1") + IF(E211="A1", COUNTIFS(F:F, "☆☆", E:E, E2), 0) - IF(E211="A1", COUNTIFS(F:F, "☆☆", E:E, "A1"), 0)))/100, 
   IF(F211="☆☆☆", ((M9 * 100) / (COUNTIFS(F:F, "☆☆☆", E:E, E211) + COUNTIFS(F:F, "☆☆☆", E:E, "A1") + IF(E211="A1", COUNTIFS(F:F, "☆☆☆", E:E, E2), 0) - IF(E211="A1", COUNTIFS(F:F, "☆☆☆", E:E, "A1"), 0)))/100, 
   IF(F211="♛", ((M10 * 100) / (COUNTIFS(F:F, "♛", E:E, E211) + COUNTIFS(F:F, "♛", E:E, "A1") + IF(E211="A1", COUNTIFS(F:F, "♛", E:E, E2), 0) - IF(E211="A1", COUNTIFS(F:F, "♛", E:E, "A1"), 0)))/100, "")))))))
</f>
        <v>0.003571428571</v>
      </c>
      <c r="I211" s="129">
        <f>IF(F211="♢♢", ((N4 * 100) / (COUNTIFS(F:F, "♢♢", E:E, E211) + COUNTIFS(F:F, "♢♢", E:E, "A1") + IF(E211="A1", COUNTIFS(F:F, "♢♢", E:E, E2), 0) - IF(E211="A1", COUNTIFS(F:F, "♢♢", E:E, "A1"), 0)))/100, 
   IF(F211="♢♢♢", ((N5 * 100) / (COUNTIFS(F:F, "♢♢♢", E:E, E211) + COUNTIFS(F:F, "♢♢♢", E:E, "A1") + IF(E211="A1", COUNTIFS(F:F, "♢♢♢", E:E, E2), 0) - IF(E211="A1", COUNTIFS(F:F, "♢♢♢", E:E, "A1"), 0)))/100, 
   IF(F211="♢♢♢♢", ((N6 * 100) / (COUNTIFS(F:F, "♢♢♢♢", E:E, E211) + COUNTIFS(F:F, "♢♢♢♢", E:E, "A1") + IF(E211="A1", COUNTIFS(F:F, "♢♢♢♢", E:E, E2), 0) - IF(E211="A1", COUNTIFS(F:F, "♢♢♢♢", E:E, "A1"), 0)))/100, 
   IF(F211="☆", ((N7 * 100) / (COUNTIFS(F:F, "☆", E:E, E211) + COUNTIFS(F:F, "☆", E:E, "A1") + IF(E211="A1", COUNTIFS(F:F, "☆", E:E, E2), 0) - IF(E211="A1", COUNTIFS(F:F, "☆", E:E, "A1"), 0)))/100, 
   IF(F211="☆☆", ((N8 * 100) / (COUNTIFS(F:F, "☆☆", E:E, E211) + COUNTIFS(F:F, "☆☆", E:E, "A1") + IF(E211="A1", COUNTIFS(F:F, "☆☆", E:E, E2), 0) - IF(E211="A1", COUNTIFS(F:F, "☆☆", E:E, "A1"), 0)))/100, 
   IF(F211="☆☆☆", ((N9 * 100) / (COUNTIFS(F:F, "☆☆☆", E:E, E211) + COUNTIFS(F:F, "☆☆☆", E:E, "A1") + IF(E211="A1", COUNTIFS(F:F, "☆☆☆", E:E, E2), 0) - IF(E211="A1", COUNTIFS(F:F, "☆☆☆", E:E, "A1"), 0)))/100, 
   IF(F211="♛", ((N10 * 100) / (COUNTIFS(F:F, "♛", E:E, E211) + COUNTIFS(F:F, "♛", E:E, "A1") + IF(E211="A1", COUNTIFS(F:F, "♛", E:E, E2), 0) - IF(E211="A1", COUNTIFS(F:F, "♛", E:E, "A1"), 0)))/100, "")))))))
</f>
        <v>0.01428571429</v>
      </c>
      <c r="J211" s="131"/>
      <c r="K211" s="247"/>
      <c r="L211" s="20"/>
      <c r="M211" s="20"/>
      <c r="N211" s="20"/>
      <c r="O211" s="249"/>
    </row>
    <row r="212">
      <c r="A212" s="125" t="b">
        <f t="shared" si="1"/>
        <v>0</v>
      </c>
      <c r="B212" s="126">
        <v>0.0</v>
      </c>
      <c r="C212" s="127" t="s">
        <v>535</v>
      </c>
      <c r="D212" s="127" t="s">
        <v>536</v>
      </c>
      <c r="E212" s="128" t="s">
        <v>31</v>
      </c>
      <c r="F212" s="127" t="s">
        <v>48</v>
      </c>
      <c r="G212" s="130" t="str">
        <f>IF(F212="♢", ((L3 * 100) / (COUNTIFS(F:F, "♢", E:E, E212) + COUNTIFS(F:F, "♢", E:E, "A1") + IF(E212="A1", COUNTIFS(F:F, "♢", E:E, E2), 0) - IF(E212="A1", COUNTIFS(F:F, "♢", E:E, "A1"), 0)))/100, "")
</f>
        <v/>
      </c>
      <c r="H212" s="129">
        <f>IF(F212="♢♢", ((M4 * 100) / (COUNTIFS(F:F, "♢♢", E:E, E212) + COUNTIFS(F:F, "♢♢", E:E, "A1") + IF(E212="A1", COUNTIFS(F:F, "♢♢", E:E, E2), 0) - IF(E212="A1", COUNTIFS(F:F, "♢♢", E:E, "A1"), 0)))/100, 
   IF(F212="♢♢♢", ((M5 * 100) / (COUNTIFS(F:F, "♢♢♢", E:E, E212) + COUNTIFS(F:F, "♢♢♢", E:E, "A1") + IF(E212="A1", COUNTIFS(F:F, "♢♢♢", E:E, E2), 0) - IF(E212="A1", COUNTIFS(F:F, "♢♢♢", E:E, "A1"), 0)))/100, 
   IF(F212="♢♢♢♢", ((M6 * 100) / (COUNTIFS(F:F, "♢♢♢♢", E:E, E212) + COUNTIFS(F:F, "♢♢♢♢", E:E, "A1") + IF(E212="A1", COUNTIFS(F:F, "♢♢♢♢", E:E, E2), 0) - IF(E212="A1", COUNTIFS(F:F, "♢♢♢♢", E:E, "A1"), 0)))/100, 
   IF(F212="☆", ((M7 * 100) / (COUNTIFS(F:F, "☆", E:E, E212) + COUNTIFS(F:F, "☆", E:E, "A1") + IF(E212="A1", COUNTIFS(F:F, "☆", E:E, E2), 0) - IF(E212="A1", COUNTIFS(F:F, "☆", E:E, "A1"), 0)))/100, 
   IF(F212="☆☆", ((M8 * 100) / (COUNTIFS(F:F, "☆☆", E:E, E212) + COUNTIFS(F:F, "☆☆", E:E, "A1") + IF(E212="A1", COUNTIFS(F:F, "☆☆", E:E, E2), 0) - IF(E212="A1", COUNTIFS(F:F, "☆☆", E:E, "A1"), 0)))/100, 
   IF(F212="☆☆☆", ((M9 * 100) / (COUNTIFS(F:F, "☆☆☆", E:E, E212) + COUNTIFS(F:F, "☆☆☆", E:E, "A1") + IF(E212="A1", COUNTIFS(F:F, "☆☆☆", E:E, E2), 0) - IF(E212="A1", COUNTIFS(F:F, "☆☆☆", E:E, "A1"), 0)))/100, 
   IF(F212="♛", ((M10 * 100) / (COUNTIFS(F:F, "♛", E:E, E212) + COUNTIFS(F:F, "♛", E:E, "A1") + IF(E212="A1", COUNTIFS(F:F, "♛", E:E, E2), 0) - IF(E212="A1", COUNTIFS(F:F, "♛", E:E, "A1"), 0)))/100, "")))))))
</f>
        <v>0.003571428571</v>
      </c>
      <c r="I212" s="129">
        <f>IF(F212="♢♢", ((N4 * 100) / (COUNTIFS(F:F, "♢♢", E:E, E212) + COUNTIFS(F:F, "♢♢", E:E, "A1") + IF(E212="A1", COUNTIFS(F:F, "♢♢", E:E, E2), 0) - IF(E212="A1", COUNTIFS(F:F, "♢♢", E:E, "A1"), 0)))/100, 
   IF(F212="♢♢♢", ((N5 * 100) / (COUNTIFS(F:F, "♢♢♢", E:E, E212) + COUNTIFS(F:F, "♢♢♢", E:E, "A1") + IF(E212="A1", COUNTIFS(F:F, "♢♢♢", E:E, E2), 0) - IF(E212="A1", COUNTIFS(F:F, "♢♢♢", E:E, "A1"), 0)))/100, 
   IF(F212="♢♢♢♢", ((N6 * 100) / (COUNTIFS(F:F, "♢♢♢♢", E:E, E212) + COUNTIFS(F:F, "♢♢♢♢", E:E, "A1") + IF(E212="A1", COUNTIFS(F:F, "♢♢♢♢", E:E, E2), 0) - IF(E212="A1", COUNTIFS(F:F, "♢♢♢♢", E:E, "A1"), 0)))/100, 
   IF(F212="☆", ((N7 * 100) / (COUNTIFS(F:F, "☆", E:E, E212) + COUNTIFS(F:F, "☆", E:E, "A1") + IF(E212="A1", COUNTIFS(F:F, "☆", E:E, E2), 0) - IF(E212="A1", COUNTIFS(F:F, "☆", E:E, "A1"), 0)))/100, 
   IF(F212="☆☆", ((N8 * 100) / (COUNTIFS(F:F, "☆☆", E:E, E212) + COUNTIFS(F:F, "☆☆", E:E, "A1") + IF(E212="A1", COUNTIFS(F:F, "☆☆", E:E, E2), 0) - IF(E212="A1", COUNTIFS(F:F, "☆☆", E:E, "A1"), 0)))/100, 
   IF(F212="☆☆☆", ((N9 * 100) / (COUNTIFS(F:F, "☆☆☆", E:E, E212) + COUNTIFS(F:F, "☆☆☆", E:E, "A1") + IF(E212="A1", COUNTIFS(F:F, "☆☆☆", E:E, E2), 0) - IF(E212="A1", COUNTIFS(F:F, "☆☆☆", E:E, "A1"), 0)))/100, 
   IF(F212="♛", ((N10 * 100) / (COUNTIFS(F:F, "♛", E:E, E212) + COUNTIFS(F:F, "♛", E:E, "A1") + IF(E212="A1", COUNTIFS(F:F, "♛", E:E, E2), 0) - IF(E212="A1", COUNTIFS(F:F, "♛", E:E, "A1"), 0)))/100, "")))))))
</f>
        <v>0.01428571429</v>
      </c>
      <c r="J212" s="131"/>
      <c r="K212" s="247"/>
      <c r="L212" s="20"/>
      <c r="M212" s="20"/>
      <c r="N212" s="20"/>
      <c r="O212" s="249"/>
    </row>
    <row r="213">
      <c r="A213" s="125" t="b">
        <f t="shared" si="1"/>
        <v>0</v>
      </c>
      <c r="B213" s="126">
        <v>0.0</v>
      </c>
      <c r="C213" s="127" t="s">
        <v>537</v>
      </c>
      <c r="D213" s="127" t="s">
        <v>538</v>
      </c>
      <c r="E213" s="128" t="s">
        <v>137</v>
      </c>
      <c r="F213" s="127" t="s">
        <v>44</v>
      </c>
      <c r="G213" s="129">
        <f>IF(F213="♢", ((L3 * 100) / (COUNTIFS(F:F, "♢", E:E, E213) + COUNTIFS(F:F, "♢", E:E, "A1") + IF(E213="A1", COUNTIFS(F:F, "♢", E:E, E2), 0) - IF(E213="A1", COUNTIFS(F:F, "♢", E:E, "A1"), 0)))/100, "")
</f>
        <v>0.02</v>
      </c>
      <c r="H213" s="130" t="str">
        <f>IF(F213="♢♢", ((M4 * 100) / (COUNTIFS(F:F, "♢♢", E:E, E213) + COUNTIFS(F:F, "♢♢", E:E, "A1") + IF(E213="A1", COUNTIFS(F:F, "♢♢", E:E, E2), 0) - IF(E213="A1", COUNTIFS(F:F, "♢♢", E:E, "A1"), 0)))/100, 
   IF(F213="♢♢♢", ((M5 * 100) / (COUNTIFS(F:F, "♢♢♢", E:E, E213) + COUNTIFS(F:F, "♢♢♢", E:E, "A1") + IF(E213="A1", COUNTIFS(F:F, "♢♢♢", E:E, E2), 0) - IF(E213="A1", COUNTIFS(F:F, "♢♢♢", E:E, "A1"), 0)))/100, 
   IF(F213="♢♢♢♢", ((M6 * 100) / (COUNTIFS(F:F, "♢♢♢♢", E:E, E213) + COUNTIFS(F:F, "♢♢♢♢", E:E, "A1") + IF(E213="A1", COUNTIFS(F:F, "♢♢♢♢", E:E, E2), 0) - IF(E213="A1", COUNTIFS(F:F, "♢♢♢♢", E:E, "A1"), 0)))/100, 
   IF(F213="☆", ((M7 * 100) / (COUNTIFS(F:F, "☆", E:E, E213) + COUNTIFS(F:F, "☆", E:E, "A1") + IF(E213="A1", COUNTIFS(F:F, "☆", E:E, E2), 0) - IF(E213="A1", COUNTIFS(F:F, "☆", E:E, "A1"), 0)))/100, 
   IF(F213="☆☆", ((M8 * 100) / (COUNTIFS(F:F, "☆☆", E:E, E213) + COUNTIFS(F:F, "☆☆", E:E, "A1") + IF(E213="A1", COUNTIFS(F:F, "☆☆", E:E, E2), 0) - IF(E213="A1", COUNTIFS(F:F, "☆☆", E:E, "A1"), 0)))/100, 
   IF(F213="☆☆☆", ((M9 * 100) / (COUNTIFS(F:F, "☆☆☆", E:E, E213) + COUNTIFS(F:F, "☆☆☆", E:E, "A1") + IF(E213="A1", COUNTIFS(F:F, "☆☆☆", E:E, E2), 0) - IF(E213="A1", COUNTIFS(F:F, "☆☆☆", E:E, "A1"), 0)))/100, 
   IF(F213="♛", ((M10 * 100) / (COUNTIFS(F:F, "♛", E:E, E213) + COUNTIFS(F:F, "♛", E:E, "A1") + IF(E213="A1", COUNTIFS(F:F, "♛", E:E, E2), 0) - IF(E213="A1", COUNTIFS(F:F, "♛", E:E, "A1"), 0)))/100, "")))))))
</f>
        <v/>
      </c>
      <c r="I213" s="130" t="str">
        <f>IF(F213="♢♢", ((N4 * 100) / (COUNTIFS(F:F, "♢♢", E:E, E213) + COUNTIFS(F:F, "♢♢", E:E, "A1") + IF(E213="A1", COUNTIFS(F:F, "♢♢", E:E, E2), 0) - IF(E213="A1", COUNTIFS(F:F, "♢♢", E:E, "A1"), 0)))/100, 
   IF(F213="♢♢♢", ((N5 * 100) / (COUNTIFS(F:F, "♢♢♢", E:E, E213) + COUNTIFS(F:F, "♢♢♢", E:E, "A1") + IF(E213="A1", COUNTIFS(F:F, "♢♢♢", E:E, E2), 0) - IF(E213="A1", COUNTIFS(F:F, "♢♢♢", E:E, "A1"), 0)))/100, 
   IF(F213="♢♢♢♢", ((N6 * 100) / (COUNTIFS(F:F, "♢♢♢♢", E:E, E213) + COUNTIFS(F:F, "♢♢♢♢", E:E, "A1") + IF(E213="A1", COUNTIFS(F:F, "♢♢♢♢", E:E, E2), 0) - IF(E213="A1", COUNTIFS(F:F, "♢♢♢♢", E:E, "A1"), 0)))/100, 
   IF(F213="☆", ((N7 * 100) / (COUNTIFS(F:F, "☆", E:E, E213) + COUNTIFS(F:F, "☆", E:E, "A1") + IF(E213="A1", COUNTIFS(F:F, "☆", E:E, E2), 0) - IF(E213="A1", COUNTIFS(F:F, "☆", E:E, "A1"), 0)))/100, 
   IF(F213="☆☆", ((N8 * 100) / (COUNTIFS(F:F, "☆☆", E:E, E213) + COUNTIFS(F:F, "☆☆", E:E, "A1") + IF(E213="A1", COUNTIFS(F:F, "☆☆", E:E, E2), 0) - IF(E213="A1", COUNTIFS(F:F, "☆☆", E:E, "A1"), 0)))/100, 
   IF(F213="☆☆☆", ((N9 * 100) / (COUNTIFS(F:F, "☆☆☆", E:E, E213) + COUNTIFS(F:F, "☆☆☆", E:E, "A1") + IF(E213="A1", COUNTIFS(F:F, "☆☆☆", E:E, E2), 0) - IF(E213="A1", COUNTIFS(F:F, "☆☆☆", E:E, "A1"), 0)))/100, 
   IF(F213="♛", ((N10 * 100) / (COUNTIFS(F:F, "♛", E:E, E213) + COUNTIFS(F:F, "♛", E:E, "A1") + IF(E213="A1", COUNTIFS(F:F, "♛", E:E, E2), 0) - IF(E213="A1", COUNTIFS(F:F, "♛", E:E, "A1"), 0)))/100, "")))))))
</f>
        <v/>
      </c>
      <c r="J213" s="131"/>
      <c r="K213" s="247"/>
      <c r="L213" s="20"/>
      <c r="M213" s="20"/>
      <c r="N213" s="20"/>
      <c r="O213" s="249"/>
    </row>
    <row r="214">
      <c r="A214" s="125" t="b">
        <f t="shared" si="1"/>
        <v>0</v>
      </c>
      <c r="B214" s="126">
        <v>0.0</v>
      </c>
      <c r="C214" s="127" t="s">
        <v>539</v>
      </c>
      <c r="D214" s="127" t="s">
        <v>540</v>
      </c>
      <c r="E214" s="128" t="s">
        <v>137</v>
      </c>
      <c r="F214" s="127" t="s">
        <v>46</v>
      </c>
      <c r="G214" s="130" t="str">
        <f>IF(F214="♢", ((L3 * 100) / (COUNTIFS(F:F, "♢", E:E, E214) + COUNTIFS(F:F, "♢", E:E, "A1") + IF(E214="A1", COUNTIFS(F:F, "♢", E:E, E2), 0) - IF(E214="A1", COUNTIFS(F:F, "♢", E:E, "A1"), 0)))/100, "")
</f>
        <v/>
      </c>
      <c r="H214" s="129">
        <f>IF(F214="♢♢", ((M4 * 100) / (COUNTIFS(F:F, "♢♢", E:E, E214) + COUNTIFS(F:F, "♢♢", E:E, "A1") + IF(E214="A1", COUNTIFS(F:F, "♢♢", E:E, E2), 0) - IF(E214="A1", COUNTIFS(F:F, "♢♢", E:E, "A1"), 0)))/100, 
   IF(F214="♢♢♢", ((M5 * 100) / (COUNTIFS(F:F, "♢♢♢", E:E, E214) + COUNTIFS(F:F, "♢♢♢", E:E, "A1") + IF(E214="A1", COUNTIFS(F:F, "♢♢♢", E:E, E2), 0) - IF(E214="A1", COUNTIFS(F:F, "♢♢♢", E:E, "A1"), 0)))/100, 
   IF(F214="♢♢♢♢", ((M6 * 100) / (COUNTIFS(F:F, "♢♢♢♢", E:E, E214) + COUNTIFS(F:F, "♢♢♢♢", E:E, "A1") + IF(E214="A1", COUNTIFS(F:F, "♢♢♢♢", E:E, E2), 0) - IF(E214="A1", COUNTIFS(F:F, "♢♢♢♢", E:E, "A1"), 0)))/100, 
   IF(F214="☆", ((M7 * 100) / (COUNTIFS(F:F, "☆", E:E, E214) + COUNTIFS(F:F, "☆", E:E, "A1") + IF(E214="A1", COUNTIFS(F:F, "☆", E:E, E2), 0) - IF(E214="A1", COUNTIFS(F:F, "☆", E:E, "A1"), 0)))/100, 
   IF(F214="☆☆", ((M8 * 100) / (COUNTIFS(F:F, "☆☆", E:E, E214) + COUNTIFS(F:F, "☆☆", E:E, "A1") + IF(E214="A1", COUNTIFS(F:F, "☆☆", E:E, E2), 0) - IF(E214="A1", COUNTIFS(F:F, "☆☆", E:E, "A1"), 0)))/100, 
   IF(F214="☆☆☆", ((M9 * 100) / (COUNTIFS(F:F, "☆☆☆", E:E, E214) + COUNTIFS(F:F, "☆☆☆", E:E, "A1") + IF(E214="A1", COUNTIFS(F:F, "☆☆☆", E:E, E2), 0) - IF(E214="A1", COUNTIFS(F:F, "☆☆☆", E:E, "A1"), 0)))/100, 
   IF(F214="♛", ((M10 * 100) / (COUNTIFS(F:F, "♛", E:E, E214) + COUNTIFS(F:F, "♛", E:E, "A1") + IF(E214="A1", COUNTIFS(F:F, "♛", E:E, E2), 0) - IF(E214="A1", COUNTIFS(F:F, "♛", E:E, "A1"), 0)))/100, "")))))))
</f>
        <v>0.02571428571</v>
      </c>
      <c r="I214" s="129">
        <f>IF(F214="♢♢", ((N4 * 100) / (COUNTIFS(F:F, "♢♢", E:E, E214) + COUNTIFS(F:F, "♢♢", E:E, "A1") + IF(E214="A1", COUNTIFS(F:F, "♢♢", E:E, E2), 0) - IF(E214="A1", COUNTIFS(F:F, "♢♢", E:E, "A1"), 0)))/100, 
   IF(F214="♢♢♢", ((N5 * 100) / (COUNTIFS(F:F, "♢♢♢", E:E, E214) + COUNTIFS(F:F, "♢♢♢", E:E, "A1") + IF(E214="A1", COUNTIFS(F:F, "♢♢♢", E:E, E2), 0) - IF(E214="A1", COUNTIFS(F:F, "♢♢♢", E:E, "A1"), 0)))/100, 
   IF(F214="♢♢♢♢", ((N6 * 100) / (COUNTIFS(F:F, "♢♢♢♢", E:E, E214) + COUNTIFS(F:F, "♢♢♢♢", E:E, "A1") + IF(E214="A1", COUNTIFS(F:F, "♢♢♢♢", E:E, E2), 0) - IF(E214="A1", COUNTIFS(F:F, "♢♢♢♢", E:E, "A1"), 0)))/100, 
   IF(F214="☆", ((N7 * 100) / (COUNTIFS(F:F, "☆", E:E, E214) + COUNTIFS(F:F, "☆", E:E, "A1") + IF(E214="A1", COUNTIFS(F:F, "☆", E:E, E2), 0) - IF(E214="A1", COUNTIFS(F:F, "☆", E:E, "A1"), 0)))/100, 
   IF(F214="☆☆", ((N8 * 100) / (COUNTIFS(F:F, "☆☆", E:E, E214) + COUNTIFS(F:F, "☆☆", E:E, "A1") + IF(E214="A1", COUNTIFS(F:F, "☆☆", E:E, E2), 0) - IF(E214="A1", COUNTIFS(F:F, "☆☆", E:E, "A1"), 0)))/100, 
   IF(F214="☆☆☆", ((N9 * 100) / (COUNTIFS(F:F, "☆☆☆", E:E, E214) + COUNTIFS(F:F, "☆☆☆", E:E, "A1") + IF(E214="A1", COUNTIFS(F:F, "☆☆☆", E:E, E2), 0) - IF(E214="A1", COUNTIFS(F:F, "☆☆☆", E:E, "A1"), 0)))/100, 
   IF(F214="♛", ((N10 * 100) / (COUNTIFS(F:F, "♛", E:E, E214) + COUNTIFS(F:F, "♛", E:E, "A1") + IF(E214="A1", COUNTIFS(F:F, "♛", E:E, E2), 0) - IF(E214="A1", COUNTIFS(F:F, "♛", E:E, "A1"), 0)))/100, "")))))))
</f>
        <v>0.01714285714</v>
      </c>
      <c r="J214" s="131"/>
      <c r="K214" s="247"/>
      <c r="L214" s="20"/>
      <c r="M214" s="20"/>
      <c r="N214" s="20"/>
      <c r="O214" s="249"/>
    </row>
    <row r="215">
      <c r="A215" s="125" t="b">
        <f t="shared" si="1"/>
        <v>0</v>
      </c>
      <c r="B215" s="126">
        <v>0.0</v>
      </c>
      <c r="C215" s="127" t="s">
        <v>541</v>
      </c>
      <c r="D215" s="127" t="s">
        <v>542</v>
      </c>
      <c r="E215" s="128" t="s">
        <v>137</v>
      </c>
      <c r="F215" s="127" t="s">
        <v>44</v>
      </c>
      <c r="G215" s="129">
        <f>IF(F215="♢", ((L3 * 100) / (COUNTIFS(F:F, "♢", E:E, E215) + COUNTIFS(F:F, "♢", E:E, "A1") + IF(E215="A1", COUNTIFS(F:F, "♢", E:E, E2), 0) - IF(E215="A1", COUNTIFS(F:F, "♢", E:E, "A1"), 0)))/100, "")
</f>
        <v>0.02</v>
      </c>
      <c r="H215" s="130" t="str">
        <f>IF(F215="♢♢", ((M4 * 100) / (COUNTIFS(F:F, "♢♢", E:E, E215) + COUNTIFS(F:F, "♢♢", E:E, "A1") + IF(E215="A1", COUNTIFS(F:F, "♢♢", E:E, E2), 0) - IF(E215="A1", COUNTIFS(F:F, "♢♢", E:E, "A1"), 0)))/100, 
   IF(F215="♢♢♢", ((M5 * 100) / (COUNTIFS(F:F, "♢♢♢", E:E, E215) + COUNTIFS(F:F, "♢♢♢", E:E, "A1") + IF(E215="A1", COUNTIFS(F:F, "♢♢♢", E:E, E2), 0) - IF(E215="A1", COUNTIFS(F:F, "♢♢♢", E:E, "A1"), 0)))/100, 
   IF(F215="♢♢♢♢", ((M6 * 100) / (COUNTIFS(F:F, "♢♢♢♢", E:E, E215) + COUNTIFS(F:F, "♢♢♢♢", E:E, "A1") + IF(E215="A1", COUNTIFS(F:F, "♢♢♢♢", E:E, E2), 0) - IF(E215="A1", COUNTIFS(F:F, "♢♢♢♢", E:E, "A1"), 0)))/100, 
   IF(F215="☆", ((M7 * 100) / (COUNTIFS(F:F, "☆", E:E, E215) + COUNTIFS(F:F, "☆", E:E, "A1") + IF(E215="A1", COUNTIFS(F:F, "☆", E:E, E2), 0) - IF(E215="A1", COUNTIFS(F:F, "☆", E:E, "A1"), 0)))/100, 
   IF(F215="☆☆", ((M8 * 100) / (COUNTIFS(F:F, "☆☆", E:E, E215) + COUNTIFS(F:F, "☆☆", E:E, "A1") + IF(E215="A1", COUNTIFS(F:F, "☆☆", E:E, E2), 0) - IF(E215="A1", COUNTIFS(F:F, "☆☆", E:E, "A1"), 0)))/100, 
   IF(F215="☆☆☆", ((M9 * 100) / (COUNTIFS(F:F, "☆☆☆", E:E, E215) + COUNTIFS(F:F, "☆☆☆", E:E, "A1") + IF(E215="A1", COUNTIFS(F:F, "☆☆☆", E:E, E2), 0) - IF(E215="A1", COUNTIFS(F:F, "☆☆☆", E:E, "A1"), 0)))/100, 
   IF(F215="♛", ((M10 * 100) / (COUNTIFS(F:F, "♛", E:E, E215) + COUNTIFS(F:F, "♛", E:E, "A1") + IF(E215="A1", COUNTIFS(F:F, "♛", E:E, E2), 0) - IF(E215="A1", COUNTIFS(F:F, "♛", E:E, "A1"), 0)))/100, "")))))))
</f>
        <v/>
      </c>
      <c r="I215" s="130" t="str">
        <f>IF(F215="♢♢", ((N4 * 100) / (COUNTIFS(F:F, "♢♢", E:E, E215) + COUNTIFS(F:F, "♢♢", E:E, "A1") + IF(E215="A1", COUNTIFS(F:F, "♢♢", E:E, E2), 0) - IF(E215="A1", COUNTIFS(F:F, "♢♢", E:E, "A1"), 0)))/100, 
   IF(F215="♢♢♢", ((N5 * 100) / (COUNTIFS(F:F, "♢♢♢", E:E, E215) + COUNTIFS(F:F, "♢♢♢", E:E, "A1") + IF(E215="A1", COUNTIFS(F:F, "♢♢♢", E:E, E2), 0) - IF(E215="A1", COUNTIFS(F:F, "♢♢♢", E:E, "A1"), 0)))/100, 
   IF(F215="♢♢♢♢", ((N6 * 100) / (COUNTIFS(F:F, "♢♢♢♢", E:E, E215) + COUNTIFS(F:F, "♢♢♢♢", E:E, "A1") + IF(E215="A1", COUNTIFS(F:F, "♢♢♢♢", E:E, E2), 0) - IF(E215="A1", COUNTIFS(F:F, "♢♢♢♢", E:E, "A1"), 0)))/100, 
   IF(F215="☆", ((N7 * 100) / (COUNTIFS(F:F, "☆", E:E, E215) + COUNTIFS(F:F, "☆", E:E, "A1") + IF(E215="A1", COUNTIFS(F:F, "☆", E:E, E2), 0) - IF(E215="A1", COUNTIFS(F:F, "☆", E:E, "A1"), 0)))/100, 
   IF(F215="☆☆", ((N8 * 100) / (COUNTIFS(F:F, "☆☆", E:E, E215) + COUNTIFS(F:F, "☆☆", E:E, "A1") + IF(E215="A1", COUNTIFS(F:F, "☆☆", E:E, E2), 0) - IF(E215="A1", COUNTIFS(F:F, "☆☆", E:E, "A1"), 0)))/100, 
   IF(F215="☆☆☆", ((N9 * 100) / (COUNTIFS(F:F, "☆☆☆", E:E, E215) + COUNTIFS(F:F, "☆☆☆", E:E, "A1") + IF(E215="A1", COUNTIFS(F:F, "☆☆☆", E:E, E2), 0) - IF(E215="A1", COUNTIFS(F:F, "☆☆☆", E:E, "A1"), 0)))/100, 
   IF(F215="♛", ((N10 * 100) / (COUNTIFS(F:F, "♛", E:E, E215) + COUNTIFS(F:F, "♛", E:E, "A1") + IF(E215="A1", COUNTIFS(F:F, "♛", E:E, E2), 0) - IF(E215="A1", COUNTIFS(F:F, "♛", E:E, "A1"), 0)))/100, "")))))))
</f>
        <v/>
      </c>
      <c r="J215" s="131"/>
      <c r="K215" s="247"/>
      <c r="L215" s="20"/>
      <c r="M215" s="20"/>
      <c r="N215" s="20"/>
      <c r="O215" s="249"/>
    </row>
    <row r="216">
      <c r="A216" s="125" t="b">
        <f t="shared" si="1"/>
        <v>0</v>
      </c>
      <c r="B216" s="126">
        <v>0.0</v>
      </c>
      <c r="C216" s="127" t="s">
        <v>543</v>
      </c>
      <c r="D216" s="127" t="s">
        <v>544</v>
      </c>
      <c r="E216" s="128" t="s">
        <v>137</v>
      </c>
      <c r="F216" s="127" t="s">
        <v>44</v>
      </c>
      <c r="G216" s="129">
        <f>IF(F216="♢", ((L3 * 100) / (COUNTIFS(F:F, "♢", E:E, E216) + COUNTIFS(F:F, "♢", E:E, "A1") + IF(E216="A1", COUNTIFS(F:F, "♢", E:E, E2), 0) - IF(E216="A1", COUNTIFS(F:F, "♢", E:E, "A1"), 0)))/100, "")
</f>
        <v>0.02</v>
      </c>
      <c r="H216" s="130" t="str">
        <f>IF(F216="♢♢", ((M4 * 100) / (COUNTIFS(F:F, "♢♢", E:E, E216) + COUNTIFS(F:F, "♢♢", E:E, "A1") + IF(E216="A1", COUNTIFS(F:F, "♢♢", E:E, E2), 0) - IF(E216="A1", COUNTIFS(F:F, "♢♢", E:E, "A1"), 0)))/100, 
   IF(F216="♢♢♢", ((M5 * 100) / (COUNTIFS(F:F, "♢♢♢", E:E, E216) + COUNTIFS(F:F, "♢♢♢", E:E, "A1") + IF(E216="A1", COUNTIFS(F:F, "♢♢♢", E:E, E2), 0) - IF(E216="A1", COUNTIFS(F:F, "♢♢♢", E:E, "A1"), 0)))/100, 
   IF(F216="♢♢♢♢", ((M6 * 100) / (COUNTIFS(F:F, "♢♢♢♢", E:E, E216) + COUNTIFS(F:F, "♢♢♢♢", E:E, "A1") + IF(E216="A1", COUNTIFS(F:F, "♢♢♢♢", E:E, E2), 0) - IF(E216="A1", COUNTIFS(F:F, "♢♢♢♢", E:E, "A1"), 0)))/100, 
   IF(F216="☆", ((M7 * 100) / (COUNTIFS(F:F, "☆", E:E, E216) + COUNTIFS(F:F, "☆", E:E, "A1") + IF(E216="A1", COUNTIFS(F:F, "☆", E:E, E2), 0) - IF(E216="A1", COUNTIFS(F:F, "☆", E:E, "A1"), 0)))/100, 
   IF(F216="☆☆", ((M8 * 100) / (COUNTIFS(F:F, "☆☆", E:E, E216) + COUNTIFS(F:F, "☆☆", E:E, "A1") + IF(E216="A1", COUNTIFS(F:F, "☆☆", E:E, E2), 0) - IF(E216="A1", COUNTIFS(F:F, "☆☆", E:E, "A1"), 0)))/100, 
   IF(F216="☆☆☆", ((M9 * 100) / (COUNTIFS(F:F, "☆☆☆", E:E, E216) + COUNTIFS(F:F, "☆☆☆", E:E, "A1") + IF(E216="A1", COUNTIFS(F:F, "☆☆☆", E:E, E2), 0) - IF(E216="A1", COUNTIFS(F:F, "☆☆☆", E:E, "A1"), 0)))/100, 
   IF(F216="♛", ((M10 * 100) / (COUNTIFS(F:F, "♛", E:E, E216) + COUNTIFS(F:F, "♛", E:E, "A1") + IF(E216="A1", COUNTIFS(F:F, "♛", E:E, E2), 0) - IF(E216="A1", COUNTIFS(F:F, "♛", E:E, "A1"), 0)))/100, "")))))))
</f>
        <v/>
      </c>
      <c r="I216" s="130" t="str">
        <f>IF(F216="♢♢", ((N4 * 100) / (COUNTIFS(F:F, "♢♢", E:E, E216) + COUNTIFS(F:F, "♢♢", E:E, "A1") + IF(E216="A1", COUNTIFS(F:F, "♢♢", E:E, E2), 0) - IF(E216="A1", COUNTIFS(F:F, "♢♢", E:E, "A1"), 0)))/100, 
   IF(F216="♢♢♢", ((N5 * 100) / (COUNTIFS(F:F, "♢♢♢", E:E, E216) + COUNTIFS(F:F, "♢♢♢", E:E, "A1") + IF(E216="A1", COUNTIFS(F:F, "♢♢♢", E:E, E2), 0) - IF(E216="A1", COUNTIFS(F:F, "♢♢♢", E:E, "A1"), 0)))/100, 
   IF(F216="♢♢♢♢", ((N6 * 100) / (COUNTIFS(F:F, "♢♢♢♢", E:E, E216) + COUNTIFS(F:F, "♢♢♢♢", E:E, "A1") + IF(E216="A1", COUNTIFS(F:F, "♢♢♢♢", E:E, E2), 0) - IF(E216="A1", COUNTIFS(F:F, "♢♢♢♢", E:E, "A1"), 0)))/100, 
   IF(F216="☆", ((N7 * 100) / (COUNTIFS(F:F, "☆", E:E, E216) + COUNTIFS(F:F, "☆", E:E, "A1") + IF(E216="A1", COUNTIFS(F:F, "☆", E:E, E2), 0) - IF(E216="A1", COUNTIFS(F:F, "☆", E:E, "A1"), 0)))/100, 
   IF(F216="☆☆", ((N8 * 100) / (COUNTIFS(F:F, "☆☆", E:E, E216) + COUNTIFS(F:F, "☆☆", E:E, "A1") + IF(E216="A1", COUNTIFS(F:F, "☆☆", E:E, E2), 0) - IF(E216="A1", COUNTIFS(F:F, "☆☆", E:E, "A1"), 0)))/100, 
   IF(F216="☆☆☆", ((N9 * 100) / (COUNTIFS(F:F, "☆☆☆", E:E, E216) + COUNTIFS(F:F, "☆☆☆", E:E, "A1") + IF(E216="A1", COUNTIFS(F:F, "☆☆☆", E:E, E2), 0) - IF(E216="A1", COUNTIFS(F:F, "☆☆☆", E:E, "A1"), 0)))/100, 
   IF(F216="♛", ((N10 * 100) / (COUNTIFS(F:F, "♛", E:E, E216) + COUNTIFS(F:F, "♛", E:E, "A1") + IF(E216="A1", COUNTIFS(F:F, "♛", E:E, E2), 0) - IF(E216="A1", COUNTIFS(F:F, "♛", E:E, "A1"), 0)))/100, "")))))))
</f>
        <v/>
      </c>
      <c r="J216" s="131"/>
      <c r="K216" s="247"/>
      <c r="L216" s="20"/>
      <c r="M216" s="20"/>
      <c r="N216" s="20"/>
      <c r="O216" s="249"/>
    </row>
    <row r="217">
      <c r="A217" s="125" t="b">
        <f t="shared" si="1"/>
        <v>0</v>
      </c>
      <c r="B217" s="126">
        <v>0.0</v>
      </c>
      <c r="C217" s="127" t="s">
        <v>545</v>
      </c>
      <c r="D217" s="127" t="s">
        <v>546</v>
      </c>
      <c r="E217" s="128" t="s">
        <v>31</v>
      </c>
      <c r="F217" s="127" t="s">
        <v>44</v>
      </c>
      <c r="G217" s="129">
        <f>IF(F217="♢", ((L3 * 100) / (COUNTIFS(F:F, "♢", E:E, E217) + COUNTIFS(F:F, "♢", E:E, "A1") + IF(E217="A1", COUNTIFS(F:F, "♢", E:E, E2), 0) - IF(E217="A1", COUNTIFS(F:F, "♢", E:E, "A1"), 0)))/100, "")
</f>
        <v>0.02</v>
      </c>
      <c r="H217" s="130" t="str">
        <f>IF(F217="♢♢", ((M4 * 100) / (COUNTIFS(F:F, "♢♢", E:E, E217) + COUNTIFS(F:F, "♢♢", E:E, "A1") + IF(E217="A1", COUNTIFS(F:F, "♢♢", E:E, E2), 0) - IF(E217="A1", COUNTIFS(F:F, "♢♢", E:E, "A1"), 0)))/100, 
   IF(F217="♢♢♢", ((M5 * 100) / (COUNTIFS(F:F, "♢♢♢", E:E, E217) + COUNTIFS(F:F, "♢♢♢", E:E, "A1") + IF(E217="A1", COUNTIFS(F:F, "♢♢♢", E:E, E2), 0) - IF(E217="A1", COUNTIFS(F:F, "♢♢♢", E:E, "A1"), 0)))/100, 
   IF(F217="♢♢♢♢", ((M6 * 100) / (COUNTIFS(F:F, "♢♢♢♢", E:E, E217) + COUNTIFS(F:F, "♢♢♢♢", E:E, "A1") + IF(E217="A1", COUNTIFS(F:F, "♢♢♢♢", E:E, E2), 0) - IF(E217="A1", COUNTIFS(F:F, "♢♢♢♢", E:E, "A1"), 0)))/100, 
   IF(F217="☆", ((M7 * 100) / (COUNTIFS(F:F, "☆", E:E, E217) + COUNTIFS(F:F, "☆", E:E, "A1") + IF(E217="A1", COUNTIFS(F:F, "☆", E:E, E2), 0) - IF(E217="A1", COUNTIFS(F:F, "☆", E:E, "A1"), 0)))/100, 
   IF(F217="☆☆", ((M8 * 100) / (COUNTIFS(F:F, "☆☆", E:E, E217) + COUNTIFS(F:F, "☆☆", E:E, "A1") + IF(E217="A1", COUNTIFS(F:F, "☆☆", E:E, E2), 0) - IF(E217="A1", COUNTIFS(F:F, "☆☆", E:E, "A1"), 0)))/100, 
   IF(F217="☆☆☆", ((M9 * 100) / (COUNTIFS(F:F, "☆☆☆", E:E, E217) + COUNTIFS(F:F, "☆☆☆", E:E, "A1") + IF(E217="A1", COUNTIFS(F:F, "☆☆☆", E:E, E2), 0) - IF(E217="A1", COUNTIFS(F:F, "☆☆☆", E:E, "A1"), 0)))/100, 
   IF(F217="♛", ((M10 * 100) / (COUNTIFS(F:F, "♛", E:E, E217) + COUNTIFS(F:F, "♛", E:E, "A1") + IF(E217="A1", COUNTIFS(F:F, "♛", E:E, E2), 0) - IF(E217="A1", COUNTIFS(F:F, "♛", E:E, "A1"), 0)))/100, "")))))))
</f>
        <v/>
      </c>
      <c r="I217" s="130" t="str">
        <f>IF(F217="♢♢", ((N4 * 100) / (COUNTIFS(F:F, "♢♢", E:E, E217) + COUNTIFS(F:F, "♢♢", E:E, "A1") + IF(E217="A1", COUNTIFS(F:F, "♢♢", E:E, E2), 0) - IF(E217="A1", COUNTIFS(F:F, "♢♢", E:E, "A1"), 0)))/100, 
   IF(F217="♢♢♢", ((N5 * 100) / (COUNTIFS(F:F, "♢♢♢", E:E, E217) + COUNTIFS(F:F, "♢♢♢", E:E, "A1") + IF(E217="A1", COUNTIFS(F:F, "♢♢♢", E:E, E2), 0) - IF(E217="A1", COUNTIFS(F:F, "♢♢♢", E:E, "A1"), 0)))/100, 
   IF(F217="♢♢♢♢", ((N6 * 100) / (COUNTIFS(F:F, "♢♢♢♢", E:E, E217) + COUNTIFS(F:F, "♢♢♢♢", E:E, "A1") + IF(E217="A1", COUNTIFS(F:F, "♢♢♢♢", E:E, E2), 0) - IF(E217="A1", COUNTIFS(F:F, "♢♢♢♢", E:E, "A1"), 0)))/100, 
   IF(F217="☆", ((N7 * 100) / (COUNTIFS(F:F, "☆", E:E, E217) + COUNTIFS(F:F, "☆", E:E, "A1") + IF(E217="A1", COUNTIFS(F:F, "☆", E:E, E2), 0) - IF(E217="A1", COUNTIFS(F:F, "☆", E:E, "A1"), 0)))/100, 
   IF(F217="☆☆", ((N8 * 100) / (COUNTIFS(F:F, "☆☆", E:E, E217) + COUNTIFS(F:F, "☆☆", E:E, "A1") + IF(E217="A1", COUNTIFS(F:F, "☆☆", E:E, E2), 0) - IF(E217="A1", COUNTIFS(F:F, "☆☆", E:E, "A1"), 0)))/100, 
   IF(F217="☆☆☆", ((N9 * 100) / (COUNTIFS(F:F, "☆☆☆", E:E, E217) + COUNTIFS(F:F, "☆☆☆", E:E, "A1") + IF(E217="A1", COUNTIFS(F:F, "☆☆☆", E:E, E2), 0) - IF(E217="A1", COUNTIFS(F:F, "☆☆☆", E:E, "A1"), 0)))/100, 
   IF(F217="♛", ((N10 * 100) / (COUNTIFS(F:F, "♛", E:E, E217) + COUNTIFS(F:F, "♛", E:E, "A1") + IF(E217="A1", COUNTIFS(F:F, "♛", E:E, E2), 0) - IF(E217="A1", COUNTIFS(F:F, "♛", E:E, "A1"), 0)))/100, "")))))))
</f>
        <v/>
      </c>
      <c r="J217" s="131"/>
      <c r="K217" s="247"/>
      <c r="L217" s="20"/>
      <c r="M217" s="20"/>
      <c r="N217" s="20"/>
      <c r="O217" s="249"/>
    </row>
    <row r="218">
      <c r="A218" s="125" t="b">
        <f t="shared" si="1"/>
        <v>0</v>
      </c>
      <c r="B218" s="126">
        <v>0.0</v>
      </c>
      <c r="C218" s="127" t="s">
        <v>547</v>
      </c>
      <c r="D218" s="127" t="s">
        <v>548</v>
      </c>
      <c r="E218" s="128" t="s">
        <v>32</v>
      </c>
      <c r="F218" s="127" t="s">
        <v>44</v>
      </c>
      <c r="G218" s="129">
        <f>IF(F218="♢", ((L3 * 100) / (COUNTIFS(F:F, "♢", E:E, E218) + COUNTIFS(F:F, "♢", E:E, "A1") + IF(E218="A1", COUNTIFS(F:F, "♢", E:E, E2), 0) - IF(E218="A1", COUNTIFS(F:F, "♢", E:E, "A1"), 0)))/100, "")
</f>
        <v>0.02</v>
      </c>
      <c r="H218" s="130" t="str">
        <f>IF(F218="♢♢", ((M4 * 100) / (COUNTIFS(F:F, "♢♢", E:E, E218) + COUNTIFS(F:F, "♢♢", E:E, "A1") + IF(E218="A1", COUNTIFS(F:F, "♢♢", E:E, E2), 0) - IF(E218="A1", COUNTIFS(F:F, "♢♢", E:E, "A1"), 0)))/100, 
   IF(F218="♢♢♢", ((M5 * 100) / (COUNTIFS(F:F, "♢♢♢", E:E, E218) + COUNTIFS(F:F, "♢♢♢", E:E, "A1") + IF(E218="A1", COUNTIFS(F:F, "♢♢♢", E:E, E2), 0) - IF(E218="A1", COUNTIFS(F:F, "♢♢♢", E:E, "A1"), 0)))/100, 
   IF(F218="♢♢♢♢", ((M6 * 100) / (COUNTIFS(F:F, "♢♢♢♢", E:E, E218) + COUNTIFS(F:F, "♢♢♢♢", E:E, "A1") + IF(E218="A1", COUNTIFS(F:F, "♢♢♢♢", E:E, E2), 0) - IF(E218="A1", COUNTIFS(F:F, "♢♢♢♢", E:E, "A1"), 0)))/100, 
   IF(F218="☆", ((M7 * 100) / (COUNTIFS(F:F, "☆", E:E, E218) + COUNTIFS(F:F, "☆", E:E, "A1") + IF(E218="A1", COUNTIFS(F:F, "☆", E:E, E2), 0) - IF(E218="A1", COUNTIFS(F:F, "☆", E:E, "A1"), 0)))/100, 
   IF(F218="☆☆", ((M8 * 100) / (COUNTIFS(F:F, "☆☆", E:E, E218) + COUNTIFS(F:F, "☆☆", E:E, "A1") + IF(E218="A1", COUNTIFS(F:F, "☆☆", E:E, E2), 0) - IF(E218="A1", COUNTIFS(F:F, "☆☆", E:E, "A1"), 0)))/100, 
   IF(F218="☆☆☆", ((M9 * 100) / (COUNTIFS(F:F, "☆☆☆", E:E, E218) + COUNTIFS(F:F, "☆☆☆", E:E, "A1") + IF(E218="A1", COUNTIFS(F:F, "☆☆☆", E:E, E2), 0) - IF(E218="A1", COUNTIFS(F:F, "☆☆☆", E:E, "A1"), 0)))/100, 
   IF(F218="♛", ((M10 * 100) / (COUNTIFS(F:F, "♛", E:E, E218) + COUNTIFS(F:F, "♛", E:E, "A1") + IF(E218="A1", COUNTIFS(F:F, "♛", E:E, E2), 0) - IF(E218="A1", COUNTIFS(F:F, "♛", E:E, "A1"), 0)))/100, "")))))))
</f>
        <v/>
      </c>
      <c r="I218" s="130" t="str">
        <f>IF(F218="♢♢", ((N4 * 100) / (COUNTIFS(F:F, "♢♢", E:E, E218) + COUNTIFS(F:F, "♢♢", E:E, "A1") + IF(E218="A1", COUNTIFS(F:F, "♢♢", E:E, E2), 0) - IF(E218="A1", COUNTIFS(F:F, "♢♢", E:E, "A1"), 0)))/100, 
   IF(F218="♢♢♢", ((N5 * 100) / (COUNTIFS(F:F, "♢♢♢", E:E, E218) + COUNTIFS(F:F, "♢♢♢", E:E, "A1") + IF(E218="A1", COUNTIFS(F:F, "♢♢♢", E:E, E2), 0) - IF(E218="A1", COUNTIFS(F:F, "♢♢♢", E:E, "A1"), 0)))/100, 
   IF(F218="♢♢♢♢", ((N6 * 100) / (COUNTIFS(F:F, "♢♢♢♢", E:E, E218) + COUNTIFS(F:F, "♢♢♢♢", E:E, "A1") + IF(E218="A1", COUNTIFS(F:F, "♢♢♢♢", E:E, E2), 0) - IF(E218="A1", COUNTIFS(F:F, "♢♢♢♢", E:E, "A1"), 0)))/100, 
   IF(F218="☆", ((N7 * 100) / (COUNTIFS(F:F, "☆", E:E, E218) + COUNTIFS(F:F, "☆", E:E, "A1") + IF(E218="A1", COUNTIFS(F:F, "☆", E:E, E2), 0) - IF(E218="A1", COUNTIFS(F:F, "☆", E:E, "A1"), 0)))/100, 
   IF(F218="☆☆", ((N8 * 100) / (COUNTIFS(F:F, "☆☆", E:E, E218) + COUNTIFS(F:F, "☆☆", E:E, "A1") + IF(E218="A1", COUNTIFS(F:F, "☆☆", E:E, E2), 0) - IF(E218="A1", COUNTIFS(F:F, "☆☆", E:E, "A1"), 0)))/100, 
   IF(F218="☆☆☆", ((N9 * 100) / (COUNTIFS(F:F, "☆☆☆", E:E, E218) + COUNTIFS(F:F, "☆☆☆", E:E, "A1") + IF(E218="A1", COUNTIFS(F:F, "☆☆☆", E:E, E2), 0) - IF(E218="A1", COUNTIFS(F:F, "☆☆☆", E:E, "A1"), 0)))/100, 
   IF(F218="♛", ((N10 * 100) / (COUNTIFS(F:F, "♛", E:E, E218) + COUNTIFS(F:F, "♛", E:E, "A1") + IF(E218="A1", COUNTIFS(F:F, "♛", E:E, E2), 0) - IF(E218="A1", COUNTIFS(F:F, "♛", E:E, "A1"), 0)))/100, "")))))))
</f>
        <v/>
      </c>
      <c r="J218" s="131"/>
      <c r="K218" s="247"/>
      <c r="L218" s="20"/>
      <c r="M218" s="20"/>
      <c r="N218" s="20"/>
      <c r="O218" s="249"/>
    </row>
    <row r="219">
      <c r="A219" s="125" t="b">
        <f t="shared" si="1"/>
        <v>0</v>
      </c>
      <c r="B219" s="126">
        <v>0.0</v>
      </c>
      <c r="C219" s="127" t="s">
        <v>549</v>
      </c>
      <c r="D219" s="127" t="s">
        <v>550</v>
      </c>
      <c r="E219" s="128" t="s">
        <v>29</v>
      </c>
      <c r="F219" s="127" t="s">
        <v>44</v>
      </c>
      <c r="G219" s="129">
        <f>IF(F219="♢", ((L3 * 100) / (COUNTIFS(F:F, "♢", E:E, E219) + COUNTIFS(F:F, "♢", E:E, "A1") + IF(E219="A1", COUNTIFS(F:F, "♢", E:E, E2), 0) - IF(E219="A1", COUNTIFS(F:F, "♢", E:E, "A1"), 0)))/100, "")
</f>
        <v>0.02</v>
      </c>
      <c r="H219" s="130" t="str">
        <f>IF(F219="♢♢", ((M4 * 100) / (COUNTIFS(F:F, "♢♢", E:E, E219) + COUNTIFS(F:F, "♢♢", E:E, "A1") + IF(E219="A1", COUNTIFS(F:F, "♢♢", E:E, E2), 0) - IF(E219="A1", COUNTIFS(F:F, "♢♢", E:E, "A1"), 0)))/100, 
   IF(F219="♢♢♢", ((M5 * 100) / (COUNTIFS(F:F, "♢♢♢", E:E, E219) + COUNTIFS(F:F, "♢♢♢", E:E, "A1") + IF(E219="A1", COUNTIFS(F:F, "♢♢♢", E:E, E2), 0) - IF(E219="A1", COUNTIFS(F:F, "♢♢♢", E:E, "A1"), 0)))/100, 
   IF(F219="♢♢♢♢", ((M6 * 100) / (COUNTIFS(F:F, "♢♢♢♢", E:E, E219) + COUNTIFS(F:F, "♢♢♢♢", E:E, "A1") + IF(E219="A1", COUNTIFS(F:F, "♢♢♢♢", E:E, E2), 0) - IF(E219="A1", COUNTIFS(F:F, "♢♢♢♢", E:E, "A1"), 0)))/100, 
   IF(F219="☆", ((M7 * 100) / (COUNTIFS(F:F, "☆", E:E, E219) + COUNTIFS(F:F, "☆", E:E, "A1") + IF(E219="A1", COUNTIFS(F:F, "☆", E:E, E2), 0) - IF(E219="A1", COUNTIFS(F:F, "☆", E:E, "A1"), 0)))/100, 
   IF(F219="☆☆", ((M8 * 100) / (COUNTIFS(F:F, "☆☆", E:E, E219) + COUNTIFS(F:F, "☆☆", E:E, "A1") + IF(E219="A1", COUNTIFS(F:F, "☆☆", E:E, E2), 0) - IF(E219="A1", COUNTIFS(F:F, "☆☆", E:E, "A1"), 0)))/100, 
   IF(F219="☆☆☆", ((M9 * 100) / (COUNTIFS(F:F, "☆☆☆", E:E, E219) + COUNTIFS(F:F, "☆☆☆", E:E, "A1") + IF(E219="A1", COUNTIFS(F:F, "☆☆☆", E:E, E2), 0) - IF(E219="A1", COUNTIFS(F:F, "☆☆☆", E:E, "A1"), 0)))/100, 
   IF(F219="♛", ((M10 * 100) / (COUNTIFS(F:F, "♛", E:E, E219) + COUNTIFS(F:F, "♛", E:E, "A1") + IF(E219="A1", COUNTIFS(F:F, "♛", E:E, E2), 0) - IF(E219="A1", COUNTIFS(F:F, "♛", E:E, "A1"), 0)))/100, "")))))))
</f>
        <v/>
      </c>
      <c r="I219" s="130" t="str">
        <f>IF(F219="♢♢", ((N4 * 100) / (COUNTIFS(F:F, "♢♢", E:E, E219) + COUNTIFS(F:F, "♢♢", E:E, "A1") + IF(E219="A1", COUNTIFS(F:F, "♢♢", E:E, E2), 0) - IF(E219="A1", COUNTIFS(F:F, "♢♢", E:E, "A1"), 0)))/100, 
   IF(F219="♢♢♢", ((N5 * 100) / (COUNTIFS(F:F, "♢♢♢", E:E, E219) + COUNTIFS(F:F, "♢♢♢", E:E, "A1") + IF(E219="A1", COUNTIFS(F:F, "♢♢♢", E:E, E2), 0) - IF(E219="A1", COUNTIFS(F:F, "♢♢♢", E:E, "A1"), 0)))/100, 
   IF(F219="♢♢♢♢", ((N6 * 100) / (COUNTIFS(F:F, "♢♢♢♢", E:E, E219) + COUNTIFS(F:F, "♢♢♢♢", E:E, "A1") + IF(E219="A1", COUNTIFS(F:F, "♢♢♢♢", E:E, E2), 0) - IF(E219="A1", COUNTIFS(F:F, "♢♢♢♢", E:E, "A1"), 0)))/100, 
   IF(F219="☆", ((N7 * 100) / (COUNTIFS(F:F, "☆", E:E, E219) + COUNTIFS(F:F, "☆", E:E, "A1") + IF(E219="A1", COUNTIFS(F:F, "☆", E:E, E2), 0) - IF(E219="A1", COUNTIFS(F:F, "☆", E:E, "A1"), 0)))/100, 
   IF(F219="☆☆", ((N8 * 100) / (COUNTIFS(F:F, "☆☆", E:E, E219) + COUNTIFS(F:F, "☆☆", E:E, "A1") + IF(E219="A1", COUNTIFS(F:F, "☆☆", E:E, E2), 0) - IF(E219="A1", COUNTIFS(F:F, "☆☆", E:E, "A1"), 0)))/100, 
   IF(F219="☆☆☆", ((N9 * 100) / (COUNTIFS(F:F, "☆☆☆", E:E, E219) + COUNTIFS(F:F, "☆☆☆", E:E, "A1") + IF(E219="A1", COUNTIFS(F:F, "☆☆☆", E:E, E2), 0) - IF(E219="A1", COUNTIFS(F:F, "☆☆☆", E:E, "A1"), 0)))/100, 
   IF(F219="♛", ((N10 * 100) / (COUNTIFS(F:F, "♛", E:E, E219) + COUNTIFS(F:F, "♛", E:E, "A1") + IF(E219="A1", COUNTIFS(F:F, "♛", E:E, E2), 0) - IF(E219="A1", COUNTIFS(F:F, "♛", E:E, "A1"), 0)))/100, "")))))))
</f>
        <v/>
      </c>
      <c r="J219" s="131"/>
      <c r="K219" s="247"/>
      <c r="L219" s="20"/>
      <c r="M219" s="20"/>
      <c r="N219" s="20"/>
      <c r="O219" s="249"/>
    </row>
    <row r="220">
      <c r="A220" s="125" t="b">
        <f t="shared" si="1"/>
        <v>0</v>
      </c>
      <c r="B220" s="126">
        <v>0.0</v>
      </c>
      <c r="C220" s="127" t="s">
        <v>551</v>
      </c>
      <c r="D220" s="127" t="s">
        <v>552</v>
      </c>
      <c r="E220" s="128" t="s">
        <v>32</v>
      </c>
      <c r="F220" s="127" t="s">
        <v>46</v>
      </c>
      <c r="G220" s="130" t="str">
        <f>IF(F220="♢", ((L3 * 100) / (COUNTIFS(F:F, "♢", E:E, E220) + COUNTIFS(F:F, "♢", E:E, "A1") + IF(E220="A1", COUNTIFS(F:F, "♢", E:E, E2), 0) - IF(E220="A1", COUNTIFS(F:F, "♢", E:E, "A1"), 0)))/100, "")
</f>
        <v/>
      </c>
      <c r="H220" s="129">
        <f>IF(F220="♢♢", ((M4 * 100) / (COUNTIFS(F:F, "♢♢", E:E, E220) + COUNTIFS(F:F, "♢♢", E:E, "A1") + IF(E220="A1", COUNTIFS(F:F, "♢♢", E:E, E2), 0) - IF(E220="A1", COUNTIFS(F:F, "♢♢", E:E, "A1"), 0)))/100, 
   IF(F220="♢♢♢", ((M5 * 100) / (COUNTIFS(F:F, "♢♢♢", E:E, E220) + COUNTIFS(F:F, "♢♢♢", E:E, "A1") + IF(E220="A1", COUNTIFS(F:F, "♢♢♢", E:E, E2), 0) - IF(E220="A1", COUNTIFS(F:F, "♢♢♢", E:E, "A1"), 0)))/100, 
   IF(F220="♢♢♢♢", ((M6 * 100) / (COUNTIFS(F:F, "♢♢♢♢", E:E, E220) + COUNTIFS(F:F, "♢♢♢♢", E:E, "A1") + IF(E220="A1", COUNTIFS(F:F, "♢♢♢♢", E:E, E2), 0) - IF(E220="A1", COUNTIFS(F:F, "♢♢♢♢", E:E, "A1"), 0)))/100, 
   IF(F220="☆", ((M7 * 100) / (COUNTIFS(F:F, "☆", E:E, E220) + COUNTIFS(F:F, "☆", E:E, "A1") + IF(E220="A1", COUNTIFS(F:F, "☆", E:E, E2), 0) - IF(E220="A1", COUNTIFS(F:F, "☆", E:E, "A1"), 0)))/100, 
   IF(F220="☆☆", ((M8 * 100) / (COUNTIFS(F:F, "☆☆", E:E, E220) + COUNTIFS(F:F, "☆☆", E:E, "A1") + IF(E220="A1", COUNTIFS(F:F, "☆☆", E:E, E2), 0) - IF(E220="A1", COUNTIFS(F:F, "☆☆", E:E, "A1"), 0)))/100, 
   IF(F220="☆☆☆", ((M9 * 100) / (COUNTIFS(F:F, "☆☆☆", E:E, E220) + COUNTIFS(F:F, "☆☆☆", E:E, "A1") + IF(E220="A1", COUNTIFS(F:F, "☆☆☆", E:E, E2), 0) - IF(E220="A1", COUNTIFS(F:F, "☆☆☆", E:E, "A1"), 0)))/100, 
   IF(F220="♛", ((M10 * 100) / (COUNTIFS(F:F, "♛", E:E, E220) + COUNTIFS(F:F, "♛", E:E, "A1") + IF(E220="A1", COUNTIFS(F:F, "♛", E:E, E2), 0) - IF(E220="A1", COUNTIFS(F:F, "♛", E:E, "A1"), 0)))/100, "")))))))
</f>
        <v>0.02571428571</v>
      </c>
      <c r="I220" s="129">
        <f>IF(F220="♢♢", ((N4 * 100) / (COUNTIFS(F:F, "♢♢", E:E, E220) + COUNTIFS(F:F, "♢♢", E:E, "A1") + IF(E220="A1", COUNTIFS(F:F, "♢♢", E:E, E2), 0) - IF(E220="A1", COUNTIFS(F:F, "♢♢", E:E, "A1"), 0)))/100, 
   IF(F220="♢♢♢", ((N5 * 100) / (COUNTIFS(F:F, "♢♢♢", E:E, E220) + COUNTIFS(F:F, "♢♢♢", E:E, "A1") + IF(E220="A1", COUNTIFS(F:F, "♢♢♢", E:E, E2), 0) - IF(E220="A1", COUNTIFS(F:F, "♢♢♢", E:E, "A1"), 0)))/100, 
   IF(F220="♢♢♢♢", ((N6 * 100) / (COUNTIFS(F:F, "♢♢♢♢", E:E, E220) + COUNTIFS(F:F, "♢♢♢♢", E:E, "A1") + IF(E220="A1", COUNTIFS(F:F, "♢♢♢♢", E:E, E2), 0) - IF(E220="A1", COUNTIFS(F:F, "♢♢♢♢", E:E, "A1"), 0)))/100, 
   IF(F220="☆", ((N7 * 100) / (COUNTIFS(F:F, "☆", E:E, E220) + COUNTIFS(F:F, "☆", E:E, "A1") + IF(E220="A1", COUNTIFS(F:F, "☆", E:E, E2), 0) - IF(E220="A1", COUNTIFS(F:F, "☆", E:E, "A1"), 0)))/100, 
   IF(F220="☆☆", ((N8 * 100) / (COUNTIFS(F:F, "☆☆", E:E, E220) + COUNTIFS(F:F, "☆☆", E:E, "A1") + IF(E220="A1", COUNTIFS(F:F, "☆☆", E:E, E2), 0) - IF(E220="A1", COUNTIFS(F:F, "☆☆", E:E, "A1"), 0)))/100, 
   IF(F220="☆☆☆", ((N9 * 100) / (COUNTIFS(F:F, "☆☆☆", E:E, E220) + COUNTIFS(F:F, "☆☆☆", E:E, "A1") + IF(E220="A1", COUNTIFS(F:F, "☆☆☆", E:E, E2), 0) - IF(E220="A1", COUNTIFS(F:F, "☆☆☆", E:E, "A1"), 0)))/100, 
   IF(F220="♛", ((N10 * 100) / (COUNTIFS(F:F, "♛", E:E, E220) + COUNTIFS(F:F, "♛", E:E, "A1") + IF(E220="A1", COUNTIFS(F:F, "♛", E:E, E2), 0) - IF(E220="A1", COUNTIFS(F:F, "♛", E:E, "A1"), 0)))/100, "")))))))
</f>
        <v>0.01714285714</v>
      </c>
      <c r="J220" s="131"/>
      <c r="K220" s="247"/>
      <c r="L220" s="20"/>
      <c r="M220" s="20"/>
      <c r="N220" s="20"/>
      <c r="O220" s="249"/>
    </row>
    <row r="221">
      <c r="A221" s="125" t="b">
        <f t="shared" si="1"/>
        <v>0</v>
      </c>
      <c r="B221" s="126">
        <v>0.0</v>
      </c>
      <c r="C221" s="127" t="s">
        <v>553</v>
      </c>
      <c r="D221" s="127" t="s">
        <v>554</v>
      </c>
      <c r="E221" s="128" t="s">
        <v>31</v>
      </c>
      <c r="F221" s="127" t="s">
        <v>46</v>
      </c>
      <c r="G221" s="130" t="str">
        <f>IF(F221="♢", ((L3 * 100) / (COUNTIFS(F:F, "♢", E:E, E221) + COUNTIFS(F:F, "♢", E:E, "A1") + IF(E221="A1", COUNTIFS(F:F, "♢", E:E, E2), 0) - IF(E221="A1", COUNTIFS(F:F, "♢", E:E, "A1"), 0)))/100, "")
</f>
        <v/>
      </c>
      <c r="H221" s="129">
        <f>IF(F221="♢♢", ((M4 * 100) / (COUNTIFS(F:F, "♢♢", E:E, E221) + COUNTIFS(F:F, "♢♢", E:E, "A1") + IF(E221="A1", COUNTIFS(F:F, "♢♢", E:E, E2), 0) - IF(E221="A1", COUNTIFS(F:F, "♢♢", E:E, "A1"), 0)))/100, 
   IF(F221="♢♢♢", ((M5 * 100) / (COUNTIFS(F:F, "♢♢♢", E:E, E221) + COUNTIFS(F:F, "♢♢♢", E:E, "A1") + IF(E221="A1", COUNTIFS(F:F, "♢♢♢", E:E, E2), 0) - IF(E221="A1", COUNTIFS(F:F, "♢♢♢", E:E, "A1"), 0)))/100, 
   IF(F221="♢♢♢♢", ((M6 * 100) / (COUNTIFS(F:F, "♢♢♢♢", E:E, E221) + COUNTIFS(F:F, "♢♢♢♢", E:E, "A1") + IF(E221="A1", COUNTIFS(F:F, "♢♢♢♢", E:E, E2), 0) - IF(E221="A1", COUNTIFS(F:F, "♢♢♢♢", E:E, "A1"), 0)))/100, 
   IF(F221="☆", ((M7 * 100) / (COUNTIFS(F:F, "☆", E:E, E221) + COUNTIFS(F:F, "☆", E:E, "A1") + IF(E221="A1", COUNTIFS(F:F, "☆", E:E, E2), 0) - IF(E221="A1", COUNTIFS(F:F, "☆", E:E, "A1"), 0)))/100, 
   IF(F221="☆☆", ((M8 * 100) / (COUNTIFS(F:F, "☆☆", E:E, E221) + COUNTIFS(F:F, "☆☆", E:E, "A1") + IF(E221="A1", COUNTIFS(F:F, "☆☆", E:E, E2), 0) - IF(E221="A1", COUNTIFS(F:F, "☆☆", E:E, "A1"), 0)))/100, 
   IF(F221="☆☆☆", ((M9 * 100) / (COUNTIFS(F:F, "☆☆☆", E:E, E221) + COUNTIFS(F:F, "☆☆☆", E:E, "A1") + IF(E221="A1", COUNTIFS(F:F, "☆☆☆", E:E, E2), 0) - IF(E221="A1", COUNTIFS(F:F, "☆☆☆", E:E, "A1"), 0)))/100, 
   IF(F221="♛", ((M10 * 100) / (COUNTIFS(F:F, "♛", E:E, E221) + COUNTIFS(F:F, "♛", E:E, "A1") + IF(E221="A1", COUNTIFS(F:F, "♛", E:E, E2), 0) - IF(E221="A1", COUNTIFS(F:F, "♛", E:E, "A1"), 0)))/100, "")))))))
</f>
        <v>0.02571428571</v>
      </c>
      <c r="I221" s="129">
        <f>IF(F221="♢♢", ((N4 * 100) / (COUNTIFS(F:F, "♢♢", E:E, E221) + COUNTIFS(F:F, "♢♢", E:E, "A1") + IF(E221="A1", COUNTIFS(F:F, "♢♢", E:E, E2), 0) - IF(E221="A1", COUNTIFS(F:F, "♢♢", E:E, "A1"), 0)))/100, 
   IF(F221="♢♢♢", ((N5 * 100) / (COUNTIFS(F:F, "♢♢♢", E:E, E221) + COUNTIFS(F:F, "♢♢♢", E:E, "A1") + IF(E221="A1", COUNTIFS(F:F, "♢♢♢", E:E, E2), 0) - IF(E221="A1", COUNTIFS(F:F, "♢♢♢", E:E, "A1"), 0)))/100, 
   IF(F221="♢♢♢♢", ((N6 * 100) / (COUNTIFS(F:F, "♢♢♢♢", E:E, E221) + COUNTIFS(F:F, "♢♢♢♢", E:E, "A1") + IF(E221="A1", COUNTIFS(F:F, "♢♢♢♢", E:E, E2), 0) - IF(E221="A1", COUNTIFS(F:F, "♢♢♢♢", E:E, "A1"), 0)))/100, 
   IF(F221="☆", ((N7 * 100) / (COUNTIFS(F:F, "☆", E:E, E221) + COUNTIFS(F:F, "☆", E:E, "A1") + IF(E221="A1", COUNTIFS(F:F, "☆", E:E, E2), 0) - IF(E221="A1", COUNTIFS(F:F, "☆", E:E, "A1"), 0)))/100, 
   IF(F221="☆☆", ((N8 * 100) / (COUNTIFS(F:F, "☆☆", E:E, E221) + COUNTIFS(F:F, "☆☆", E:E, "A1") + IF(E221="A1", COUNTIFS(F:F, "☆☆", E:E, E2), 0) - IF(E221="A1", COUNTIFS(F:F, "☆☆", E:E, "A1"), 0)))/100, 
   IF(F221="☆☆☆", ((N9 * 100) / (COUNTIFS(F:F, "☆☆☆", E:E, E221) + COUNTIFS(F:F, "☆☆☆", E:E, "A1") + IF(E221="A1", COUNTIFS(F:F, "☆☆☆", E:E, E2), 0) - IF(E221="A1", COUNTIFS(F:F, "☆☆☆", E:E, "A1"), 0)))/100, 
   IF(F221="♛", ((N10 * 100) / (COUNTIFS(F:F, "♛", E:E, E221) + COUNTIFS(F:F, "♛", E:E, "A1") + IF(E221="A1", COUNTIFS(F:F, "♛", E:E, E2), 0) - IF(E221="A1", COUNTIFS(F:F, "♛", E:E, "A1"), 0)))/100, "")))))))
</f>
        <v>0.01714285714</v>
      </c>
      <c r="J221" s="131"/>
      <c r="K221" s="247"/>
      <c r="L221" s="20"/>
      <c r="M221" s="20"/>
      <c r="N221" s="20"/>
      <c r="O221" s="249"/>
    </row>
    <row r="222">
      <c r="A222" s="125" t="b">
        <f t="shared" si="1"/>
        <v>0</v>
      </c>
      <c r="B222" s="126">
        <v>0.0</v>
      </c>
      <c r="C222" s="127" t="s">
        <v>555</v>
      </c>
      <c r="D222" s="127" t="s">
        <v>556</v>
      </c>
      <c r="E222" s="128" t="s">
        <v>32</v>
      </c>
      <c r="F222" s="127" t="s">
        <v>46</v>
      </c>
      <c r="G222" s="130" t="str">
        <f>IF(F222="♢", ((L3 * 100) / (COUNTIFS(F:F, "♢", E:E, E222) + COUNTIFS(F:F, "♢", E:E, "A1") + IF(E222="A1", COUNTIFS(F:F, "♢", E:E, E2), 0) - IF(E222="A1", COUNTIFS(F:F, "♢", E:E, "A1"), 0)))/100, "")
</f>
        <v/>
      </c>
      <c r="H222" s="129">
        <f>IF(F222="♢♢", ((M4 * 100) / (COUNTIFS(F:F, "♢♢", E:E, E222) + COUNTIFS(F:F, "♢♢", E:E, "A1") + IF(E222="A1", COUNTIFS(F:F, "♢♢", E:E, E2), 0) - IF(E222="A1", COUNTIFS(F:F, "♢♢", E:E, "A1"), 0)))/100, 
   IF(F222="♢♢♢", ((M5 * 100) / (COUNTIFS(F:F, "♢♢♢", E:E, E222) + COUNTIFS(F:F, "♢♢♢", E:E, "A1") + IF(E222="A1", COUNTIFS(F:F, "♢♢♢", E:E, E2), 0) - IF(E222="A1", COUNTIFS(F:F, "♢♢♢", E:E, "A1"), 0)))/100, 
   IF(F222="♢♢♢♢", ((M6 * 100) / (COUNTIFS(F:F, "♢♢♢♢", E:E, E222) + COUNTIFS(F:F, "♢♢♢♢", E:E, "A1") + IF(E222="A1", COUNTIFS(F:F, "♢♢♢♢", E:E, E2), 0) - IF(E222="A1", COUNTIFS(F:F, "♢♢♢♢", E:E, "A1"), 0)))/100, 
   IF(F222="☆", ((M7 * 100) / (COUNTIFS(F:F, "☆", E:E, E222) + COUNTIFS(F:F, "☆", E:E, "A1") + IF(E222="A1", COUNTIFS(F:F, "☆", E:E, E2), 0) - IF(E222="A1", COUNTIFS(F:F, "☆", E:E, "A1"), 0)))/100, 
   IF(F222="☆☆", ((M8 * 100) / (COUNTIFS(F:F, "☆☆", E:E, E222) + COUNTIFS(F:F, "☆☆", E:E, "A1") + IF(E222="A1", COUNTIFS(F:F, "☆☆", E:E, E2), 0) - IF(E222="A1", COUNTIFS(F:F, "☆☆", E:E, "A1"), 0)))/100, 
   IF(F222="☆☆☆", ((M9 * 100) / (COUNTIFS(F:F, "☆☆☆", E:E, E222) + COUNTIFS(F:F, "☆☆☆", E:E, "A1") + IF(E222="A1", COUNTIFS(F:F, "☆☆☆", E:E, E2), 0) - IF(E222="A1", COUNTIFS(F:F, "☆☆☆", E:E, "A1"), 0)))/100, 
   IF(F222="♛", ((M10 * 100) / (COUNTIFS(F:F, "♛", E:E, E222) + COUNTIFS(F:F, "♛", E:E, "A1") + IF(E222="A1", COUNTIFS(F:F, "♛", E:E, E2), 0) - IF(E222="A1", COUNTIFS(F:F, "♛", E:E, "A1"), 0)))/100, "")))))))
</f>
        <v>0.02571428571</v>
      </c>
      <c r="I222" s="129">
        <f>IF(F222="♢♢", ((N4 * 100) / (COUNTIFS(F:F, "♢♢", E:E, E222) + COUNTIFS(F:F, "♢♢", E:E, "A1") + IF(E222="A1", COUNTIFS(F:F, "♢♢", E:E, E2), 0) - IF(E222="A1", COUNTIFS(F:F, "♢♢", E:E, "A1"), 0)))/100, 
   IF(F222="♢♢♢", ((N5 * 100) / (COUNTIFS(F:F, "♢♢♢", E:E, E222) + COUNTIFS(F:F, "♢♢♢", E:E, "A1") + IF(E222="A1", COUNTIFS(F:F, "♢♢♢", E:E, E2), 0) - IF(E222="A1", COUNTIFS(F:F, "♢♢♢", E:E, "A1"), 0)))/100, 
   IF(F222="♢♢♢♢", ((N6 * 100) / (COUNTIFS(F:F, "♢♢♢♢", E:E, E222) + COUNTIFS(F:F, "♢♢♢♢", E:E, "A1") + IF(E222="A1", COUNTIFS(F:F, "♢♢♢♢", E:E, E2), 0) - IF(E222="A1", COUNTIFS(F:F, "♢♢♢♢", E:E, "A1"), 0)))/100, 
   IF(F222="☆", ((N7 * 100) / (COUNTIFS(F:F, "☆", E:E, E222) + COUNTIFS(F:F, "☆", E:E, "A1") + IF(E222="A1", COUNTIFS(F:F, "☆", E:E, E2), 0) - IF(E222="A1", COUNTIFS(F:F, "☆", E:E, "A1"), 0)))/100, 
   IF(F222="☆☆", ((N8 * 100) / (COUNTIFS(F:F, "☆☆", E:E, E222) + COUNTIFS(F:F, "☆☆", E:E, "A1") + IF(E222="A1", COUNTIFS(F:F, "☆☆", E:E, E2), 0) - IF(E222="A1", COUNTIFS(F:F, "☆☆", E:E, "A1"), 0)))/100, 
   IF(F222="☆☆☆", ((N9 * 100) / (COUNTIFS(F:F, "☆☆☆", E:E, E222) + COUNTIFS(F:F, "☆☆☆", E:E, "A1") + IF(E222="A1", COUNTIFS(F:F, "☆☆☆", E:E, E2), 0) - IF(E222="A1", COUNTIFS(F:F, "☆☆☆", E:E, "A1"), 0)))/100, 
   IF(F222="♛", ((N10 * 100) / (COUNTIFS(F:F, "♛", E:E, E222) + COUNTIFS(F:F, "♛", E:E, "A1") + IF(E222="A1", COUNTIFS(F:F, "♛", E:E, E2), 0) - IF(E222="A1", COUNTIFS(F:F, "♛", E:E, "A1"), 0)))/100, "")))))))
</f>
        <v>0.01714285714</v>
      </c>
      <c r="J222" s="131"/>
      <c r="K222" s="247"/>
      <c r="L222" s="20"/>
      <c r="M222" s="20"/>
      <c r="N222" s="20"/>
      <c r="O222" s="249"/>
    </row>
    <row r="223">
      <c r="A223" s="125" t="b">
        <f t="shared" si="1"/>
        <v>0</v>
      </c>
      <c r="B223" s="126">
        <v>0.0</v>
      </c>
      <c r="C223" s="127" t="s">
        <v>557</v>
      </c>
      <c r="D223" s="127" t="s">
        <v>558</v>
      </c>
      <c r="E223" s="128" t="s">
        <v>29</v>
      </c>
      <c r="F223" s="127" t="s">
        <v>46</v>
      </c>
      <c r="G223" s="130" t="str">
        <f>IF(F223="♢", ((L3 * 100) / (COUNTIFS(F:F, "♢", E:E, E223) + COUNTIFS(F:F, "♢", E:E, "A1") + IF(E223="A1", COUNTIFS(F:F, "♢", E:E, E2), 0) - IF(E223="A1", COUNTIFS(F:F, "♢", E:E, "A1"), 0)))/100, "")
</f>
        <v/>
      </c>
      <c r="H223" s="129">
        <f>IF(F223="♢♢", ((M4 * 100) / (COUNTIFS(F:F, "♢♢", E:E, E223) + COUNTIFS(F:F, "♢♢", E:E, "A1") + IF(E223="A1", COUNTIFS(F:F, "♢♢", E:E, E2), 0) - IF(E223="A1", COUNTIFS(F:F, "♢♢", E:E, "A1"), 0)))/100, 
   IF(F223="♢♢♢", ((M5 * 100) / (COUNTIFS(F:F, "♢♢♢", E:E, E223) + COUNTIFS(F:F, "♢♢♢", E:E, "A1") + IF(E223="A1", COUNTIFS(F:F, "♢♢♢", E:E, E2), 0) - IF(E223="A1", COUNTIFS(F:F, "♢♢♢", E:E, "A1"), 0)))/100, 
   IF(F223="♢♢♢♢", ((M6 * 100) / (COUNTIFS(F:F, "♢♢♢♢", E:E, E223) + COUNTIFS(F:F, "♢♢♢♢", E:E, "A1") + IF(E223="A1", COUNTIFS(F:F, "♢♢♢♢", E:E, E2), 0) - IF(E223="A1", COUNTIFS(F:F, "♢♢♢♢", E:E, "A1"), 0)))/100, 
   IF(F223="☆", ((M7 * 100) / (COUNTIFS(F:F, "☆", E:E, E223) + COUNTIFS(F:F, "☆", E:E, "A1") + IF(E223="A1", COUNTIFS(F:F, "☆", E:E, E2), 0) - IF(E223="A1", COUNTIFS(F:F, "☆", E:E, "A1"), 0)))/100, 
   IF(F223="☆☆", ((M8 * 100) / (COUNTIFS(F:F, "☆☆", E:E, E223) + COUNTIFS(F:F, "☆☆", E:E, "A1") + IF(E223="A1", COUNTIFS(F:F, "☆☆", E:E, E2), 0) - IF(E223="A1", COUNTIFS(F:F, "☆☆", E:E, "A1"), 0)))/100, 
   IF(F223="☆☆☆", ((M9 * 100) / (COUNTIFS(F:F, "☆☆☆", E:E, E223) + COUNTIFS(F:F, "☆☆☆", E:E, "A1") + IF(E223="A1", COUNTIFS(F:F, "☆☆☆", E:E, E2), 0) - IF(E223="A1", COUNTIFS(F:F, "☆☆☆", E:E, "A1"), 0)))/100, 
   IF(F223="♛", ((M10 * 100) / (COUNTIFS(F:F, "♛", E:E, E223) + COUNTIFS(F:F, "♛", E:E, "A1") + IF(E223="A1", COUNTIFS(F:F, "♛", E:E, E2), 0) - IF(E223="A1", COUNTIFS(F:F, "♛", E:E, "A1"), 0)))/100, "")))))))
</f>
        <v>0.02571428571</v>
      </c>
      <c r="I223" s="129">
        <f>IF(F223="♢♢", ((N4 * 100) / (COUNTIFS(F:F, "♢♢", E:E, E223) + COUNTIFS(F:F, "♢♢", E:E, "A1") + IF(E223="A1", COUNTIFS(F:F, "♢♢", E:E, E2), 0) - IF(E223="A1", COUNTIFS(F:F, "♢♢", E:E, "A1"), 0)))/100, 
   IF(F223="♢♢♢", ((N5 * 100) / (COUNTIFS(F:F, "♢♢♢", E:E, E223) + COUNTIFS(F:F, "♢♢♢", E:E, "A1") + IF(E223="A1", COUNTIFS(F:F, "♢♢♢", E:E, E2), 0) - IF(E223="A1", COUNTIFS(F:F, "♢♢♢", E:E, "A1"), 0)))/100, 
   IF(F223="♢♢♢♢", ((N6 * 100) / (COUNTIFS(F:F, "♢♢♢♢", E:E, E223) + COUNTIFS(F:F, "♢♢♢♢", E:E, "A1") + IF(E223="A1", COUNTIFS(F:F, "♢♢♢♢", E:E, E2), 0) - IF(E223="A1", COUNTIFS(F:F, "♢♢♢♢", E:E, "A1"), 0)))/100, 
   IF(F223="☆", ((N7 * 100) / (COUNTIFS(F:F, "☆", E:E, E223) + COUNTIFS(F:F, "☆", E:E, "A1") + IF(E223="A1", COUNTIFS(F:F, "☆", E:E, E2), 0) - IF(E223="A1", COUNTIFS(F:F, "☆", E:E, "A1"), 0)))/100, 
   IF(F223="☆☆", ((N8 * 100) / (COUNTIFS(F:F, "☆☆", E:E, E223) + COUNTIFS(F:F, "☆☆", E:E, "A1") + IF(E223="A1", COUNTIFS(F:F, "☆☆", E:E, E2), 0) - IF(E223="A1", COUNTIFS(F:F, "☆☆", E:E, "A1"), 0)))/100, 
   IF(F223="☆☆☆", ((N9 * 100) / (COUNTIFS(F:F, "☆☆☆", E:E, E223) + COUNTIFS(F:F, "☆☆☆", E:E, "A1") + IF(E223="A1", COUNTIFS(F:F, "☆☆☆", E:E, E2), 0) - IF(E223="A1", COUNTIFS(F:F, "☆☆☆", E:E, "A1"), 0)))/100, 
   IF(F223="♛", ((N10 * 100) / (COUNTIFS(F:F, "♛", E:E, E223) + COUNTIFS(F:F, "♛", E:E, "A1") + IF(E223="A1", COUNTIFS(F:F, "♛", E:E, E2), 0) - IF(E223="A1", COUNTIFS(F:F, "♛", E:E, "A1"), 0)))/100, "")))))))
</f>
        <v>0.01714285714</v>
      </c>
      <c r="J223" s="131"/>
      <c r="K223" s="247"/>
      <c r="L223" s="20"/>
      <c r="M223" s="20"/>
      <c r="N223" s="20"/>
      <c r="O223" s="249"/>
    </row>
    <row r="224">
      <c r="A224" s="125" t="b">
        <f t="shared" si="1"/>
        <v>0</v>
      </c>
      <c r="B224" s="126">
        <v>0.0</v>
      </c>
      <c r="C224" s="127" t="s">
        <v>559</v>
      </c>
      <c r="D224" s="127" t="s">
        <v>560</v>
      </c>
      <c r="E224" s="128" t="s">
        <v>29</v>
      </c>
      <c r="F224" s="127" t="s">
        <v>46</v>
      </c>
      <c r="G224" s="130" t="str">
        <f>IF(F224="♢", ((L3 * 100) / (COUNTIFS(F:F, "♢", E:E, E224) + COUNTIFS(F:F, "♢", E:E, "A1") + IF(E224="A1", COUNTIFS(F:F, "♢", E:E, E2), 0) - IF(E224="A1", COUNTIFS(F:F, "♢", E:E, "A1"), 0)))/100, "")
</f>
        <v/>
      </c>
      <c r="H224" s="129">
        <f>IF(F224="♢♢", ((M4 * 100) / (COUNTIFS(F:F, "♢♢", E:E, E224) + COUNTIFS(F:F, "♢♢", E:E, "A1") + IF(E224="A1", COUNTIFS(F:F, "♢♢", E:E, E2), 0) - IF(E224="A1", COUNTIFS(F:F, "♢♢", E:E, "A1"), 0)))/100, 
   IF(F224="♢♢♢", ((M5 * 100) / (COUNTIFS(F:F, "♢♢♢", E:E, E224) + COUNTIFS(F:F, "♢♢♢", E:E, "A1") + IF(E224="A1", COUNTIFS(F:F, "♢♢♢", E:E, E2), 0) - IF(E224="A1", COUNTIFS(F:F, "♢♢♢", E:E, "A1"), 0)))/100, 
   IF(F224="♢♢♢♢", ((M6 * 100) / (COUNTIFS(F:F, "♢♢♢♢", E:E, E224) + COUNTIFS(F:F, "♢♢♢♢", E:E, "A1") + IF(E224="A1", COUNTIFS(F:F, "♢♢♢♢", E:E, E2), 0) - IF(E224="A1", COUNTIFS(F:F, "♢♢♢♢", E:E, "A1"), 0)))/100, 
   IF(F224="☆", ((M7 * 100) / (COUNTIFS(F:F, "☆", E:E, E224) + COUNTIFS(F:F, "☆", E:E, "A1") + IF(E224="A1", COUNTIFS(F:F, "☆", E:E, E2), 0) - IF(E224="A1", COUNTIFS(F:F, "☆", E:E, "A1"), 0)))/100, 
   IF(F224="☆☆", ((M8 * 100) / (COUNTIFS(F:F, "☆☆", E:E, E224) + COUNTIFS(F:F, "☆☆", E:E, "A1") + IF(E224="A1", COUNTIFS(F:F, "☆☆", E:E, E2), 0) - IF(E224="A1", COUNTIFS(F:F, "☆☆", E:E, "A1"), 0)))/100, 
   IF(F224="☆☆☆", ((M9 * 100) / (COUNTIFS(F:F, "☆☆☆", E:E, E224) + COUNTIFS(F:F, "☆☆☆", E:E, "A1") + IF(E224="A1", COUNTIFS(F:F, "☆☆☆", E:E, E2), 0) - IF(E224="A1", COUNTIFS(F:F, "☆☆☆", E:E, "A1"), 0)))/100, 
   IF(F224="♛", ((M10 * 100) / (COUNTIFS(F:F, "♛", E:E, E224) + COUNTIFS(F:F, "♛", E:E, "A1") + IF(E224="A1", COUNTIFS(F:F, "♛", E:E, E2), 0) - IF(E224="A1", COUNTIFS(F:F, "♛", E:E, "A1"), 0)))/100, "")))))))
</f>
        <v>0.02571428571</v>
      </c>
      <c r="I224" s="129">
        <f>IF(F224="♢♢", ((N4 * 100) / (COUNTIFS(F:F, "♢♢", E:E, E224) + COUNTIFS(F:F, "♢♢", E:E, "A1") + IF(E224="A1", COUNTIFS(F:F, "♢♢", E:E, E2), 0) - IF(E224="A1", COUNTIFS(F:F, "♢♢", E:E, "A1"), 0)))/100, 
   IF(F224="♢♢♢", ((N5 * 100) / (COUNTIFS(F:F, "♢♢♢", E:E, E224) + COUNTIFS(F:F, "♢♢♢", E:E, "A1") + IF(E224="A1", COUNTIFS(F:F, "♢♢♢", E:E, E2), 0) - IF(E224="A1", COUNTIFS(F:F, "♢♢♢", E:E, "A1"), 0)))/100, 
   IF(F224="♢♢♢♢", ((N6 * 100) / (COUNTIFS(F:F, "♢♢♢♢", E:E, E224) + COUNTIFS(F:F, "♢♢♢♢", E:E, "A1") + IF(E224="A1", COUNTIFS(F:F, "♢♢♢♢", E:E, E2), 0) - IF(E224="A1", COUNTIFS(F:F, "♢♢♢♢", E:E, "A1"), 0)))/100, 
   IF(F224="☆", ((N7 * 100) / (COUNTIFS(F:F, "☆", E:E, E224) + COUNTIFS(F:F, "☆", E:E, "A1") + IF(E224="A1", COUNTIFS(F:F, "☆", E:E, E2), 0) - IF(E224="A1", COUNTIFS(F:F, "☆", E:E, "A1"), 0)))/100, 
   IF(F224="☆☆", ((N8 * 100) / (COUNTIFS(F:F, "☆☆", E:E, E224) + COUNTIFS(F:F, "☆☆", E:E, "A1") + IF(E224="A1", COUNTIFS(F:F, "☆☆", E:E, E2), 0) - IF(E224="A1", COUNTIFS(F:F, "☆☆", E:E, "A1"), 0)))/100, 
   IF(F224="☆☆☆", ((N9 * 100) / (COUNTIFS(F:F, "☆☆☆", E:E, E224) + COUNTIFS(F:F, "☆☆☆", E:E, "A1") + IF(E224="A1", COUNTIFS(F:F, "☆☆☆", E:E, E2), 0) - IF(E224="A1", COUNTIFS(F:F, "☆☆☆", E:E, "A1"), 0)))/100, 
   IF(F224="♛", ((N10 * 100) / (COUNTIFS(F:F, "♛", E:E, E224) + COUNTIFS(F:F, "♛", E:E, "A1") + IF(E224="A1", COUNTIFS(F:F, "♛", E:E, E2), 0) - IF(E224="A1", COUNTIFS(F:F, "♛", E:E, "A1"), 0)))/100, "")))))))
</f>
        <v>0.01714285714</v>
      </c>
      <c r="J224" s="131"/>
      <c r="K224" s="247"/>
      <c r="L224" s="20"/>
      <c r="M224" s="20"/>
      <c r="N224" s="20"/>
      <c r="O224" s="249"/>
    </row>
    <row r="225">
      <c r="A225" s="125" t="b">
        <f t="shared" si="1"/>
        <v>0</v>
      </c>
      <c r="B225" s="126">
        <v>0.0</v>
      </c>
      <c r="C225" s="127" t="s">
        <v>561</v>
      </c>
      <c r="D225" s="127" t="s">
        <v>562</v>
      </c>
      <c r="E225" s="128" t="s">
        <v>31</v>
      </c>
      <c r="F225" s="127" t="s">
        <v>46</v>
      </c>
      <c r="G225" s="130" t="str">
        <f>IF(F225="♢", ((L3 * 100) / (COUNTIFS(F:F, "♢", E:E, E225) + COUNTIFS(F:F, "♢", E:E, "A1") + IF(E225="A1", COUNTIFS(F:F, "♢", E:E, E2), 0) - IF(E225="A1", COUNTIFS(F:F, "♢", E:E, "A1"), 0)))/100, "")
</f>
        <v/>
      </c>
      <c r="H225" s="129">
        <f>IF(F225="♢♢", ((M4 * 100) / (COUNTIFS(F:F, "♢♢", E:E, E225) + COUNTIFS(F:F, "♢♢", E:E, "A1") + IF(E225="A1", COUNTIFS(F:F, "♢♢", E:E, E2), 0) - IF(E225="A1", COUNTIFS(F:F, "♢♢", E:E, "A1"), 0)))/100, 
   IF(F225="♢♢♢", ((M5 * 100) / (COUNTIFS(F:F, "♢♢♢", E:E, E225) + COUNTIFS(F:F, "♢♢♢", E:E, "A1") + IF(E225="A1", COUNTIFS(F:F, "♢♢♢", E:E, E2), 0) - IF(E225="A1", COUNTIFS(F:F, "♢♢♢", E:E, "A1"), 0)))/100, 
   IF(F225="♢♢♢♢", ((M6 * 100) / (COUNTIFS(F:F, "♢♢♢♢", E:E, E225) + COUNTIFS(F:F, "♢♢♢♢", E:E, "A1") + IF(E225="A1", COUNTIFS(F:F, "♢♢♢♢", E:E, E2), 0) - IF(E225="A1", COUNTIFS(F:F, "♢♢♢♢", E:E, "A1"), 0)))/100, 
   IF(F225="☆", ((M7 * 100) / (COUNTIFS(F:F, "☆", E:E, E225) + COUNTIFS(F:F, "☆", E:E, "A1") + IF(E225="A1", COUNTIFS(F:F, "☆", E:E, E2), 0) - IF(E225="A1", COUNTIFS(F:F, "☆", E:E, "A1"), 0)))/100, 
   IF(F225="☆☆", ((M8 * 100) / (COUNTIFS(F:F, "☆☆", E:E, E225) + COUNTIFS(F:F, "☆☆", E:E, "A1") + IF(E225="A1", COUNTIFS(F:F, "☆☆", E:E, E2), 0) - IF(E225="A1", COUNTIFS(F:F, "☆☆", E:E, "A1"), 0)))/100, 
   IF(F225="☆☆☆", ((M9 * 100) / (COUNTIFS(F:F, "☆☆☆", E:E, E225) + COUNTIFS(F:F, "☆☆☆", E:E, "A1") + IF(E225="A1", COUNTIFS(F:F, "☆☆☆", E:E, E2), 0) - IF(E225="A1", COUNTIFS(F:F, "☆☆☆", E:E, "A1"), 0)))/100, 
   IF(F225="♛", ((M10 * 100) / (COUNTIFS(F:F, "♛", E:E, E225) + COUNTIFS(F:F, "♛", E:E, "A1") + IF(E225="A1", COUNTIFS(F:F, "♛", E:E, E2), 0) - IF(E225="A1", COUNTIFS(F:F, "♛", E:E, "A1"), 0)))/100, "")))))))
</f>
        <v>0.02571428571</v>
      </c>
      <c r="I225" s="129">
        <f>IF(F225="♢♢", ((N4 * 100) / (COUNTIFS(F:F, "♢♢", E:E, E225) + COUNTIFS(F:F, "♢♢", E:E, "A1") + IF(E225="A1", COUNTIFS(F:F, "♢♢", E:E, E2), 0) - IF(E225="A1", COUNTIFS(F:F, "♢♢", E:E, "A1"), 0)))/100, 
   IF(F225="♢♢♢", ((N5 * 100) / (COUNTIFS(F:F, "♢♢♢", E:E, E225) + COUNTIFS(F:F, "♢♢♢", E:E, "A1") + IF(E225="A1", COUNTIFS(F:F, "♢♢♢", E:E, E2), 0) - IF(E225="A1", COUNTIFS(F:F, "♢♢♢", E:E, "A1"), 0)))/100, 
   IF(F225="♢♢♢♢", ((N6 * 100) / (COUNTIFS(F:F, "♢♢♢♢", E:E, E225) + COUNTIFS(F:F, "♢♢♢♢", E:E, "A1") + IF(E225="A1", COUNTIFS(F:F, "♢♢♢♢", E:E, E2), 0) - IF(E225="A1", COUNTIFS(F:F, "♢♢♢♢", E:E, "A1"), 0)))/100, 
   IF(F225="☆", ((N7 * 100) / (COUNTIFS(F:F, "☆", E:E, E225) + COUNTIFS(F:F, "☆", E:E, "A1") + IF(E225="A1", COUNTIFS(F:F, "☆", E:E, E2), 0) - IF(E225="A1", COUNTIFS(F:F, "☆", E:E, "A1"), 0)))/100, 
   IF(F225="☆☆", ((N8 * 100) / (COUNTIFS(F:F, "☆☆", E:E, E225) + COUNTIFS(F:F, "☆☆", E:E, "A1") + IF(E225="A1", COUNTIFS(F:F, "☆☆", E:E, E2), 0) - IF(E225="A1", COUNTIFS(F:F, "☆☆", E:E, "A1"), 0)))/100, 
   IF(F225="☆☆☆", ((N9 * 100) / (COUNTIFS(F:F, "☆☆☆", E:E, E225) + COUNTIFS(F:F, "☆☆☆", E:E, "A1") + IF(E225="A1", COUNTIFS(F:F, "☆☆☆", E:E, E2), 0) - IF(E225="A1", COUNTIFS(F:F, "☆☆☆", E:E, "A1"), 0)))/100, 
   IF(F225="♛", ((N10 * 100) / (COUNTIFS(F:F, "♛", E:E, E225) + COUNTIFS(F:F, "♛", E:E, "A1") + IF(E225="A1", COUNTIFS(F:F, "♛", E:E, E2), 0) - IF(E225="A1", COUNTIFS(F:F, "♛", E:E, "A1"), 0)))/100, "")))))))
</f>
        <v>0.01714285714</v>
      </c>
      <c r="J225" s="131"/>
      <c r="K225" s="247"/>
      <c r="L225" s="20"/>
      <c r="M225" s="20"/>
      <c r="N225" s="20"/>
      <c r="O225" s="249"/>
    </row>
    <row r="226">
      <c r="A226" s="125" t="b">
        <f t="shared" si="1"/>
        <v>0</v>
      </c>
      <c r="B226" s="126">
        <v>0.0</v>
      </c>
      <c r="C226" s="127" t="s">
        <v>563</v>
      </c>
      <c r="D226" s="127" t="s">
        <v>564</v>
      </c>
      <c r="E226" s="128" t="s">
        <v>32</v>
      </c>
      <c r="F226" s="127" t="s">
        <v>46</v>
      </c>
      <c r="G226" s="130" t="str">
        <f>IF(F226="♢", ((L3 * 100) / (COUNTIFS(F:F, "♢", E:E, E226) + COUNTIFS(F:F, "♢", E:E, "A1") + IF(E226="A1", COUNTIFS(F:F, "♢", E:E, E2), 0) - IF(E226="A1", COUNTIFS(F:F, "♢", E:E, "A1"), 0)))/100, "")
</f>
        <v/>
      </c>
      <c r="H226" s="129">
        <f>IF(F226="♢♢", ((M4 * 100) / (COUNTIFS(F:F, "♢♢", E:E, E226) + COUNTIFS(F:F, "♢♢", E:E, "A1") + IF(E226="A1", COUNTIFS(F:F, "♢♢", E:E, E2), 0) - IF(E226="A1", COUNTIFS(F:F, "♢♢", E:E, "A1"), 0)))/100, 
   IF(F226="♢♢♢", ((M5 * 100) / (COUNTIFS(F:F, "♢♢♢", E:E, E226) + COUNTIFS(F:F, "♢♢♢", E:E, "A1") + IF(E226="A1", COUNTIFS(F:F, "♢♢♢", E:E, E2), 0) - IF(E226="A1", COUNTIFS(F:F, "♢♢♢", E:E, "A1"), 0)))/100, 
   IF(F226="♢♢♢♢", ((M6 * 100) / (COUNTIFS(F:F, "♢♢♢♢", E:E, E226) + COUNTIFS(F:F, "♢♢♢♢", E:E, "A1") + IF(E226="A1", COUNTIFS(F:F, "♢♢♢♢", E:E, E2), 0) - IF(E226="A1", COUNTIFS(F:F, "♢♢♢♢", E:E, "A1"), 0)))/100, 
   IF(F226="☆", ((M7 * 100) / (COUNTIFS(F:F, "☆", E:E, E226) + COUNTIFS(F:F, "☆", E:E, "A1") + IF(E226="A1", COUNTIFS(F:F, "☆", E:E, E2), 0) - IF(E226="A1", COUNTIFS(F:F, "☆", E:E, "A1"), 0)))/100, 
   IF(F226="☆☆", ((M8 * 100) / (COUNTIFS(F:F, "☆☆", E:E, E226) + COUNTIFS(F:F, "☆☆", E:E, "A1") + IF(E226="A1", COUNTIFS(F:F, "☆☆", E:E, E2), 0) - IF(E226="A1", COUNTIFS(F:F, "☆☆", E:E, "A1"), 0)))/100, 
   IF(F226="☆☆☆", ((M9 * 100) / (COUNTIFS(F:F, "☆☆☆", E:E, E226) + COUNTIFS(F:F, "☆☆☆", E:E, "A1") + IF(E226="A1", COUNTIFS(F:F, "☆☆☆", E:E, E2), 0) - IF(E226="A1", COUNTIFS(F:F, "☆☆☆", E:E, "A1"), 0)))/100, 
   IF(F226="♛", ((M10 * 100) / (COUNTIFS(F:F, "♛", E:E, E226) + COUNTIFS(F:F, "♛", E:E, "A1") + IF(E226="A1", COUNTIFS(F:F, "♛", E:E, E2), 0) - IF(E226="A1", COUNTIFS(F:F, "♛", E:E, "A1"), 0)))/100, "")))))))
</f>
        <v>0.02571428571</v>
      </c>
      <c r="I226" s="129">
        <f>IF(F226="♢♢", ((N4 * 100) / (COUNTIFS(F:F, "♢♢", E:E, E226) + COUNTIFS(F:F, "♢♢", E:E, "A1") + IF(E226="A1", COUNTIFS(F:F, "♢♢", E:E, E2), 0) - IF(E226="A1", COUNTIFS(F:F, "♢♢", E:E, "A1"), 0)))/100, 
   IF(F226="♢♢♢", ((N5 * 100) / (COUNTIFS(F:F, "♢♢♢", E:E, E226) + COUNTIFS(F:F, "♢♢♢", E:E, "A1") + IF(E226="A1", COUNTIFS(F:F, "♢♢♢", E:E, E2), 0) - IF(E226="A1", COUNTIFS(F:F, "♢♢♢", E:E, "A1"), 0)))/100, 
   IF(F226="♢♢♢♢", ((N6 * 100) / (COUNTIFS(F:F, "♢♢♢♢", E:E, E226) + COUNTIFS(F:F, "♢♢♢♢", E:E, "A1") + IF(E226="A1", COUNTIFS(F:F, "♢♢♢♢", E:E, E2), 0) - IF(E226="A1", COUNTIFS(F:F, "♢♢♢♢", E:E, "A1"), 0)))/100, 
   IF(F226="☆", ((N7 * 100) / (COUNTIFS(F:F, "☆", E:E, E226) + COUNTIFS(F:F, "☆", E:E, "A1") + IF(E226="A1", COUNTIFS(F:F, "☆", E:E, E2), 0) - IF(E226="A1", COUNTIFS(F:F, "☆", E:E, "A1"), 0)))/100, 
   IF(F226="☆☆", ((N8 * 100) / (COUNTIFS(F:F, "☆☆", E:E, E226) + COUNTIFS(F:F, "☆☆", E:E, "A1") + IF(E226="A1", COUNTIFS(F:F, "☆☆", E:E, E2), 0) - IF(E226="A1", COUNTIFS(F:F, "☆☆", E:E, "A1"), 0)))/100, 
   IF(F226="☆☆☆", ((N9 * 100) / (COUNTIFS(F:F, "☆☆☆", E:E, E226) + COUNTIFS(F:F, "☆☆☆", E:E, "A1") + IF(E226="A1", COUNTIFS(F:F, "☆☆☆", E:E, E2), 0) - IF(E226="A1", COUNTIFS(F:F, "☆☆☆", E:E, "A1"), 0)))/100, 
   IF(F226="♛", ((N10 * 100) / (COUNTIFS(F:F, "♛", E:E, E226) + COUNTIFS(F:F, "♛", E:E, "A1") + IF(E226="A1", COUNTIFS(F:F, "♛", E:E, E2), 0) - IF(E226="A1", COUNTIFS(F:F, "♛", E:E, "A1"), 0)))/100, "")))))))
</f>
        <v>0.01714285714</v>
      </c>
      <c r="J226" s="131"/>
      <c r="K226" s="247"/>
      <c r="L226" s="20"/>
      <c r="M226" s="20"/>
      <c r="N226" s="20"/>
      <c r="O226" s="249"/>
    </row>
    <row r="227">
      <c r="A227" s="125" t="b">
        <f t="shared" si="1"/>
        <v>0</v>
      </c>
      <c r="B227" s="126">
        <v>0.0</v>
      </c>
      <c r="C227" s="127" t="s">
        <v>565</v>
      </c>
      <c r="D227" s="127" t="s">
        <v>566</v>
      </c>
      <c r="E227" s="128" t="s">
        <v>31</v>
      </c>
      <c r="F227" s="127" t="s">
        <v>46</v>
      </c>
      <c r="G227" s="130" t="str">
        <f>IF(F227="♢", ((L3 * 100) / (COUNTIFS(F:F, "♢", E:E, E227) + COUNTIFS(F:F, "♢", E:E, "A1") + IF(E227="A1", COUNTIFS(F:F, "♢", E:E, E2), 0) - IF(E227="A1", COUNTIFS(F:F, "♢", E:E, "A1"), 0)))/100, "")
</f>
        <v/>
      </c>
      <c r="H227" s="129">
        <f>IF(F227="♢♢", ((M4 * 100) / (COUNTIFS(F:F, "♢♢", E:E, E227) + COUNTIFS(F:F, "♢♢", E:E, "A1") + IF(E227="A1", COUNTIFS(F:F, "♢♢", E:E, E2), 0) - IF(E227="A1", COUNTIFS(F:F, "♢♢", E:E, "A1"), 0)))/100, 
   IF(F227="♢♢♢", ((M5 * 100) / (COUNTIFS(F:F, "♢♢♢", E:E, E227) + COUNTIFS(F:F, "♢♢♢", E:E, "A1") + IF(E227="A1", COUNTIFS(F:F, "♢♢♢", E:E, E2), 0) - IF(E227="A1", COUNTIFS(F:F, "♢♢♢", E:E, "A1"), 0)))/100, 
   IF(F227="♢♢♢♢", ((M6 * 100) / (COUNTIFS(F:F, "♢♢♢♢", E:E, E227) + COUNTIFS(F:F, "♢♢♢♢", E:E, "A1") + IF(E227="A1", COUNTIFS(F:F, "♢♢♢♢", E:E, E2), 0) - IF(E227="A1", COUNTIFS(F:F, "♢♢♢♢", E:E, "A1"), 0)))/100, 
   IF(F227="☆", ((M7 * 100) / (COUNTIFS(F:F, "☆", E:E, E227) + COUNTIFS(F:F, "☆", E:E, "A1") + IF(E227="A1", COUNTIFS(F:F, "☆", E:E, E2), 0) - IF(E227="A1", COUNTIFS(F:F, "☆", E:E, "A1"), 0)))/100, 
   IF(F227="☆☆", ((M8 * 100) / (COUNTIFS(F:F, "☆☆", E:E, E227) + COUNTIFS(F:F, "☆☆", E:E, "A1") + IF(E227="A1", COUNTIFS(F:F, "☆☆", E:E, E2), 0) - IF(E227="A1", COUNTIFS(F:F, "☆☆", E:E, "A1"), 0)))/100, 
   IF(F227="☆☆☆", ((M9 * 100) / (COUNTIFS(F:F, "☆☆☆", E:E, E227) + COUNTIFS(F:F, "☆☆☆", E:E, "A1") + IF(E227="A1", COUNTIFS(F:F, "☆☆☆", E:E, E2), 0) - IF(E227="A1", COUNTIFS(F:F, "☆☆☆", E:E, "A1"), 0)))/100, 
   IF(F227="♛", ((M10 * 100) / (COUNTIFS(F:F, "♛", E:E, E227) + COUNTIFS(F:F, "♛", E:E, "A1") + IF(E227="A1", COUNTIFS(F:F, "♛", E:E, E2), 0) - IF(E227="A1", COUNTIFS(F:F, "♛", E:E, "A1"), 0)))/100, "")))))))
</f>
        <v>0.02571428571</v>
      </c>
      <c r="I227" s="129">
        <f>IF(F227="♢♢", ((N4 * 100) / (COUNTIFS(F:F, "♢♢", E:E, E227) + COUNTIFS(F:F, "♢♢", E:E, "A1") + IF(E227="A1", COUNTIFS(F:F, "♢♢", E:E, E2), 0) - IF(E227="A1", COUNTIFS(F:F, "♢♢", E:E, "A1"), 0)))/100, 
   IF(F227="♢♢♢", ((N5 * 100) / (COUNTIFS(F:F, "♢♢♢", E:E, E227) + COUNTIFS(F:F, "♢♢♢", E:E, "A1") + IF(E227="A1", COUNTIFS(F:F, "♢♢♢", E:E, E2), 0) - IF(E227="A1", COUNTIFS(F:F, "♢♢♢", E:E, "A1"), 0)))/100, 
   IF(F227="♢♢♢♢", ((N6 * 100) / (COUNTIFS(F:F, "♢♢♢♢", E:E, E227) + COUNTIFS(F:F, "♢♢♢♢", E:E, "A1") + IF(E227="A1", COUNTIFS(F:F, "♢♢♢♢", E:E, E2), 0) - IF(E227="A1", COUNTIFS(F:F, "♢♢♢♢", E:E, "A1"), 0)))/100, 
   IF(F227="☆", ((N7 * 100) / (COUNTIFS(F:F, "☆", E:E, E227) + COUNTIFS(F:F, "☆", E:E, "A1") + IF(E227="A1", COUNTIFS(F:F, "☆", E:E, E2), 0) - IF(E227="A1", COUNTIFS(F:F, "☆", E:E, "A1"), 0)))/100, 
   IF(F227="☆☆", ((N8 * 100) / (COUNTIFS(F:F, "☆☆", E:E, E227) + COUNTIFS(F:F, "☆☆", E:E, "A1") + IF(E227="A1", COUNTIFS(F:F, "☆☆", E:E, E2), 0) - IF(E227="A1", COUNTIFS(F:F, "☆☆", E:E, "A1"), 0)))/100, 
   IF(F227="☆☆☆", ((N9 * 100) / (COUNTIFS(F:F, "☆☆☆", E:E, E227) + COUNTIFS(F:F, "☆☆☆", E:E, "A1") + IF(E227="A1", COUNTIFS(F:F, "☆☆☆", E:E, E2), 0) - IF(E227="A1", COUNTIFS(F:F, "☆☆☆", E:E, "A1"), 0)))/100, 
   IF(F227="♛", ((N10 * 100) / (COUNTIFS(F:F, "♛", E:E, E227) + COUNTIFS(F:F, "♛", E:E, "A1") + IF(E227="A1", COUNTIFS(F:F, "♛", E:E, E2), 0) - IF(E227="A1", COUNTIFS(F:F, "♛", E:E, "A1"), 0)))/100, "")))))))
</f>
        <v>0.01714285714</v>
      </c>
      <c r="J227" s="131"/>
      <c r="K227" s="247"/>
      <c r="L227" s="20"/>
      <c r="M227" s="20"/>
      <c r="N227" s="20"/>
      <c r="O227" s="249"/>
    </row>
    <row r="228">
      <c r="A228" s="125" t="b">
        <f t="shared" si="1"/>
        <v>0</v>
      </c>
      <c r="B228" s="126">
        <v>0.0</v>
      </c>
      <c r="C228" s="127" t="s">
        <v>567</v>
      </c>
      <c r="D228" s="127" t="s">
        <v>72</v>
      </c>
      <c r="E228" s="128" t="s">
        <v>29</v>
      </c>
      <c r="F228" s="127" t="s">
        <v>45</v>
      </c>
      <c r="G228" s="130" t="str">
        <f>IF(F228="♢", ((L3 * 100) / (COUNTIFS(F:F, "♢", E:E, E228) + COUNTIFS(F:F, "♢", E:E, "A1") + IF(E228="A1", COUNTIFS(F:F, "♢", E:E, E2), 0) - IF(E228="A1", COUNTIFS(F:F, "♢", E:E, "A1"), 0)))/100, "")
</f>
        <v/>
      </c>
      <c r="H228" s="129">
        <f>IF(F228="♢♢", ((M4 * 100) / (COUNTIFS(F:F, "♢♢", E:E, E228) + COUNTIFS(F:F, "♢♢", E:E, "A1") + IF(E228="A1", COUNTIFS(F:F, "♢♢", E:E, E2), 0) - IF(E228="A1", COUNTIFS(F:F, "♢♢", E:E, "A1"), 0)))/100, 
   IF(F228="♢♢♢", ((M5 * 100) / (COUNTIFS(F:F, "♢♢♢", E:E, E228) + COUNTIFS(F:F, "♢♢♢", E:E, "A1") + IF(E228="A1", COUNTIFS(F:F, "♢♢♢", E:E, E2), 0) - IF(E228="A1", COUNTIFS(F:F, "♢♢♢", E:E, "A1"), 0)))/100, 
   IF(F228="♢♢♢♢", ((M6 * 100) / (COUNTIFS(F:F, "♢♢♢♢", E:E, E228) + COUNTIFS(F:F, "♢♢♢♢", E:E, "A1") + IF(E228="A1", COUNTIFS(F:F, "♢♢♢♢", E:E, E2), 0) - IF(E228="A1", COUNTIFS(F:F, "♢♢♢♢", E:E, "A1"), 0)))/100, 
   IF(F228="☆", ((M7 * 100) / (COUNTIFS(F:F, "☆", E:E, E228) + COUNTIFS(F:F, "☆", E:E, "A1") + IF(E228="A1", COUNTIFS(F:F, "☆", E:E, E2), 0) - IF(E228="A1", COUNTIFS(F:F, "☆", E:E, "A1"), 0)))/100, 
   IF(F228="☆☆", ((M8 * 100) / (COUNTIFS(F:F, "☆☆", E:E, E228) + COUNTIFS(F:F, "☆☆", E:E, "A1") + IF(E228="A1", COUNTIFS(F:F, "☆☆", E:E, E2), 0) - IF(E228="A1", COUNTIFS(F:F, "☆☆", E:E, "A1"), 0)))/100, 
   IF(F228="☆☆☆", ((M9 * 100) / (COUNTIFS(F:F, "☆☆☆", E:E, E228) + COUNTIFS(F:F, "☆☆☆", E:E, "A1") + IF(E228="A1", COUNTIFS(F:F, "☆☆☆", E:E, E2), 0) - IF(E228="A1", COUNTIFS(F:F, "☆☆☆", E:E, "A1"), 0)))/100, 
   IF(F228="♛", ((M10 * 100) / (COUNTIFS(F:F, "♛", E:E, E228) + COUNTIFS(F:F, "♛", E:E, "A1") + IF(E228="A1", COUNTIFS(F:F, "♛", E:E, E2), 0) - IF(E228="A1", COUNTIFS(F:F, "♛", E:E, "A1"), 0)))/100, "")))))))
</f>
        <v>0.003215</v>
      </c>
      <c r="I228" s="129">
        <f>IF(F228="♢♢", ((N4 * 100) / (COUNTIFS(F:F, "♢♢", E:E, E228) + COUNTIFS(F:F, "♢♢", E:E, "A1") + IF(E228="A1", COUNTIFS(F:F, "♢♢", E:E, E2), 0) - IF(E228="A1", COUNTIFS(F:F, "♢♢", E:E, "A1"), 0)))/100, 
   IF(F228="♢♢♢", ((N5 * 100) / (COUNTIFS(F:F, "♢♢♢", E:E, E228) + COUNTIFS(F:F, "♢♢♢", E:E, "A1") + IF(E228="A1", COUNTIFS(F:F, "♢♢♢", E:E, E2), 0) - IF(E228="A1", COUNTIFS(F:F, "♢♢♢", E:E, "A1"), 0)))/100, 
   IF(F228="♢♢♢♢", ((N6 * 100) / (COUNTIFS(F:F, "♢♢♢♢", E:E, E228) + COUNTIFS(F:F, "♢♢♢♢", E:E, "A1") + IF(E228="A1", COUNTIFS(F:F, "♢♢♢♢", E:E, E2), 0) - IF(E228="A1", COUNTIFS(F:F, "♢♢♢♢", E:E, "A1"), 0)))/100, 
   IF(F228="☆", ((N7 * 100) / (COUNTIFS(F:F, "☆", E:E, E228) + COUNTIFS(F:F, "☆", E:E, "A1") + IF(E228="A1", COUNTIFS(F:F, "☆", E:E, E2), 0) - IF(E228="A1", COUNTIFS(F:F, "☆", E:E, "A1"), 0)))/100, 
   IF(F228="☆☆", ((N8 * 100) / (COUNTIFS(F:F, "☆☆", E:E, E228) + COUNTIFS(F:F, "☆☆", E:E, "A1") + IF(E228="A1", COUNTIFS(F:F, "☆☆", E:E, E2), 0) - IF(E228="A1", COUNTIFS(F:F, "☆☆", E:E, "A1"), 0)))/100, 
   IF(F228="☆☆☆", ((N9 * 100) / (COUNTIFS(F:F, "☆☆☆", E:E, E228) + COUNTIFS(F:F, "☆☆☆", E:E, "A1") + IF(E228="A1", COUNTIFS(F:F, "☆☆☆", E:E, E2), 0) - IF(E228="A1", COUNTIFS(F:F, "☆☆☆", E:E, "A1"), 0)))/100, 
   IF(F228="♛", ((N10 * 100) / (COUNTIFS(F:F, "♛", E:E, E228) + COUNTIFS(F:F, "♛", E:E, "A1") + IF(E228="A1", COUNTIFS(F:F, "♛", E:E, E2), 0) - IF(E228="A1", COUNTIFS(F:F, "♛", E:E, "A1"), 0)))/100, "")))))))
</f>
        <v>0.01286</v>
      </c>
      <c r="J228" s="131"/>
      <c r="K228" s="247"/>
      <c r="L228" s="20"/>
      <c r="M228" s="20"/>
      <c r="N228" s="20"/>
      <c r="O228" s="249"/>
    </row>
    <row r="229">
      <c r="A229" s="125" t="b">
        <f t="shared" si="1"/>
        <v>0</v>
      </c>
      <c r="B229" s="126">
        <v>0.0</v>
      </c>
      <c r="C229" s="127" t="s">
        <v>568</v>
      </c>
      <c r="D229" s="127" t="s">
        <v>102</v>
      </c>
      <c r="E229" s="128" t="s">
        <v>32</v>
      </c>
      <c r="F229" s="127" t="s">
        <v>45</v>
      </c>
      <c r="G229" s="130" t="str">
        <f>IF(F229="♢", ((L3 * 100) / (COUNTIFS(F:F, "♢", E:E, E229) + COUNTIFS(F:F, "♢", E:E, "A1") + IF(E229="A1", COUNTIFS(F:F, "♢", E:E, E2), 0) - IF(E229="A1", COUNTIFS(F:F, "♢", E:E, "A1"), 0)))/100, "")
</f>
        <v/>
      </c>
      <c r="H229" s="129">
        <f>IF(F229="♢♢", ((M4 * 100) / (COUNTIFS(F:F, "♢♢", E:E, E229) + COUNTIFS(F:F, "♢♢", E:E, "A1") + IF(E229="A1", COUNTIFS(F:F, "♢♢", E:E, E2), 0) - IF(E229="A1", COUNTIFS(F:F, "♢♢", E:E, "A1"), 0)))/100, 
   IF(F229="♢♢♢", ((M5 * 100) / (COUNTIFS(F:F, "♢♢♢", E:E, E229) + COUNTIFS(F:F, "♢♢♢", E:E, "A1") + IF(E229="A1", COUNTIFS(F:F, "♢♢♢", E:E, E2), 0) - IF(E229="A1", COUNTIFS(F:F, "♢♢♢", E:E, "A1"), 0)))/100, 
   IF(F229="♢♢♢♢", ((M6 * 100) / (COUNTIFS(F:F, "♢♢♢♢", E:E, E229) + COUNTIFS(F:F, "♢♢♢♢", E:E, "A1") + IF(E229="A1", COUNTIFS(F:F, "♢♢♢♢", E:E, E2), 0) - IF(E229="A1", COUNTIFS(F:F, "♢♢♢♢", E:E, "A1"), 0)))/100, 
   IF(F229="☆", ((M7 * 100) / (COUNTIFS(F:F, "☆", E:E, E229) + COUNTIFS(F:F, "☆", E:E, "A1") + IF(E229="A1", COUNTIFS(F:F, "☆", E:E, E2), 0) - IF(E229="A1", COUNTIFS(F:F, "☆", E:E, "A1"), 0)))/100, 
   IF(F229="☆☆", ((M8 * 100) / (COUNTIFS(F:F, "☆☆", E:E, E229) + COUNTIFS(F:F, "☆☆", E:E, "A1") + IF(E229="A1", COUNTIFS(F:F, "☆☆", E:E, E2), 0) - IF(E229="A1", COUNTIFS(F:F, "☆☆", E:E, "A1"), 0)))/100, 
   IF(F229="☆☆☆", ((M9 * 100) / (COUNTIFS(F:F, "☆☆☆", E:E, E229) + COUNTIFS(F:F, "☆☆☆", E:E, "A1") + IF(E229="A1", COUNTIFS(F:F, "☆☆☆", E:E, E2), 0) - IF(E229="A1", COUNTIFS(F:F, "☆☆☆", E:E, "A1"), 0)))/100, 
   IF(F229="♛", ((M10 * 100) / (COUNTIFS(F:F, "♛", E:E, E229) + COUNTIFS(F:F, "♛", E:E, "A1") + IF(E229="A1", COUNTIFS(F:F, "♛", E:E, E2), 0) - IF(E229="A1", COUNTIFS(F:F, "♛", E:E, "A1"), 0)))/100, "")))))))
</f>
        <v>0.003215</v>
      </c>
      <c r="I229" s="129">
        <f>IF(F229="♢♢", ((N4 * 100) / (COUNTIFS(F:F, "♢♢", E:E, E229) + COUNTIFS(F:F, "♢♢", E:E, "A1") + IF(E229="A1", COUNTIFS(F:F, "♢♢", E:E, E2), 0) - IF(E229="A1", COUNTIFS(F:F, "♢♢", E:E, "A1"), 0)))/100, 
   IF(F229="♢♢♢", ((N5 * 100) / (COUNTIFS(F:F, "♢♢♢", E:E, E229) + COUNTIFS(F:F, "♢♢♢", E:E, "A1") + IF(E229="A1", COUNTIFS(F:F, "♢♢♢", E:E, E2), 0) - IF(E229="A1", COUNTIFS(F:F, "♢♢♢", E:E, "A1"), 0)))/100, 
   IF(F229="♢♢♢♢", ((N6 * 100) / (COUNTIFS(F:F, "♢♢♢♢", E:E, E229) + COUNTIFS(F:F, "♢♢♢♢", E:E, "A1") + IF(E229="A1", COUNTIFS(F:F, "♢♢♢♢", E:E, E2), 0) - IF(E229="A1", COUNTIFS(F:F, "♢♢♢♢", E:E, "A1"), 0)))/100, 
   IF(F229="☆", ((N7 * 100) / (COUNTIFS(F:F, "☆", E:E, E229) + COUNTIFS(F:F, "☆", E:E, "A1") + IF(E229="A1", COUNTIFS(F:F, "☆", E:E, E2), 0) - IF(E229="A1", COUNTIFS(F:F, "☆", E:E, "A1"), 0)))/100, 
   IF(F229="☆☆", ((N8 * 100) / (COUNTIFS(F:F, "☆☆", E:E, E229) + COUNTIFS(F:F, "☆☆", E:E, "A1") + IF(E229="A1", COUNTIFS(F:F, "☆☆", E:E, E2), 0) - IF(E229="A1", COUNTIFS(F:F, "☆☆", E:E, "A1"), 0)))/100, 
   IF(F229="☆☆☆", ((N9 * 100) / (COUNTIFS(F:F, "☆☆☆", E:E, E229) + COUNTIFS(F:F, "☆☆☆", E:E, "A1") + IF(E229="A1", COUNTIFS(F:F, "☆☆☆", E:E, E2), 0) - IF(E229="A1", COUNTIFS(F:F, "☆☆☆", E:E, "A1"), 0)))/100, 
   IF(F229="♛", ((N10 * 100) / (COUNTIFS(F:F, "♛", E:E, E229) + COUNTIFS(F:F, "♛", E:E, "A1") + IF(E229="A1", COUNTIFS(F:F, "♛", E:E, E2), 0) - IF(E229="A1", COUNTIFS(F:F, "♛", E:E, "A1"), 0)))/100, "")))))))
</f>
        <v>0.01286</v>
      </c>
      <c r="J229" s="131"/>
      <c r="K229" s="247"/>
      <c r="L229" s="20"/>
      <c r="M229" s="20"/>
      <c r="N229" s="20"/>
      <c r="O229" s="249"/>
    </row>
    <row r="230">
      <c r="A230" s="125" t="b">
        <f t="shared" si="1"/>
        <v>0</v>
      </c>
      <c r="B230" s="126">
        <v>0.0</v>
      </c>
      <c r="C230" s="127" t="s">
        <v>569</v>
      </c>
      <c r="D230" s="127" t="s">
        <v>136</v>
      </c>
      <c r="E230" s="128" t="s">
        <v>32</v>
      </c>
      <c r="F230" s="127" t="s">
        <v>45</v>
      </c>
      <c r="G230" s="130" t="str">
        <f>IF(F230="♢", ((L3 * 100) / (COUNTIFS(F:F, "♢", E:E, E230) + COUNTIFS(F:F, "♢", E:E, "A1") + IF(E230="A1", COUNTIFS(F:F, "♢", E:E, E2), 0) - IF(E230="A1", COUNTIFS(F:F, "♢", E:E, "A1"), 0)))/100, "")
</f>
        <v/>
      </c>
      <c r="H230" s="129">
        <f>IF(F230="♢♢", ((M4 * 100) / (COUNTIFS(F:F, "♢♢", E:E, E230) + COUNTIFS(F:F, "♢♢", E:E, "A1") + IF(E230="A1", COUNTIFS(F:F, "♢♢", E:E, E2), 0) - IF(E230="A1", COUNTIFS(F:F, "♢♢", E:E, "A1"), 0)))/100, 
   IF(F230="♢♢♢", ((M5 * 100) / (COUNTIFS(F:F, "♢♢♢", E:E, E230) + COUNTIFS(F:F, "♢♢♢", E:E, "A1") + IF(E230="A1", COUNTIFS(F:F, "♢♢♢", E:E, E2), 0) - IF(E230="A1", COUNTIFS(F:F, "♢♢♢", E:E, "A1"), 0)))/100, 
   IF(F230="♢♢♢♢", ((M6 * 100) / (COUNTIFS(F:F, "♢♢♢♢", E:E, E230) + COUNTIFS(F:F, "♢♢♢♢", E:E, "A1") + IF(E230="A1", COUNTIFS(F:F, "♢♢♢♢", E:E, E2), 0) - IF(E230="A1", COUNTIFS(F:F, "♢♢♢♢", E:E, "A1"), 0)))/100, 
   IF(F230="☆", ((M7 * 100) / (COUNTIFS(F:F, "☆", E:E, E230) + COUNTIFS(F:F, "☆", E:E, "A1") + IF(E230="A1", COUNTIFS(F:F, "☆", E:E, E2), 0) - IF(E230="A1", COUNTIFS(F:F, "☆", E:E, "A1"), 0)))/100, 
   IF(F230="☆☆", ((M8 * 100) / (COUNTIFS(F:F, "☆☆", E:E, E230) + COUNTIFS(F:F, "☆☆", E:E, "A1") + IF(E230="A1", COUNTIFS(F:F, "☆☆", E:E, E2), 0) - IF(E230="A1", COUNTIFS(F:F, "☆☆", E:E, "A1"), 0)))/100, 
   IF(F230="☆☆☆", ((M9 * 100) / (COUNTIFS(F:F, "☆☆☆", E:E, E230) + COUNTIFS(F:F, "☆☆☆", E:E, "A1") + IF(E230="A1", COUNTIFS(F:F, "☆☆☆", E:E, E2), 0) - IF(E230="A1", COUNTIFS(F:F, "☆☆☆", E:E, "A1"), 0)))/100, 
   IF(F230="♛", ((M10 * 100) / (COUNTIFS(F:F, "♛", E:E, E230) + COUNTIFS(F:F, "♛", E:E, "A1") + IF(E230="A1", COUNTIFS(F:F, "♛", E:E, E2), 0) - IF(E230="A1", COUNTIFS(F:F, "♛", E:E, "A1"), 0)))/100, "")))))))
</f>
        <v>0.003215</v>
      </c>
      <c r="I230" s="129">
        <f>IF(F230="♢♢", ((N4 * 100) / (COUNTIFS(F:F, "♢♢", E:E, E230) + COUNTIFS(F:F, "♢♢", E:E, "A1") + IF(E230="A1", COUNTIFS(F:F, "♢♢", E:E, E2), 0) - IF(E230="A1", COUNTIFS(F:F, "♢♢", E:E, "A1"), 0)))/100, 
   IF(F230="♢♢♢", ((N5 * 100) / (COUNTIFS(F:F, "♢♢♢", E:E, E230) + COUNTIFS(F:F, "♢♢♢", E:E, "A1") + IF(E230="A1", COUNTIFS(F:F, "♢♢♢", E:E, E2), 0) - IF(E230="A1", COUNTIFS(F:F, "♢♢♢", E:E, "A1"), 0)))/100, 
   IF(F230="♢♢♢♢", ((N6 * 100) / (COUNTIFS(F:F, "♢♢♢♢", E:E, E230) + COUNTIFS(F:F, "♢♢♢♢", E:E, "A1") + IF(E230="A1", COUNTIFS(F:F, "♢♢♢♢", E:E, E2), 0) - IF(E230="A1", COUNTIFS(F:F, "♢♢♢♢", E:E, "A1"), 0)))/100, 
   IF(F230="☆", ((N7 * 100) / (COUNTIFS(F:F, "☆", E:E, E230) + COUNTIFS(F:F, "☆", E:E, "A1") + IF(E230="A1", COUNTIFS(F:F, "☆", E:E, E2), 0) - IF(E230="A1", COUNTIFS(F:F, "☆", E:E, "A1"), 0)))/100, 
   IF(F230="☆☆", ((N8 * 100) / (COUNTIFS(F:F, "☆☆", E:E, E230) + COUNTIFS(F:F, "☆☆", E:E, "A1") + IF(E230="A1", COUNTIFS(F:F, "☆☆", E:E, E2), 0) - IF(E230="A1", COUNTIFS(F:F, "☆☆", E:E, "A1"), 0)))/100, 
   IF(F230="☆☆☆", ((N9 * 100) / (COUNTIFS(F:F, "☆☆☆", E:E, E230) + COUNTIFS(F:F, "☆☆☆", E:E, "A1") + IF(E230="A1", COUNTIFS(F:F, "☆☆☆", E:E, E2), 0) - IF(E230="A1", COUNTIFS(F:F, "☆☆☆", E:E, "A1"), 0)))/100, 
   IF(F230="♛", ((N10 * 100) / (COUNTIFS(F:F, "♛", E:E, E230) + COUNTIFS(F:F, "♛", E:E, "A1") + IF(E230="A1", COUNTIFS(F:F, "♛", E:E, E2), 0) - IF(E230="A1", COUNTIFS(F:F, "♛", E:E, "A1"), 0)))/100, "")))))))
</f>
        <v>0.01286</v>
      </c>
      <c r="J230" s="131"/>
      <c r="K230" s="247"/>
      <c r="L230" s="20"/>
      <c r="M230" s="20"/>
      <c r="N230" s="20"/>
      <c r="O230" s="249"/>
    </row>
    <row r="231">
      <c r="A231" s="125" t="b">
        <f t="shared" si="1"/>
        <v>0</v>
      </c>
      <c r="B231" s="126">
        <v>0.0</v>
      </c>
      <c r="C231" s="127" t="s">
        <v>570</v>
      </c>
      <c r="D231" s="127" t="s">
        <v>152</v>
      </c>
      <c r="E231" s="128" t="s">
        <v>32</v>
      </c>
      <c r="F231" s="127" t="s">
        <v>45</v>
      </c>
      <c r="G231" s="130" t="str">
        <f>IF(F231="♢", ((L3 * 100) / (COUNTIFS(F:F, "♢", E:E, E231) + COUNTIFS(F:F, "♢", E:E, "A1") + IF(E231="A1", COUNTIFS(F:F, "♢", E:E, E2), 0) - IF(E231="A1", COUNTIFS(F:F, "♢", E:E, "A1"), 0)))/100, "")
</f>
        <v/>
      </c>
      <c r="H231" s="129">
        <f>IF(F231="♢♢", ((M4 * 100) / (COUNTIFS(F:F, "♢♢", E:E, E231) + COUNTIFS(F:F, "♢♢", E:E, "A1") + IF(E231="A1", COUNTIFS(F:F, "♢♢", E:E, E2), 0) - IF(E231="A1", COUNTIFS(F:F, "♢♢", E:E, "A1"), 0)))/100, 
   IF(F231="♢♢♢", ((M5 * 100) / (COUNTIFS(F:F, "♢♢♢", E:E, E231) + COUNTIFS(F:F, "♢♢♢", E:E, "A1") + IF(E231="A1", COUNTIFS(F:F, "♢♢♢", E:E, E2), 0) - IF(E231="A1", COUNTIFS(F:F, "♢♢♢", E:E, "A1"), 0)))/100, 
   IF(F231="♢♢♢♢", ((M6 * 100) / (COUNTIFS(F:F, "♢♢♢♢", E:E, E231) + COUNTIFS(F:F, "♢♢♢♢", E:E, "A1") + IF(E231="A1", COUNTIFS(F:F, "♢♢♢♢", E:E, E2), 0) - IF(E231="A1", COUNTIFS(F:F, "♢♢♢♢", E:E, "A1"), 0)))/100, 
   IF(F231="☆", ((M7 * 100) / (COUNTIFS(F:F, "☆", E:E, E231) + COUNTIFS(F:F, "☆", E:E, "A1") + IF(E231="A1", COUNTIFS(F:F, "☆", E:E, E2), 0) - IF(E231="A1", COUNTIFS(F:F, "☆", E:E, "A1"), 0)))/100, 
   IF(F231="☆☆", ((M8 * 100) / (COUNTIFS(F:F, "☆☆", E:E, E231) + COUNTIFS(F:F, "☆☆", E:E, "A1") + IF(E231="A1", COUNTIFS(F:F, "☆☆", E:E, E2), 0) - IF(E231="A1", COUNTIFS(F:F, "☆☆", E:E, "A1"), 0)))/100, 
   IF(F231="☆☆☆", ((M9 * 100) / (COUNTIFS(F:F, "☆☆☆", E:E, E231) + COUNTIFS(F:F, "☆☆☆", E:E, "A1") + IF(E231="A1", COUNTIFS(F:F, "☆☆☆", E:E, E2), 0) - IF(E231="A1", COUNTIFS(F:F, "☆☆☆", E:E, "A1"), 0)))/100, 
   IF(F231="♛", ((M10 * 100) / (COUNTIFS(F:F, "♛", E:E, E231) + COUNTIFS(F:F, "♛", E:E, "A1") + IF(E231="A1", COUNTIFS(F:F, "♛", E:E, E2), 0) - IF(E231="A1", COUNTIFS(F:F, "♛", E:E, "A1"), 0)))/100, "")))))))
</f>
        <v>0.003215</v>
      </c>
      <c r="I231" s="129">
        <f>IF(F231="♢♢", ((N4 * 100) / (COUNTIFS(F:F, "♢♢", E:E, E231) + COUNTIFS(F:F, "♢♢", E:E, "A1") + IF(E231="A1", COUNTIFS(F:F, "♢♢", E:E, E2), 0) - IF(E231="A1", COUNTIFS(F:F, "♢♢", E:E, "A1"), 0)))/100, 
   IF(F231="♢♢♢", ((N5 * 100) / (COUNTIFS(F:F, "♢♢♢", E:E, E231) + COUNTIFS(F:F, "♢♢♢", E:E, "A1") + IF(E231="A1", COUNTIFS(F:F, "♢♢♢", E:E, E2), 0) - IF(E231="A1", COUNTIFS(F:F, "♢♢♢", E:E, "A1"), 0)))/100, 
   IF(F231="♢♢♢♢", ((N6 * 100) / (COUNTIFS(F:F, "♢♢♢♢", E:E, E231) + COUNTIFS(F:F, "♢♢♢♢", E:E, "A1") + IF(E231="A1", COUNTIFS(F:F, "♢♢♢♢", E:E, E2), 0) - IF(E231="A1", COUNTIFS(F:F, "♢♢♢♢", E:E, "A1"), 0)))/100, 
   IF(F231="☆", ((N7 * 100) / (COUNTIFS(F:F, "☆", E:E, E231) + COUNTIFS(F:F, "☆", E:E, "A1") + IF(E231="A1", COUNTIFS(F:F, "☆", E:E, E2), 0) - IF(E231="A1", COUNTIFS(F:F, "☆", E:E, "A1"), 0)))/100, 
   IF(F231="☆☆", ((N8 * 100) / (COUNTIFS(F:F, "☆☆", E:E, E231) + COUNTIFS(F:F, "☆☆", E:E, "A1") + IF(E231="A1", COUNTIFS(F:F, "☆☆", E:E, E2), 0) - IF(E231="A1", COUNTIFS(F:F, "☆☆", E:E, "A1"), 0)))/100, 
   IF(F231="☆☆☆", ((N9 * 100) / (COUNTIFS(F:F, "☆☆☆", E:E, E231) + COUNTIFS(F:F, "☆☆☆", E:E, "A1") + IF(E231="A1", COUNTIFS(F:F, "☆☆☆", E:E, E2), 0) - IF(E231="A1", COUNTIFS(F:F, "☆☆☆", E:E, "A1"), 0)))/100, 
   IF(F231="♛", ((N10 * 100) / (COUNTIFS(F:F, "♛", E:E, E231) + COUNTIFS(F:F, "♛", E:E, "A1") + IF(E231="A1", COUNTIFS(F:F, "♛", E:E, E2), 0) - IF(E231="A1", COUNTIFS(F:F, "♛", E:E, "A1"), 0)))/100, "")))))))
</f>
        <v>0.01286</v>
      </c>
      <c r="J231" s="131"/>
      <c r="K231" s="247"/>
      <c r="L231" s="20"/>
      <c r="M231" s="20"/>
      <c r="N231" s="20"/>
      <c r="O231" s="249"/>
    </row>
    <row r="232">
      <c r="A232" s="125" t="b">
        <f t="shared" si="1"/>
        <v>0</v>
      </c>
      <c r="B232" s="126">
        <v>0.0</v>
      </c>
      <c r="C232" s="127" t="s">
        <v>571</v>
      </c>
      <c r="D232" s="127" t="s">
        <v>178</v>
      </c>
      <c r="E232" s="128" t="s">
        <v>32</v>
      </c>
      <c r="F232" s="127" t="s">
        <v>45</v>
      </c>
      <c r="G232" s="130" t="str">
        <f>IF(F232="♢", ((L3 * 100) / (COUNTIFS(F:F, "♢", E:E, E232) + COUNTIFS(F:F, "♢", E:E, "A1") + IF(E232="A1", COUNTIFS(F:F, "♢", E:E, E2), 0) - IF(E232="A1", COUNTIFS(F:F, "♢", E:E, "A1"), 0)))/100, "")
</f>
        <v/>
      </c>
      <c r="H232" s="129">
        <f>IF(F232="♢♢", ((M4 * 100) / (COUNTIFS(F:F, "♢♢", E:E, E232) + COUNTIFS(F:F, "♢♢", E:E, "A1") + IF(E232="A1", COUNTIFS(F:F, "♢♢", E:E, E2), 0) - IF(E232="A1", COUNTIFS(F:F, "♢♢", E:E, "A1"), 0)))/100, 
   IF(F232="♢♢♢", ((M5 * 100) / (COUNTIFS(F:F, "♢♢♢", E:E, E232) + COUNTIFS(F:F, "♢♢♢", E:E, "A1") + IF(E232="A1", COUNTIFS(F:F, "♢♢♢", E:E, E2), 0) - IF(E232="A1", COUNTIFS(F:F, "♢♢♢", E:E, "A1"), 0)))/100, 
   IF(F232="♢♢♢♢", ((M6 * 100) / (COUNTIFS(F:F, "♢♢♢♢", E:E, E232) + COUNTIFS(F:F, "♢♢♢♢", E:E, "A1") + IF(E232="A1", COUNTIFS(F:F, "♢♢♢♢", E:E, E2), 0) - IF(E232="A1", COUNTIFS(F:F, "♢♢♢♢", E:E, "A1"), 0)))/100, 
   IF(F232="☆", ((M7 * 100) / (COUNTIFS(F:F, "☆", E:E, E232) + COUNTIFS(F:F, "☆", E:E, "A1") + IF(E232="A1", COUNTIFS(F:F, "☆", E:E, E2), 0) - IF(E232="A1", COUNTIFS(F:F, "☆", E:E, "A1"), 0)))/100, 
   IF(F232="☆☆", ((M8 * 100) / (COUNTIFS(F:F, "☆☆", E:E, E232) + COUNTIFS(F:F, "☆☆", E:E, "A1") + IF(E232="A1", COUNTIFS(F:F, "☆☆", E:E, E2), 0) - IF(E232="A1", COUNTIFS(F:F, "☆☆", E:E, "A1"), 0)))/100, 
   IF(F232="☆☆☆", ((M9 * 100) / (COUNTIFS(F:F, "☆☆☆", E:E, E232) + COUNTIFS(F:F, "☆☆☆", E:E, "A1") + IF(E232="A1", COUNTIFS(F:F, "☆☆☆", E:E, E2), 0) - IF(E232="A1", COUNTIFS(F:F, "☆☆☆", E:E, "A1"), 0)))/100, 
   IF(F232="♛", ((M10 * 100) / (COUNTIFS(F:F, "♛", E:E, E232) + COUNTIFS(F:F, "♛", E:E, "A1") + IF(E232="A1", COUNTIFS(F:F, "♛", E:E, E2), 0) - IF(E232="A1", COUNTIFS(F:F, "♛", E:E, "A1"), 0)))/100, "")))))))
</f>
        <v>0.003215</v>
      </c>
      <c r="I232" s="129">
        <f>IF(F232="♢♢", ((N4 * 100) / (COUNTIFS(F:F, "♢♢", E:E, E232) + COUNTIFS(F:F, "♢♢", E:E, "A1") + IF(E232="A1", COUNTIFS(F:F, "♢♢", E:E, E2), 0) - IF(E232="A1", COUNTIFS(F:F, "♢♢", E:E, "A1"), 0)))/100, 
   IF(F232="♢♢♢", ((N5 * 100) / (COUNTIFS(F:F, "♢♢♢", E:E, E232) + COUNTIFS(F:F, "♢♢♢", E:E, "A1") + IF(E232="A1", COUNTIFS(F:F, "♢♢♢", E:E, E2), 0) - IF(E232="A1", COUNTIFS(F:F, "♢♢♢", E:E, "A1"), 0)))/100, 
   IF(F232="♢♢♢♢", ((N6 * 100) / (COUNTIFS(F:F, "♢♢♢♢", E:E, E232) + COUNTIFS(F:F, "♢♢♢♢", E:E, "A1") + IF(E232="A1", COUNTIFS(F:F, "♢♢♢♢", E:E, E2), 0) - IF(E232="A1", COUNTIFS(F:F, "♢♢♢♢", E:E, "A1"), 0)))/100, 
   IF(F232="☆", ((N7 * 100) / (COUNTIFS(F:F, "☆", E:E, E232) + COUNTIFS(F:F, "☆", E:E, "A1") + IF(E232="A1", COUNTIFS(F:F, "☆", E:E, E2), 0) - IF(E232="A1", COUNTIFS(F:F, "☆", E:E, "A1"), 0)))/100, 
   IF(F232="☆☆", ((N8 * 100) / (COUNTIFS(F:F, "☆☆", E:E, E232) + COUNTIFS(F:F, "☆☆", E:E, "A1") + IF(E232="A1", COUNTIFS(F:F, "☆☆", E:E, E2), 0) - IF(E232="A1", COUNTIFS(F:F, "☆☆", E:E, "A1"), 0)))/100, 
   IF(F232="☆☆☆", ((N9 * 100) / (COUNTIFS(F:F, "☆☆☆", E:E, E232) + COUNTIFS(F:F, "☆☆☆", E:E, "A1") + IF(E232="A1", COUNTIFS(F:F, "☆☆☆", E:E, E2), 0) - IF(E232="A1", COUNTIFS(F:F, "☆☆☆", E:E, "A1"), 0)))/100, 
   IF(F232="♛", ((N10 * 100) / (COUNTIFS(F:F, "♛", E:E, E232) + COUNTIFS(F:F, "♛", E:E, "A1") + IF(E232="A1", COUNTIFS(F:F, "♛", E:E, E2), 0) - IF(E232="A1", COUNTIFS(F:F, "♛", E:E, "A1"), 0)))/100, "")))))))
</f>
        <v>0.01286</v>
      </c>
      <c r="J232" s="131"/>
      <c r="K232" s="247"/>
      <c r="L232" s="20"/>
      <c r="M232" s="20"/>
      <c r="N232" s="20"/>
      <c r="O232" s="249"/>
    </row>
    <row r="233">
      <c r="A233" s="125" t="b">
        <f t="shared" si="1"/>
        <v>0</v>
      </c>
      <c r="B233" s="126">
        <v>0.0</v>
      </c>
      <c r="C233" s="127" t="s">
        <v>572</v>
      </c>
      <c r="D233" s="127" t="s">
        <v>203</v>
      </c>
      <c r="E233" s="128" t="s">
        <v>31</v>
      </c>
      <c r="F233" s="127" t="s">
        <v>45</v>
      </c>
      <c r="G233" s="130" t="str">
        <f>IF(F233="♢", ((L3 * 100) / (COUNTIFS(F:F, "♢", E:E, E233) + COUNTIFS(F:F, "♢", E:E, "A1") + IF(E233="A1", COUNTIFS(F:F, "♢", E:E, E2), 0) - IF(E233="A1", COUNTIFS(F:F, "♢", E:E, "A1"), 0)))/100, "")
</f>
        <v/>
      </c>
      <c r="H233" s="129">
        <f>IF(F233="♢♢", ((M4 * 100) / (COUNTIFS(F:F, "♢♢", E:E, E233) + COUNTIFS(F:F, "♢♢", E:E, "A1") + IF(E233="A1", COUNTIFS(F:F, "♢♢", E:E, E2), 0) - IF(E233="A1", COUNTIFS(F:F, "♢♢", E:E, "A1"), 0)))/100, 
   IF(F233="♢♢♢", ((M5 * 100) / (COUNTIFS(F:F, "♢♢♢", E:E, E233) + COUNTIFS(F:F, "♢♢♢", E:E, "A1") + IF(E233="A1", COUNTIFS(F:F, "♢♢♢", E:E, E2), 0) - IF(E233="A1", COUNTIFS(F:F, "♢♢♢", E:E, "A1"), 0)))/100, 
   IF(F233="♢♢♢♢", ((M6 * 100) / (COUNTIFS(F:F, "♢♢♢♢", E:E, E233) + COUNTIFS(F:F, "♢♢♢♢", E:E, "A1") + IF(E233="A1", COUNTIFS(F:F, "♢♢♢♢", E:E, E2), 0) - IF(E233="A1", COUNTIFS(F:F, "♢♢♢♢", E:E, "A1"), 0)))/100, 
   IF(F233="☆", ((M7 * 100) / (COUNTIFS(F:F, "☆", E:E, E233) + COUNTIFS(F:F, "☆", E:E, "A1") + IF(E233="A1", COUNTIFS(F:F, "☆", E:E, E2), 0) - IF(E233="A1", COUNTIFS(F:F, "☆", E:E, "A1"), 0)))/100, 
   IF(F233="☆☆", ((M8 * 100) / (COUNTIFS(F:F, "☆☆", E:E, E233) + COUNTIFS(F:F, "☆☆", E:E, "A1") + IF(E233="A1", COUNTIFS(F:F, "☆☆", E:E, E2), 0) - IF(E233="A1", COUNTIFS(F:F, "☆☆", E:E, "A1"), 0)))/100, 
   IF(F233="☆☆☆", ((M9 * 100) / (COUNTIFS(F:F, "☆☆☆", E:E, E233) + COUNTIFS(F:F, "☆☆☆", E:E, "A1") + IF(E233="A1", COUNTIFS(F:F, "☆☆☆", E:E, E2), 0) - IF(E233="A1", COUNTIFS(F:F, "☆☆☆", E:E, "A1"), 0)))/100, 
   IF(F233="♛", ((M10 * 100) / (COUNTIFS(F:F, "♛", E:E, E233) + COUNTIFS(F:F, "♛", E:E, "A1") + IF(E233="A1", COUNTIFS(F:F, "♛", E:E, E2), 0) - IF(E233="A1", COUNTIFS(F:F, "♛", E:E, "A1"), 0)))/100, "")))))))
</f>
        <v>0.003215</v>
      </c>
      <c r="I233" s="129">
        <f>IF(F233="♢♢", ((N4 * 100) / (COUNTIFS(F:F, "♢♢", E:E, E233) + COUNTIFS(F:F, "♢♢", E:E, "A1") + IF(E233="A1", COUNTIFS(F:F, "♢♢", E:E, E2), 0) - IF(E233="A1", COUNTIFS(F:F, "♢♢", E:E, "A1"), 0)))/100, 
   IF(F233="♢♢♢", ((N5 * 100) / (COUNTIFS(F:F, "♢♢♢", E:E, E233) + COUNTIFS(F:F, "♢♢♢", E:E, "A1") + IF(E233="A1", COUNTIFS(F:F, "♢♢♢", E:E, E2), 0) - IF(E233="A1", COUNTIFS(F:F, "♢♢♢", E:E, "A1"), 0)))/100, 
   IF(F233="♢♢♢♢", ((N6 * 100) / (COUNTIFS(F:F, "♢♢♢♢", E:E, E233) + COUNTIFS(F:F, "♢♢♢♢", E:E, "A1") + IF(E233="A1", COUNTIFS(F:F, "♢♢♢♢", E:E, E2), 0) - IF(E233="A1", COUNTIFS(F:F, "♢♢♢♢", E:E, "A1"), 0)))/100, 
   IF(F233="☆", ((N7 * 100) / (COUNTIFS(F:F, "☆", E:E, E233) + COUNTIFS(F:F, "☆", E:E, "A1") + IF(E233="A1", COUNTIFS(F:F, "☆", E:E, E2), 0) - IF(E233="A1", COUNTIFS(F:F, "☆", E:E, "A1"), 0)))/100, 
   IF(F233="☆☆", ((N8 * 100) / (COUNTIFS(F:F, "☆☆", E:E, E233) + COUNTIFS(F:F, "☆☆", E:E, "A1") + IF(E233="A1", COUNTIFS(F:F, "☆☆", E:E, E2), 0) - IF(E233="A1", COUNTIFS(F:F, "☆☆", E:E, "A1"), 0)))/100, 
   IF(F233="☆☆☆", ((N9 * 100) / (COUNTIFS(F:F, "☆☆☆", E:E, E233) + COUNTIFS(F:F, "☆☆☆", E:E, "A1") + IF(E233="A1", COUNTIFS(F:F, "☆☆☆", E:E, E2), 0) - IF(E233="A1", COUNTIFS(F:F, "☆☆☆", E:E, "A1"), 0)))/100, 
   IF(F233="♛", ((N10 * 100) / (COUNTIFS(F:F, "♛", E:E, E233) + COUNTIFS(F:F, "♛", E:E, "A1") + IF(E233="A1", COUNTIFS(F:F, "♛", E:E, E2), 0) - IF(E233="A1", COUNTIFS(F:F, "♛", E:E, "A1"), 0)))/100, "")))))))
</f>
        <v>0.01286</v>
      </c>
      <c r="J233" s="131"/>
      <c r="K233" s="247"/>
      <c r="L233" s="20"/>
      <c r="M233" s="20"/>
      <c r="N233" s="20"/>
      <c r="O233" s="249"/>
    </row>
    <row r="234">
      <c r="A234" s="125" t="b">
        <f t="shared" si="1"/>
        <v>0</v>
      </c>
      <c r="B234" s="126">
        <v>0.0</v>
      </c>
      <c r="C234" s="127" t="s">
        <v>573</v>
      </c>
      <c r="D234" s="127" t="s">
        <v>262</v>
      </c>
      <c r="E234" s="128" t="s">
        <v>31</v>
      </c>
      <c r="F234" s="127" t="s">
        <v>45</v>
      </c>
      <c r="G234" s="130" t="str">
        <f>IF(F234="♢", ((L3 * 100) / (COUNTIFS(F:F, "♢", E:E, E234) + COUNTIFS(F:F, "♢", E:E, "A1") + IF(E234="A1", COUNTIFS(F:F, "♢", E:E, E2), 0) - IF(E234="A1", COUNTIFS(F:F, "♢", E:E, "A1"), 0)))/100, "")
</f>
        <v/>
      </c>
      <c r="H234" s="129">
        <f>IF(F234="♢♢", ((M4 * 100) / (COUNTIFS(F:F, "♢♢", E:E, E234) + COUNTIFS(F:F, "♢♢", E:E, "A1") + IF(E234="A1", COUNTIFS(F:F, "♢♢", E:E, E2), 0) - IF(E234="A1", COUNTIFS(F:F, "♢♢", E:E, "A1"), 0)))/100, 
   IF(F234="♢♢♢", ((M5 * 100) / (COUNTIFS(F:F, "♢♢♢", E:E, E234) + COUNTIFS(F:F, "♢♢♢", E:E, "A1") + IF(E234="A1", COUNTIFS(F:F, "♢♢♢", E:E, E2), 0) - IF(E234="A1", COUNTIFS(F:F, "♢♢♢", E:E, "A1"), 0)))/100, 
   IF(F234="♢♢♢♢", ((M6 * 100) / (COUNTIFS(F:F, "♢♢♢♢", E:E, E234) + COUNTIFS(F:F, "♢♢♢♢", E:E, "A1") + IF(E234="A1", COUNTIFS(F:F, "♢♢♢♢", E:E, E2), 0) - IF(E234="A1", COUNTIFS(F:F, "♢♢♢♢", E:E, "A1"), 0)))/100, 
   IF(F234="☆", ((M7 * 100) / (COUNTIFS(F:F, "☆", E:E, E234) + COUNTIFS(F:F, "☆", E:E, "A1") + IF(E234="A1", COUNTIFS(F:F, "☆", E:E, E2), 0) - IF(E234="A1", COUNTIFS(F:F, "☆", E:E, "A1"), 0)))/100, 
   IF(F234="☆☆", ((M8 * 100) / (COUNTIFS(F:F, "☆☆", E:E, E234) + COUNTIFS(F:F, "☆☆", E:E, "A1") + IF(E234="A1", COUNTIFS(F:F, "☆☆", E:E, E2), 0) - IF(E234="A1", COUNTIFS(F:F, "☆☆", E:E, "A1"), 0)))/100, 
   IF(F234="☆☆☆", ((M9 * 100) / (COUNTIFS(F:F, "☆☆☆", E:E, E234) + COUNTIFS(F:F, "☆☆☆", E:E, "A1") + IF(E234="A1", COUNTIFS(F:F, "☆☆☆", E:E, E2), 0) - IF(E234="A1", COUNTIFS(F:F, "☆☆☆", E:E, "A1"), 0)))/100, 
   IF(F234="♛", ((M10 * 100) / (COUNTIFS(F:F, "♛", E:E, E234) + COUNTIFS(F:F, "♛", E:E, "A1") + IF(E234="A1", COUNTIFS(F:F, "♛", E:E, E2), 0) - IF(E234="A1", COUNTIFS(F:F, "♛", E:E, "A1"), 0)))/100, "")))))))
</f>
        <v>0.003215</v>
      </c>
      <c r="I234" s="129">
        <f>IF(F234="♢♢", ((N4 * 100) / (COUNTIFS(F:F, "♢♢", E:E, E234) + COUNTIFS(F:F, "♢♢", E:E, "A1") + IF(E234="A1", COUNTIFS(F:F, "♢♢", E:E, E2), 0) - IF(E234="A1", COUNTIFS(F:F, "♢♢", E:E, "A1"), 0)))/100, 
   IF(F234="♢♢♢", ((N5 * 100) / (COUNTIFS(F:F, "♢♢♢", E:E, E234) + COUNTIFS(F:F, "♢♢♢", E:E, "A1") + IF(E234="A1", COUNTIFS(F:F, "♢♢♢", E:E, E2), 0) - IF(E234="A1", COUNTIFS(F:F, "♢♢♢", E:E, "A1"), 0)))/100, 
   IF(F234="♢♢♢♢", ((N6 * 100) / (COUNTIFS(F:F, "♢♢♢♢", E:E, E234) + COUNTIFS(F:F, "♢♢♢♢", E:E, "A1") + IF(E234="A1", COUNTIFS(F:F, "♢♢♢♢", E:E, E2), 0) - IF(E234="A1", COUNTIFS(F:F, "♢♢♢♢", E:E, "A1"), 0)))/100, 
   IF(F234="☆", ((N7 * 100) / (COUNTIFS(F:F, "☆", E:E, E234) + COUNTIFS(F:F, "☆", E:E, "A1") + IF(E234="A1", COUNTIFS(F:F, "☆", E:E, E2), 0) - IF(E234="A1", COUNTIFS(F:F, "☆", E:E, "A1"), 0)))/100, 
   IF(F234="☆☆", ((N8 * 100) / (COUNTIFS(F:F, "☆☆", E:E, E234) + COUNTIFS(F:F, "☆☆", E:E, "A1") + IF(E234="A1", COUNTIFS(F:F, "☆☆", E:E, E2), 0) - IF(E234="A1", COUNTIFS(F:F, "☆☆", E:E, "A1"), 0)))/100, 
   IF(F234="☆☆☆", ((N9 * 100) / (COUNTIFS(F:F, "☆☆☆", E:E, E234) + COUNTIFS(F:F, "☆☆☆", E:E, "A1") + IF(E234="A1", COUNTIFS(F:F, "☆☆☆", E:E, E2), 0) - IF(E234="A1", COUNTIFS(F:F, "☆☆☆", E:E, "A1"), 0)))/100, 
   IF(F234="♛", ((N10 * 100) / (COUNTIFS(F:F, "♛", E:E, E234) + COUNTIFS(F:F, "♛", E:E, "A1") + IF(E234="A1", COUNTIFS(F:F, "♛", E:E, E2), 0) - IF(E234="A1", COUNTIFS(F:F, "♛", E:E, "A1"), 0)))/100, "")))))))
</f>
        <v>0.01286</v>
      </c>
      <c r="J234" s="131"/>
      <c r="K234" s="247"/>
      <c r="L234" s="20"/>
      <c r="M234" s="20"/>
      <c r="N234" s="20"/>
      <c r="O234" s="249"/>
    </row>
    <row r="235">
      <c r="A235" s="125" t="b">
        <f t="shared" si="1"/>
        <v>0</v>
      </c>
      <c r="B235" s="126">
        <v>0.0</v>
      </c>
      <c r="C235" s="127" t="s">
        <v>574</v>
      </c>
      <c r="D235" s="127" t="s">
        <v>264</v>
      </c>
      <c r="E235" s="128" t="s">
        <v>32</v>
      </c>
      <c r="F235" s="127" t="s">
        <v>45</v>
      </c>
      <c r="G235" s="130" t="str">
        <f>IF(F235="♢", ((L3 * 100) / (COUNTIFS(F:F, "♢", E:E, E235) + COUNTIFS(F:F, "♢", E:E, "A1") + IF(E235="A1", COUNTIFS(F:F, "♢", E:E, E2), 0) - IF(E235="A1", COUNTIFS(F:F, "♢", E:E, "A1"), 0)))/100, "")
</f>
        <v/>
      </c>
      <c r="H235" s="129">
        <f>IF(F235="♢♢", ((M4 * 100) / (COUNTIFS(F:F, "♢♢", E:E, E235) + COUNTIFS(F:F, "♢♢", E:E, "A1") + IF(E235="A1", COUNTIFS(F:F, "♢♢", E:E, E2), 0) - IF(E235="A1", COUNTIFS(F:F, "♢♢", E:E, "A1"), 0)))/100, 
   IF(F235="♢♢♢", ((M5 * 100) / (COUNTIFS(F:F, "♢♢♢", E:E, E235) + COUNTIFS(F:F, "♢♢♢", E:E, "A1") + IF(E235="A1", COUNTIFS(F:F, "♢♢♢", E:E, E2), 0) - IF(E235="A1", COUNTIFS(F:F, "♢♢♢", E:E, "A1"), 0)))/100, 
   IF(F235="♢♢♢♢", ((M6 * 100) / (COUNTIFS(F:F, "♢♢♢♢", E:E, E235) + COUNTIFS(F:F, "♢♢♢♢", E:E, "A1") + IF(E235="A1", COUNTIFS(F:F, "♢♢♢♢", E:E, E2), 0) - IF(E235="A1", COUNTIFS(F:F, "♢♢♢♢", E:E, "A1"), 0)))/100, 
   IF(F235="☆", ((M7 * 100) / (COUNTIFS(F:F, "☆", E:E, E235) + COUNTIFS(F:F, "☆", E:E, "A1") + IF(E235="A1", COUNTIFS(F:F, "☆", E:E, E2), 0) - IF(E235="A1", COUNTIFS(F:F, "☆", E:E, "A1"), 0)))/100, 
   IF(F235="☆☆", ((M8 * 100) / (COUNTIFS(F:F, "☆☆", E:E, E235) + COUNTIFS(F:F, "☆☆", E:E, "A1") + IF(E235="A1", COUNTIFS(F:F, "☆☆", E:E, E2), 0) - IF(E235="A1", COUNTIFS(F:F, "☆☆", E:E, "A1"), 0)))/100, 
   IF(F235="☆☆☆", ((M9 * 100) / (COUNTIFS(F:F, "☆☆☆", E:E, E235) + COUNTIFS(F:F, "☆☆☆", E:E, "A1") + IF(E235="A1", COUNTIFS(F:F, "☆☆☆", E:E, E2), 0) - IF(E235="A1", COUNTIFS(F:F, "☆☆☆", E:E, "A1"), 0)))/100, 
   IF(F235="♛", ((M10 * 100) / (COUNTIFS(F:F, "♛", E:E, E235) + COUNTIFS(F:F, "♛", E:E, "A1") + IF(E235="A1", COUNTIFS(F:F, "♛", E:E, E2), 0) - IF(E235="A1", COUNTIFS(F:F, "♛", E:E, "A1"), 0)))/100, "")))))))
</f>
        <v>0.003215</v>
      </c>
      <c r="I235" s="129">
        <f>IF(F235="♢♢", ((N4 * 100) / (COUNTIFS(F:F, "♢♢", E:E, E235) + COUNTIFS(F:F, "♢♢", E:E, "A1") + IF(E235="A1", COUNTIFS(F:F, "♢♢", E:E, E2), 0) - IF(E235="A1", COUNTIFS(F:F, "♢♢", E:E, "A1"), 0)))/100, 
   IF(F235="♢♢♢", ((N5 * 100) / (COUNTIFS(F:F, "♢♢♢", E:E, E235) + COUNTIFS(F:F, "♢♢♢", E:E, "A1") + IF(E235="A1", COUNTIFS(F:F, "♢♢♢", E:E, E2), 0) - IF(E235="A1", COUNTIFS(F:F, "♢♢♢", E:E, "A1"), 0)))/100, 
   IF(F235="♢♢♢♢", ((N6 * 100) / (COUNTIFS(F:F, "♢♢♢♢", E:E, E235) + COUNTIFS(F:F, "♢♢♢♢", E:E, "A1") + IF(E235="A1", COUNTIFS(F:F, "♢♢♢♢", E:E, E2), 0) - IF(E235="A1", COUNTIFS(F:F, "♢♢♢♢", E:E, "A1"), 0)))/100, 
   IF(F235="☆", ((N7 * 100) / (COUNTIFS(F:F, "☆", E:E, E235) + COUNTIFS(F:F, "☆", E:E, "A1") + IF(E235="A1", COUNTIFS(F:F, "☆", E:E, E2), 0) - IF(E235="A1", COUNTIFS(F:F, "☆", E:E, "A1"), 0)))/100, 
   IF(F235="☆☆", ((N8 * 100) / (COUNTIFS(F:F, "☆☆", E:E, E235) + COUNTIFS(F:F, "☆☆", E:E, "A1") + IF(E235="A1", COUNTIFS(F:F, "☆☆", E:E, E2), 0) - IF(E235="A1", COUNTIFS(F:F, "☆☆", E:E, "A1"), 0)))/100, 
   IF(F235="☆☆☆", ((N9 * 100) / (COUNTIFS(F:F, "☆☆☆", E:E, E235) + COUNTIFS(F:F, "☆☆☆", E:E, "A1") + IF(E235="A1", COUNTIFS(F:F, "☆☆☆", E:E, E2), 0) - IF(E235="A1", COUNTIFS(F:F, "☆☆☆", E:E, "A1"), 0)))/100, 
   IF(F235="♛", ((N10 * 100) / (COUNTIFS(F:F, "♛", E:E, E235) + COUNTIFS(F:F, "♛", E:E, "A1") + IF(E235="A1", COUNTIFS(F:F, "♛", E:E, E2), 0) - IF(E235="A1", COUNTIFS(F:F, "♛", E:E, "A1"), 0)))/100, "")))))))
</f>
        <v>0.01286</v>
      </c>
      <c r="J235" s="131"/>
      <c r="K235" s="247"/>
      <c r="L235" s="20"/>
      <c r="M235" s="20"/>
      <c r="N235" s="20"/>
      <c r="O235" s="249"/>
    </row>
    <row r="236">
      <c r="A236" s="125" t="b">
        <f t="shared" si="1"/>
        <v>0</v>
      </c>
      <c r="B236" s="126">
        <v>0.0</v>
      </c>
      <c r="C236" s="127" t="s">
        <v>575</v>
      </c>
      <c r="D236" s="127" t="s">
        <v>311</v>
      </c>
      <c r="E236" s="128" t="s">
        <v>31</v>
      </c>
      <c r="F236" s="127" t="s">
        <v>45</v>
      </c>
      <c r="G236" s="130" t="str">
        <f>IF(F236="♢", ((L3 * 100) / (COUNTIFS(F:F, "♢", E:E, E236) + COUNTIFS(F:F, "♢", E:E, "A1") + IF(E236="A1", COUNTIFS(F:F, "♢", E:E, E2), 0) - IF(E236="A1", COUNTIFS(F:F, "♢", E:E, "A1"), 0)))/100, "")
</f>
        <v/>
      </c>
      <c r="H236" s="129">
        <f>IF(F236="♢♢", ((M4 * 100) / (COUNTIFS(F:F, "♢♢", E:E, E236) + COUNTIFS(F:F, "♢♢", E:E, "A1") + IF(E236="A1", COUNTIFS(F:F, "♢♢", E:E, E2), 0) - IF(E236="A1", COUNTIFS(F:F, "♢♢", E:E, "A1"), 0)))/100, 
   IF(F236="♢♢♢", ((M5 * 100) / (COUNTIFS(F:F, "♢♢♢", E:E, E236) + COUNTIFS(F:F, "♢♢♢", E:E, "A1") + IF(E236="A1", COUNTIFS(F:F, "♢♢♢", E:E, E2), 0) - IF(E236="A1", COUNTIFS(F:F, "♢♢♢", E:E, "A1"), 0)))/100, 
   IF(F236="♢♢♢♢", ((M6 * 100) / (COUNTIFS(F:F, "♢♢♢♢", E:E, E236) + COUNTIFS(F:F, "♢♢♢♢", E:E, "A1") + IF(E236="A1", COUNTIFS(F:F, "♢♢♢♢", E:E, E2), 0) - IF(E236="A1", COUNTIFS(F:F, "♢♢♢♢", E:E, "A1"), 0)))/100, 
   IF(F236="☆", ((M7 * 100) / (COUNTIFS(F:F, "☆", E:E, E236) + COUNTIFS(F:F, "☆", E:E, "A1") + IF(E236="A1", COUNTIFS(F:F, "☆", E:E, E2), 0) - IF(E236="A1", COUNTIFS(F:F, "☆", E:E, "A1"), 0)))/100, 
   IF(F236="☆☆", ((M8 * 100) / (COUNTIFS(F:F, "☆☆", E:E, E236) + COUNTIFS(F:F, "☆☆", E:E, "A1") + IF(E236="A1", COUNTIFS(F:F, "☆☆", E:E, E2), 0) - IF(E236="A1", COUNTIFS(F:F, "☆☆", E:E, "A1"), 0)))/100, 
   IF(F236="☆☆☆", ((M9 * 100) / (COUNTIFS(F:F, "☆☆☆", E:E, E236) + COUNTIFS(F:F, "☆☆☆", E:E, "A1") + IF(E236="A1", COUNTIFS(F:F, "☆☆☆", E:E, E2), 0) - IF(E236="A1", COUNTIFS(F:F, "☆☆☆", E:E, "A1"), 0)))/100, 
   IF(F236="♛", ((M10 * 100) / (COUNTIFS(F:F, "♛", E:E, E236) + COUNTIFS(F:F, "♛", E:E, "A1") + IF(E236="A1", COUNTIFS(F:F, "♛", E:E, E2), 0) - IF(E236="A1", COUNTIFS(F:F, "♛", E:E, "A1"), 0)))/100, "")))))))
</f>
        <v>0.003215</v>
      </c>
      <c r="I236" s="129">
        <f>IF(F236="♢♢", ((N4 * 100) / (COUNTIFS(F:F, "♢♢", E:E, E236) + COUNTIFS(F:F, "♢♢", E:E, "A1") + IF(E236="A1", COUNTIFS(F:F, "♢♢", E:E, E2), 0) - IF(E236="A1", COUNTIFS(F:F, "♢♢", E:E, "A1"), 0)))/100, 
   IF(F236="♢♢♢", ((N5 * 100) / (COUNTIFS(F:F, "♢♢♢", E:E, E236) + COUNTIFS(F:F, "♢♢♢", E:E, "A1") + IF(E236="A1", COUNTIFS(F:F, "♢♢♢", E:E, E2), 0) - IF(E236="A1", COUNTIFS(F:F, "♢♢♢", E:E, "A1"), 0)))/100, 
   IF(F236="♢♢♢♢", ((N6 * 100) / (COUNTIFS(F:F, "♢♢♢♢", E:E, E236) + COUNTIFS(F:F, "♢♢♢♢", E:E, "A1") + IF(E236="A1", COUNTIFS(F:F, "♢♢♢♢", E:E, E2), 0) - IF(E236="A1", COUNTIFS(F:F, "♢♢♢♢", E:E, "A1"), 0)))/100, 
   IF(F236="☆", ((N7 * 100) / (COUNTIFS(F:F, "☆", E:E, E236) + COUNTIFS(F:F, "☆", E:E, "A1") + IF(E236="A1", COUNTIFS(F:F, "☆", E:E, E2), 0) - IF(E236="A1", COUNTIFS(F:F, "☆", E:E, "A1"), 0)))/100, 
   IF(F236="☆☆", ((N8 * 100) / (COUNTIFS(F:F, "☆☆", E:E, E236) + COUNTIFS(F:F, "☆☆", E:E, "A1") + IF(E236="A1", COUNTIFS(F:F, "☆☆", E:E, E2), 0) - IF(E236="A1", COUNTIFS(F:F, "☆☆", E:E, "A1"), 0)))/100, 
   IF(F236="☆☆☆", ((N9 * 100) / (COUNTIFS(F:F, "☆☆☆", E:E, E236) + COUNTIFS(F:F, "☆☆☆", E:E, "A1") + IF(E236="A1", COUNTIFS(F:F, "☆☆☆", E:E, E2), 0) - IF(E236="A1", COUNTIFS(F:F, "☆☆☆", E:E, "A1"), 0)))/100, 
   IF(F236="♛", ((N10 * 100) / (COUNTIFS(F:F, "♛", E:E, E236) + COUNTIFS(F:F, "♛", E:E, "A1") + IF(E236="A1", COUNTIFS(F:F, "♛", E:E, E2), 0) - IF(E236="A1", COUNTIFS(F:F, "♛", E:E, "A1"), 0)))/100, "")))))))
</f>
        <v>0.01286</v>
      </c>
      <c r="J236" s="131"/>
      <c r="K236" s="247"/>
      <c r="L236" s="20"/>
      <c r="M236" s="20"/>
      <c r="N236" s="20"/>
      <c r="O236" s="249"/>
    </row>
    <row r="237">
      <c r="A237" s="125" t="b">
        <f t="shared" si="1"/>
        <v>0</v>
      </c>
      <c r="B237" s="126">
        <v>0.0</v>
      </c>
      <c r="C237" s="127" t="s">
        <v>576</v>
      </c>
      <c r="D237" s="127" t="s">
        <v>346</v>
      </c>
      <c r="E237" s="128" t="s">
        <v>32</v>
      </c>
      <c r="F237" s="127" t="s">
        <v>45</v>
      </c>
      <c r="G237" s="130" t="str">
        <f>IF(F237="♢", ((L3 * 100) / (COUNTIFS(F:F, "♢", E:E, E237) + COUNTIFS(F:F, "♢", E:E, "A1") + IF(E237="A1", COUNTIFS(F:F, "♢", E:E, E2), 0) - IF(E237="A1", COUNTIFS(F:F, "♢", E:E, "A1"), 0)))/100, "")
</f>
        <v/>
      </c>
      <c r="H237" s="129">
        <f>IF(F237="♢♢", ((M4 * 100) / (COUNTIFS(F:F, "♢♢", E:E, E237) + COUNTIFS(F:F, "♢♢", E:E, "A1") + IF(E237="A1", COUNTIFS(F:F, "♢♢", E:E, E2), 0) - IF(E237="A1", COUNTIFS(F:F, "♢♢", E:E, "A1"), 0)))/100, 
   IF(F237="♢♢♢", ((M5 * 100) / (COUNTIFS(F:F, "♢♢♢", E:E, E237) + COUNTIFS(F:F, "♢♢♢", E:E, "A1") + IF(E237="A1", COUNTIFS(F:F, "♢♢♢", E:E, E2), 0) - IF(E237="A1", COUNTIFS(F:F, "♢♢♢", E:E, "A1"), 0)))/100, 
   IF(F237="♢♢♢♢", ((M6 * 100) / (COUNTIFS(F:F, "♢♢♢♢", E:E, E237) + COUNTIFS(F:F, "♢♢♢♢", E:E, "A1") + IF(E237="A1", COUNTIFS(F:F, "♢♢♢♢", E:E, E2), 0) - IF(E237="A1", COUNTIFS(F:F, "♢♢♢♢", E:E, "A1"), 0)))/100, 
   IF(F237="☆", ((M7 * 100) / (COUNTIFS(F:F, "☆", E:E, E237) + COUNTIFS(F:F, "☆", E:E, "A1") + IF(E237="A1", COUNTIFS(F:F, "☆", E:E, E2), 0) - IF(E237="A1", COUNTIFS(F:F, "☆", E:E, "A1"), 0)))/100, 
   IF(F237="☆☆", ((M8 * 100) / (COUNTIFS(F:F, "☆☆", E:E, E237) + COUNTIFS(F:F, "☆☆", E:E, "A1") + IF(E237="A1", COUNTIFS(F:F, "☆☆", E:E, E2), 0) - IF(E237="A1", COUNTIFS(F:F, "☆☆", E:E, "A1"), 0)))/100, 
   IF(F237="☆☆☆", ((M9 * 100) / (COUNTIFS(F:F, "☆☆☆", E:E, E237) + COUNTIFS(F:F, "☆☆☆", E:E, "A1") + IF(E237="A1", COUNTIFS(F:F, "☆☆☆", E:E, E2), 0) - IF(E237="A1", COUNTIFS(F:F, "☆☆☆", E:E, "A1"), 0)))/100, 
   IF(F237="♛", ((M10 * 100) / (COUNTIFS(F:F, "♛", E:E, E237) + COUNTIFS(F:F, "♛", E:E, "A1") + IF(E237="A1", COUNTIFS(F:F, "♛", E:E, E2), 0) - IF(E237="A1", COUNTIFS(F:F, "♛", E:E, "A1"), 0)))/100, "")))))))
</f>
        <v>0.003215</v>
      </c>
      <c r="I237" s="129">
        <f>IF(F237="♢♢", ((N4 * 100) / (COUNTIFS(F:F, "♢♢", E:E, E237) + COUNTIFS(F:F, "♢♢", E:E, "A1") + IF(E237="A1", COUNTIFS(F:F, "♢♢", E:E, E2), 0) - IF(E237="A1", COUNTIFS(F:F, "♢♢", E:E, "A1"), 0)))/100, 
   IF(F237="♢♢♢", ((N5 * 100) / (COUNTIFS(F:F, "♢♢♢", E:E, E237) + COUNTIFS(F:F, "♢♢♢", E:E, "A1") + IF(E237="A1", COUNTIFS(F:F, "♢♢♢", E:E, E2), 0) - IF(E237="A1", COUNTIFS(F:F, "♢♢♢", E:E, "A1"), 0)))/100, 
   IF(F237="♢♢♢♢", ((N6 * 100) / (COUNTIFS(F:F, "♢♢♢♢", E:E, E237) + COUNTIFS(F:F, "♢♢♢♢", E:E, "A1") + IF(E237="A1", COUNTIFS(F:F, "♢♢♢♢", E:E, E2), 0) - IF(E237="A1", COUNTIFS(F:F, "♢♢♢♢", E:E, "A1"), 0)))/100, 
   IF(F237="☆", ((N7 * 100) / (COUNTIFS(F:F, "☆", E:E, E237) + COUNTIFS(F:F, "☆", E:E, "A1") + IF(E237="A1", COUNTIFS(F:F, "☆", E:E, E2), 0) - IF(E237="A1", COUNTIFS(F:F, "☆", E:E, "A1"), 0)))/100, 
   IF(F237="☆☆", ((N8 * 100) / (COUNTIFS(F:F, "☆☆", E:E, E237) + COUNTIFS(F:F, "☆☆", E:E, "A1") + IF(E237="A1", COUNTIFS(F:F, "☆☆", E:E, E2), 0) - IF(E237="A1", COUNTIFS(F:F, "☆☆", E:E, "A1"), 0)))/100, 
   IF(F237="☆☆☆", ((N9 * 100) / (COUNTIFS(F:F, "☆☆☆", E:E, E237) + COUNTIFS(F:F, "☆☆☆", E:E, "A1") + IF(E237="A1", COUNTIFS(F:F, "☆☆☆", E:E, E2), 0) - IF(E237="A1", COUNTIFS(F:F, "☆☆☆", E:E, "A1"), 0)))/100, 
   IF(F237="♛", ((N10 * 100) / (COUNTIFS(F:F, "♛", E:E, E237) + COUNTIFS(F:F, "♛", E:E, "A1") + IF(E237="A1", COUNTIFS(F:F, "♛", E:E, E2), 0) - IF(E237="A1", COUNTIFS(F:F, "♛", E:E, "A1"), 0)))/100, "")))))))
</f>
        <v>0.01286</v>
      </c>
      <c r="J237" s="131"/>
      <c r="K237" s="247"/>
      <c r="L237" s="20"/>
      <c r="M237" s="20"/>
      <c r="N237" s="20"/>
      <c r="O237" s="249"/>
    </row>
    <row r="238">
      <c r="A238" s="125" t="b">
        <f t="shared" si="1"/>
        <v>0</v>
      </c>
      <c r="B238" s="126">
        <v>0.0</v>
      </c>
      <c r="C238" s="127" t="s">
        <v>577</v>
      </c>
      <c r="D238" s="127" t="s">
        <v>348</v>
      </c>
      <c r="E238" s="128" t="s">
        <v>32</v>
      </c>
      <c r="F238" s="127" t="s">
        <v>45</v>
      </c>
      <c r="G238" s="130" t="str">
        <f>IF(F238="♢", ((L3 * 100) / (COUNTIFS(F:F, "♢", E:E, E238) + COUNTIFS(F:F, "♢", E:E, "A1") + IF(E238="A1", COUNTIFS(F:F, "♢", E:E, E2), 0) - IF(E238="A1", COUNTIFS(F:F, "♢", E:E, "A1"), 0)))/100, "")
</f>
        <v/>
      </c>
      <c r="H238" s="129">
        <f>IF(F238="♢♢", ((M4 * 100) / (COUNTIFS(F:F, "♢♢", E:E, E238) + COUNTIFS(F:F, "♢♢", E:E, "A1") + IF(E238="A1", COUNTIFS(F:F, "♢♢", E:E, E2), 0) - IF(E238="A1", COUNTIFS(F:F, "♢♢", E:E, "A1"), 0)))/100, 
   IF(F238="♢♢♢", ((M5 * 100) / (COUNTIFS(F:F, "♢♢♢", E:E, E238) + COUNTIFS(F:F, "♢♢♢", E:E, "A1") + IF(E238="A1", COUNTIFS(F:F, "♢♢♢", E:E, E2), 0) - IF(E238="A1", COUNTIFS(F:F, "♢♢♢", E:E, "A1"), 0)))/100, 
   IF(F238="♢♢♢♢", ((M6 * 100) / (COUNTIFS(F:F, "♢♢♢♢", E:E, E238) + COUNTIFS(F:F, "♢♢♢♢", E:E, "A1") + IF(E238="A1", COUNTIFS(F:F, "♢♢♢♢", E:E, E2), 0) - IF(E238="A1", COUNTIFS(F:F, "♢♢♢♢", E:E, "A1"), 0)))/100, 
   IF(F238="☆", ((M7 * 100) / (COUNTIFS(F:F, "☆", E:E, E238) + COUNTIFS(F:F, "☆", E:E, "A1") + IF(E238="A1", COUNTIFS(F:F, "☆", E:E, E2), 0) - IF(E238="A1", COUNTIFS(F:F, "☆", E:E, "A1"), 0)))/100, 
   IF(F238="☆☆", ((M8 * 100) / (COUNTIFS(F:F, "☆☆", E:E, E238) + COUNTIFS(F:F, "☆☆", E:E, "A1") + IF(E238="A1", COUNTIFS(F:F, "☆☆", E:E, E2), 0) - IF(E238="A1", COUNTIFS(F:F, "☆☆", E:E, "A1"), 0)))/100, 
   IF(F238="☆☆☆", ((M9 * 100) / (COUNTIFS(F:F, "☆☆☆", E:E, E238) + COUNTIFS(F:F, "☆☆☆", E:E, "A1") + IF(E238="A1", COUNTIFS(F:F, "☆☆☆", E:E, E2), 0) - IF(E238="A1", COUNTIFS(F:F, "☆☆☆", E:E, "A1"), 0)))/100, 
   IF(F238="♛", ((M10 * 100) / (COUNTIFS(F:F, "♛", E:E, E238) + COUNTIFS(F:F, "♛", E:E, "A1") + IF(E238="A1", COUNTIFS(F:F, "♛", E:E, E2), 0) - IF(E238="A1", COUNTIFS(F:F, "♛", E:E, "A1"), 0)))/100, "")))))))
</f>
        <v>0.003215</v>
      </c>
      <c r="I238" s="129">
        <f>IF(F238="♢♢", ((N4 * 100) / (COUNTIFS(F:F, "♢♢", E:E, E238) + COUNTIFS(F:F, "♢♢", E:E, "A1") + IF(E238="A1", COUNTIFS(F:F, "♢♢", E:E, E2), 0) - IF(E238="A1", COUNTIFS(F:F, "♢♢", E:E, "A1"), 0)))/100, 
   IF(F238="♢♢♢", ((N5 * 100) / (COUNTIFS(F:F, "♢♢♢", E:E, E238) + COUNTIFS(F:F, "♢♢♢", E:E, "A1") + IF(E238="A1", COUNTIFS(F:F, "♢♢♢", E:E, E2), 0) - IF(E238="A1", COUNTIFS(F:F, "♢♢♢", E:E, "A1"), 0)))/100, 
   IF(F238="♢♢♢♢", ((N6 * 100) / (COUNTIFS(F:F, "♢♢♢♢", E:E, E238) + COUNTIFS(F:F, "♢♢♢♢", E:E, "A1") + IF(E238="A1", COUNTIFS(F:F, "♢♢♢♢", E:E, E2), 0) - IF(E238="A1", COUNTIFS(F:F, "♢♢♢♢", E:E, "A1"), 0)))/100, 
   IF(F238="☆", ((N7 * 100) / (COUNTIFS(F:F, "☆", E:E, E238) + COUNTIFS(F:F, "☆", E:E, "A1") + IF(E238="A1", COUNTIFS(F:F, "☆", E:E, E2), 0) - IF(E238="A1", COUNTIFS(F:F, "☆", E:E, "A1"), 0)))/100, 
   IF(F238="☆☆", ((N8 * 100) / (COUNTIFS(F:F, "☆☆", E:E, E238) + COUNTIFS(F:F, "☆☆", E:E, "A1") + IF(E238="A1", COUNTIFS(F:F, "☆☆", E:E, E2), 0) - IF(E238="A1", COUNTIFS(F:F, "☆☆", E:E, "A1"), 0)))/100, 
   IF(F238="☆☆☆", ((N9 * 100) / (COUNTIFS(F:F, "☆☆☆", E:E, E238) + COUNTIFS(F:F, "☆☆☆", E:E, "A1") + IF(E238="A1", COUNTIFS(F:F, "☆☆☆", E:E, E2), 0) - IF(E238="A1", COUNTIFS(F:F, "☆☆☆", E:E, "A1"), 0)))/100, 
   IF(F238="♛", ((N10 * 100) / (COUNTIFS(F:F, "♛", E:E, E238) + COUNTIFS(F:F, "♛", E:E, "A1") + IF(E238="A1", COUNTIFS(F:F, "♛", E:E, E2), 0) - IF(E238="A1", COUNTIFS(F:F, "♛", E:E, "A1"), 0)))/100, "")))))))
</f>
        <v>0.01286</v>
      </c>
      <c r="J238" s="131"/>
      <c r="K238" s="247"/>
      <c r="L238" s="20"/>
      <c r="M238" s="20"/>
      <c r="N238" s="20"/>
      <c r="O238" s="249"/>
    </row>
    <row r="239">
      <c r="A239" s="125" t="b">
        <f t="shared" si="1"/>
        <v>0</v>
      </c>
      <c r="B239" s="126">
        <v>0.0</v>
      </c>
      <c r="C239" s="127" t="s">
        <v>578</v>
      </c>
      <c r="D239" s="127" t="s">
        <v>394</v>
      </c>
      <c r="E239" s="128" t="s">
        <v>31</v>
      </c>
      <c r="F239" s="127" t="s">
        <v>45</v>
      </c>
      <c r="G239" s="130" t="str">
        <f>IF(F239="♢", ((L3 * 100) / (COUNTIFS(F:F, "♢", E:E, E239) + COUNTIFS(F:F, "♢", E:E, "A1") + IF(E239="A1", COUNTIFS(F:F, "♢", E:E, E2), 0) - IF(E239="A1", COUNTIFS(F:F, "♢", E:E, "A1"), 0)))/100, "")
</f>
        <v/>
      </c>
      <c r="H239" s="129">
        <f>IF(F239="♢♢", ((M4 * 100) / (COUNTIFS(F:F, "♢♢", E:E, E239) + COUNTIFS(F:F, "♢♢", E:E, "A1") + IF(E239="A1", COUNTIFS(F:F, "♢♢", E:E, E2), 0) - IF(E239="A1", COUNTIFS(F:F, "♢♢", E:E, "A1"), 0)))/100, 
   IF(F239="♢♢♢", ((M5 * 100) / (COUNTIFS(F:F, "♢♢♢", E:E, E239) + COUNTIFS(F:F, "♢♢♢", E:E, "A1") + IF(E239="A1", COUNTIFS(F:F, "♢♢♢", E:E, E2), 0) - IF(E239="A1", COUNTIFS(F:F, "♢♢♢", E:E, "A1"), 0)))/100, 
   IF(F239="♢♢♢♢", ((M6 * 100) / (COUNTIFS(F:F, "♢♢♢♢", E:E, E239) + COUNTIFS(F:F, "♢♢♢♢", E:E, "A1") + IF(E239="A1", COUNTIFS(F:F, "♢♢♢♢", E:E, E2), 0) - IF(E239="A1", COUNTIFS(F:F, "♢♢♢♢", E:E, "A1"), 0)))/100, 
   IF(F239="☆", ((M7 * 100) / (COUNTIFS(F:F, "☆", E:E, E239) + COUNTIFS(F:F, "☆", E:E, "A1") + IF(E239="A1", COUNTIFS(F:F, "☆", E:E, E2), 0) - IF(E239="A1", COUNTIFS(F:F, "☆", E:E, "A1"), 0)))/100, 
   IF(F239="☆☆", ((M8 * 100) / (COUNTIFS(F:F, "☆☆", E:E, E239) + COUNTIFS(F:F, "☆☆", E:E, "A1") + IF(E239="A1", COUNTIFS(F:F, "☆☆", E:E, E2), 0) - IF(E239="A1", COUNTIFS(F:F, "☆☆", E:E, "A1"), 0)))/100, 
   IF(F239="☆☆☆", ((M9 * 100) / (COUNTIFS(F:F, "☆☆☆", E:E, E239) + COUNTIFS(F:F, "☆☆☆", E:E, "A1") + IF(E239="A1", COUNTIFS(F:F, "☆☆☆", E:E, E2), 0) - IF(E239="A1", COUNTIFS(F:F, "☆☆☆", E:E, "A1"), 0)))/100, 
   IF(F239="♛", ((M10 * 100) / (COUNTIFS(F:F, "♛", E:E, E239) + COUNTIFS(F:F, "♛", E:E, "A1") + IF(E239="A1", COUNTIFS(F:F, "♛", E:E, E2), 0) - IF(E239="A1", COUNTIFS(F:F, "♛", E:E, "A1"), 0)))/100, "")))))))
</f>
        <v>0.003215</v>
      </c>
      <c r="I239" s="129">
        <f>IF(F239="♢♢", ((N4 * 100) / (COUNTIFS(F:F, "♢♢", E:E, E239) + COUNTIFS(F:F, "♢♢", E:E, "A1") + IF(E239="A1", COUNTIFS(F:F, "♢♢", E:E, E2), 0) - IF(E239="A1", COUNTIFS(F:F, "♢♢", E:E, "A1"), 0)))/100, 
   IF(F239="♢♢♢", ((N5 * 100) / (COUNTIFS(F:F, "♢♢♢", E:E, E239) + COUNTIFS(F:F, "♢♢♢", E:E, "A1") + IF(E239="A1", COUNTIFS(F:F, "♢♢♢", E:E, E2), 0) - IF(E239="A1", COUNTIFS(F:F, "♢♢♢", E:E, "A1"), 0)))/100, 
   IF(F239="♢♢♢♢", ((N6 * 100) / (COUNTIFS(F:F, "♢♢♢♢", E:E, E239) + COUNTIFS(F:F, "♢♢♢♢", E:E, "A1") + IF(E239="A1", COUNTIFS(F:F, "♢♢♢♢", E:E, E2), 0) - IF(E239="A1", COUNTIFS(F:F, "♢♢♢♢", E:E, "A1"), 0)))/100, 
   IF(F239="☆", ((N7 * 100) / (COUNTIFS(F:F, "☆", E:E, E239) + COUNTIFS(F:F, "☆", E:E, "A1") + IF(E239="A1", COUNTIFS(F:F, "☆", E:E, E2), 0) - IF(E239="A1", COUNTIFS(F:F, "☆", E:E, "A1"), 0)))/100, 
   IF(F239="☆☆", ((N8 * 100) / (COUNTIFS(F:F, "☆☆", E:E, E239) + COUNTIFS(F:F, "☆☆", E:E, "A1") + IF(E239="A1", COUNTIFS(F:F, "☆☆", E:E, E2), 0) - IF(E239="A1", COUNTIFS(F:F, "☆☆", E:E, "A1"), 0)))/100, 
   IF(F239="☆☆☆", ((N9 * 100) / (COUNTIFS(F:F, "☆☆☆", E:E, E239) + COUNTIFS(F:F, "☆☆☆", E:E, "A1") + IF(E239="A1", COUNTIFS(F:F, "☆☆☆", E:E, E2), 0) - IF(E239="A1", COUNTIFS(F:F, "☆☆☆", E:E, "A1"), 0)))/100, 
   IF(F239="♛", ((N10 * 100) / (COUNTIFS(F:F, "♛", E:E, E239) + COUNTIFS(F:F, "♛", E:E, "A1") + IF(E239="A1", COUNTIFS(F:F, "♛", E:E, E2), 0) - IF(E239="A1", COUNTIFS(F:F, "♛", E:E, "A1"), 0)))/100, "")))))))
</f>
        <v>0.01286</v>
      </c>
      <c r="J239" s="131"/>
      <c r="K239" s="247"/>
      <c r="L239" s="20"/>
      <c r="M239" s="20"/>
      <c r="N239" s="20"/>
      <c r="O239" s="249"/>
    </row>
    <row r="240">
      <c r="A240" s="125" t="b">
        <f t="shared" si="1"/>
        <v>0</v>
      </c>
      <c r="B240" s="126">
        <v>0.0</v>
      </c>
      <c r="C240" s="127" t="s">
        <v>579</v>
      </c>
      <c r="D240" s="127" t="s">
        <v>418</v>
      </c>
      <c r="E240" s="128" t="s">
        <v>29</v>
      </c>
      <c r="F240" s="127" t="s">
        <v>45</v>
      </c>
      <c r="G240" s="130" t="str">
        <f>IF(F240="♢", ((L3 * 100) / (COUNTIFS(F:F, "♢", E:E, E240) + COUNTIFS(F:F, "♢", E:E, "A1") + IF(E240="A1", COUNTIFS(F:F, "♢", E:E, E2), 0) - IF(E240="A1", COUNTIFS(F:F, "♢", E:E, "A1"), 0)))/100, "")
</f>
        <v/>
      </c>
      <c r="H240" s="129">
        <f>IF(F240="♢♢", ((M4 * 100) / (COUNTIFS(F:F, "♢♢", E:E, E240) + COUNTIFS(F:F, "♢♢", E:E, "A1") + IF(E240="A1", COUNTIFS(F:F, "♢♢", E:E, E2), 0) - IF(E240="A1", COUNTIFS(F:F, "♢♢", E:E, "A1"), 0)))/100, 
   IF(F240="♢♢♢", ((M5 * 100) / (COUNTIFS(F:F, "♢♢♢", E:E, E240) + COUNTIFS(F:F, "♢♢♢", E:E, "A1") + IF(E240="A1", COUNTIFS(F:F, "♢♢♢", E:E, E2), 0) - IF(E240="A1", COUNTIFS(F:F, "♢♢♢", E:E, "A1"), 0)))/100, 
   IF(F240="♢♢♢♢", ((M6 * 100) / (COUNTIFS(F:F, "♢♢♢♢", E:E, E240) + COUNTIFS(F:F, "♢♢♢♢", E:E, "A1") + IF(E240="A1", COUNTIFS(F:F, "♢♢♢♢", E:E, E2), 0) - IF(E240="A1", COUNTIFS(F:F, "♢♢♢♢", E:E, "A1"), 0)))/100, 
   IF(F240="☆", ((M7 * 100) / (COUNTIFS(F:F, "☆", E:E, E240) + COUNTIFS(F:F, "☆", E:E, "A1") + IF(E240="A1", COUNTIFS(F:F, "☆", E:E, E2), 0) - IF(E240="A1", COUNTIFS(F:F, "☆", E:E, "A1"), 0)))/100, 
   IF(F240="☆☆", ((M8 * 100) / (COUNTIFS(F:F, "☆☆", E:E, E240) + COUNTIFS(F:F, "☆☆", E:E, "A1") + IF(E240="A1", COUNTIFS(F:F, "☆☆", E:E, E2), 0) - IF(E240="A1", COUNTIFS(F:F, "☆☆", E:E, "A1"), 0)))/100, 
   IF(F240="☆☆☆", ((M9 * 100) / (COUNTIFS(F:F, "☆☆☆", E:E, E240) + COUNTIFS(F:F, "☆☆☆", E:E, "A1") + IF(E240="A1", COUNTIFS(F:F, "☆☆☆", E:E, E2), 0) - IF(E240="A1", COUNTIFS(F:F, "☆☆☆", E:E, "A1"), 0)))/100, 
   IF(F240="♛", ((M10 * 100) / (COUNTIFS(F:F, "♛", E:E, E240) + COUNTIFS(F:F, "♛", E:E, "A1") + IF(E240="A1", COUNTIFS(F:F, "♛", E:E, E2), 0) - IF(E240="A1", COUNTIFS(F:F, "♛", E:E, "A1"), 0)))/100, "")))))))
</f>
        <v>0.003215</v>
      </c>
      <c r="I240" s="129">
        <f>IF(F240="♢♢", ((N4 * 100) / (COUNTIFS(F:F, "♢♢", E:E, E240) + COUNTIFS(F:F, "♢♢", E:E, "A1") + IF(E240="A1", COUNTIFS(F:F, "♢♢", E:E, E2), 0) - IF(E240="A1", COUNTIFS(F:F, "♢♢", E:E, "A1"), 0)))/100, 
   IF(F240="♢♢♢", ((N5 * 100) / (COUNTIFS(F:F, "♢♢♢", E:E, E240) + COUNTIFS(F:F, "♢♢♢", E:E, "A1") + IF(E240="A1", COUNTIFS(F:F, "♢♢♢", E:E, E2), 0) - IF(E240="A1", COUNTIFS(F:F, "♢♢♢", E:E, "A1"), 0)))/100, 
   IF(F240="♢♢♢♢", ((N6 * 100) / (COUNTIFS(F:F, "♢♢♢♢", E:E, E240) + COUNTIFS(F:F, "♢♢♢♢", E:E, "A1") + IF(E240="A1", COUNTIFS(F:F, "♢♢♢♢", E:E, E2), 0) - IF(E240="A1", COUNTIFS(F:F, "♢♢♢♢", E:E, "A1"), 0)))/100, 
   IF(F240="☆", ((N7 * 100) / (COUNTIFS(F:F, "☆", E:E, E240) + COUNTIFS(F:F, "☆", E:E, "A1") + IF(E240="A1", COUNTIFS(F:F, "☆", E:E, E2), 0) - IF(E240="A1", COUNTIFS(F:F, "☆", E:E, "A1"), 0)))/100, 
   IF(F240="☆☆", ((N8 * 100) / (COUNTIFS(F:F, "☆☆", E:E, E240) + COUNTIFS(F:F, "☆☆", E:E, "A1") + IF(E240="A1", COUNTIFS(F:F, "☆☆", E:E, E2), 0) - IF(E240="A1", COUNTIFS(F:F, "☆☆", E:E, "A1"), 0)))/100, 
   IF(F240="☆☆☆", ((N9 * 100) / (COUNTIFS(F:F, "☆☆☆", E:E, E240) + COUNTIFS(F:F, "☆☆☆", E:E, "A1") + IF(E240="A1", COUNTIFS(F:F, "☆☆☆", E:E, E2), 0) - IF(E240="A1", COUNTIFS(F:F, "☆☆☆", E:E, "A1"), 0)))/100, 
   IF(F240="♛", ((N10 * 100) / (COUNTIFS(F:F, "♛", E:E, E240) + COUNTIFS(F:F, "♛", E:E, "A1") + IF(E240="A1", COUNTIFS(F:F, "♛", E:E, E2), 0) - IF(E240="A1", COUNTIFS(F:F, "♛", E:E, "A1"), 0)))/100, "")))))))
</f>
        <v>0.01286</v>
      </c>
      <c r="J240" s="131"/>
      <c r="K240" s="247"/>
      <c r="L240" s="20"/>
      <c r="M240" s="20"/>
      <c r="N240" s="20"/>
      <c r="O240" s="249"/>
    </row>
    <row r="241">
      <c r="A241" s="125" t="b">
        <f t="shared" si="1"/>
        <v>0</v>
      </c>
      <c r="B241" s="126">
        <v>0.0</v>
      </c>
      <c r="C241" s="127" t="s">
        <v>580</v>
      </c>
      <c r="D241" s="127" t="s">
        <v>452</v>
      </c>
      <c r="E241" s="128" t="s">
        <v>31</v>
      </c>
      <c r="F241" s="127" t="s">
        <v>45</v>
      </c>
      <c r="G241" s="130" t="str">
        <f>IF(F241="♢", ((L3 * 100) / (COUNTIFS(F:F, "♢", E:E, E241) + COUNTIFS(F:F, "♢", E:E, "A1") + IF(E241="A1", COUNTIFS(F:F, "♢", E:E, E2), 0) - IF(E241="A1", COUNTIFS(F:F, "♢", E:E, "A1"), 0)))/100, "")
</f>
        <v/>
      </c>
      <c r="H241" s="129">
        <f>IF(F241="♢♢", ((M4 * 100) / (COUNTIFS(F:F, "♢♢", E:E, E241) + COUNTIFS(F:F, "♢♢", E:E, "A1") + IF(E241="A1", COUNTIFS(F:F, "♢♢", E:E, E2), 0) - IF(E241="A1", COUNTIFS(F:F, "♢♢", E:E, "A1"), 0)))/100, 
   IF(F241="♢♢♢", ((M5 * 100) / (COUNTIFS(F:F, "♢♢♢", E:E, E241) + COUNTIFS(F:F, "♢♢♢", E:E, "A1") + IF(E241="A1", COUNTIFS(F:F, "♢♢♢", E:E, E2), 0) - IF(E241="A1", COUNTIFS(F:F, "♢♢♢", E:E, "A1"), 0)))/100, 
   IF(F241="♢♢♢♢", ((M6 * 100) / (COUNTIFS(F:F, "♢♢♢♢", E:E, E241) + COUNTIFS(F:F, "♢♢♢♢", E:E, "A1") + IF(E241="A1", COUNTIFS(F:F, "♢♢♢♢", E:E, E2), 0) - IF(E241="A1", COUNTIFS(F:F, "♢♢♢♢", E:E, "A1"), 0)))/100, 
   IF(F241="☆", ((M7 * 100) / (COUNTIFS(F:F, "☆", E:E, E241) + COUNTIFS(F:F, "☆", E:E, "A1") + IF(E241="A1", COUNTIFS(F:F, "☆", E:E, E2), 0) - IF(E241="A1", COUNTIFS(F:F, "☆", E:E, "A1"), 0)))/100, 
   IF(F241="☆☆", ((M8 * 100) / (COUNTIFS(F:F, "☆☆", E:E, E241) + COUNTIFS(F:F, "☆☆", E:E, "A1") + IF(E241="A1", COUNTIFS(F:F, "☆☆", E:E, E2), 0) - IF(E241="A1", COUNTIFS(F:F, "☆☆", E:E, "A1"), 0)))/100, 
   IF(F241="☆☆☆", ((M9 * 100) / (COUNTIFS(F:F, "☆☆☆", E:E, E241) + COUNTIFS(F:F, "☆☆☆", E:E, "A1") + IF(E241="A1", COUNTIFS(F:F, "☆☆☆", E:E, E2), 0) - IF(E241="A1", COUNTIFS(F:F, "☆☆☆", E:E, "A1"), 0)))/100, 
   IF(F241="♛", ((M10 * 100) / (COUNTIFS(F:F, "♛", E:E, E241) + COUNTIFS(F:F, "♛", E:E, "A1") + IF(E241="A1", COUNTIFS(F:F, "♛", E:E, E2), 0) - IF(E241="A1", COUNTIFS(F:F, "♛", E:E, "A1"), 0)))/100, "")))))))
</f>
        <v>0.003215</v>
      </c>
      <c r="I241" s="129">
        <f>IF(F241="♢♢", ((N4 * 100) / (COUNTIFS(F:F, "♢♢", E:E, E241) + COUNTIFS(F:F, "♢♢", E:E, "A1") + IF(E241="A1", COUNTIFS(F:F, "♢♢", E:E, E2), 0) - IF(E241="A1", COUNTIFS(F:F, "♢♢", E:E, "A1"), 0)))/100, 
   IF(F241="♢♢♢", ((N5 * 100) / (COUNTIFS(F:F, "♢♢♢", E:E, E241) + COUNTIFS(F:F, "♢♢♢", E:E, "A1") + IF(E241="A1", COUNTIFS(F:F, "♢♢♢", E:E, E2), 0) - IF(E241="A1", COUNTIFS(F:F, "♢♢♢", E:E, "A1"), 0)))/100, 
   IF(F241="♢♢♢♢", ((N6 * 100) / (COUNTIFS(F:F, "♢♢♢♢", E:E, E241) + COUNTIFS(F:F, "♢♢♢♢", E:E, "A1") + IF(E241="A1", COUNTIFS(F:F, "♢♢♢♢", E:E, E2), 0) - IF(E241="A1", COUNTIFS(F:F, "♢♢♢♢", E:E, "A1"), 0)))/100, 
   IF(F241="☆", ((N7 * 100) / (COUNTIFS(F:F, "☆", E:E, E241) + COUNTIFS(F:F, "☆", E:E, "A1") + IF(E241="A1", COUNTIFS(F:F, "☆", E:E, E2), 0) - IF(E241="A1", COUNTIFS(F:F, "☆", E:E, "A1"), 0)))/100, 
   IF(F241="☆☆", ((N8 * 100) / (COUNTIFS(F:F, "☆☆", E:E, E241) + COUNTIFS(F:F, "☆☆", E:E, "A1") + IF(E241="A1", COUNTIFS(F:F, "☆☆", E:E, E2), 0) - IF(E241="A1", COUNTIFS(F:F, "☆☆", E:E, "A1"), 0)))/100, 
   IF(F241="☆☆☆", ((N9 * 100) / (COUNTIFS(F:F, "☆☆☆", E:E, E241) + COUNTIFS(F:F, "☆☆☆", E:E, "A1") + IF(E241="A1", COUNTIFS(F:F, "☆☆☆", E:E, E2), 0) - IF(E241="A1", COUNTIFS(F:F, "☆☆☆", E:E, "A1"), 0)))/100, 
   IF(F241="♛", ((N10 * 100) / (COUNTIFS(F:F, "♛", E:E, E241) + COUNTIFS(F:F, "♛", E:E, "A1") + IF(E241="A1", COUNTIFS(F:F, "♛", E:E, E2), 0) - IF(E241="A1", COUNTIFS(F:F, "♛", E:E, "A1"), 0)))/100, "")))))))
</f>
        <v>0.01286</v>
      </c>
      <c r="J241" s="131"/>
      <c r="K241" s="247"/>
      <c r="L241" s="20"/>
      <c r="M241" s="20"/>
      <c r="N241" s="20"/>
      <c r="O241" s="249"/>
    </row>
    <row r="242">
      <c r="A242" s="125" t="b">
        <f t="shared" si="1"/>
        <v>0</v>
      </c>
      <c r="B242" s="126">
        <v>0.0</v>
      </c>
      <c r="C242" s="127" t="s">
        <v>581</v>
      </c>
      <c r="D242" s="127" t="s">
        <v>458</v>
      </c>
      <c r="E242" s="128" t="s">
        <v>31</v>
      </c>
      <c r="F242" s="127" t="s">
        <v>45</v>
      </c>
      <c r="G242" s="130" t="str">
        <f>IF(F242="♢", ((L3 * 100) / (COUNTIFS(F:F, "♢", E:E, E242) + COUNTIFS(F:F, "♢", E:E, "A1") + IF(E242="A1", COUNTIFS(F:F, "♢", E:E, E2), 0) - IF(E242="A1", COUNTIFS(F:F, "♢", E:E, "A1"), 0)))/100, "")
</f>
        <v/>
      </c>
      <c r="H242" s="129">
        <f>IF(F242="♢♢", ((M4 * 100) / (COUNTIFS(F:F, "♢♢", E:E, E242) + COUNTIFS(F:F, "♢♢", E:E, "A1") + IF(E242="A1", COUNTIFS(F:F, "♢♢", E:E, E2), 0) - IF(E242="A1", COUNTIFS(F:F, "♢♢", E:E, "A1"), 0)))/100, 
   IF(F242="♢♢♢", ((M5 * 100) / (COUNTIFS(F:F, "♢♢♢", E:E, E242) + COUNTIFS(F:F, "♢♢♢", E:E, "A1") + IF(E242="A1", COUNTIFS(F:F, "♢♢♢", E:E, E2), 0) - IF(E242="A1", COUNTIFS(F:F, "♢♢♢", E:E, "A1"), 0)))/100, 
   IF(F242="♢♢♢♢", ((M6 * 100) / (COUNTIFS(F:F, "♢♢♢♢", E:E, E242) + COUNTIFS(F:F, "♢♢♢♢", E:E, "A1") + IF(E242="A1", COUNTIFS(F:F, "♢♢♢♢", E:E, E2), 0) - IF(E242="A1", COUNTIFS(F:F, "♢♢♢♢", E:E, "A1"), 0)))/100, 
   IF(F242="☆", ((M7 * 100) / (COUNTIFS(F:F, "☆", E:E, E242) + COUNTIFS(F:F, "☆", E:E, "A1") + IF(E242="A1", COUNTIFS(F:F, "☆", E:E, E2), 0) - IF(E242="A1", COUNTIFS(F:F, "☆", E:E, "A1"), 0)))/100, 
   IF(F242="☆☆", ((M8 * 100) / (COUNTIFS(F:F, "☆☆", E:E, E242) + COUNTIFS(F:F, "☆☆", E:E, "A1") + IF(E242="A1", COUNTIFS(F:F, "☆☆", E:E, E2), 0) - IF(E242="A1", COUNTIFS(F:F, "☆☆", E:E, "A1"), 0)))/100, 
   IF(F242="☆☆☆", ((M9 * 100) / (COUNTIFS(F:F, "☆☆☆", E:E, E242) + COUNTIFS(F:F, "☆☆☆", E:E, "A1") + IF(E242="A1", COUNTIFS(F:F, "☆☆☆", E:E, E2), 0) - IF(E242="A1", COUNTIFS(F:F, "☆☆☆", E:E, "A1"), 0)))/100, 
   IF(F242="♛", ((M10 * 100) / (COUNTIFS(F:F, "♛", E:E, E242) + COUNTIFS(F:F, "♛", E:E, "A1") + IF(E242="A1", COUNTIFS(F:F, "♛", E:E, E2), 0) - IF(E242="A1", COUNTIFS(F:F, "♛", E:E, "A1"), 0)))/100, "")))))))
</f>
        <v>0.003215</v>
      </c>
      <c r="I242" s="129">
        <f>IF(F242="♢♢", ((N4 * 100) / (COUNTIFS(F:F, "♢♢", E:E, E242) + COUNTIFS(F:F, "♢♢", E:E, "A1") + IF(E242="A1", COUNTIFS(F:F, "♢♢", E:E, E2), 0) - IF(E242="A1", COUNTIFS(F:F, "♢♢", E:E, "A1"), 0)))/100, 
   IF(F242="♢♢♢", ((N5 * 100) / (COUNTIFS(F:F, "♢♢♢", E:E, E242) + COUNTIFS(F:F, "♢♢♢", E:E, "A1") + IF(E242="A1", COUNTIFS(F:F, "♢♢♢", E:E, E2), 0) - IF(E242="A1", COUNTIFS(F:F, "♢♢♢", E:E, "A1"), 0)))/100, 
   IF(F242="♢♢♢♢", ((N6 * 100) / (COUNTIFS(F:F, "♢♢♢♢", E:E, E242) + COUNTIFS(F:F, "♢♢♢♢", E:E, "A1") + IF(E242="A1", COUNTIFS(F:F, "♢♢♢♢", E:E, E2), 0) - IF(E242="A1", COUNTIFS(F:F, "♢♢♢♢", E:E, "A1"), 0)))/100, 
   IF(F242="☆", ((N7 * 100) / (COUNTIFS(F:F, "☆", E:E, E242) + COUNTIFS(F:F, "☆", E:E, "A1") + IF(E242="A1", COUNTIFS(F:F, "☆", E:E, E2), 0) - IF(E242="A1", COUNTIFS(F:F, "☆", E:E, "A1"), 0)))/100, 
   IF(F242="☆☆", ((N8 * 100) / (COUNTIFS(F:F, "☆☆", E:E, E242) + COUNTIFS(F:F, "☆☆", E:E, "A1") + IF(E242="A1", COUNTIFS(F:F, "☆☆", E:E, E2), 0) - IF(E242="A1", COUNTIFS(F:F, "☆☆", E:E, "A1"), 0)))/100, 
   IF(F242="☆☆☆", ((N9 * 100) / (COUNTIFS(F:F, "☆☆☆", E:E, E242) + COUNTIFS(F:F, "☆☆☆", E:E, "A1") + IF(E242="A1", COUNTIFS(F:F, "☆☆☆", E:E, E2), 0) - IF(E242="A1", COUNTIFS(F:F, "☆☆☆", E:E, "A1"), 0)))/100, 
   IF(F242="♛", ((N10 * 100) / (COUNTIFS(F:F, "♛", E:E, E242) + COUNTIFS(F:F, "♛", E:E, "A1") + IF(E242="A1", COUNTIFS(F:F, "♛", E:E, E2), 0) - IF(E242="A1", COUNTIFS(F:F, "♛", E:E, "A1"), 0)))/100, "")))))))
</f>
        <v>0.01286</v>
      </c>
      <c r="J242" s="131"/>
      <c r="K242" s="247"/>
      <c r="L242" s="20"/>
      <c r="M242" s="20"/>
      <c r="N242" s="20"/>
      <c r="O242" s="249"/>
    </row>
    <row r="243">
      <c r="A243" s="125" t="b">
        <f t="shared" si="1"/>
        <v>0</v>
      </c>
      <c r="B243" s="126">
        <v>0.0</v>
      </c>
      <c r="C243" s="127" t="s">
        <v>582</v>
      </c>
      <c r="D243" s="127" t="s">
        <v>462</v>
      </c>
      <c r="E243" s="128" t="s">
        <v>29</v>
      </c>
      <c r="F243" s="127" t="s">
        <v>45</v>
      </c>
      <c r="G243" s="130" t="str">
        <f>IF(F243="♢", ((L3 * 100) / (COUNTIFS(F:F, "♢", E:E, E243) + COUNTIFS(F:F, "♢", E:E, "A1") + IF(E243="A1", COUNTIFS(F:F, "♢", E:E, E2), 0) - IF(E243="A1", COUNTIFS(F:F, "♢", E:E, "A1"), 0)))/100, "")
</f>
        <v/>
      </c>
      <c r="H243" s="129">
        <f>IF(F243="♢♢", ((M4 * 100) / (COUNTIFS(F:F, "♢♢", E:E, E243) + COUNTIFS(F:F, "♢♢", E:E, "A1") + IF(E243="A1", COUNTIFS(F:F, "♢♢", E:E, E2), 0) - IF(E243="A1", COUNTIFS(F:F, "♢♢", E:E, "A1"), 0)))/100, 
   IF(F243="♢♢♢", ((M5 * 100) / (COUNTIFS(F:F, "♢♢♢", E:E, E243) + COUNTIFS(F:F, "♢♢♢", E:E, "A1") + IF(E243="A1", COUNTIFS(F:F, "♢♢♢", E:E, E2), 0) - IF(E243="A1", COUNTIFS(F:F, "♢♢♢", E:E, "A1"), 0)))/100, 
   IF(F243="♢♢♢♢", ((M6 * 100) / (COUNTIFS(F:F, "♢♢♢♢", E:E, E243) + COUNTIFS(F:F, "♢♢♢♢", E:E, "A1") + IF(E243="A1", COUNTIFS(F:F, "♢♢♢♢", E:E, E2), 0) - IF(E243="A1", COUNTIFS(F:F, "♢♢♢♢", E:E, "A1"), 0)))/100, 
   IF(F243="☆", ((M7 * 100) / (COUNTIFS(F:F, "☆", E:E, E243) + COUNTIFS(F:F, "☆", E:E, "A1") + IF(E243="A1", COUNTIFS(F:F, "☆", E:E, E2), 0) - IF(E243="A1", COUNTIFS(F:F, "☆", E:E, "A1"), 0)))/100, 
   IF(F243="☆☆", ((M8 * 100) / (COUNTIFS(F:F, "☆☆", E:E, E243) + COUNTIFS(F:F, "☆☆", E:E, "A1") + IF(E243="A1", COUNTIFS(F:F, "☆☆", E:E, E2), 0) - IF(E243="A1", COUNTIFS(F:F, "☆☆", E:E, "A1"), 0)))/100, 
   IF(F243="☆☆☆", ((M9 * 100) / (COUNTIFS(F:F, "☆☆☆", E:E, E243) + COUNTIFS(F:F, "☆☆☆", E:E, "A1") + IF(E243="A1", COUNTIFS(F:F, "☆☆☆", E:E, E2), 0) - IF(E243="A1", COUNTIFS(F:F, "☆☆☆", E:E, "A1"), 0)))/100, 
   IF(F243="♛", ((M10 * 100) / (COUNTIFS(F:F, "♛", E:E, E243) + COUNTIFS(F:F, "♛", E:E, "A1") + IF(E243="A1", COUNTIFS(F:F, "♛", E:E, E2), 0) - IF(E243="A1", COUNTIFS(F:F, "♛", E:E, "A1"), 0)))/100, "")))))))
</f>
        <v>0.003215</v>
      </c>
      <c r="I243" s="129">
        <f>IF(F243="♢♢", ((N4 * 100) / (COUNTIFS(F:F, "♢♢", E:E, E243) + COUNTIFS(F:F, "♢♢", E:E, "A1") + IF(E243="A1", COUNTIFS(F:F, "♢♢", E:E, E2), 0) - IF(E243="A1", COUNTIFS(F:F, "♢♢", E:E, "A1"), 0)))/100, 
   IF(F243="♢♢♢", ((N5 * 100) / (COUNTIFS(F:F, "♢♢♢", E:E, E243) + COUNTIFS(F:F, "♢♢♢", E:E, "A1") + IF(E243="A1", COUNTIFS(F:F, "♢♢♢", E:E, E2), 0) - IF(E243="A1", COUNTIFS(F:F, "♢♢♢", E:E, "A1"), 0)))/100, 
   IF(F243="♢♢♢♢", ((N6 * 100) / (COUNTIFS(F:F, "♢♢♢♢", E:E, E243) + COUNTIFS(F:F, "♢♢♢♢", E:E, "A1") + IF(E243="A1", COUNTIFS(F:F, "♢♢♢♢", E:E, E2), 0) - IF(E243="A1", COUNTIFS(F:F, "♢♢♢♢", E:E, "A1"), 0)))/100, 
   IF(F243="☆", ((N7 * 100) / (COUNTIFS(F:F, "☆", E:E, E243) + COUNTIFS(F:F, "☆", E:E, "A1") + IF(E243="A1", COUNTIFS(F:F, "☆", E:E, E2), 0) - IF(E243="A1", COUNTIFS(F:F, "☆", E:E, "A1"), 0)))/100, 
   IF(F243="☆☆", ((N8 * 100) / (COUNTIFS(F:F, "☆☆", E:E, E243) + COUNTIFS(F:F, "☆☆", E:E, "A1") + IF(E243="A1", COUNTIFS(F:F, "☆☆", E:E, E2), 0) - IF(E243="A1", COUNTIFS(F:F, "☆☆", E:E, "A1"), 0)))/100, 
   IF(F243="☆☆☆", ((N9 * 100) / (COUNTIFS(F:F, "☆☆☆", E:E, E243) + COUNTIFS(F:F, "☆☆☆", E:E, "A1") + IF(E243="A1", COUNTIFS(F:F, "☆☆☆", E:E, E2), 0) - IF(E243="A1", COUNTIFS(F:F, "☆☆☆", E:E, "A1"), 0)))/100, 
   IF(F243="♛", ((N10 * 100) / (COUNTIFS(F:F, "♛", E:E, E243) + COUNTIFS(F:F, "♛", E:E, "A1") + IF(E243="A1", COUNTIFS(F:F, "♛", E:E, E2), 0) - IF(E243="A1", COUNTIFS(F:F, "♛", E:E, "A1"), 0)))/100, "")))))))
</f>
        <v>0.01286</v>
      </c>
      <c r="J243" s="131"/>
      <c r="K243" s="247"/>
      <c r="L243" s="20"/>
      <c r="M243" s="20"/>
      <c r="N243" s="20"/>
      <c r="O243" s="249"/>
    </row>
    <row r="244">
      <c r="A244" s="125" t="b">
        <f t="shared" si="1"/>
        <v>0</v>
      </c>
      <c r="B244" s="126">
        <v>0.0</v>
      </c>
      <c r="C244" s="127" t="s">
        <v>583</v>
      </c>
      <c r="D244" s="127" t="s">
        <v>470</v>
      </c>
      <c r="E244" s="128" t="s">
        <v>29</v>
      </c>
      <c r="F244" s="127" t="s">
        <v>45</v>
      </c>
      <c r="G244" s="130" t="str">
        <f>IF(F244="♢", ((L3 * 100) / (COUNTIFS(F:F, "♢", E:E, E244) + COUNTIFS(F:F, "♢", E:E, "A1") + IF(E244="A1", COUNTIFS(F:F, "♢", E:E, E2), 0) - IF(E244="A1", COUNTIFS(F:F, "♢", E:E, "A1"), 0)))/100, "")
</f>
        <v/>
      </c>
      <c r="H244" s="129">
        <f>IF(F244="♢♢", ((M4 * 100) / (COUNTIFS(F:F, "♢♢", E:E, E244) + COUNTIFS(F:F, "♢♢", E:E, "A1") + IF(E244="A1", COUNTIFS(F:F, "♢♢", E:E, E2), 0) - IF(E244="A1", COUNTIFS(F:F, "♢♢", E:E, "A1"), 0)))/100, 
   IF(F244="♢♢♢", ((M5 * 100) / (COUNTIFS(F:F, "♢♢♢", E:E, E244) + COUNTIFS(F:F, "♢♢♢", E:E, "A1") + IF(E244="A1", COUNTIFS(F:F, "♢♢♢", E:E, E2), 0) - IF(E244="A1", COUNTIFS(F:F, "♢♢♢", E:E, "A1"), 0)))/100, 
   IF(F244="♢♢♢♢", ((M6 * 100) / (COUNTIFS(F:F, "♢♢♢♢", E:E, E244) + COUNTIFS(F:F, "♢♢♢♢", E:E, "A1") + IF(E244="A1", COUNTIFS(F:F, "♢♢♢♢", E:E, E2), 0) - IF(E244="A1", COUNTIFS(F:F, "♢♢♢♢", E:E, "A1"), 0)))/100, 
   IF(F244="☆", ((M7 * 100) / (COUNTIFS(F:F, "☆", E:E, E244) + COUNTIFS(F:F, "☆", E:E, "A1") + IF(E244="A1", COUNTIFS(F:F, "☆", E:E, E2), 0) - IF(E244="A1", COUNTIFS(F:F, "☆", E:E, "A1"), 0)))/100, 
   IF(F244="☆☆", ((M8 * 100) / (COUNTIFS(F:F, "☆☆", E:E, E244) + COUNTIFS(F:F, "☆☆", E:E, "A1") + IF(E244="A1", COUNTIFS(F:F, "☆☆", E:E, E2), 0) - IF(E244="A1", COUNTIFS(F:F, "☆☆", E:E, "A1"), 0)))/100, 
   IF(F244="☆☆☆", ((M9 * 100) / (COUNTIFS(F:F, "☆☆☆", E:E, E244) + COUNTIFS(F:F, "☆☆☆", E:E, "A1") + IF(E244="A1", COUNTIFS(F:F, "☆☆☆", E:E, E2), 0) - IF(E244="A1", COUNTIFS(F:F, "☆☆☆", E:E, "A1"), 0)))/100, 
   IF(F244="♛", ((M10 * 100) / (COUNTIFS(F:F, "♛", E:E, E244) + COUNTIFS(F:F, "♛", E:E, "A1") + IF(E244="A1", COUNTIFS(F:F, "♛", E:E, E2), 0) - IF(E244="A1", COUNTIFS(F:F, "♛", E:E, "A1"), 0)))/100, "")))))))
</f>
        <v>0.003215</v>
      </c>
      <c r="I244" s="129">
        <f>IF(F244="♢♢", ((N4 * 100) / (COUNTIFS(F:F, "♢♢", E:E, E244) + COUNTIFS(F:F, "♢♢", E:E, "A1") + IF(E244="A1", COUNTIFS(F:F, "♢♢", E:E, E2), 0) - IF(E244="A1", COUNTIFS(F:F, "♢♢", E:E, "A1"), 0)))/100, 
   IF(F244="♢♢♢", ((N5 * 100) / (COUNTIFS(F:F, "♢♢♢", E:E, E244) + COUNTIFS(F:F, "♢♢♢", E:E, "A1") + IF(E244="A1", COUNTIFS(F:F, "♢♢♢", E:E, E2), 0) - IF(E244="A1", COUNTIFS(F:F, "♢♢♢", E:E, "A1"), 0)))/100, 
   IF(F244="♢♢♢♢", ((N6 * 100) / (COUNTIFS(F:F, "♢♢♢♢", E:E, E244) + COUNTIFS(F:F, "♢♢♢♢", E:E, "A1") + IF(E244="A1", COUNTIFS(F:F, "♢♢♢♢", E:E, E2), 0) - IF(E244="A1", COUNTIFS(F:F, "♢♢♢♢", E:E, "A1"), 0)))/100, 
   IF(F244="☆", ((N7 * 100) / (COUNTIFS(F:F, "☆", E:E, E244) + COUNTIFS(F:F, "☆", E:E, "A1") + IF(E244="A1", COUNTIFS(F:F, "☆", E:E, E2), 0) - IF(E244="A1", COUNTIFS(F:F, "☆", E:E, "A1"), 0)))/100, 
   IF(F244="☆☆", ((N8 * 100) / (COUNTIFS(F:F, "☆☆", E:E, E244) + COUNTIFS(F:F, "☆☆", E:E, "A1") + IF(E244="A1", COUNTIFS(F:F, "☆☆", E:E, E2), 0) - IF(E244="A1", COUNTIFS(F:F, "☆☆", E:E, "A1"), 0)))/100, 
   IF(F244="☆☆☆", ((N9 * 100) / (COUNTIFS(F:F, "☆☆☆", E:E, E244) + COUNTIFS(F:F, "☆☆☆", E:E, "A1") + IF(E244="A1", COUNTIFS(F:F, "☆☆☆", E:E, E2), 0) - IF(E244="A1", COUNTIFS(F:F, "☆☆☆", E:E, "A1"), 0)))/100, 
   IF(F244="♛", ((N10 * 100) / (COUNTIFS(F:F, "♛", E:E, E244) + COUNTIFS(F:F, "♛", E:E, "A1") + IF(E244="A1", COUNTIFS(F:F, "♛", E:E, E2), 0) - IF(E244="A1", COUNTIFS(F:F, "♛", E:E, "A1"), 0)))/100, "")))))))
</f>
        <v>0.01286</v>
      </c>
      <c r="J244" s="131"/>
      <c r="K244" s="247"/>
      <c r="L244" s="20"/>
      <c r="M244" s="20"/>
      <c r="N244" s="20"/>
      <c r="O244" s="249"/>
    </row>
    <row r="245">
      <c r="A245" s="125" t="b">
        <f t="shared" si="1"/>
        <v>0</v>
      </c>
      <c r="B245" s="126">
        <v>0.0</v>
      </c>
      <c r="C245" s="127" t="s">
        <v>584</v>
      </c>
      <c r="D245" s="127" t="s">
        <v>486</v>
      </c>
      <c r="E245" s="128" t="s">
        <v>29</v>
      </c>
      <c r="F245" s="127" t="s">
        <v>45</v>
      </c>
      <c r="G245" s="130" t="str">
        <f>IF(F245="♢", ((L3 * 100) / (COUNTIFS(F:F, "♢", E:E, E245) + COUNTIFS(F:F, "♢", E:E, "A1") + IF(E245="A1", COUNTIFS(F:F, "♢", E:E, E2), 0) - IF(E245="A1", COUNTIFS(F:F, "♢", E:E, "A1"), 0)))/100, "")
</f>
        <v/>
      </c>
      <c r="H245" s="129">
        <f>IF(F245="♢♢", ((M4 * 100) / (COUNTIFS(F:F, "♢♢", E:E, E245) + COUNTIFS(F:F, "♢♢", E:E, "A1") + IF(E245="A1", COUNTIFS(F:F, "♢♢", E:E, E2), 0) - IF(E245="A1", COUNTIFS(F:F, "♢♢", E:E, "A1"), 0)))/100, 
   IF(F245="♢♢♢", ((M5 * 100) / (COUNTIFS(F:F, "♢♢♢", E:E, E245) + COUNTIFS(F:F, "♢♢♢", E:E, "A1") + IF(E245="A1", COUNTIFS(F:F, "♢♢♢", E:E, E2), 0) - IF(E245="A1", COUNTIFS(F:F, "♢♢♢", E:E, "A1"), 0)))/100, 
   IF(F245="♢♢♢♢", ((M6 * 100) / (COUNTIFS(F:F, "♢♢♢♢", E:E, E245) + COUNTIFS(F:F, "♢♢♢♢", E:E, "A1") + IF(E245="A1", COUNTIFS(F:F, "♢♢♢♢", E:E, E2), 0) - IF(E245="A1", COUNTIFS(F:F, "♢♢♢♢", E:E, "A1"), 0)))/100, 
   IF(F245="☆", ((M7 * 100) / (COUNTIFS(F:F, "☆", E:E, E245) + COUNTIFS(F:F, "☆", E:E, "A1") + IF(E245="A1", COUNTIFS(F:F, "☆", E:E, E2), 0) - IF(E245="A1", COUNTIFS(F:F, "☆", E:E, "A1"), 0)))/100, 
   IF(F245="☆☆", ((M8 * 100) / (COUNTIFS(F:F, "☆☆", E:E, E245) + COUNTIFS(F:F, "☆☆", E:E, "A1") + IF(E245="A1", COUNTIFS(F:F, "☆☆", E:E, E2), 0) - IF(E245="A1", COUNTIFS(F:F, "☆☆", E:E, "A1"), 0)))/100, 
   IF(F245="☆☆☆", ((M9 * 100) / (COUNTIFS(F:F, "☆☆☆", E:E, E245) + COUNTIFS(F:F, "☆☆☆", E:E, "A1") + IF(E245="A1", COUNTIFS(F:F, "☆☆☆", E:E, E2), 0) - IF(E245="A1", COUNTIFS(F:F, "☆☆☆", E:E, "A1"), 0)))/100, 
   IF(F245="♛", ((M10 * 100) / (COUNTIFS(F:F, "♛", E:E, E245) + COUNTIFS(F:F, "♛", E:E, "A1") + IF(E245="A1", COUNTIFS(F:F, "♛", E:E, E2), 0) - IF(E245="A1", COUNTIFS(F:F, "♛", E:E, "A1"), 0)))/100, "")))))))
</f>
        <v>0.003215</v>
      </c>
      <c r="I245" s="129">
        <f>IF(F245="♢♢", ((N4 * 100) / (COUNTIFS(F:F, "♢♢", E:E, E245) + COUNTIFS(F:F, "♢♢", E:E, "A1") + IF(E245="A1", COUNTIFS(F:F, "♢♢", E:E, E2), 0) - IF(E245="A1", COUNTIFS(F:F, "♢♢", E:E, "A1"), 0)))/100, 
   IF(F245="♢♢♢", ((N5 * 100) / (COUNTIFS(F:F, "♢♢♢", E:E, E245) + COUNTIFS(F:F, "♢♢♢", E:E, "A1") + IF(E245="A1", COUNTIFS(F:F, "♢♢♢", E:E, E2), 0) - IF(E245="A1", COUNTIFS(F:F, "♢♢♢", E:E, "A1"), 0)))/100, 
   IF(F245="♢♢♢♢", ((N6 * 100) / (COUNTIFS(F:F, "♢♢♢♢", E:E, E245) + COUNTIFS(F:F, "♢♢♢♢", E:E, "A1") + IF(E245="A1", COUNTIFS(F:F, "♢♢♢♢", E:E, E2), 0) - IF(E245="A1", COUNTIFS(F:F, "♢♢♢♢", E:E, "A1"), 0)))/100, 
   IF(F245="☆", ((N7 * 100) / (COUNTIFS(F:F, "☆", E:E, E245) + COUNTIFS(F:F, "☆", E:E, "A1") + IF(E245="A1", COUNTIFS(F:F, "☆", E:E, E2), 0) - IF(E245="A1", COUNTIFS(F:F, "☆", E:E, "A1"), 0)))/100, 
   IF(F245="☆☆", ((N8 * 100) / (COUNTIFS(F:F, "☆☆", E:E, E245) + COUNTIFS(F:F, "☆☆", E:E, "A1") + IF(E245="A1", COUNTIFS(F:F, "☆☆", E:E, E2), 0) - IF(E245="A1", COUNTIFS(F:F, "☆☆", E:E, "A1"), 0)))/100, 
   IF(F245="☆☆☆", ((N9 * 100) / (COUNTIFS(F:F, "☆☆☆", E:E, E245) + COUNTIFS(F:F, "☆☆☆", E:E, "A1") + IF(E245="A1", COUNTIFS(F:F, "☆☆☆", E:E, E2), 0) - IF(E245="A1", COUNTIFS(F:F, "☆☆☆", E:E, "A1"), 0)))/100, 
   IF(F245="♛", ((N10 * 100) / (COUNTIFS(F:F, "♛", E:E, E245) + COUNTIFS(F:F, "♛", E:E, "A1") + IF(E245="A1", COUNTIFS(F:F, "♛", E:E, E2), 0) - IF(E245="A1", COUNTIFS(F:F, "♛", E:E, "A1"), 0)))/100, "")))))))
</f>
        <v>0.01286</v>
      </c>
      <c r="J245" s="131"/>
      <c r="K245" s="247"/>
      <c r="L245" s="20"/>
      <c r="M245" s="20"/>
      <c r="N245" s="20"/>
      <c r="O245" s="249"/>
    </row>
    <row r="246">
      <c r="A246" s="125" t="b">
        <f t="shared" si="1"/>
        <v>0</v>
      </c>
      <c r="B246" s="126">
        <v>0.0</v>
      </c>
      <c r="C246" s="127" t="s">
        <v>585</v>
      </c>
      <c r="D246" s="127" t="s">
        <v>492</v>
      </c>
      <c r="E246" s="128" t="s">
        <v>29</v>
      </c>
      <c r="F246" s="127" t="s">
        <v>45</v>
      </c>
      <c r="G246" s="130" t="str">
        <f>IF(F246="♢", ((L3 * 100) / (COUNTIFS(F:F, "♢", E:E, E246) + COUNTIFS(F:F, "♢", E:E, "A1") + IF(E246="A1", COUNTIFS(F:F, "♢", E:E, E2), 0) - IF(E246="A1", COUNTIFS(F:F, "♢", E:E, "A1"), 0)))/100, "")
</f>
        <v/>
      </c>
      <c r="H246" s="129">
        <f>IF(F246="♢♢", ((M4 * 100) / (COUNTIFS(F:F, "♢♢", E:E, E246) + COUNTIFS(F:F, "♢♢", E:E, "A1") + IF(E246="A1", COUNTIFS(F:F, "♢♢", E:E, E2), 0) - IF(E246="A1", COUNTIFS(F:F, "♢♢", E:E, "A1"), 0)))/100, 
   IF(F246="♢♢♢", ((M5 * 100) / (COUNTIFS(F:F, "♢♢♢", E:E, E246) + COUNTIFS(F:F, "♢♢♢", E:E, "A1") + IF(E246="A1", COUNTIFS(F:F, "♢♢♢", E:E, E2), 0) - IF(E246="A1", COUNTIFS(F:F, "♢♢♢", E:E, "A1"), 0)))/100, 
   IF(F246="♢♢♢♢", ((M6 * 100) / (COUNTIFS(F:F, "♢♢♢♢", E:E, E246) + COUNTIFS(F:F, "♢♢♢♢", E:E, "A1") + IF(E246="A1", COUNTIFS(F:F, "♢♢♢♢", E:E, E2), 0) - IF(E246="A1", COUNTIFS(F:F, "♢♢♢♢", E:E, "A1"), 0)))/100, 
   IF(F246="☆", ((M7 * 100) / (COUNTIFS(F:F, "☆", E:E, E246) + COUNTIFS(F:F, "☆", E:E, "A1") + IF(E246="A1", COUNTIFS(F:F, "☆", E:E, E2), 0) - IF(E246="A1", COUNTIFS(F:F, "☆", E:E, "A1"), 0)))/100, 
   IF(F246="☆☆", ((M8 * 100) / (COUNTIFS(F:F, "☆☆", E:E, E246) + COUNTIFS(F:F, "☆☆", E:E, "A1") + IF(E246="A1", COUNTIFS(F:F, "☆☆", E:E, E2), 0) - IF(E246="A1", COUNTIFS(F:F, "☆☆", E:E, "A1"), 0)))/100, 
   IF(F246="☆☆☆", ((M9 * 100) / (COUNTIFS(F:F, "☆☆☆", E:E, E246) + COUNTIFS(F:F, "☆☆☆", E:E, "A1") + IF(E246="A1", COUNTIFS(F:F, "☆☆☆", E:E, E2), 0) - IF(E246="A1", COUNTIFS(F:F, "☆☆☆", E:E, "A1"), 0)))/100, 
   IF(F246="♛", ((M10 * 100) / (COUNTIFS(F:F, "♛", E:E, E246) + COUNTIFS(F:F, "♛", E:E, "A1") + IF(E246="A1", COUNTIFS(F:F, "♛", E:E, E2), 0) - IF(E246="A1", COUNTIFS(F:F, "♛", E:E, "A1"), 0)))/100, "")))))))
</f>
        <v>0.003215</v>
      </c>
      <c r="I246" s="129">
        <f>IF(F246="♢♢", ((N4 * 100) / (COUNTIFS(F:F, "♢♢", E:E, E246) + COUNTIFS(F:F, "♢♢", E:E, "A1") + IF(E246="A1", COUNTIFS(F:F, "♢♢", E:E, E2), 0) - IF(E246="A1", COUNTIFS(F:F, "♢♢", E:E, "A1"), 0)))/100, 
   IF(F246="♢♢♢", ((N5 * 100) / (COUNTIFS(F:F, "♢♢♢", E:E, E246) + COUNTIFS(F:F, "♢♢♢", E:E, "A1") + IF(E246="A1", COUNTIFS(F:F, "♢♢♢", E:E, E2), 0) - IF(E246="A1", COUNTIFS(F:F, "♢♢♢", E:E, "A1"), 0)))/100, 
   IF(F246="♢♢♢♢", ((N6 * 100) / (COUNTIFS(F:F, "♢♢♢♢", E:E, E246) + COUNTIFS(F:F, "♢♢♢♢", E:E, "A1") + IF(E246="A1", COUNTIFS(F:F, "♢♢♢♢", E:E, E2), 0) - IF(E246="A1", COUNTIFS(F:F, "♢♢♢♢", E:E, "A1"), 0)))/100, 
   IF(F246="☆", ((N7 * 100) / (COUNTIFS(F:F, "☆", E:E, E246) + COUNTIFS(F:F, "☆", E:E, "A1") + IF(E246="A1", COUNTIFS(F:F, "☆", E:E, E2), 0) - IF(E246="A1", COUNTIFS(F:F, "☆", E:E, "A1"), 0)))/100, 
   IF(F246="☆☆", ((N8 * 100) / (COUNTIFS(F:F, "☆☆", E:E, E246) + COUNTIFS(F:F, "☆☆", E:E, "A1") + IF(E246="A1", COUNTIFS(F:F, "☆☆", E:E, E2), 0) - IF(E246="A1", COUNTIFS(F:F, "☆☆", E:E, "A1"), 0)))/100, 
   IF(F246="☆☆☆", ((N9 * 100) / (COUNTIFS(F:F, "☆☆☆", E:E, E246) + COUNTIFS(F:F, "☆☆☆", E:E, "A1") + IF(E246="A1", COUNTIFS(F:F, "☆☆☆", E:E, E2), 0) - IF(E246="A1", COUNTIFS(F:F, "☆☆☆", E:E, "A1"), 0)))/100, 
   IF(F246="♛", ((N10 * 100) / (COUNTIFS(F:F, "♛", E:E, E246) + COUNTIFS(F:F, "♛", E:E, "A1") + IF(E246="A1", COUNTIFS(F:F, "♛", E:E, E2), 0) - IF(E246="A1", COUNTIFS(F:F, "♛", E:E, "A1"), 0)))/100, "")))))))
</f>
        <v>0.01286</v>
      </c>
      <c r="J246" s="131"/>
      <c r="K246" s="247"/>
      <c r="L246" s="20"/>
      <c r="M246" s="20"/>
      <c r="N246" s="20"/>
      <c r="O246" s="249"/>
    </row>
    <row r="247">
      <c r="A247" s="125" t="b">
        <f t="shared" si="1"/>
        <v>0</v>
      </c>
      <c r="B247" s="126">
        <v>0.0</v>
      </c>
      <c r="C247" s="127" t="s">
        <v>586</v>
      </c>
      <c r="D247" s="127" t="s">
        <v>508</v>
      </c>
      <c r="E247" s="128" t="s">
        <v>32</v>
      </c>
      <c r="F247" s="127" t="s">
        <v>45</v>
      </c>
      <c r="G247" s="130" t="str">
        <f>IF(F247="♢", ((L3 * 100) / (COUNTIFS(F:F, "♢", E:E, E247) + COUNTIFS(F:F, "♢", E:E, "A1") + IF(E247="A1", COUNTIFS(F:F, "♢", E:E, E2), 0) - IF(E247="A1", COUNTIFS(F:F, "♢", E:E, "A1"), 0)))/100, "")
</f>
        <v/>
      </c>
      <c r="H247" s="129">
        <f>IF(F247="♢♢", ((M4 * 100) / (COUNTIFS(F:F, "♢♢", E:E, E247) + COUNTIFS(F:F, "♢♢", E:E, "A1") + IF(E247="A1", COUNTIFS(F:F, "♢♢", E:E, E2), 0) - IF(E247="A1", COUNTIFS(F:F, "♢♢", E:E, "A1"), 0)))/100, 
   IF(F247="♢♢♢", ((M5 * 100) / (COUNTIFS(F:F, "♢♢♢", E:E, E247) + COUNTIFS(F:F, "♢♢♢", E:E, "A1") + IF(E247="A1", COUNTIFS(F:F, "♢♢♢", E:E, E2), 0) - IF(E247="A1", COUNTIFS(F:F, "♢♢♢", E:E, "A1"), 0)))/100, 
   IF(F247="♢♢♢♢", ((M6 * 100) / (COUNTIFS(F:F, "♢♢♢♢", E:E, E247) + COUNTIFS(F:F, "♢♢♢♢", E:E, "A1") + IF(E247="A1", COUNTIFS(F:F, "♢♢♢♢", E:E, E2), 0) - IF(E247="A1", COUNTIFS(F:F, "♢♢♢♢", E:E, "A1"), 0)))/100, 
   IF(F247="☆", ((M7 * 100) / (COUNTIFS(F:F, "☆", E:E, E247) + COUNTIFS(F:F, "☆", E:E, "A1") + IF(E247="A1", COUNTIFS(F:F, "☆", E:E, E2), 0) - IF(E247="A1", COUNTIFS(F:F, "☆", E:E, "A1"), 0)))/100, 
   IF(F247="☆☆", ((M8 * 100) / (COUNTIFS(F:F, "☆☆", E:E, E247) + COUNTIFS(F:F, "☆☆", E:E, "A1") + IF(E247="A1", COUNTIFS(F:F, "☆☆", E:E, E2), 0) - IF(E247="A1", COUNTIFS(F:F, "☆☆", E:E, "A1"), 0)))/100, 
   IF(F247="☆☆☆", ((M9 * 100) / (COUNTIFS(F:F, "☆☆☆", E:E, E247) + COUNTIFS(F:F, "☆☆☆", E:E, "A1") + IF(E247="A1", COUNTIFS(F:F, "☆☆☆", E:E, E2), 0) - IF(E247="A1", COUNTIFS(F:F, "☆☆☆", E:E, "A1"), 0)))/100, 
   IF(F247="♛", ((M10 * 100) / (COUNTIFS(F:F, "♛", E:E, E247) + COUNTIFS(F:F, "♛", E:E, "A1") + IF(E247="A1", COUNTIFS(F:F, "♛", E:E, E2), 0) - IF(E247="A1", COUNTIFS(F:F, "♛", E:E, "A1"), 0)))/100, "")))))))
</f>
        <v>0.003215</v>
      </c>
      <c r="I247" s="129">
        <f>IF(F247="♢♢", ((N4 * 100) / (COUNTIFS(F:F, "♢♢", E:E, E247) + COUNTIFS(F:F, "♢♢", E:E, "A1") + IF(E247="A1", COUNTIFS(F:F, "♢♢", E:E, E2), 0) - IF(E247="A1", COUNTIFS(F:F, "♢♢", E:E, "A1"), 0)))/100, 
   IF(F247="♢♢♢", ((N5 * 100) / (COUNTIFS(F:F, "♢♢♢", E:E, E247) + COUNTIFS(F:F, "♢♢♢", E:E, "A1") + IF(E247="A1", COUNTIFS(F:F, "♢♢♢", E:E, E2), 0) - IF(E247="A1", COUNTIFS(F:F, "♢♢♢", E:E, "A1"), 0)))/100, 
   IF(F247="♢♢♢♢", ((N6 * 100) / (COUNTIFS(F:F, "♢♢♢♢", E:E, E247) + COUNTIFS(F:F, "♢♢♢♢", E:E, "A1") + IF(E247="A1", COUNTIFS(F:F, "♢♢♢♢", E:E, E2), 0) - IF(E247="A1", COUNTIFS(F:F, "♢♢♢♢", E:E, "A1"), 0)))/100, 
   IF(F247="☆", ((N7 * 100) / (COUNTIFS(F:F, "☆", E:E, E247) + COUNTIFS(F:F, "☆", E:E, "A1") + IF(E247="A1", COUNTIFS(F:F, "☆", E:E, E2), 0) - IF(E247="A1", COUNTIFS(F:F, "☆", E:E, "A1"), 0)))/100, 
   IF(F247="☆☆", ((N8 * 100) / (COUNTIFS(F:F, "☆☆", E:E, E247) + COUNTIFS(F:F, "☆☆", E:E, "A1") + IF(E247="A1", COUNTIFS(F:F, "☆☆", E:E, E2), 0) - IF(E247="A1", COUNTIFS(F:F, "☆☆", E:E, "A1"), 0)))/100, 
   IF(F247="☆☆☆", ((N9 * 100) / (COUNTIFS(F:F, "☆☆☆", E:E, E247) + COUNTIFS(F:F, "☆☆☆", E:E, "A1") + IF(E247="A1", COUNTIFS(F:F, "☆☆☆", E:E, E2), 0) - IF(E247="A1", COUNTIFS(F:F, "☆☆☆", E:E, "A1"), 0)))/100, 
   IF(F247="♛", ((N10 * 100) / (COUNTIFS(F:F, "♛", E:E, E247) + COUNTIFS(F:F, "♛", E:E, "A1") + IF(E247="A1", COUNTIFS(F:F, "♛", E:E, E2), 0) - IF(E247="A1", COUNTIFS(F:F, "♛", E:E, "A1"), 0)))/100, "")))))))
</f>
        <v>0.01286</v>
      </c>
      <c r="J247" s="131"/>
      <c r="K247" s="247"/>
      <c r="L247" s="20"/>
      <c r="M247" s="20"/>
      <c r="N247" s="20"/>
      <c r="O247" s="249"/>
    </row>
    <row r="248">
      <c r="A248" s="125" t="b">
        <f t="shared" si="1"/>
        <v>0</v>
      </c>
      <c r="B248" s="126">
        <v>0.0</v>
      </c>
      <c r="C248" s="127" t="s">
        <v>587</v>
      </c>
      <c r="D248" s="127" t="s">
        <v>526</v>
      </c>
      <c r="E248" s="128" t="s">
        <v>29</v>
      </c>
      <c r="F248" s="127" t="s">
        <v>45</v>
      </c>
      <c r="G248" s="130" t="str">
        <f>IF(F248="♢", ((L3 * 100) / (COUNTIFS(F:F, "♢", E:E, E248) + COUNTIFS(F:F, "♢", E:E, "A1") + IF(E248="A1", COUNTIFS(F:F, "♢", E:E, E2), 0) - IF(E248="A1", COUNTIFS(F:F, "♢", E:E, "A1"), 0)))/100, "")
</f>
        <v/>
      </c>
      <c r="H248" s="129">
        <f>IF(F248="♢♢", ((M4 * 100) / (COUNTIFS(F:F, "♢♢", E:E, E248) + COUNTIFS(F:F, "♢♢", E:E, "A1") + IF(E248="A1", COUNTIFS(F:F, "♢♢", E:E, E2), 0) - IF(E248="A1", COUNTIFS(F:F, "♢♢", E:E, "A1"), 0)))/100, 
   IF(F248="♢♢♢", ((M5 * 100) / (COUNTIFS(F:F, "♢♢♢", E:E, E248) + COUNTIFS(F:F, "♢♢♢", E:E, "A1") + IF(E248="A1", COUNTIFS(F:F, "♢♢♢", E:E, E2), 0) - IF(E248="A1", COUNTIFS(F:F, "♢♢♢", E:E, "A1"), 0)))/100, 
   IF(F248="♢♢♢♢", ((M6 * 100) / (COUNTIFS(F:F, "♢♢♢♢", E:E, E248) + COUNTIFS(F:F, "♢♢♢♢", E:E, "A1") + IF(E248="A1", COUNTIFS(F:F, "♢♢♢♢", E:E, E2), 0) - IF(E248="A1", COUNTIFS(F:F, "♢♢♢♢", E:E, "A1"), 0)))/100, 
   IF(F248="☆", ((M7 * 100) / (COUNTIFS(F:F, "☆", E:E, E248) + COUNTIFS(F:F, "☆", E:E, "A1") + IF(E248="A1", COUNTIFS(F:F, "☆", E:E, E2), 0) - IF(E248="A1", COUNTIFS(F:F, "☆", E:E, "A1"), 0)))/100, 
   IF(F248="☆☆", ((M8 * 100) / (COUNTIFS(F:F, "☆☆", E:E, E248) + COUNTIFS(F:F, "☆☆", E:E, "A1") + IF(E248="A1", COUNTIFS(F:F, "☆☆", E:E, E2), 0) - IF(E248="A1", COUNTIFS(F:F, "☆☆", E:E, "A1"), 0)))/100, 
   IF(F248="☆☆☆", ((M9 * 100) / (COUNTIFS(F:F, "☆☆☆", E:E, E248) + COUNTIFS(F:F, "☆☆☆", E:E, "A1") + IF(E248="A1", COUNTIFS(F:F, "☆☆☆", E:E, E2), 0) - IF(E248="A1", COUNTIFS(F:F, "☆☆☆", E:E, "A1"), 0)))/100, 
   IF(F248="♛", ((M10 * 100) / (COUNTIFS(F:F, "♛", E:E, E248) + COUNTIFS(F:F, "♛", E:E, "A1") + IF(E248="A1", COUNTIFS(F:F, "♛", E:E, E2), 0) - IF(E248="A1", COUNTIFS(F:F, "♛", E:E, "A1"), 0)))/100, "")))))))
</f>
        <v>0.003215</v>
      </c>
      <c r="I248" s="129">
        <f>IF(F248="♢♢", ((N4 * 100) / (COUNTIFS(F:F, "♢♢", E:E, E248) + COUNTIFS(F:F, "♢♢", E:E, "A1") + IF(E248="A1", COUNTIFS(F:F, "♢♢", E:E, E2), 0) - IF(E248="A1", COUNTIFS(F:F, "♢♢", E:E, "A1"), 0)))/100, 
   IF(F248="♢♢♢", ((N5 * 100) / (COUNTIFS(F:F, "♢♢♢", E:E, E248) + COUNTIFS(F:F, "♢♢♢", E:E, "A1") + IF(E248="A1", COUNTIFS(F:F, "♢♢♢", E:E, E2), 0) - IF(E248="A1", COUNTIFS(F:F, "♢♢♢", E:E, "A1"), 0)))/100, 
   IF(F248="♢♢♢♢", ((N6 * 100) / (COUNTIFS(F:F, "♢♢♢♢", E:E, E248) + COUNTIFS(F:F, "♢♢♢♢", E:E, "A1") + IF(E248="A1", COUNTIFS(F:F, "♢♢♢♢", E:E, E2), 0) - IF(E248="A1", COUNTIFS(F:F, "♢♢♢♢", E:E, "A1"), 0)))/100, 
   IF(F248="☆", ((N7 * 100) / (COUNTIFS(F:F, "☆", E:E, E248) + COUNTIFS(F:F, "☆", E:E, "A1") + IF(E248="A1", COUNTIFS(F:F, "☆", E:E, E2), 0) - IF(E248="A1", COUNTIFS(F:F, "☆", E:E, "A1"), 0)))/100, 
   IF(F248="☆☆", ((N8 * 100) / (COUNTIFS(F:F, "☆☆", E:E, E248) + COUNTIFS(F:F, "☆☆", E:E, "A1") + IF(E248="A1", COUNTIFS(F:F, "☆☆", E:E, E2), 0) - IF(E248="A1", COUNTIFS(F:F, "☆☆", E:E, "A1"), 0)))/100, 
   IF(F248="☆☆☆", ((N9 * 100) / (COUNTIFS(F:F, "☆☆☆", E:E, E248) + COUNTIFS(F:F, "☆☆☆", E:E, "A1") + IF(E248="A1", COUNTIFS(F:F, "☆☆☆", E:E, E2), 0) - IF(E248="A1", COUNTIFS(F:F, "☆☆☆", E:E, "A1"), 0)))/100, 
   IF(F248="♛", ((N10 * 100) / (COUNTIFS(F:F, "♛", E:E, E248) + COUNTIFS(F:F, "♛", E:E, "A1") + IF(E248="A1", COUNTIFS(F:F, "♛", E:E, E2), 0) - IF(E248="A1", COUNTIFS(F:F, "♛", E:E, "A1"), 0)))/100, "")))))))
</f>
        <v>0.01286</v>
      </c>
      <c r="J248" s="131"/>
      <c r="K248" s="247"/>
      <c r="L248" s="20"/>
      <c r="M248" s="20"/>
      <c r="N248" s="20"/>
      <c r="O248" s="249"/>
    </row>
    <row r="249">
      <c r="A249" s="125" t="b">
        <f t="shared" si="1"/>
        <v>0</v>
      </c>
      <c r="B249" s="126">
        <v>0.0</v>
      </c>
      <c r="C249" s="127" t="s">
        <v>588</v>
      </c>
      <c r="D249" s="127" t="s">
        <v>528</v>
      </c>
      <c r="E249" s="128" t="s">
        <v>31</v>
      </c>
      <c r="F249" s="127" t="s">
        <v>45</v>
      </c>
      <c r="G249" s="130" t="str">
        <f>IF(F249="♢", ((L3 * 100) / (COUNTIFS(F:F, "♢", E:E, E249) + COUNTIFS(F:F, "♢", E:E, "A1") + IF(E249="A1", COUNTIFS(F:F, "♢", E:E, E2), 0) - IF(E249="A1", COUNTIFS(F:F, "♢", E:E, "A1"), 0)))/100, "")
</f>
        <v/>
      </c>
      <c r="H249" s="129">
        <f>IF(F249="♢♢", ((M4 * 100) / (COUNTIFS(F:F, "♢♢", E:E, E249) + COUNTIFS(F:F, "♢♢", E:E, "A1") + IF(E249="A1", COUNTIFS(F:F, "♢♢", E:E, E2), 0) - IF(E249="A1", COUNTIFS(F:F, "♢♢", E:E, "A1"), 0)))/100, 
   IF(F249="♢♢♢", ((M5 * 100) / (COUNTIFS(F:F, "♢♢♢", E:E, E249) + COUNTIFS(F:F, "♢♢♢", E:E, "A1") + IF(E249="A1", COUNTIFS(F:F, "♢♢♢", E:E, E2), 0) - IF(E249="A1", COUNTIFS(F:F, "♢♢♢", E:E, "A1"), 0)))/100, 
   IF(F249="♢♢♢♢", ((M6 * 100) / (COUNTIFS(F:F, "♢♢♢♢", E:E, E249) + COUNTIFS(F:F, "♢♢♢♢", E:E, "A1") + IF(E249="A1", COUNTIFS(F:F, "♢♢♢♢", E:E, E2), 0) - IF(E249="A1", COUNTIFS(F:F, "♢♢♢♢", E:E, "A1"), 0)))/100, 
   IF(F249="☆", ((M7 * 100) / (COUNTIFS(F:F, "☆", E:E, E249) + COUNTIFS(F:F, "☆", E:E, "A1") + IF(E249="A1", COUNTIFS(F:F, "☆", E:E, E2), 0) - IF(E249="A1", COUNTIFS(F:F, "☆", E:E, "A1"), 0)))/100, 
   IF(F249="☆☆", ((M8 * 100) / (COUNTIFS(F:F, "☆☆", E:E, E249) + COUNTIFS(F:F, "☆☆", E:E, "A1") + IF(E249="A1", COUNTIFS(F:F, "☆☆", E:E, E2), 0) - IF(E249="A1", COUNTIFS(F:F, "☆☆", E:E, "A1"), 0)))/100, 
   IF(F249="☆☆☆", ((M9 * 100) / (COUNTIFS(F:F, "☆☆☆", E:E, E249) + COUNTIFS(F:F, "☆☆☆", E:E, "A1") + IF(E249="A1", COUNTIFS(F:F, "☆☆☆", E:E, E2), 0) - IF(E249="A1", COUNTIFS(F:F, "☆☆☆", E:E, "A1"), 0)))/100, 
   IF(F249="♛", ((M10 * 100) / (COUNTIFS(F:F, "♛", E:E, E249) + COUNTIFS(F:F, "♛", E:E, "A1") + IF(E249="A1", COUNTIFS(F:F, "♛", E:E, E2), 0) - IF(E249="A1", COUNTIFS(F:F, "♛", E:E, "A1"), 0)))/100, "")))))))
</f>
        <v>0.003215</v>
      </c>
      <c r="I249" s="129">
        <f>IF(F249="♢♢", ((N4 * 100) / (COUNTIFS(F:F, "♢♢", E:E, E249) + COUNTIFS(F:F, "♢♢", E:E, "A1") + IF(E249="A1", COUNTIFS(F:F, "♢♢", E:E, E2), 0) - IF(E249="A1", COUNTIFS(F:F, "♢♢", E:E, "A1"), 0)))/100, 
   IF(F249="♢♢♢", ((N5 * 100) / (COUNTIFS(F:F, "♢♢♢", E:E, E249) + COUNTIFS(F:F, "♢♢♢", E:E, "A1") + IF(E249="A1", COUNTIFS(F:F, "♢♢♢", E:E, E2), 0) - IF(E249="A1", COUNTIFS(F:F, "♢♢♢", E:E, "A1"), 0)))/100, 
   IF(F249="♢♢♢♢", ((N6 * 100) / (COUNTIFS(F:F, "♢♢♢♢", E:E, E249) + COUNTIFS(F:F, "♢♢♢♢", E:E, "A1") + IF(E249="A1", COUNTIFS(F:F, "♢♢♢♢", E:E, E2), 0) - IF(E249="A1", COUNTIFS(F:F, "♢♢♢♢", E:E, "A1"), 0)))/100, 
   IF(F249="☆", ((N7 * 100) / (COUNTIFS(F:F, "☆", E:E, E249) + COUNTIFS(F:F, "☆", E:E, "A1") + IF(E249="A1", COUNTIFS(F:F, "☆", E:E, E2), 0) - IF(E249="A1", COUNTIFS(F:F, "☆", E:E, "A1"), 0)))/100, 
   IF(F249="☆☆", ((N8 * 100) / (COUNTIFS(F:F, "☆☆", E:E, E249) + COUNTIFS(F:F, "☆☆", E:E, "A1") + IF(E249="A1", COUNTIFS(F:F, "☆☆", E:E, E2), 0) - IF(E249="A1", COUNTIFS(F:F, "☆☆", E:E, "A1"), 0)))/100, 
   IF(F249="☆☆☆", ((N9 * 100) / (COUNTIFS(F:F, "☆☆☆", E:E, E249) + COUNTIFS(F:F, "☆☆☆", E:E, "A1") + IF(E249="A1", COUNTIFS(F:F, "☆☆☆", E:E, E2), 0) - IF(E249="A1", COUNTIFS(F:F, "☆☆☆", E:E, "A1"), 0)))/100, 
   IF(F249="♛", ((N10 * 100) / (COUNTIFS(F:F, "♛", E:E, E249) + COUNTIFS(F:F, "♛", E:E, "A1") + IF(E249="A1", COUNTIFS(F:F, "♛", E:E, E2), 0) - IF(E249="A1", COUNTIFS(F:F, "♛", E:E, "A1"), 0)))/100, "")))))))
</f>
        <v>0.01286</v>
      </c>
      <c r="J249" s="131"/>
      <c r="K249" s="247"/>
      <c r="L249" s="20"/>
      <c r="M249" s="20"/>
      <c r="N249" s="20"/>
      <c r="O249" s="249"/>
    </row>
    <row r="250">
      <c r="A250" s="125" t="b">
        <f t="shared" si="1"/>
        <v>0</v>
      </c>
      <c r="B250" s="126">
        <v>0.0</v>
      </c>
      <c r="C250" s="127" t="s">
        <v>589</v>
      </c>
      <c r="D250" s="127" t="s">
        <v>532</v>
      </c>
      <c r="E250" s="128" t="s">
        <v>29</v>
      </c>
      <c r="F250" s="127" t="s">
        <v>45</v>
      </c>
      <c r="G250" s="130" t="str">
        <f>IF(F250="♢", ((L3 * 100) / (COUNTIFS(F:F, "♢", E:E, E250) + COUNTIFS(F:F, "♢", E:E, "A1") + IF(E250="A1", COUNTIFS(F:F, "♢", E:E, E2), 0) - IF(E250="A1", COUNTIFS(F:F, "♢", E:E, "A1"), 0)))/100, "")
</f>
        <v/>
      </c>
      <c r="H250" s="129">
        <f>IF(F250="♢♢", ((M4 * 100) / (COUNTIFS(F:F, "♢♢", E:E, E250) + COUNTIFS(F:F, "♢♢", E:E, "A1") + IF(E250="A1", COUNTIFS(F:F, "♢♢", E:E, E2), 0) - IF(E250="A1", COUNTIFS(F:F, "♢♢", E:E, "A1"), 0)))/100, 
   IF(F250="♢♢♢", ((M5 * 100) / (COUNTIFS(F:F, "♢♢♢", E:E, E250) + COUNTIFS(F:F, "♢♢♢", E:E, "A1") + IF(E250="A1", COUNTIFS(F:F, "♢♢♢", E:E, E2), 0) - IF(E250="A1", COUNTIFS(F:F, "♢♢♢", E:E, "A1"), 0)))/100, 
   IF(F250="♢♢♢♢", ((M6 * 100) / (COUNTIFS(F:F, "♢♢♢♢", E:E, E250) + COUNTIFS(F:F, "♢♢♢♢", E:E, "A1") + IF(E250="A1", COUNTIFS(F:F, "♢♢♢♢", E:E, E2), 0) - IF(E250="A1", COUNTIFS(F:F, "♢♢♢♢", E:E, "A1"), 0)))/100, 
   IF(F250="☆", ((M7 * 100) / (COUNTIFS(F:F, "☆", E:E, E250) + COUNTIFS(F:F, "☆", E:E, "A1") + IF(E250="A1", COUNTIFS(F:F, "☆", E:E, E2), 0) - IF(E250="A1", COUNTIFS(F:F, "☆", E:E, "A1"), 0)))/100, 
   IF(F250="☆☆", ((M8 * 100) / (COUNTIFS(F:F, "☆☆", E:E, E250) + COUNTIFS(F:F, "☆☆", E:E, "A1") + IF(E250="A1", COUNTIFS(F:F, "☆☆", E:E, E2), 0) - IF(E250="A1", COUNTIFS(F:F, "☆☆", E:E, "A1"), 0)))/100, 
   IF(F250="☆☆☆", ((M9 * 100) / (COUNTIFS(F:F, "☆☆☆", E:E, E250) + COUNTIFS(F:F, "☆☆☆", E:E, "A1") + IF(E250="A1", COUNTIFS(F:F, "☆☆☆", E:E, E2), 0) - IF(E250="A1", COUNTIFS(F:F, "☆☆☆", E:E, "A1"), 0)))/100, 
   IF(F250="♛", ((M10 * 100) / (COUNTIFS(F:F, "♛", E:E, E250) + COUNTIFS(F:F, "♛", E:E, "A1") + IF(E250="A1", COUNTIFS(F:F, "♛", E:E, E2), 0) - IF(E250="A1", COUNTIFS(F:F, "♛", E:E, "A1"), 0)))/100, "")))))))
</f>
        <v>0.003215</v>
      </c>
      <c r="I250" s="129">
        <f>IF(F250="♢♢", ((N4 * 100) / (COUNTIFS(F:F, "♢♢", E:E, E250) + COUNTIFS(F:F, "♢♢", E:E, "A1") + IF(E250="A1", COUNTIFS(F:F, "♢♢", E:E, E2), 0) - IF(E250="A1", COUNTIFS(F:F, "♢♢", E:E, "A1"), 0)))/100, 
   IF(F250="♢♢♢", ((N5 * 100) / (COUNTIFS(F:F, "♢♢♢", E:E, E250) + COUNTIFS(F:F, "♢♢♢", E:E, "A1") + IF(E250="A1", COUNTIFS(F:F, "♢♢♢", E:E, E2), 0) - IF(E250="A1", COUNTIFS(F:F, "♢♢♢", E:E, "A1"), 0)))/100, 
   IF(F250="♢♢♢♢", ((N6 * 100) / (COUNTIFS(F:F, "♢♢♢♢", E:E, E250) + COUNTIFS(F:F, "♢♢♢♢", E:E, "A1") + IF(E250="A1", COUNTIFS(F:F, "♢♢♢♢", E:E, E2), 0) - IF(E250="A1", COUNTIFS(F:F, "♢♢♢♢", E:E, "A1"), 0)))/100, 
   IF(F250="☆", ((N7 * 100) / (COUNTIFS(F:F, "☆", E:E, E250) + COUNTIFS(F:F, "☆", E:E, "A1") + IF(E250="A1", COUNTIFS(F:F, "☆", E:E, E2), 0) - IF(E250="A1", COUNTIFS(F:F, "☆", E:E, "A1"), 0)))/100, 
   IF(F250="☆☆", ((N8 * 100) / (COUNTIFS(F:F, "☆☆", E:E, E250) + COUNTIFS(F:F, "☆☆", E:E, "A1") + IF(E250="A1", COUNTIFS(F:F, "☆☆", E:E, E2), 0) - IF(E250="A1", COUNTIFS(F:F, "☆☆", E:E, "A1"), 0)))/100, 
   IF(F250="☆☆☆", ((N9 * 100) / (COUNTIFS(F:F, "☆☆☆", E:E, E250) + COUNTIFS(F:F, "☆☆☆", E:E, "A1") + IF(E250="A1", COUNTIFS(F:F, "☆☆☆", E:E, E2), 0) - IF(E250="A1", COUNTIFS(F:F, "☆☆☆", E:E, "A1"), 0)))/100, 
   IF(F250="♛", ((N10 * 100) / (COUNTIFS(F:F, "♛", E:E, E250) + COUNTIFS(F:F, "♛", E:E, "A1") + IF(E250="A1", COUNTIFS(F:F, "♛", E:E, E2), 0) - IF(E250="A1", COUNTIFS(F:F, "♛", E:E, "A1"), 0)))/100, "")))))))
</f>
        <v>0.01286</v>
      </c>
      <c r="J250" s="131"/>
      <c r="K250" s="247"/>
      <c r="L250" s="20"/>
      <c r="M250" s="20"/>
      <c r="N250" s="20"/>
      <c r="O250" s="249"/>
    </row>
    <row r="251">
      <c r="A251" s="125" t="b">
        <f t="shared" si="1"/>
        <v>0</v>
      </c>
      <c r="B251" s="126">
        <v>0.0</v>
      </c>
      <c r="C251" s="127" t="s">
        <v>590</v>
      </c>
      <c r="D251" s="127" t="s">
        <v>536</v>
      </c>
      <c r="E251" s="128" t="s">
        <v>31</v>
      </c>
      <c r="F251" s="127" t="s">
        <v>45</v>
      </c>
      <c r="G251" s="130" t="str">
        <f>IF(F251="♢", ((L3 * 100) / (COUNTIFS(F:F, "♢", E:E, E251) + COUNTIFS(F:F, "♢", E:E, "A1") + IF(E251="A1", COUNTIFS(F:F, "♢", E:E, E2), 0) - IF(E251="A1", COUNTIFS(F:F, "♢", E:E, "A1"), 0)))/100, "")
</f>
        <v/>
      </c>
      <c r="H251" s="129">
        <f>IF(F251="♢♢", ((M4 * 100) / (COUNTIFS(F:F, "♢♢", E:E, E251) + COUNTIFS(F:F, "♢♢", E:E, "A1") + IF(E251="A1", COUNTIFS(F:F, "♢♢", E:E, E2), 0) - IF(E251="A1", COUNTIFS(F:F, "♢♢", E:E, "A1"), 0)))/100, 
   IF(F251="♢♢♢", ((M5 * 100) / (COUNTIFS(F:F, "♢♢♢", E:E, E251) + COUNTIFS(F:F, "♢♢♢", E:E, "A1") + IF(E251="A1", COUNTIFS(F:F, "♢♢♢", E:E, E2), 0) - IF(E251="A1", COUNTIFS(F:F, "♢♢♢", E:E, "A1"), 0)))/100, 
   IF(F251="♢♢♢♢", ((M6 * 100) / (COUNTIFS(F:F, "♢♢♢♢", E:E, E251) + COUNTIFS(F:F, "♢♢♢♢", E:E, "A1") + IF(E251="A1", COUNTIFS(F:F, "♢♢♢♢", E:E, E2), 0) - IF(E251="A1", COUNTIFS(F:F, "♢♢♢♢", E:E, "A1"), 0)))/100, 
   IF(F251="☆", ((M7 * 100) / (COUNTIFS(F:F, "☆", E:E, E251) + COUNTIFS(F:F, "☆", E:E, "A1") + IF(E251="A1", COUNTIFS(F:F, "☆", E:E, E2), 0) - IF(E251="A1", COUNTIFS(F:F, "☆", E:E, "A1"), 0)))/100, 
   IF(F251="☆☆", ((M8 * 100) / (COUNTIFS(F:F, "☆☆", E:E, E251) + COUNTIFS(F:F, "☆☆", E:E, "A1") + IF(E251="A1", COUNTIFS(F:F, "☆☆", E:E, E2), 0) - IF(E251="A1", COUNTIFS(F:F, "☆☆", E:E, "A1"), 0)))/100, 
   IF(F251="☆☆☆", ((M9 * 100) / (COUNTIFS(F:F, "☆☆☆", E:E, E251) + COUNTIFS(F:F, "☆☆☆", E:E, "A1") + IF(E251="A1", COUNTIFS(F:F, "☆☆☆", E:E, E2), 0) - IF(E251="A1", COUNTIFS(F:F, "☆☆☆", E:E, "A1"), 0)))/100, 
   IF(F251="♛", ((M10 * 100) / (COUNTIFS(F:F, "♛", E:E, E251) + COUNTIFS(F:F, "♛", E:E, "A1") + IF(E251="A1", COUNTIFS(F:F, "♛", E:E, E2), 0) - IF(E251="A1", COUNTIFS(F:F, "♛", E:E, "A1"), 0)))/100, "")))))))
</f>
        <v>0.003215</v>
      </c>
      <c r="I251" s="129">
        <f>IF(F251="♢♢", ((N4 * 100) / (COUNTIFS(F:F, "♢♢", E:E, E251) + COUNTIFS(F:F, "♢♢", E:E, "A1") + IF(E251="A1", COUNTIFS(F:F, "♢♢", E:E, E2), 0) - IF(E251="A1", COUNTIFS(F:F, "♢♢", E:E, "A1"), 0)))/100, 
   IF(F251="♢♢♢", ((N5 * 100) / (COUNTIFS(F:F, "♢♢♢", E:E, E251) + COUNTIFS(F:F, "♢♢♢", E:E, "A1") + IF(E251="A1", COUNTIFS(F:F, "♢♢♢", E:E, E2), 0) - IF(E251="A1", COUNTIFS(F:F, "♢♢♢", E:E, "A1"), 0)))/100, 
   IF(F251="♢♢♢♢", ((N6 * 100) / (COUNTIFS(F:F, "♢♢♢♢", E:E, E251) + COUNTIFS(F:F, "♢♢♢♢", E:E, "A1") + IF(E251="A1", COUNTIFS(F:F, "♢♢♢♢", E:E, E2), 0) - IF(E251="A1", COUNTIFS(F:F, "♢♢♢♢", E:E, "A1"), 0)))/100, 
   IF(F251="☆", ((N7 * 100) / (COUNTIFS(F:F, "☆", E:E, E251) + COUNTIFS(F:F, "☆", E:E, "A1") + IF(E251="A1", COUNTIFS(F:F, "☆", E:E, E2), 0) - IF(E251="A1", COUNTIFS(F:F, "☆", E:E, "A1"), 0)))/100, 
   IF(F251="☆☆", ((N8 * 100) / (COUNTIFS(F:F, "☆☆", E:E, E251) + COUNTIFS(F:F, "☆☆", E:E, "A1") + IF(E251="A1", COUNTIFS(F:F, "☆☆", E:E, E2), 0) - IF(E251="A1", COUNTIFS(F:F, "☆☆", E:E, "A1"), 0)))/100, 
   IF(F251="☆☆☆", ((N9 * 100) / (COUNTIFS(F:F, "☆☆☆", E:E, E251) + COUNTIFS(F:F, "☆☆☆", E:E, "A1") + IF(E251="A1", COUNTIFS(F:F, "☆☆☆", E:E, E2), 0) - IF(E251="A1", COUNTIFS(F:F, "☆☆☆", E:E, "A1"), 0)))/100, 
   IF(F251="♛", ((N10 * 100) / (COUNTIFS(F:F, "♛", E:E, E251) + COUNTIFS(F:F, "♛", E:E, "A1") + IF(E251="A1", COUNTIFS(F:F, "♛", E:E, E2), 0) - IF(E251="A1", COUNTIFS(F:F, "♛", E:E, "A1"), 0)))/100, "")))))))
</f>
        <v>0.01286</v>
      </c>
      <c r="J251" s="131"/>
      <c r="K251" s="247"/>
      <c r="L251" s="20"/>
      <c r="M251" s="20"/>
      <c r="N251" s="20"/>
      <c r="O251" s="249"/>
    </row>
    <row r="252">
      <c r="A252" s="125" t="b">
        <f t="shared" si="1"/>
        <v>0</v>
      </c>
      <c r="B252" s="126">
        <v>0.0</v>
      </c>
      <c r="C252" s="127" t="s">
        <v>591</v>
      </c>
      <c r="D252" s="128" t="s">
        <v>80</v>
      </c>
      <c r="E252" s="128" t="s">
        <v>29</v>
      </c>
      <c r="F252" s="127" t="s">
        <v>47</v>
      </c>
      <c r="G252" s="130" t="str">
        <f>IF(F252="♢", ((L3 * 100) / (COUNTIFS(F:F, "♢", E:E, E252) + COUNTIFS(F:F, "♢", E:E, "A1") + IF(E252="A1", COUNTIFS(F:F, "♢", E:E, E2), 0) - IF(E252="A1", COUNTIFS(F:F, "♢", E:E, "A1"), 0)))/100, "")
</f>
        <v/>
      </c>
      <c r="H252" s="129">
        <f>IF(F252="♢♢", ((M4 * 100) / (COUNTIFS(F:F, "♢♢", E:E, E252) + COUNTIFS(F:F, "♢♢", E:E, "A1") + IF(E252="A1", COUNTIFS(F:F, "♢♢", E:E, E2), 0) - IF(E252="A1", COUNTIFS(F:F, "♢♢", E:E, "A1"), 0)))/100, 
   IF(F252="♢♢♢", ((M5 * 100) / (COUNTIFS(F:F, "♢♢♢", E:E, E252) + COUNTIFS(F:F, "♢♢♢", E:E, "A1") + IF(E252="A1", COUNTIFS(F:F, "♢♢♢", E:E, E2), 0) - IF(E252="A1", COUNTIFS(F:F, "♢♢♢", E:E, "A1"), 0)))/100, 
   IF(F252="♢♢♢♢", ((M6 * 100) / (COUNTIFS(F:F, "♢♢♢♢", E:E, E252) + COUNTIFS(F:F, "♢♢♢♢", E:E, "A1") + IF(E252="A1", COUNTIFS(F:F, "♢♢♢♢", E:E, E2), 0) - IF(E252="A1", COUNTIFS(F:F, "♢♢♢♢", E:E, "A1"), 0)))/100, 
   IF(F252="☆", ((M7 * 100) / (COUNTIFS(F:F, "☆", E:E, E252) + COUNTIFS(F:F, "☆", E:E, "A1") + IF(E252="A1", COUNTIFS(F:F, "☆", E:E, E2), 0) - IF(E252="A1", COUNTIFS(F:F, "☆", E:E, "A1"), 0)))/100, 
   IF(F252="☆☆", ((M8 * 100) / (COUNTIFS(F:F, "☆☆", E:E, E252) + COUNTIFS(F:F, "☆☆", E:E, "A1") + IF(E252="A1", COUNTIFS(F:F, "☆☆", E:E, E2), 0) - IF(E252="A1", COUNTIFS(F:F, "☆☆", E:E, "A1"), 0)))/100, 
   IF(F252="☆☆☆", ((M9 * 100) / (COUNTIFS(F:F, "☆☆☆", E:E, E252) + COUNTIFS(F:F, "☆☆☆", E:E, "A1") + IF(E252="A1", COUNTIFS(F:F, "☆☆☆", E:E, E2), 0) - IF(E252="A1", COUNTIFS(F:F, "☆☆☆", E:E, "A1"), 0)))/100, 
   IF(F252="♛", ((M10 * 100) / (COUNTIFS(F:F, "♛", E:E, E252) + COUNTIFS(F:F, "♛", E:E, "A1") + IF(E252="A1", COUNTIFS(F:F, "♛", E:E, E2), 0) - IF(E252="A1", COUNTIFS(F:F, "♛", E:E, "A1"), 0)))/100, "")))))))
</f>
        <v>0.0005555555556</v>
      </c>
      <c r="I252" s="129">
        <f>IF(F252="♢♢", ((N4 * 100) / (COUNTIFS(F:F, "♢♢", E:E, E252) + COUNTIFS(F:F, "♢♢", E:E, "A1") + IF(E252="A1", COUNTIFS(F:F, "♢♢", E:E, E2), 0) - IF(E252="A1", COUNTIFS(F:F, "♢♢", E:E, "A1"), 0)))/100, 
   IF(F252="♢♢♢", ((N5 * 100) / (COUNTIFS(F:F, "♢♢♢", E:E, E252) + COUNTIFS(F:F, "♢♢♢", E:E, "A1") + IF(E252="A1", COUNTIFS(F:F, "♢♢♢", E:E, E2), 0) - IF(E252="A1", COUNTIFS(F:F, "♢♢♢", E:E, "A1"), 0)))/100, 
   IF(F252="♢♢♢♢", ((N6 * 100) / (COUNTIFS(F:F, "♢♢♢♢", E:E, E252) + COUNTIFS(F:F, "♢♢♢♢", E:E, "A1") + IF(E252="A1", COUNTIFS(F:F, "♢♢♢♢", E:E, E2), 0) - IF(E252="A1", COUNTIFS(F:F, "♢♢♢♢", E:E, "A1"), 0)))/100, 
   IF(F252="☆", ((N7 * 100) / (COUNTIFS(F:F, "☆", E:E, E252) + COUNTIFS(F:F, "☆", E:E, "A1") + IF(E252="A1", COUNTIFS(F:F, "☆", E:E, E2), 0) - IF(E252="A1", COUNTIFS(F:F, "☆", E:E, "A1"), 0)))/100, 
   IF(F252="☆☆", ((N8 * 100) / (COUNTIFS(F:F, "☆☆", E:E, E252) + COUNTIFS(F:F, "☆☆", E:E, "A1") + IF(E252="A1", COUNTIFS(F:F, "☆☆", E:E, E2), 0) - IF(E252="A1", COUNTIFS(F:F, "☆☆", E:E, "A1"), 0)))/100, 
   IF(F252="☆☆☆", ((N9 * 100) / (COUNTIFS(F:F, "☆☆☆", E:E, E252) + COUNTIFS(F:F, "☆☆☆", E:E, "A1") + IF(E252="A1", COUNTIFS(F:F, "☆☆☆", E:E, E2), 0) - IF(E252="A1", COUNTIFS(F:F, "☆☆☆", E:E, "A1"), 0)))/100, 
   IF(F252="♛", ((N10 * 100) / (COUNTIFS(F:F, "♛", E:E, E252) + COUNTIFS(F:F, "♛", E:E, "A1") + IF(E252="A1", COUNTIFS(F:F, "♛", E:E, E2), 0) - IF(E252="A1", COUNTIFS(F:F, "♛", E:E, "A1"), 0)))/100, "")))))))
</f>
        <v>0.002222222222</v>
      </c>
      <c r="J252" s="131"/>
      <c r="K252" s="247"/>
      <c r="L252" s="20"/>
      <c r="M252" s="20"/>
      <c r="N252" s="20"/>
      <c r="O252" s="249"/>
    </row>
    <row r="253">
      <c r="A253" s="125" t="b">
        <f t="shared" si="1"/>
        <v>0</v>
      </c>
      <c r="B253" s="126">
        <v>0.0</v>
      </c>
      <c r="C253" s="127" t="s">
        <v>592</v>
      </c>
      <c r="D253" s="128" t="s">
        <v>128</v>
      </c>
      <c r="E253" s="128" t="s">
        <v>32</v>
      </c>
      <c r="F253" s="127" t="s">
        <v>47</v>
      </c>
      <c r="G253" s="130" t="str">
        <f>IF(F253="♢", ((L3 * 100) / (COUNTIFS(F:F, "♢", E:E, E253) + COUNTIFS(F:F, "♢", E:E, "A1") + IF(E253="A1", COUNTIFS(F:F, "♢", E:E, E2), 0) - IF(E253="A1", COUNTIFS(F:F, "♢", E:E, "A1"), 0)))/100, "")
</f>
        <v/>
      </c>
      <c r="H253" s="129">
        <f>IF(F253="♢♢", ((M4 * 100) / (COUNTIFS(F:F, "♢♢", E:E, E253) + COUNTIFS(F:F, "♢♢", E:E, "A1") + IF(E253="A1", COUNTIFS(F:F, "♢♢", E:E, E2), 0) - IF(E253="A1", COUNTIFS(F:F, "♢♢", E:E, "A1"), 0)))/100, 
   IF(F253="♢♢♢", ((M5 * 100) / (COUNTIFS(F:F, "♢♢♢", E:E, E253) + COUNTIFS(F:F, "♢♢♢", E:E, "A1") + IF(E253="A1", COUNTIFS(F:F, "♢♢♢", E:E, E2), 0) - IF(E253="A1", COUNTIFS(F:F, "♢♢♢", E:E, "A1"), 0)))/100, 
   IF(F253="♢♢♢♢", ((M6 * 100) / (COUNTIFS(F:F, "♢♢♢♢", E:E, E253) + COUNTIFS(F:F, "♢♢♢♢", E:E, "A1") + IF(E253="A1", COUNTIFS(F:F, "♢♢♢♢", E:E, E2), 0) - IF(E253="A1", COUNTIFS(F:F, "♢♢♢♢", E:E, "A1"), 0)))/100, 
   IF(F253="☆", ((M7 * 100) / (COUNTIFS(F:F, "☆", E:E, E253) + COUNTIFS(F:F, "☆", E:E, "A1") + IF(E253="A1", COUNTIFS(F:F, "☆", E:E, E2), 0) - IF(E253="A1", COUNTIFS(F:F, "☆", E:E, "A1"), 0)))/100, 
   IF(F253="☆☆", ((M8 * 100) / (COUNTIFS(F:F, "☆☆", E:E, E253) + COUNTIFS(F:F, "☆☆", E:E, "A1") + IF(E253="A1", COUNTIFS(F:F, "☆☆", E:E, E2), 0) - IF(E253="A1", COUNTIFS(F:F, "☆☆", E:E, "A1"), 0)))/100, 
   IF(F253="☆☆☆", ((M9 * 100) / (COUNTIFS(F:F, "☆☆☆", E:E, E253) + COUNTIFS(F:F, "☆☆☆", E:E, "A1") + IF(E253="A1", COUNTIFS(F:F, "☆☆☆", E:E, E2), 0) - IF(E253="A1", COUNTIFS(F:F, "☆☆☆", E:E, "A1"), 0)))/100, 
   IF(F253="♛", ((M10 * 100) / (COUNTIFS(F:F, "♛", E:E, E253) + COUNTIFS(F:F, "♛", E:E, "A1") + IF(E253="A1", COUNTIFS(F:F, "♛", E:E, E2), 0) - IF(E253="A1", COUNTIFS(F:F, "♛", E:E, "A1"), 0)))/100, "")))))))
</f>
        <v>0.0005</v>
      </c>
      <c r="I253" s="129">
        <f>IF(F253="♢♢", ((N4 * 100) / (COUNTIFS(F:F, "♢♢", E:E, E253) + COUNTIFS(F:F, "♢♢", E:E, "A1") + IF(E253="A1", COUNTIFS(F:F, "♢♢", E:E, E2), 0) - IF(E253="A1", COUNTIFS(F:F, "♢♢", E:E, "A1"), 0)))/100, 
   IF(F253="♢♢♢", ((N5 * 100) / (COUNTIFS(F:F, "♢♢♢", E:E, E253) + COUNTIFS(F:F, "♢♢♢", E:E, "A1") + IF(E253="A1", COUNTIFS(F:F, "♢♢♢", E:E, E2), 0) - IF(E253="A1", COUNTIFS(F:F, "♢♢♢", E:E, "A1"), 0)))/100, 
   IF(F253="♢♢♢♢", ((N6 * 100) / (COUNTIFS(F:F, "♢♢♢♢", E:E, E253) + COUNTIFS(F:F, "♢♢♢♢", E:E, "A1") + IF(E253="A1", COUNTIFS(F:F, "♢♢♢♢", E:E, E2), 0) - IF(E253="A1", COUNTIFS(F:F, "♢♢♢♢", E:E, "A1"), 0)))/100, 
   IF(F253="☆", ((N7 * 100) / (COUNTIFS(F:F, "☆", E:E, E253) + COUNTIFS(F:F, "☆", E:E, "A1") + IF(E253="A1", COUNTIFS(F:F, "☆", E:E, E2), 0) - IF(E253="A1", COUNTIFS(F:F, "☆", E:E, "A1"), 0)))/100, 
   IF(F253="☆☆", ((N8 * 100) / (COUNTIFS(F:F, "☆☆", E:E, E253) + COUNTIFS(F:F, "☆☆", E:E, "A1") + IF(E253="A1", COUNTIFS(F:F, "☆☆", E:E, E2), 0) - IF(E253="A1", COUNTIFS(F:F, "☆☆", E:E, "A1"), 0)))/100, 
   IF(F253="☆☆☆", ((N9 * 100) / (COUNTIFS(F:F, "☆☆☆", E:E, E253) + COUNTIFS(F:F, "☆☆☆", E:E, "A1") + IF(E253="A1", COUNTIFS(F:F, "☆☆☆", E:E, E2), 0) - IF(E253="A1", COUNTIFS(F:F, "☆☆☆", E:E, "A1"), 0)))/100, 
   IF(F253="♛", ((N10 * 100) / (COUNTIFS(F:F, "♛", E:E, E253) + COUNTIFS(F:F, "♛", E:E, "A1") + IF(E253="A1", COUNTIFS(F:F, "♛", E:E, E2), 0) - IF(E253="A1", COUNTIFS(F:F, "♛", E:E, "A1"), 0)))/100, "")))))))
</f>
        <v>0.002</v>
      </c>
      <c r="J253" s="131"/>
      <c r="K253" s="247"/>
      <c r="L253" s="20"/>
      <c r="M253" s="20"/>
      <c r="N253" s="20"/>
      <c r="O253" s="249"/>
    </row>
    <row r="254">
      <c r="A254" s="125" t="b">
        <f t="shared" si="1"/>
        <v>0</v>
      </c>
      <c r="B254" s="126">
        <v>0.0</v>
      </c>
      <c r="C254" s="127" t="s">
        <v>593</v>
      </c>
      <c r="D254" s="128" t="s">
        <v>160</v>
      </c>
      <c r="E254" s="128" t="s">
        <v>32</v>
      </c>
      <c r="F254" s="127" t="s">
        <v>47</v>
      </c>
      <c r="G254" s="130" t="str">
        <f>IF(F254="♢", ((L3 * 100) / (COUNTIFS(F:F, "♢", E:E, E254) + COUNTIFS(F:F, "♢", E:E, "A1") + IF(E254="A1", COUNTIFS(F:F, "♢", E:E, E2), 0) - IF(E254="A1", COUNTIFS(F:F, "♢", E:E, "A1"), 0)))/100, "")
</f>
        <v/>
      </c>
      <c r="H254" s="129">
        <f>IF(F254="♢♢", ((M4 * 100) / (COUNTIFS(F:F, "♢♢", E:E, E254) + COUNTIFS(F:F, "♢♢", E:E, "A1") + IF(E254="A1", COUNTIFS(F:F, "♢♢", E:E, E2), 0) - IF(E254="A1", COUNTIFS(F:F, "♢♢", E:E, "A1"), 0)))/100, 
   IF(F254="♢♢♢", ((M5 * 100) / (COUNTIFS(F:F, "♢♢♢", E:E, E254) + COUNTIFS(F:F, "♢♢♢", E:E, "A1") + IF(E254="A1", COUNTIFS(F:F, "♢♢♢", E:E, E2), 0) - IF(E254="A1", COUNTIFS(F:F, "♢♢♢", E:E, "A1"), 0)))/100, 
   IF(F254="♢♢♢♢", ((M6 * 100) / (COUNTIFS(F:F, "♢♢♢♢", E:E, E254) + COUNTIFS(F:F, "♢♢♢♢", E:E, "A1") + IF(E254="A1", COUNTIFS(F:F, "♢♢♢♢", E:E, E2), 0) - IF(E254="A1", COUNTIFS(F:F, "♢♢♢♢", E:E, "A1"), 0)))/100, 
   IF(F254="☆", ((M7 * 100) / (COUNTIFS(F:F, "☆", E:E, E254) + COUNTIFS(F:F, "☆", E:E, "A1") + IF(E254="A1", COUNTIFS(F:F, "☆", E:E, E2), 0) - IF(E254="A1", COUNTIFS(F:F, "☆", E:E, "A1"), 0)))/100, 
   IF(F254="☆☆", ((M8 * 100) / (COUNTIFS(F:F, "☆☆", E:E, E254) + COUNTIFS(F:F, "☆☆", E:E, "A1") + IF(E254="A1", COUNTIFS(F:F, "☆☆", E:E, E2), 0) - IF(E254="A1", COUNTIFS(F:F, "☆☆", E:E, "A1"), 0)))/100, 
   IF(F254="☆☆☆", ((M9 * 100) / (COUNTIFS(F:F, "☆☆☆", E:E, E254) + COUNTIFS(F:F, "☆☆☆", E:E, "A1") + IF(E254="A1", COUNTIFS(F:F, "☆☆☆", E:E, E2), 0) - IF(E254="A1", COUNTIFS(F:F, "☆☆☆", E:E, "A1"), 0)))/100, 
   IF(F254="♛", ((M10 * 100) / (COUNTIFS(F:F, "♛", E:E, E254) + COUNTIFS(F:F, "♛", E:E, "A1") + IF(E254="A1", COUNTIFS(F:F, "♛", E:E, E2), 0) - IF(E254="A1", COUNTIFS(F:F, "♛", E:E, "A1"), 0)))/100, "")))))))
</f>
        <v>0.0005</v>
      </c>
      <c r="I254" s="129">
        <f>IF(F254="♢♢", ((N4 * 100) / (COUNTIFS(F:F, "♢♢", E:E, E254) + COUNTIFS(F:F, "♢♢", E:E, "A1") + IF(E254="A1", COUNTIFS(F:F, "♢♢", E:E, E2), 0) - IF(E254="A1", COUNTIFS(F:F, "♢♢", E:E, "A1"), 0)))/100, 
   IF(F254="♢♢♢", ((N5 * 100) / (COUNTIFS(F:F, "♢♢♢", E:E, E254) + COUNTIFS(F:F, "♢♢♢", E:E, "A1") + IF(E254="A1", COUNTIFS(F:F, "♢♢♢", E:E, E2), 0) - IF(E254="A1", COUNTIFS(F:F, "♢♢♢", E:E, "A1"), 0)))/100, 
   IF(F254="♢♢♢♢", ((N6 * 100) / (COUNTIFS(F:F, "♢♢♢♢", E:E, E254) + COUNTIFS(F:F, "♢♢♢♢", E:E, "A1") + IF(E254="A1", COUNTIFS(F:F, "♢♢♢♢", E:E, E2), 0) - IF(E254="A1", COUNTIFS(F:F, "♢♢♢♢", E:E, "A1"), 0)))/100, 
   IF(F254="☆", ((N7 * 100) / (COUNTIFS(F:F, "☆", E:E, E254) + COUNTIFS(F:F, "☆", E:E, "A1") + IF(E254="A1", COUNTIFS(F:F, "☆", E:E, E2), 0) - IF(E254="A1", COUNTIFS(F:F, "☆", E:E, "A1"), 0)))/100, 
   IF(F254="☆☆", ((N8 * 100) / (COUNTIFS(F:F, "☆☆", E:E, E254) + COUNTIFS(F:F, "☆☆", E:E, "A1") + IF(E254="A1", COUNTIFS(F:F, "☆☆", E:E, E2), 0) - IF(E254="A1", COUNTIFS(F:F, "☆☆", E:E, "A1"), 0)))/100, 
   IF(F254="☆☆☆", ((N9 * 100) / (COUNTIFS(F:F, "☆☆☆", E:E, E254) + COUNTIFS(F:F, "☆☆☆", E:E, "A1") + IF(E254="A1", COUNTIFS(F:F, "☆☆☆", E:E, E2), 0) - IF(E254="A1", COUNTIFS(F:F, "☆☆☆", E:E, "A1"), 0)))/100, 
   IF(F254="♛", ((N10 * 100) / (COUNTIFS(F:F, "♛", E:E, E254) + COUNTIFS(F:F, "♛", E:E, "A1") + IF(E254="A1", COUNTIFS(F:F, "♛", E:E, E2), 0) - IF(E254="A1", COUNTIFS(F:F, "♛", E:E, "A1"), 0)))/100, "")))))))
</f>
        <v>0.002</v>
      </c>
      <c r="J254" s="131"/>
      <c r="K254" s="250" t="s">
        <v>594</v>
      </c>
      <c r="L254" s="251"/>
      <c r="M254" s="251"/>
      <c r="N254" s="252"/>
      <c r="O254" s="124" t="s">
        <v>595</v>
      </c>
    </row>
    <row r="255">
      <c r="A255" s="125" t="b">
        <f t="shared" si="1"/>
        <v>0</v>
      </c>
      <c r="B255" s="126">
        <v>0.0</v>
      </c>
      <c r="C255" s="127" t="s">
        <v>596</v>
      </c>
      <c r="D255" s="128" t="s">
        <v>171</v>
      </c>
      <c r="E255" s="128" t="s">
        <v>31</v>
      </c>
      <c r="F255" s="127" t="s">
        <v>47</v>
      </c>
      <c r="G255" s="130" t="str">
        <f>IF(F255="♢", ((L3 * 100) / (COUNTIFS(F:F, "♢", E:E, E255) + COUNTIFS(F:F, "♢", E:E, "A1") + IF(E255="A1", COUNTIFS(F:F, "♢", E:E, E2), 0) - IF(E255="A1", COUNTIFS(F:F, "♢", E:E, "A1"), 0)))/100, "")
</f>
        <v/>
      </c>
      <c r="H255" s="129">
        <f>IF(F255="♢♢", ((M4 * 100) / (COUNTIFS(F:F, "♢♢", E:E, E255) + COUNTIFS(F:F, "♢♢", E:E, "A1") + IF(E255="A1", COUNTIFS(F:F, "♢♢", E:E, E2), 0) - IF(E255="A1", COUNTIFS(F:F, "♢♢", E:E, "A1"), 0)))/100, 
   IF(F255="♢♢♢", ((M5 * 100) / (COUNTIFS(F:F, "♢♢♢", E:E, E255) + COUNTIFS(F:F, "♢♢♢", E:E, "A1") + IF(E255="A1", COUNTIFS(F:F, "♢♢♢", E:E, E2), 0) - IF(E255="A1", COUNTIFS(F:F, "♢♢♢", E:E, "A1"), 0)))/100, 
   IF(F255="♢♢♢♢", ((M6 * 100) / (COUNTIFS(F:F, "♢♢♢♢", E:E, E255) + COUNTIFS(F:F, "♢♢♢♢", E:E, "A1") + IF(E255="A1", COUNTIFS(F:F, "♢♢♢♢", E:E, E2), 0) - IF(E255="A1", COUNTIFS(F:F, "♢♢♢♢", E:E, "A1"), 0)))/100, 
   IF(F255="☆", ((M7 * 100) / (COUNTIFS(F:F, "☆", E:E, E255) + COUNTIFS(F:F, "☆", E:E, "A1") + IF(E255="A1", COUNTIFS(F:F, "☆", E:E, E2), 0) - IF(E255="A1", COUNTIFS(F:F, "☆", E:E, "A1"), 0)))/100, 
   IF(F255="☆☆", ((M8 * 100) / (COUNTIFS(F:F, "☆☆", E:E, E255) + COUNTIFS(F:F, "☆☆", E:E, "A1") + IF(E255="A1", COUNTIFS(F:F, "☆☆", E:E, E2), 0) - IF(E255="A1", COUNTIFS(F:F, "☆☆", E:E, "A1"), 0)))/100, 
   IF(F255="☆☆☆", ((M9 * 100) / (COUNTIFS(F:F, "☆☆☆", E:E, E255) + COUNTIFS(F:F, "☆☆☆", E:E, "A1") + IF(E255="A1", COUNTIFS(F:F, "☆☆☆", E:E, E2), 0) - IF(E255="A1", COUNTIFS(F:F, "☆☆☆", E:E, "A1"), 0)))/100, 
   IF(F255="♛", ((M10 * 100) / (COUNTIFS(F:F, "♛", E:E, E255) + COUNTIFS(F:F, "♛", E:E, "A1") + IF(E255="A1", COUNTIFS(F:F, "♛", E:E, E2), 0) - IF(E255="A1", COUNTIFS(F:F, "♛", E:E, "A1"), 0)))/100, "")))))))
</f>
        <v>0.0005</v>
      </c>
      <c r="I255" s="129">
        <f>IF(F255="♢♢", ((N4 * 100) / (COUNTIFS(F:F, "♢♢", E:E, E255) + COUNTIFS(F:F, "♢♢", E:E, "A1") + IF(E255="A1", COUNTIFS(F:F, "♢♢", E:E, E2), 0) - IF(E255="A1", COUNTIFS(F:F, "♢♢", E:E, "A1"), 0)))/100, 
   IF(F255="♢♢♢", ((N5 * 100) / (COUNTIFS(F:F, "♢♢♢", E:E, E255) + COUNTIFS(F:F, "♢♢♢", E:E, "A1") + IF(E255="A1", COUNTIFS(F:F, "♢♢♢", E:E, E2), 0) - IF(E255="A1", COUNTIFS(F:F, "♢♢♢", E:E, "A1"), 0)))/100, 
   IF(F255="♢♢♢♢", ((N6 * 100) / (COUNTIFS(F:F, "♢♢♢♢", E:E, E255) + COUNTIFS(F:F, "♢♢♢♢", E:E, "A1") + IF(E255="A1", COUNTIFS(F:F, "♢♢♢♢", E:E, E2), 0) - IF(E255="A1", COUNTIFS(F:F, "♢♢♢♢", E:E, "A1"), 0)))/100, 
   IF(F255="☆", ((N7 * 100) / (COUNTIFS(F:F, "☆", E:E, E255) + COUNTIFS(F:F, "☆", E:E, "A1") + IF(E255="A1", COUNTIFS(F:F, "☆", E:E, E2), 0) - IF(E255="A1", COUNTIFS(F:F, "☆", E:E, "A1"), 0)))/100, 
   IF(F255="☆☆", ((N8 * 100) / (COUNTIFS(F:F, "☆☆", E:E, E255) + COUNTIFS(F:F, "☆☆", E:E, "A1") + IF(E255="A1", COUNTIFS(F:F, "☆☆", E:E, E2), 0) - IF(E255="A1", COUNTIFS(F:F, "☆☆", E:E, "A1"), 0)))/100, 
   IF(F255="☆☆☆", ((N9 * 100) / (COUNTIFS(F:F, "☆☆☆", E:E, E255) + COUNTIFS(F:F, "☆☆☆", E:E, "A1") + IF(E255="A1", COUNTIFS(F:F, "☆☆☆", E:E, E2), 0) - IF(E255="A1", COUNTIFS(F:F, "☆☆☆", E:E, "A1"), 0)))/100, 
   IF(F255="♛", ((N10 * 100) / (COUNTIFS(F:F, "♛", E:E, E255) + COUNTIFS(F:F, "♛", E:E, "A1") + IF(E255="A1", COUNTIFS(F:F, "♛", E:E, E2), 0) - IF(E255="A1", COUNTIFS(F:F, "♛", E:E, "A1"), 0)))/100, "")))))))
</f>
        <v>0.002</v>
      </c>
      <c r="J255" s="131"/>
      <c r="K255" s="253"/>
      <c r="L255" s="254"/>
      <c r="M255" s="254"/>
      <c r="N255" s="255"/>
    </row>
    <row r="256">
      <c r="A256" s="125" t="b">
        <f t="shared" si="1"/>
        <v>0</v>
      </c>
      <c r="B256" s="126">
        <v>0.0</v>
      </c>
      <c r="C256" s="127" t="s">
        <v>597</v>
      </c>
      <c r="D256" s="128" t="s">
        <v>188</v>
      </c>
      <c r="E256" s="128" t="s">
        <v>32</v>
      </c>
      <c r="F256" s="127" t="s">
        <v>47</v>
      </c>
      <c r="G256" s="130" t="str">
        <f>IF(F256="♢", ((L3 * 100) / (COUNTIFS(F:F, "♢", E:E, E256) + COUNTIFS(F:F, "♢", E:E, "A1") + IF(E256="A1", COUNTIFS(F:F, "♢", E:E, E2), 0) - IF(E256="A1", COUNTIFS(F:F, "♢", E:E, "A1"), 0)))/100, "")
</f>
        <v/>
      </c>
      <c r="H256" s="129">
        <f>IF(F256="♢♢", ((M4 * 100) / (COUNTIFS(F:F, "♢♢", E:E, E256) + COUNTIFS(F:F, "♢♢", E:E, "A1") + IF(E256="A1", COUNTIFS(F:F, "♢♢", E:E, E2), 0) - IF(E256="A1", COUNTIFS(F:F, "♢♢", E:E, "A1"), 0)))/100, 
   IF(F256="♢♢♢", ((M5 * 100) / (COUNTIFS(F:F, "♢♢♢", E:E, E256) + COUNTIFS(F:F, "♢♢♢", E:E, "A1") + IF(E256="A1", COUNTIFS(F:F, "♢♢♢", E:E, E2), 0) - IF(E256="A1", COUNTIFS(F:F, "♢♢♢", E:E, "A1"), 0)))/100, 
   IF(F256="♢♢♢♢", ((M6 * 100) / (COUNTIFS(F:F, "♢♢♢♢", E:E, E256) + COUNTIFS(F:F, "♢♢♢♢", E:E, "A1") + IF(E256="A1", COUNTIFS(F:F, "♢♢♢♢", E:E, E2), 0) - IF(E256="A1", COUNTIFS(F:F, "♢♢♢♢", E:E, "A1"), 0)))/100, 
   IF(F256="☆", ((M7 * 100) / (COUNTIFS(F:F, "☆", E:E, E256) + COUNTIFS(F:F, "☆", E:E, "A1") + IF(E256="A1", COUNTIFS(F:F, "☆", E:E, E2), 0) - IF(E256="A1", COUNTIFS(F:F, "☆", E:E, "A1"), 0)))/100, 
   IF(F256="☆☆", ((M8 * 100) / (COUNTIFS(F:F, "☆☆", E:E, E256) + COUNTIFS(F:F, "☆☆", E:E, "A1") + IF(E256="A1", COUNTIFS(F:F, "☆☆", E:E, E2), 0) - IF(E256="A1", COUNTIFS(F:F, "☆☆", E:E, "A1"), 0)))/100, 
   IF(F256="☆☆☆", ((M9 * 100) / (COUNTIFS(F:F, "☆☆☆", E:E, E256) + COUNTIFS(F:F, "☆☆☆", E:E, "A1") + IF(E256="A1", COUNTIFS(F:F, "☆☆☆", E:E, E2), 0) - IF(E256="A1", COUNTIFS(F:F, "☆☆☆", E:E, "A1"), 0)))/100, 
   IF(F256="♛", ((M10 * 100) / (COUNTIFS(F:F, "♛", E:E, E256) + COUNTIFS(F:F, "♛", E:E, "A1") + IF(E256="A1", COUNTIFS(F:F, "♛", E:E, E2), 0) - IF(E256="A1", COUNTIFS(F:F, "♛", E:E, "A1"), 0)))/100, "")))))))
</f>
        <v>0.0005</v>
      </c>
      <c r="I256" s="129">
        <f>IF(F256="♢♢", ((N4 * 100) / (COUNTIFS(F:F, "♢♢", E:E, E256) + COUNTIFS(F:F, "♢♢", E:E, "A1") + IF(E256="A1", COUNTIFS(F:F, "♢♢", E:E, E2), 0) - IF(E256="A1", COUNTIFS(F:F, "♢♢", E:E, "A1"), 0)))/100, 
   IF(F256="♢♢♢", ((N5 * 100) / (COUNTIFS(F:F, "♢♢♢", E:E, E256) + COUNTIFS(F:F, "♢♢♢", E:E, "A1") + IF(E256="A1", COUNTIFS(F:F, "♢♢♢", E:E, E2), 0) - IF(E256="A1", COUNTIFS(F:F, "♢♢♢", E:E, "A1"), 0)))/100, 
   IF(F256="♢♢♢♢", ((N6 * 100) / (COUNTIFS(F:F, "♢♢♢♢", E:E, E256) + COUNTIFS(F:F, "♢♢♢♢", E:E, "A1") + IF(E256="A1", COUNTIFS(F:F, "♢♢♢♢", E:E, E2), 0) - IF(E256="A1", COUNTIFS(F:F, "♢♢♢♢", E:E, "A1"), 0)))/100, 
   IF(F256="☆", ((N7 * 100) / (COUNTIFS(F:F, "☆", E:E, E256) + COUNTIFS(F:F, "☆", E:E, "A1") + IF(E256="A1", COUNTIFS(F:F, "☆", E:E, E2), 0) - IF(E256="A1", COUNTIFS(F:F, "☆", E:E, "A1"), 0)))/100, 
   IF(F256="☆☆", ((N8 * 100) / (COUNTIFS(F:F, "☆☆", E:E, E256) + COUNTIFS(F:F, "☆☆", E:E, "A1") + IF(E256="A1", COUNTIFS(F:F, "☆☆", E:E, E2), 0) - IF(E256="A1", COUNTIFS(F:F, "☆☆", E:E, "A1"), 0)))/100, 
   IF(F256="☆☆☆", ((N9 * 100) / (COUNTIFS(F:F, "☆☆☆", E:E, E256) + COUNTIFS(F:F, "☆☆☆", E:E, "A1") + IF(E256="A1", COUNTIFS(F:F, "☆☆☆", E:E, E2), 0) - IF(E256="A1", COUNTIFS(F:F, "☆☆☆", E:E, "A1"), 0)))/100, 
   IF(F256="♛", ((N10 * 100) / (COUNTIFS(F:F, "♛", E:E, E256) + COUNTIFS(F:F, "♛", E:E, "A1") + IF(E256="A1", COUNTIFS(F:F, "♛", E:E, E2), 0) - IF(E256="A1", COUNTIFS(F:F, "♛", E:E, "A1"), 0)))/100, "")))))))
</f>
        <v>0.002</v>
      </c>
      <c r="J256" s="131"/>
      <c r="K256" s="247"/>
      <c r="L256" s="20"/>
      <c r="M256" s="20"/>
      <c r="N256" s="152"/>
    </row>
    <row r="257">
      <c r="A257" s="125" t="b">
        <f t="shared" si="1"/>
        <v>0</v>
      </c>
      <c r="B257" s="126">
        <v>0.0</v>
      </c>
      <c r="C257" s="127" t="s">
        <v>598</v>
      </c>
      <c r="D257" s="128" t="s">
        <v>210</v>
      </c>
      <c r="E257" s="128" t="s">
        <v>31</v>
      </c>
      <c r="F257" s="127" t="s">
        <v>47</v>
      </c>
      <c r="G257" s="130" t="str">
        <f>IF(F257="♢", ((L3 * 100) / (COUNTIFS(F:F, "♢", E:E, E257) + COUNTIFS(F:F, "♢", E:E, "A1") + IF(E257="A1", COUNTIFS(F:F, "♢", E:E, E2), 0) - IF(E257="A1", COUNTIFS(F:F, "♢", E:E, "A1"), 0)))/100, "")
</f>
        <v/>
      </c>
      <c r="H257" s="129">
        <f>IF(F257="♢♢", ((M4 * 100) / (COUNTIFS(F:F, "♢♢", E:E, E257) + COUNTIFS(F:F, "♢♢", E:E, "A1") + IF(E257="A1", COUNTIFS(F:F, "♢♢", E:E, E2), 0) - IF(E257="A1", COUNTIFS(F:F, "♢♢", E:E, "A1"), 0)))/100, 
   IF(F257="♢♢♢", ((M5 * 100) / (COUNTIFS(F:F, "♢♢♢", E:E, E257) + COUNTIFS(F:F, "♢♢♢", E:E, "A1") + IF(E257="A1", COUNTIFS(F:F, "♢♢♢", E:E, E2), 0) - IF(E257="A1", COUNTIFS(F:F, "♢♢♢", E:E, "A1"), 0)))/100, 
   IF(F257="♢♢♢♢", ((M6 * 100) / (COUNTIFS(F:F, "♢♢♢♢", E:E, E257) + COUNTIFS(F:F, "♢♢♢♢", E:E, "A1") + IF(E257="A1", COUNTIFS(F:F, "♢♢♢♢", E:E, E2), 0) - IF(E257="A1", COUNTIFS(F:F, "♢♢♢♢", E:E, "A1"), 0)))/100, 
   IF(F257="☆", ((M7 * 100) / (COUNTIFS(F:F, "☆", E:E, E257) + COUNTIFS(F:F, "☆", E:E, "A1") + IF(E257="A1", COUNTIFS(F:F, "☆", E:E, E2), 0) - IF(E257="A1", COUNTIFS(F:F, "☆", E:E, "A1"), 0)))/100, 
   IF(F257="☆☆", ((M8 * 100) / (COUNTIFS(F:F, "☆☆", E:E, E257) + COUNTIFS(F:F, "☆☆", E:E, "A1") + IF(E257="A1", COUNTIFS(F:F, "☆☆", E:E, E2), 0) - IF(E257="A1", COUNTIFS(F:F, "☆☆", E:E, "A1"), 0)))/100, 
   IF(F257="☆☆☆", ((M9 * 100) / (COUNTIFS(F:F, "☆☆☆", E:E, E257) + COUNTIFS(F:F, "☆☆☆", E:E, "A1") + IF(E257="A1", COUNTIFS(F:F, "☆☆☆", E:E, E2), 0) - IF(E257="A1", COUNTIFS(F:F, "☆☆☆", E:E, "A1"), 0)))/100, 
   IF(F257="♛", ((M10 * 100) / (COUNTIFS(F:F, "♛", E:E, E257) + COUNTIFS(F:F, "♛", E:E, "A1") + IF(E257="A1", COUNTIFS(F:F, "♛", E:E, E2), 0) - IF(E257="A1", COUNTIFS(F:F, "♛", E:E, "A1"), 0)))/100, "")))))))
</f>
        <v>0.0005</v>
      </c>
      <c r="I257" s="129">
        <f>IF(F257="♢♢", ((N4 * 100) / (COUNTIFS(F:F, "♢♢", E:E, E257) + COUNTIFS(F:F, "♢♢", E:E, "A1") + IF(E257="A1", COUNTIFS(F:F, "♢♢", E:E, E2), 0) - IF(E257="A1", COUNTIFS(F:F, "♢♢", E:E, "A1"), 0)))/100, 
   IF(F257="♢♢♢", ((N5 * 100) / (COUNTIFS(F:F, "♢♢♢", E:E, E257) + COUNTIFS(F:F, "♢♢♢", E:E, "A1") + IF(E257="A1", COUNTIFS(F:F, "♢♢♢", E:E, E2), 0) - IF(E257="A1", COUNTIFS(F:F, "♢♢♢", E:E, "A1"), 0)))/100, 
   IF(F257="♢♢♢♢", ((N6 * 100) / (COUNTIFS(F:F, "♢♢♢♢", E:E, E257) + COUNTIFS(F:F, "♢♢♢♢", E:E, "A1") + IF(E257="A1", COUNTIFS(F:F, "♢♢♢♢", E:E, E2), 0) - IF(E257="A1", COUNTIFS(F:F, "♢♢♢♢", E:E, "A1"), 0)))/100, 
   IF(F257="☆", ((N7 * 100) / (COUNTIFS(F:F, "☆", E:E, E257) + COUNTIFS(F:F, "☆", E:E, "A1") + IF(E257="A1", COUNTIFS(F:F, "☆", E:E, E2), 0) - IF(E257="A1", COUNTIFS(F:F, "☆", E:E, "A1"), 0)))/100, 
   IF(F257="☆☆", ((N8 * 100) / (COUNTIFS(F:F, "☆☆", E:E, E257) + COUNTIFS(F:F, "☆☆", E:E, "A1") + IF(E257="A1", COUNTIFS(F:F, "☆☆", E:E, E2), 0) - IF(E257="A1", COUNTIFS(F:F, "☆☆", E:E, "A1"), 0)))/100, 
   IF(F257="☆☆☆", ((N9 * 100) / (COUNTIFS(F:F, "☆☆☆", E:E, E257) + COUNTIFS(F:F, "☆☆☆", E:E, "A1") + IF(E257="A1", COUNTIFS(F:F, "☆☆☆", E:E, E2), 0) - IF(E257="A1", COUNTIFS(F:F, "☆☆☆", E:E, "A1"), 0)))/100, 
   IF(F257="♛", ((N10 * 100) / (COUNTIFS(F:F, "♛", E:E, E257) + COUNTIFS(F:F, "♛", E:E, "A1") + IF(E257="A1", COUNTIFS(F:F, "♛", E:E, E2), 0) - IF(E257="A1", COUNTIFS(F:F, "♛", E:E, "A1"), 0)))/100, "")))))))
</f>
        <v>0.002</v>
      </c>
      <c r="J257" s="131"/>
      <c r="K257" s="256"/>
      <c r="N257" s="257"/>
    </row>
    <row r="258">
      <c r="A258" s="125" t="b">
        <f t="shared" si="1"/>
        <v>0</v>
      </c>
      <c r="B258" s="126">
        <v>0.0</v>
      </c>
      <c r="C258" s="127" t="s">
        <v>599</v>
      </c>
      <c r="D258" s="128" t="s">
        <v>258</v>
      </c>
      <c r="E258" s="128" t="s">
        <v>32</v>
      </c>
      <c r="F258" s="127" t="s">
        <v>47</v>
      </c>
      <c r="G258" s="130" t="str">
        <f>IF(F258="♢", ((L3 * 100) / (COUNTIFS(F:F, "♢", E:E, E258) + COUNTIFS(F:F, "♢", E:E, "A1") + IF(E258="A1", COUNTIFS(F:F, "♢", E:E, E2), 0) - IF(E258="A1", COUNTIFS(F:F, "♢", E:E, "A1"), 0)))/100, "")
</f>
        <v/>
      </c>
      <c r="H258" s="129">
        <f>IF(F258="♢♢", ((M4 * 100) / (COUNTIFS(F:F, "♢♢", E:E, E258) + COUNTIFS(F:F, "♢♢", E:E, "A1") + IF(E258="A1", COUNTIFS(F:F, "♢♢", E:E, E2), 0) - IF(E258="A1", COUNTIFS(F:F, "♢♢", E:E, "A1"), 0)))/100, 
   IF(F258="♢♢♢", ((M5 * 100) / (COUNTIFS(F:F, "♢♢♢", E:E, E258) + COUNTIFS(F:F, "♢♢♢", E:E, "A1") + IF(E258="A1", COUNTIFS(F:F, "♢♢♢", E:E, E2), 0) - IF(E258="A1", COUNTIFS(F:F, "♢♢♢", E:E, "A1"), 0)))/100, 
   IF(F258="♢♢♢♢", ((M6 * 100) / (COUNTIFS(F:F, "♢♢♢♢", E:E, E258) + COUNTIFS(F:F, "♢♢♢♢", E:E, "A1") + IF(E258="A1", COUNTIFS(F:F, "♢♢♢♢", E:E, E2), 0) - IF(E258="A1", COUNTIFS(F:F, "♢♢♢♢", E:E, "A1"), 0)))/100, 
   IF(F258="☆", ((M7 * 100) / (COUNTIFS(F:F, "☆", E:E, E258) + COUNTIFS(F:F, "☆", E:E, "A1") + IF(E258="A1", COUNTIFS(F:F, "☆", E:E, E2), 0) - IF(E258="A1", COUNTIFS(F:F, "☆", E:E, "A1"), 0)))/100, 
   IF(F258="☆☆", ((M8 * 100) / (COUNTIFS(F:F, "☆☆", E:E, E258) + COUNTIFS(F:F, "☆☆", E:E, "A1") + IF(E258="A1", COUNTIFS(F:F, "☆☆", E:E, E2), 0) - IF(E258="A1", COUNTIFS(F:F, "☆☆", E:E, "A1"), 0)))/100, 
   IF(F258="☆☆☆", ((M9 * 100) / (COUNTIFS(F:F, "☆☆☆", E:E, E258) + COUNTIFS(F:F, "☆☆☆", E:E, "A1") + IF(E258="A1", COUNTIFS(F:F, "☆☆☆", E:E, E2), 0) - IF(E258="A1", COUNTIFS(F:F, "☆☆☆", E:E, "A1"), 0)))/100, 
   IF(F258="♛", ((M10 * 100) / (COUNTIFS(F:F, "♛", E:E, E258) + COUNTIFS(F:F, "♛", E:E, "A1") + IF(E258="A1", COUNTIFS(F:F, "♛", E:E, E2), 0) - IF(E258="A1", COUNTIFS(F:F, "♛", E:E, "A1"), 0)))/100, "")))))))
</f>
        <v>0.0005</v>
      </c>
      <c r="I258" s="129">
        <f>IF(F258="♢♢", ((N4 * 100) / (COUNTIFS(F:F, "♢♢", E:E, E258) + COUNTIFS(F:F, "♢♢", E:E, "A1") + IF(E258="A1", COUNTIFS(F:F, "♢♢", E:E, E2), 0) - IF(E258="A1", COUNTIFS(F:F, "♢♢", E:E, "A1"), 0)))/100, 
   IF(F258="♢♢♢", ((N5 * 100) / (COUNTIFS(F:F, "♢♢♢", E:E, E258) + COUNTIFS(F:F, "♢♢♢", E:E, "A1") + IF(E258="A1", COUNTIFS(F:F, "♢♢♢", E:E, E2), 0) - IF(E258="A1", COUNTIFS(F:F, "♢♢♢", E:E, "A1"), 0)))/100, 
   IF(F258="♢♢♢♢", ((N6 * 100) / (COUNTIFS(F:F, "♢♢♢♢", E:E, E258) + COUNTIFS(F:F, "♢♢♢♢", E:E, "A1") + IF(E258="A1", COUNTIFS(F:F, "♢♢♢♢", E:E, E2), 0) - IF(E258="A1", COUNTIFS(F:F, "♢♢♢♢", E:E, "A1"), 0)))/100, 
   IF(F258="☆", ((N7 * 100) / (COUNTIFS(F:F, "☆", E:E, E258) + COUNTIFS(F:F, "☆", E:E, "A1") + IF(E258="A1", COUNTIFS(F:F, "☆", E:E, E2), 0) - IF(E258="A1", COUNTIFS(F:F, "☆", E:E, "A1"), 0)))/100, 
   IF(F258="☆☆", ((N8 * 100) / (COUNTIFS(F:F, "☆☆", E:E, E258) + COUNTIFS(F:F, "☆☆", E:E, "A1") + IF(E258="A1", COUNTIFS(F:F, "☆☆", E:E, E2), 0) - IF(E258="A1", COUNTIFS(F:F, "☆☆", E:E, "A1"), 0)))/100, 
   IF(F258="☆☆☆", ((N9 * 100) / (COUNTIFS(F:F, "☆☆☆", E:E, E258) + COUNTIFS(F:F, "☆☆☆", E:E, "A1") + IF(E258="A1", COUNTIFS(F:F, "☆☆☆", E:E, E2), 0) - IF(E258="A1", COUNTIFS(F:F, "☆☆☆", E:E, "A1"), 0)))/100, 
   IF(F258="♛", ((N10 * 100) / (COUNTIFS(F:F, "♛", E:E, E258) + COUNTIFS(F:F, "♛", E:E, "A1") + IF(E258="A1", COUNTIFS(F:F, "♛", E:E, E2), 0) - IF(E258="A1", COUNTIFS(F:F, "♛", E:E, "A1"), 0)))/100, "")))))))
</f>
        <v>0.002</v>
      </c>
      <c r="J258" s="131"/>
      <c r="K258" s="247"/>
      <c r="L258" s="20"/>
      <c r="M258" s="258" t="s">
        <v>600</v>
      </c>
      <c r="N258" s="252"/>
      <c r="O258" s="124" t="s">
        <v>601</v>
      </c>
    </row>
    <row r="259">
      <c r="A259" s="125" t="b">
        <f t="shared" si="1"/>
        <v>0</v>
      </c>
      <c r="B259" s="126">
        <v>0.0</v>
      </c>
      <c r="C259" s="127" t="s">
        <v>602</v>
      </c>
      <c r="D259" s="128" t="s">
        <v>276</v>
      </c>
      <c r="E259" s="128" t="s">
        <v>29</v>
      </c>
      <c r="F259" s="127" t="s">
        <v>47</v>
      </c>
      <c r="G259" s="130" t="str">
        <f>IF(F259="♢", ((L3 * 100) / (COUNTIFS(F:F, "♢", E:E, E259) + COUNTIFS(F:F, "♢", E:E, "A1") + IF(E259="A1", COUNTIFS(F:F, "♢", E:E, E2), 0) - IF(E259="A1", COUNTIFS(F:F, "♢", E:E, "A1"), 0)))/100, "")
</f>
        <v/>
      </c>
      <c r="H259" s="129">
        <f>IF(F259="♢♢", ((M4 * 100) / (COUNTIFS(F:F, "♢♢", E:E, E259) + COUNTIFS(F:F, "♢♢", E:E, "A1") + IF(E259="A1", COUNTIFS(F:F, "♢♢", E:E, E2), 0) - IF(E259="A1", COUNTIFS(F:F, "♢♢", E:E, "A1"), 0)))/100, 
   IF(F259="♢♢♢", ((M5 * 100) / (COUNTIFS(F:F, "♢♢♢", E:E, E259) + COUNTIFS(F:F, "♢♢♢", E:E, "A1") + IF(E259="A1", COUNTIFS(F:F, "♢♢♢", E:E, E2), 0) - IF(E259="A1", COUNTIFS(F:F, "♢♢♢", E:E, "A1"), 0)))/100, 
   IF(F259="♢♢♢♢", ((M6 * 100) / (COUNTIFS(F:F, "♢♢♢♢", E:E, E259) + COUNTIFS(F:F, "♢♢♢♢", E:E, "A1") + IF(E259="A1", COUNTIFS(F:F, "♢♢♢♢", E:E, E2), 0) - IF(E259="A1", COUNTIFS(F:F, "♢♢♢♢", E:E, "A1"), 0)))/100, 
   IF(F259="☆", ((M7 * 100) / (COUNTIFS(F:F, "☆", E:E, E259) + COUNTIFS(F:F, "☆", E:E, "A1") + IF(E259="A1", COUNTIFS(F:F, "☆", E:E, E2), 0) - IF(E259="A1", COUNTIFS(F:F, "☆", E:E, "A1"), 0)))/100, 
   IF(F259="☆☆", ((M8 * 100) / (COUNTIFS(F:F, "☆☆", E:E, E259) + COUNTIFS(F:F, "☆☆", E:E, "A1") + IF(E259="A1", COUNTIFS(F:F, "☆☆", E:E, E2), 0) - IF(E259="A1", COUNTIFS(F:F, "☆☆", E:E, "A1"), 0)))/100, 
   IF(F259="☆☆☆", ((M9 * 100) / (COUNTIFS(F:F, "☆☆☆", E:E, E259) + COUNTIFS(F:F, "☆☆☆", E:E, "A1") + IF(E259="A1", COUNTIFS(F:F, "☆☆☆", E:E, E2), 0) - IF(E259="A1", COUNTIFS(F:F, "☆☆☆", E:E, "A1"), 0)))/100, 
   IF(F259="♛", ((M10 * 100) / (COUNTIFS(F:F, "♛", E:E, E259) + COUNTIFS(F:F, "♛", E:E, "A1") + IF(E259="A1", COUNTIFS(F:F, "♛", E:E, E2), 0) - IF(E259="A1", COUNTIFS(F:F, "♛", E:E, "A1"), 0)))/100, "")))))))
</f>
        <v>0.0005555555556</v>
      </c>
      <c r="I259" s="129">
        <f>IF(F259="♢♢", ((N4 * 100) / (COUNTIFS(F:F, "♢♢", E:E, E259) + COUNTIFS(F:F, "♢♢", E:E, "A1") + IF(E259="A1", COUNTIFS(F:F, "♢♢", E:E, E2), 0) - IF(E259="A1", COUNTIFS(F:F, "♢♢", E:E, "A1"), 0)))/100, 
   IF(F259="♢♢♢", ((N5 * 100) / (COUNTIFS(F:F, "♢♢♢", E:E, E259) + COUNTIFS(F:F, "♢♢♢", E:E, "A1") + IF(E259="A1", COUNTIFS(F:F, "♢♢♢", E:E, E2), 0) - IF(E259="A1", COUNTIFS(F:F, "♢♢♢", E:E, "A1"), 0)))/100, 
   IF(F259="♢♢♢♢", ((N6 * 100) / (COUNTIFS(F:F, "♢♢♢♢", E:E, E259) + COUNTIFS(F:F, "♢♢♢♢", E:E, "A1") + IF(E259="A1", COUNTIFS(F:F, "♢♢♢♢", E:E, E2), 0) - IF(E259="A1", COUNTIFS(F:F, "♢♢♢♢", E:E, "A1"), 0)))/100, 
   IF(F259="☆", ((N7 * 100) / (COUNTIFS(F:F, "☆", E:E, E259) + COUNTIFS(F:F, "☆", E:E, "A1") + IF(E259="A1", COUNTIFS(F:F, "☆", E:E, E2), 0) - IF(E259="A1", COUNTIFS(F:F, "☆", E:E, "A1"), 0)))/100, 
   IF(F259="☆☆", ((N8 * 100) / (COUNTIFS(F:F, "☆☆", E:E, E259) + COUNTIFS(F:F, "☆☆", E:E, "A1") + IF(E259="A1", COUNTIFS(F:F, "☆☆", E:E, E2), 0) - IF(E259="A1", COUNTIFS(F:F, "☆☆", E:E, "A1"), 0)))/100, 
   IF(F259="☆☆☆", ((N9 * 100) / (COUNTIFS(F:F, "☆☆☆", E:E, E259) + COUNTIFS(F:F, "☆☆☆", E:E, "A1") + IF(E259="A1", COUNTIFS(F:F, "☆☆☆", E:E, E2), 0) - IF(E259="A1", COUNTIFS(F:F, "☆☆☆", E:E, "A1"), 0)))/100, 
   IF(F259="♛", ((N10 * 100) / (COUNTIFS(F:F, "♛", E:E, E259) + COUNTIFS(F:F, "♛", E:E, "A1") + IF(E259="A1", COUNTIFS(F:F, "♛", E:E, E2), 0) - IF(E259="A1", COUNTIFS(F:F, "♛", E:E, "A1"), 0)))/100, "")))))))
</f>
        <v>0.002222222222</v>
      </c>
      <c r="J259" s="131"/>
      <c r="K259" s="247"/>
      <c r="L259" s="20"/>
      <c r="M259" s="150" t="s">
        <v>603</v>
      </c>
      <c r="N259" s="259">
        <f>COUNTIFS(F:F, "♢", E:E, "A1-Mewtwo")</f>
        <v>25</v>
      </c>
    </row>
    <row r="260">
      <c r="A260" s="125" t="b">
        <f t="shared" si="1"/>
        <v>0</v>
      </c>
      <c r="B260" s="126">
        <v>0.0</v>
      </c>
      <c r="C260" s="127" t="s">
        <v>604</v>
      </c>
      <c r="D260" s="128" t="s">
        <v>302</v>
      </c>
      <c r="E260" s="128" t="s">
        <v>31</v>
      </c>
      <c r="F260" s="127" t="s">
        <v>47</v>
      </c>
      <c r="G260" s="130" t="str">
        <f>IF(F260="♢", ((L3 * 100) / (COUNTIFS(F:F, "♢", E:E, E260) + COUNTIFS(F:F, "♢", E:E, "A1") + IF(E260="A1", COUNTIFS(F:F, "♢", E:E, E2), 0) - IF(E260="A1", COUNTIFS(F:F, "♢", E:E, "A1"), 0)))/100, "")
</f>
        <v/>
      </c>
      <c r="H260" s="129">
        <f>IF(F260="♢♢", ((M4 * 100) / (COUNTIFS(F:F, "♢♢", E:E, E260) + COUNTIFS(F:F, "♢♢", E:E, "A1") + IF(E260="A1", COUNTIFS(F:F, "♢♢", E:E, E2), 0) - IF(E260="A1", COUNTIFS(F:F, "♢♢", E:E, "A1"), 0)))/100, 
   IF(F260="♢♢♢", ((M5 * 100) / (COUNTIFS(F:F, "♢♢♢", E:E, E260) + COUNTIFS(F:F, "♢♢♢", E:E, "A1") + IF(E260="A1", COUNTIFS(F:F, "♢♢♢", E:E, E2), 0) - IF(E260="A1", COUNTIFS(F:F, "♢♢♢", E:E, "A1"), 0)))/100, 
   IF(F260="♢♢♢♢", ((M6 * 100) / (COUNTIFS(F:F, "♢♢♢♢", E:E, E260) + COUNTIFS(F:F, "♢♢♢♢", E:E, "A1") + IF(E260="A1", COUNTIFS(F:F, "♢♢♢♢", E:E, E2), 0) - IF(E260="A1", COUNTIFS(F:F, "♢♢♢♢", E:E, "A1"), 0)))/100, 
   IF(F260="☆", ((M7 * 100) / (COUNTIFS(F:F, "☆", E:E, E260) + COUNTIFS(F:F, "☆", E:E, "A1") + IF(E260="A1", COUNTIFS(F:F, "☆", E:E, E2), 0) - IF(E260="A1", COUNTIFS(F:F, "☆", E:E, "A1"), 0)))/100, 
   IF(F260="☆☆", ((M8 * 100) / (COUNTIFS(F:F, "☆☆", E:E, E260) + COUNTIFS(F:F, "☆☆", E:E, "A1") + IF(E260="A1", COUNTIFS(F:F, "☆☆", E:E, E2), 0) - IF(E260="A1", COUNTIFS(F:F, "☆☆", E:E, "A1"), 0)))/100, 
   IF(F260="☆☆☆", ((M9 * 100) / (COUNTIFS(F:F, "☆☆☆", E:E, E260) + COUNTIFS(F:F, "☆☆☆", E:E, "A1") + IF(E260="A1", COUNTIFS(F:F, "☆☆☆", E:E, E2), 0) - IF(E260="A1", COUNTIFS(F:F, "☆☆☆", E:E, "A1"), 0)))/100, 
   IF(F260="♛", ((M10 * 100) / (COUNTIFS(F:F, "♛", E:E, E260) + COUNTIFS(F:F, "♛", E:E, "A1") + IF(E260="A1", COUNTIFS(F:F, "♛", E:E, E2), 0) - IF(E260="A1", COUNTIFS(F:F, "♛", E:E, "A1"), 0)))/100, "")))))))
</f>
        <v>0.0005</v>
      </c>
      <c r="I260" s="129">
        <f>IF(F260="♢♢", ((N4 * 100) / (COUNTIFS(F:F, "♢♢", E:E, E260) + COUNTIFS(F:F, "♢♢", E:E, "A1") + IF(E260="A1", COUNTIFS(F:F, "♢♢", E:E, E2), 0) - IF(E260="A1", COUNTIFS(F:F, "♢♢", E:E, "A1"), 0)))/100, 
   IF(F260="♢♢♢", ((N5 * 100) / (COUNTIFS(F:F, "♢♢♢", E:E, E260) + COUNTIFS(F:F, "♢♢♢", E:E, "A1") + IF(E260="A1", COUNTIFS(F:F, "♢♢♢", E:E, E2), 0) - IF(E260="A1", COUNTIFS(F:F, "♢♢♢", E:E, "A1"), 0)))/100, 
   IF(F260="♢♢♢♢", ((N6 * 100) / (COUNTIFS(F:F, "♢♢♢♢", E:E, E260) + COUNTIFS(F:F, "♢♢♢♢", E:E, "A1") + IF(E260="A1", COUNTIFS(F:F, "♢♢♢♢", E:E, E2), 0) - IF(E260="A1", COUNTIFS(F:F, "♢♢♢♢", E:E, "A1"), 0)))/100, 
   IF(F260="☆", ((N7 * 100) / (COUNTIFS(F:F, "☆", E:E, E260) + COUNTIFS(F:F, "☆", E:E, "A1") + IF(E260="A1", COUNTIFS(F:F, "☆", E:E, E2), 0) - IF(E260="A1", COUNTIFS(F:F, "☆", E:E, "A1"), 0)))/100, 
   IF(F260="☆☆", ((N8 * 100) / (COUNTIFS(F:F, "☆☆", E:E, E260) + COUNTIFS(F:F, "☆☆", E:E, "A1") + IF(E260="A1", COUNTIFS(F:F, "☆☆", E:E, E2), 0) - IF(E260="A1", COUNTIFS(F:F, "☆☆", E:E, "A1"), 0)))/100, 
   IF(F260="☆☆☆", ((N9 * 100) / (COUNTIFS(F:F, "☆☆☆", E:E, E260) + COUNTIFS(F:F, "☆☆☆", E:E, "A1") + IF(E260="A1", COUNTIFS(F:F, "☆☆☆", E:E, E2), 0) - IF(E260="A1", COUNTIFS(F:F, "☆☆☆", E:E, "A1"), 0)))/100, 
   IF(F260="♛", ((N10 * 100) / (COUNTIFS(F:F, "♛", E:E, E260) + COUNTIFS(F:F, "♛", E:E, "A1") + IF(E260="A1", COUNTIFS(F:F, "♛", E:E, E2), 0) - IF(E260="A1", COUNTIFS(F:F, "♛", E:E, "A1"), 0)))/100, "")))))))
</f>
        <v>0.002</v>
      </c>
      <c r="J260" s="131"/>
      <c r="K260" s="247"/>
      <c r="L260" s="20"/>
      <c r="M260" s="150" t="s">
        <v>605</v>
      </c>
      <c r="N260" s="259">
        <f>COUNTIFS(F:F, "♢", E:E, "A1-Pikachu")</f>
        <v>25</v>
      </c>
    </row>
    <row r="261">
      <c r="A261" s="125" t="b">
        <f t="shared" si="1"/>
        <v>0</v>
      </c>
      <c r="B261" s="126">
        <v>0.0</v>
      </c>
      <c r="C261" s="127" t="s">
        <v>606</v>
      </c>
      <c r="D261" s="128" t="s">
        <v>319</v>
      </c>
      <c r="E261" s="128" t="s">
        <v>31</v>
      </c>
      <c r="F261" s="127" t="s">
        <v>47</v>
      </c>
      <c r="G261" s="130" t="str">
        <f>IF(F261="♢", ((L3 * 100) / (COUNTIFS(F:F, "♢", E:E, E261) + COUNTIFS(F:F, "♢", E:E, "A1") + IF(E261="A1", COUNTIFS(F:F, "♢", E:E, E2), 0) - IF(E261="A1", COUNTIFS(F:F, "♢", E:E, "A1"), 0)))/100, "")
</f>
        <v/>
      </c>
      <c r="H261" s="129">
        <f>IF(F261="♢♢", ((M4 * 100) / (COUNTIFS(F:F, "♢♢", E:E, E261) + COUNTIFS(F:F, "♢♢", E:E, "A1") + IF(E261="A1", COUNTIFS(F:F, "♢♢", E:E, E2), 0) - IF(E261="A1", COUNTIFS(F:F, "♢♢", E:E, "A1"), 0)))/100, 
   IF(F261="♢♢♢", ((M5 * 100) / (COUNTIFS(F:F, "♢♢♢", E:E, E261) + COUNTIFS(F:F, "♢♢♢", E:E, "A1") + IF(E261="A1", COUNTIFS(F:F, "♢♢♢", E:E, E2), 0) - IF(E261="A1", COUNTIFS(F:F, "♢♢♢", E:E, "A1"), 0)))/100, 
   IF(F261="♢♢♢♢", ((M6 * 100) / (COUNTIFS(F:F, "♢♢♢♢", E:E, E261) + COUNTIFS(F:F, "♢♢♢♢", E:E, "A1") + IF(E261="A1", COUNTIFS(F:F, "♢♢♢♢", E:E, E2), 0) - IF(E261="A1", COUNTIFS(F:F, "♢♢♢♢", E:E, "A1"), 0)))/100, 
   IF(F261="☆", ((M7 * 100) / (COUNTIFS(F:F, "☆", E:E, E261) + COUNTIFS(F:F, "☆", E:E, "A1") + IF(E261="A1", COUNTIFS(F:F, "☆", E:E, E2), 0) - IF(E261="A1", COUNTIFS(F:F, "☆", E:E, "A1"), 0)))/100, 
   IF(F261="☆☆", ((M8 * 100) / (COUNTIFS(F:F, "☆☆", E:E, E261) + COUNTIFS(F:F, "☆☆", E:E, "A1") + IF(E261="A1", COUNTIFS(F:F, "☆☆", E:E, E2), 0) - IF(E261="A1", COUNTIFS(F:F, "☆☆", E:E, "A1"), 0)))/100, 
   IF(F261="☆☆☆", ((M9 * 100) / (COUNTIFS(F:F, "☆☆☆", E:E, E261) + COUNTIFS(F:F, "☆☆☆", E:E, "A1") + IF(E261="A1", COUNTIFS(F:F, "☆☆☆", E:E, E2), 0) - IF(E261="A1", COUNTIFS(F:F, "☆☆☆", E:E, "A1"), 0)))/100, 
   IF(F261="♛", ((M10 * 100) / (COUNTIFS(F:F, "♛", E:E, E261) + COUNTIFS(F:F, "♛", E:E, "A1") + IF(E261="A1", COUNTIFS(F:F, "♛", E:E, E2), 0) - IF(E261="A1", COUNTIFS(F:F, "♛", E:E, "A1"), 0)))/100, "")))))))
</f>
        <v>0.0005</v>
      </c>
      <c r="I261" s="129">
        <f>IF(F261="♢♢", ((N4 * 100) / (COUNTIFS(F:F, "♢♢", E:E, E261) + COUNTIFS(F:F, "♢♢", E:E, "A1") + IF(E261="A1", COUNTIFS(F:F, "♢♢", E:E, E2), 0) - IF(E261="A1", COUNTIFS(F:F, "♢♢", E:E, "A1"), 0)))/100, 
   IF(F261="♢♢♢", ((N5 * 100) / (COUNTIFS(F:F, "♢♢♢", E:E, E261) + COUNTIFS(F:F, "♢♢♢", E:E, "A1") + IF(E261="A1", COUNTIFS(F:F, "♢♢♢", E:E, E2), 0) - IF(E261="A1", COUNTIFS(F:F, "♢♢♢", E:E, "A1"), 0)))/100, 
   IF(F261="♢♢♢♢", ((N6 * 100) / (COUNTIFS(F:F, "♢♢♢♢", E:E, E261) + COUNTIFS(F:F, "♢♢♢♢", E:E, "A1") + IF(E261="A1", COUNTIFS(F:F, "♢♢♢♢", E:E, E2), 0) - IF(E261="A1", COUNTIFS(F:F, "♢♢♢♢", E:E, "A1"), 0)))/100, 
   IF(F261="☆", ((N7 * 100) / (COUNTIFS(F:F, "☆", E:E, E261) + COUNTIFS(F:F, "☆", E:E, "A1") + IF(E261="A1", COUNTIFS(F:F, "☆", E:E, E2), 0) - IF(E261="A1", COUNTIFS(F:F, "☆", E:E, "A1"), 0)))/100, 
   IF(F261="☆☆", ((N8 * 100) / (COUNTIFS(F:F, "☆☆", E:E, E261) + COUNTIFS(F:F, "☆☆", E:E, "A1") + IF(E261="A1", COUNTIFS(F:F, "☆☆", E:E, E2), 0) - IF(E261="A1", COUNTIFS(F:F, "☆☆", E:E, "A1"), 0)))/100, 
   IF(F261="☆☆☆", ((N9 * 100) / (COUNTIFS(F:F, "☆☆☆", E:E, E261) + COUNTIFS(F:F, "☆☆☆", E:E, "A1") + IF(E261="A1", COUNTIFS(F:F, "☆☆☆", E:E, E2), 0) - IF(E261="A1", COUNTIFS(F:F, "☆☆☆", E:E, "A1"), 0)))/100, 
   IF(F261="♛", ((N10 * 100) / (COUNTIFS(F:F, "♛", E:E, E261) + COUNTIFS(F:F, "♛", E:E, "A1") + IF(E261="A1", COUNTIFS(F:F, "♛", E:E, E2), 0) - IF(E261="A1", COUNTIFS(F:F, "♛", E:E, "A1"), 0)))/100, "")))))))
</f>
        <v>0.002</v>
      </c>
      <c r="J261" s="131"/>
      <c r="K261" s="247"/>
      <c r="L261" s="20"/>
      <c r="M261" s="150" t="s">
        <v>607</v>
      </c>
      <c r="N261" s="259">
        <f>COUNTIFS(F:F, "♢", E:E, "A1-Charizard")</f>
        <v>25</v>
      </c>
    </row>
    <row r="262">
      <c r="A262" s="125" t="b">
        <f t="shared" si="1"/>
        <v>0</v>
      </c>
      <c r="B262" s="126">
        <v>0.0</v>
      </c>
      <c r="C262" s="127" t="s">
        <v>608</v>
      </c>
      <c r="D262" s="128" t="s">
        <v>359</v>
      </c>
      <c r="E262" s="128" t="s">
        <v>29</v>
      </c>
      <c r="F262" s="127" t="s">
        <v>47</v>
      </c>
      <c r="G262" s="130" t="str">
        <f>IF(F262="♢", ((L3 * 100) / (COUNTIFS(F:F, "♢", E:E, E262) + COUNTIFS(F:F, "♢", E:E, "A1") + IF(E262="A1", COUNTIFS(F:F, "♢", E:E, E2), 0) - IF(E262="A1", COUNTIFS(F:F, "♢", E:E, "A1"), 0)))/100, "")
</f>
        <v/>
      </c>
      <c r="H262" s="129">
        <f>IF(F262="♢♢", ((M4 * 100) / (COUNTIFS(F:F, "♢♢", E:E, E262) + COUNTIFS(F:F, "♢♢", E:E, "A1") + IF(E262="A1", COUNTIFS(F:F, "♢♢", E:E, E2), 0) - IF(E262="A1", COUNTIFS(F:F, "♢♢", E:E, "A1"), 0)))/100, 
   IF(F262="♢♢♢", ((M5 * 100) / (COUNTIFS(F:F, "♢♢♢", E:E, E262) + COUNTIFS(F:F, "♢♢♢", E:E, "A1") + IF(E262="A1", COUNTIFS(F:F, "♢♢♢", E:E, E2), 0) - IF(E262="A1", COUNTIFS(F:F, "♢♢♢", E:E, "A1"), 0)))/100, 
   IF(F262="♢♢♢♢", ((M6 * 100) / (COUNTIFS(F:F, "♢♢♢♢", E:E, E262) + COUNTIFS(F:F, "♢♢♢♢", E:E, "A1") + IF(E262="A1", COUNTIFS(F:F, "♢♢♢♢", E:E, E2), 0) - IF(E262="A1", COUNTIFS(F:F, "♢♢♢♢", E:E, "A1"), 0)))/100, 
   IF(F262="☆", ((M7 * 100) / (COUNTIFS(F:F, "☆", E:E, E262) + COUNTIFS(F:F, "☆", E:E, "A1") + IF(E262="A1", COUNTIFS(F:F, "☆", E:E, E2), 0) - IF(E262="A1", COUNTIFS(F:F, "☆", E:E, "A1"), 0)))/100, 
   IF(F262="☆☆", ((M8 * 100) / (COUNTIFS(F:F, "☆☆", E:E, E262) + COUNTIFS(F:F, "☆☆", E:E, "A1") + IF(E262="A1", COUNTIFS(F:F, "☆☆", E:E, E2), 0) - IF(E262="A1", COUNTIFS(F:F, "☆☆", E:E, "A1"), 0)))/100, 
   IF(F262="☆☆☆", ((M9 * 100) / (COUNTIFS(F:F, "☆☆☆", E:E, E262) + COUNTIFS(F:F, "☆☆☆", E:E, "A1") + IF(E262="A1", COUNTIFS(F:F, "☆☆☆", E:E, E2), 0) - IF(E262="A1", COUNTIFS(F:F, "☆☆☆", E:E, "A1"), 0)))/100, 
   IF(F262="♛", ((M10 * 100) / (COUNTIFS(F:F, "♛", E:E, E262) + COUNTIFS(F:F, "♛", E:E, "A1") + IF(E262="A1", COUNTIFS(F:F, "♛", E:E, E2), 0) - IF(E262="A1", COUNTIFS(F:F, "♛", E:E, "A1"), 0)))/100, "")))))))
</f>
        <v>0.0005555555556</v>
      </c>
      <c r="I262" s="129">
        <f>IF(F262="♢♢", ((N4 * 100) / (COUNTIFS(F:F, "♢♢", E:E, E262) + COUNTIFS(F:F, "♢♢", E:E, "A1") + IF(E262="A1", COUNTIFS(F:F, "♢♢", E:E, E2), 0) - IF(E262="A1", COUNTIFS(F:F, "♢♢", E:E, "A1"), 0)))/100, 
   IF(F262="♢♢♢", ((N5 * 100) / (COUNTIFS(F:F, "♢♢♢", E:E, E262) + COUNTIFS(F:F, "♢♢♢", E:E, "A1") + IF(E262="A1", COUNTIFS(F:F, "♢♢♢", E:E, E2), 0) - IF(E262="A1", COUNTIFS(F:F, "♢♢♢", E:E, "A1"), 0)))/100, 
   IF(F262="♢♢♢♢", ((N6 * 100) / (COUNTIFS(F:F, "♢♢♢♢", E:E, E262) + COUNTIFS(F:F, "♢♢♢♢", E:E, "A1") + IF(E262="A1", COUNTIFS(F:F, "♢♢♢♢", E:E, E2), 0) - IF(E262="A1", COUNTIFS(F:F, "♢♢♢♢", E:E, "A1"), 0)))/100, 
   IF(F262="☆", ((N7 * 100) / (COUNTIFS(F:F, "☆", E:E, E262) + COUNTIFS(F:F, "☆", E:E, "A1") + IF(E262="A1", COUNTIFS(F:F, "☆", E:E, E2), 0) - IF(E262="A1", COUNTIFS(F:F, "☆", E:E, "A1"), 0)))/100, 
   IF(F262="☆☆", ((N8 * 100) / (COUNTIFS(F:F, "☆☆", E:E, E262) + COUNTIFS(F:F, "☆☆", E:E, "A1") + IF(E262="A1", COUNTIFS(F:F, "☆☆", E:E, E2), 0) - IF(E262="A1", COUNTIFS(F:F, "☆☆", E:E, "A1"), 0)))/100, 
   IF(F262="☆☆☆", ((N9 * 100) / (COUNTIFS(F:F, "☆☆☆", E:E, E262) + COUNTIFS(F:F, "☆☆☆", E:E, "A1") + IF(E262="A1", COUNTIFS(F:F, "☆☆☆", E:E, E2), 0) - IF(E262="A1", COUNTIFS(F:F, "☆☆☆", E:E, "A1"), 0)))/100, 
   IF(F262="♛", ((N10 * 100) / (COUNTIFS(F:F, "♛", E:E, E262) + COUNTIFS(F:F, "♛", E:E, "A1") + IF(E262="A1", COUNTIFS(F:F, "♛", E:E, E2), 0) - IF(E262="A1", COUNTIFS(F:F, "♛", E:E, "A1"), 0)))/100, "")))))))
</f>
        <v>0.002222222222</v>
      </c>
      <c r="J262" s="131"/>
      <c r="K262" s="247"/>
      <c r="L262" s="20"/>
      <c r="M262" s="150" t="s">
        <v>609</v>
      </c>
      <c r="N262" s="259">
        <f>COUNTIFS(F:F, "♢", E:E, "A1")</f>
        <v>25</v>
      </c>
      <c r="O262" s="249"/>
    </row>
    <row r="263">
      <c r="A263" s="125" t="b">
        <f t="shared" si="1"/>
        <v>0</v>
      </c>
      <c r="B263" s="126">
        <v>0.0</v>
      </c>
      <c r="C263" s="127" t="s">
        <v>610</v>
      </c>
      <c r="D263" s="128" t="s">
        <v>373</v>
      </c>
      <c r="E263" s="128" t="s">
        <v>29</v>
      </c>
      <c r="F263" s="127" t="s">
        <v>47</v>
      </c>
      <c r="G263" s="130" t="str">
        <f>IF(F263="♢", ((L3 * 100) / (COUNTIFS(F:F, "♢", E:E, E263) + COUNTIFS(F:F, "♢", E:E, "A1") + IF(E263="A1", COUNTIFS(F:F, "♢", E:E, E2), 0) - IF(E263="A1", COUNTIFS(F:F, "♢", E:E, "A1"), 0)))/100, "")
</f>
        <v/>
      </c>
      <c r="H263" s="129">
        <f>IF(F263="♢♢", ((M4 * 100) / (COUNTIFS(F:F, "♢♢", E:E, E263) + COUNTIFS(F:F, "♢♢", E:E, "A1") + IF(E263="A1", COUNTIFS(F:F, "♢♢", E:E, E2), 0) - IF(E263="A1", COUNTIFS(F:F, "♢♢", E:E, "A1"), 0)))/100, 
   IF(F263="♢♢♢", ((M5 * 100) / (COUNTIFS(F:F, "♢♢♢", E:E, E263) + COUNTIFS(F:F, "♢♢♢", E:E, "A1") + IF(E263="A1", COUNTIFS(F:F, "♢♢♢", E:E, E2), 0) - IF(E263="A1", COUNTIFS(F:F, "♢♢♢", E:E, "A1"), 0)))/100, 
   IF(F263="♢♢♢♢", ((M6 * 100) / (COUNTIFS(F:F, "♢♢♢♢", E:E, E263) + COUNTIFS(F:F, "♢♢♢♢", E:E, "A1") + IF(E263="A1", COUNTIFS(F:F, "♢♢♢♢", E:E, E2), 0) - IF(E263="A1", COUNTIFS(F:F, "♢♢♢♢", E:E, "A1"), 0)))/100, 
   IF(F263="☆", ((M7 * 100) / (COUNTIFS(F:F, "☆", E:E, E263) + COUNTIFS(F:F, "☆", E:E, "A1") + IF(E263="A1", COUNTIFS(F:F, "☆", E:E, E2), 0) - IF(E263="A1", COUNTIFS(F:F, "☆", E:E, "A1"), 0)))/100, 
   IF(F263="☆☆", ((M8 * 100) / (COUNTIFS(F:F, "☆☆", E:E, E263) + COUNTIFS(F:F, "☆☆", E:E, "A1") + IF(E263="A1", COUNTIFS(F:F, "☆☆", E:E, E2), 0) - IF(E263="A1", COUNTIFS(F:F, "☆☆", E:E, "A1"), 0)))/100, 
   IF(F263="☆☆☆", ((M9 * 100) / (COUNTIFS(F:F, "☆☆☆", E:E, E263) + COUNTIFS(F:F, "☆☆☆", E:E, "A1") + IF(E263="A1", COUNTIFS(F:F, "☆☆☆", E:E, E2), 0) - IF(E263="A1", COUNTIFS(F:F, "☆☆☆", E:E, "A1"), 0)))/100, 
   IF(F263="♛", ((M10 * 100) / (COUNTIFS(F:F, "♛", E:E, E263) + COUNTIFS(F:F, "♛", E:E, "A1") + IF(E263="A1", COUNTIFS(F:F, "♛", E:E, E2), 0) - IF(E263="A1", COUNTIFS(F:F, "♛", E:E, "A1"), 0)))/100, "")))))))
</f>
        <v>0.0005555555556</v>
      </c>
      <c r="I263" s="129">
        <f>IF(F263="♢♢", ((N4 * 100) / (COUNTIFS(F:F, "♢♢", E:E, E263) + COUNTIFS(F:F, "♢♢", E:E, "A1") + IF(E263="A1", COUNTIFS(F:F, "♢♢", E:E, E2), 0) - IF(E263="A1", COUNTIFS(F:F, "♢♢", E:E, "A1"), 0)))/100, 
   IF(F263="♢♢♢", ((N5 * 100) / (COUNTIFS(F:F, "♢♢♢", E:E, E263) + COUNTIFS(F:F, "♢♢♢", E:E, "A1") + IF(E263="A1", COUNTIFS(F:F, "♢♢♢", E:E, E2), 0) - IF(E263="A1", COUNTIFS(F:F, "♢♢♢", E:E, "A1"), 0)))/100, 
   IF(F263="♢♢♢♢", ((N6 * 100) / (COUNTIFS(F:F, "♢♢♢♢", E:E, E263) + COUNTIFS(F:F, "♢♢♢♢", E:E, "A1") + IF(E263="A1", COUNTIFS(F:F, "♢♢♢♢", E:E, E2), 0) - IF(E263="A1", COUNTIFS(F:F, "♢♢♢♢", E:E, "A1"), 0)))/100, 
   IF(F263="☆", ((N7 * 100) / (COUNTIFS(F:F, "☆", E:E, E263) + COUNTIFS(F:F, "☆", E:E, "A1") + IF(E263="A1", COUNTIFS(F:F, "☆", E:E, E2), 0) - IF(E263="A1", COUNTIFS(F:F, "☆", E:E, "A1"), 0)))/100, 
   IF(F263="☆☆", ((N8 * 100) / (COUNTIFS(F:F, "☆☆", E:E, E263) + COUNTIFS(F:F, "☆☆", E:E, "A1") + IF(E263="A1", COUNTIFS(F:F, "☆☆", E:E, E2), 0) - IF(E263="A1", COUNTIFS(F:F, "☆☆", E:E, "A1"), 0)))/100, 
   IF(F263="☆☆☆", ((N9 * 100) / (COUNTIFS(F:F, "☆☆☆", E:E, E263) + COUNTIFS(F:F, "☆☆☆", E:E, "A1") + IF(E263="A1", COUNTIFS(F:F, "☆☆☆", E:E, E2), 0) - IF(E263="A1", COUNTIFS(F:F, "☆☆☆", E:E, "A1"), 0)))/100, 
   IF(F263="♛", ((N10 * 100) / (COUNTIFS(F:F, "♛", E:E, E263) + COUNTIFS(F:F, "♛", E:E, "A1") + IF(E263="A1", COUNTIFS(F:F, "♛", E:E, E2), 0) - IF(E263="A1", COUNTIFS(F:F, "♛", E:E, "A1"), 0)))/100, "")))))))
</f>
        <v>0.002222222222</v>
      </c>
      <c r="J263" s="131"/>
      <c r="K263" s="247"/>
      <c r="L263" s="20"/>
      <c r="M263" s="150" t="s">
        <v>611</v>
      </c>
      <c r="N263" s="259">
        <f>COUNTIFS(F:F, "♢♢", E:E, "A1-Mewtwo")</f>
        <v>17</v>
      </c>
      <c r="O263" s="249"/>
    </row>
    <row r="264">
      <c r="A264" s="125" t="b">
        <f t="shared" si="1"/>
        <v>0</v>
      </c>
      <c r="B264" s="126">
        <v>0.0</v>
      </c>
      <c r="C264" s="127" t="s">
        <v>612</v>
      </c>
      <c r="D264" s="128" t="s">
        <v>408</v>
      </c>
      <c r="E264" s="128" t="s">
        <v>32</v>
      </c>
      <c r="F264" s="127" t="s">
        <v>47</v>
      </c>
      <c r="G264" s="130" t="str">
        <f>IF(F264="♢", ((L3 * 100) / (COUNTIFS(F:F, "♢", E:E, E264) + COUNTIFS(F:F, "♢", E:E, "A1") + IF(E264="A1", COUNTIFS(F:F, "♢", E:E, E2), 0) - IF(E264="A1", COUNTIFS(F:F, "♢", E:E, "A1"), 0)))/100, "")
</f>
        <v/>
      </c>
      <c r="H264" s="129">
        <f>IF(F264="♢♢", ((M4 * 100) / (COUNTIFS(F:F, "♢♢", E:E, E264) + COUNTIFS(F:F, "♢♢", E:E, "A1") + IF(E264="A1", COUNTIFS(F:F, "♢♢", E:E, E2), 0) - IF(E264="A1", COUNTIFS(F:F, "♢♢", E:E, "A1"), 0)))/100, 
   IF(F264="♢♢♢", ((M5 * 100) / (COUNTIFS(F:F, "♢♢♢", E:E, E264) + COUNTIFS(F:F, "♢♢♢", E:E, "A1") + IF(E264="A1", COUNTIFS(F:F, "♢♢♢", E:E, E2), 0) - IF(E264="A1", COUNTIFS(F:F, "♢♢♢", E:E, "A1"), 0)))/100, 
   IF(F264="♢♢♢♢", ((M6 * 100) / (COUNTIFS(F:F, "♢♢♢♢", E:E, E264) + COUNTIFS(F:F, "♢♢♢♢", E:E, "A1") + IF(E264="A1", COUNTIFS(F:F, "♢♢♢♢", E:E, E2), 0) - IF(E264="A1", COUNTIFS(F:F, "♢♢♢♢", E:E, "A1"), 0)))/100, 
   IF(F264="☆", ((M7 * 100) / (COUNTIFS(F:F, "☆", E:E, E264) + COUNTIFS(F:F, "☆", E:E, "A1") + IF(E264="A1", COUNTIFS(F:F, "☆", E:E, E2), 0) - IF(E264="A1", COUNTIFS(F:F, "☆", E:E, "A1"), 0)))/100, 
   IF(F264="☆☆", ((M8 * 100) / (COUNTIFS(F:F, "☆☆", E:E, E264) + COUNTIFS(F:F, "☆☆", E:E, "A1") + IF(E264="A1", COUNTIFS(F:F, "☆☆", E:E, E2), 0) - IF(E264="A1", COUNTIFS(F:F, "☆☆", E:E, "A1"), 0)))/100, 
   IF(F264="☆☆☆", ((M9 * 100) / (COUNTIFS(F:F, "☆☆☆", E:E, E264) + COUNTIFS(F:F, "☆☆☆", E:E, "A1") + IF(E264="A1", COUNTIFS(F:F, "☆☆☆", E:E, E2), 0) - IF(E264="A1", COUNTIFS(F:F, "☆☆☆", E:E, "A1"), 0)))/100, 
   IF(F264="♛", ((M10 * 100) / (COUNTIFS(F:F, "♛", E:E, E264) + COUNTIFS(F:F, "♛", E:E, "A1") + IF(E264="A1", COUNTIFS(F:F, "♛", E:E, E2), 0) - IF(E264="A1", COUNTIFS(F:F, "♛", E:E, "A1"), 0)))/100, "")))))))
</f>
        <v>0.0005</v>
      </c>
      <c r="I264" s="129">
        <f>IF(F264="♢♢", ((N4 * 100) / (COUNTIFS(F:F, "♢♢", E:E, E264) + COUNTIFS(F:F, "♢♢", E:E, "A1") + IF(E264="A1", COUNTIFS(F:F, "♢♢", E:E, E2), 0) - IF(E264="A1", COUNTIFS(F:F, "♢♢", E:E, "A1"), 0)))/100, 
   IF(F264="♢♢♢", ((N5 * 100) / (COUNTIFS(F:F, "♢♢♢", E:E, E264) + COUNTIFS(F:F, "♢♢♢", E:E, "A1") + IF(E264="A1", COUNTIFS(F:F, "♢♢♢", E:E, E2), 0) - IF(E264="A1", COUNTIFS(F:F, "♢♢♢", E:E, "A1"), 0)))/100, 
   IF(F264="♢♢♢♢", ((N6 * 100) / (COUNTIFS(F:F, "♢♢♢♢", E:E, E264) + COUNTIFS(F:F, "♢♢♢♢", E:E, "A1") + IF(E264="A1", COUNTIFS(F:F, "♢♢♢♢", E:E, E2), 0) - IF(E264="A1", COUNTIFS(F:F, "♢♢♢♢", E:E, "A1"), 0)))/100, 
   IF(F264="☆", ((N7 * 100) / (COUNTIFS(F:F, "☆", E:E, E264) + COUNTIFS(F:F, "☆", E:E, "A1") + IF(E264="A1", COUNTIFS(F:F, "☆", E:E, E2), 0) - IF(E264="A1", COUNTIFS(F:F, "☆", E:E, "A1"), 0)))/100, 
   IF(F264="☆☆", ((N8 * 100) / (COUNTIFS(F:F, "☆☆", E:E, E264) + COUNTIFS(F:F, "☆☆", E:E, "A1") + IF(E264="A1", COUNTIFS(F:F, "☆☆", E:E, E2), 0) - IF(E264="A1", COUNTIFS(F:F, "☆☆", E:E, "A1"), 0)))/100, 
   IF(F264="☆☆☆", ((N9 * 100) / (COUNTIFS(F:F, "☆☆☆", E:E, E264) + COUNTIFS(F:F, "☆☆☆", E:E, "A1") + IF(E264="A1", COUNTIFS(F:F, "☆☆☆", E:E, E2), 0) - IF(E264="A1", COUNTIFS(F:F, "☆☆☆", E:E, "A1"), 0)))/100, 
   IF(F264="♛", ((N10 * 100) / (COUNTIFS(F:F, "♛", E:E, E264) + COUNTIFS(F:F, "♛", E:E, "A1") + IF(E264="A1", COUNTIFS(F:F, "♛", E:E, E2), 0) - IF(E264="A1", COUNTIFS(F:F, "♛", E:E, "A1"), 0)))/100, "")))))))
</f>
        <v>0.002</v>
      </c>
      <c r="J264" s="131"/>
      <c r="K264" s="247"/>
      <c r="L264" s="20"/>
      <c r="M264" s="150" t="s">
        <v>613</v>
      </c>
      <c r="N264" s="259">
        <f>COUNTIFS(F:F, "♢♢", E:E, "A1-Pikachu")</f>
        <v>17</v>
      </c>
      <c r="O264" s="260"/>
    </row>
    <row r="265">
      <c r="A265" s="125" t="b">
        <f t="shared" si="1"/>
        <v>0</v>
      </c>
      <c r="B265" s="126">
        <v>0.0</v>
      </c>
      <c r="C265" s="127" t="s">
        <v>614</v>
      </c>
      <c r="D265" s="128" t="s">
        <v>422</v>
      </c>
      <c r="E265" s="128" t="s">
        <v>29</v>
      </c>
      <c r="F265" s="127" t="s">
        <v>47</v>
      </c>
      <c r="G265" s="130" t="str">
        <f>IF(F265="♢", ((L3 * 100) / (COUNTIFS(F:F, "♢", E:E, E265) + COUNTIFS(F:F, "♢", E:E, "A1") + IF(E265="A1", COUNTIFS(F:F, "♢", E:E, E2), 0) - IF(E265="A1", COUNTIFS(F:F, "♢", E:E, "A1"), 0)))/100, "")
</f>
        <v/>
      </c>
      <c r="H265" s="129">
        <f>IF(F265="♢♢", ((M4 * 100) / (COUNTIFS(F:F, "♢♢", E:E, E265) + COUNTIFS(F:F, "♢♢", E:E, "A1") + IF(E265="A1", COUNTIFS(F:F, "♢♢", E:E, E2), 0) - IF(E265="A1", COUNTIFS(F:F, "♢♢", E:E, "A1"), 0)))/100, 
   IF(F265="♢♢♢", ((M5 * 100) / (COUNTIFS(F:F, "♢♢♢", E:E, E265) + COUNTIFS(F:F, "♢♢♢", E:E, "A1") + IF(E265="A1", COUNTIFS(F:F, "♢♢♢", E:E, E2), 0) - IF(E265="A1", COUNTIFS(F:F, "♢♢♢", E:E, "A1"), 0)))/100, 
   IF(F265="♢♢♢♢", ((M6 * 100) / (COUNTIFS(F:F, "♢♢♢♢", E:E, E265) + COUNTIFS(F:F, "♢♢♢♢", E:E, "A1") + IF(E265="A1", COUNTIFS(F:F, "♢♢♢♢", E:E, E2), 0) - IF(E265="A1", COUNTIFS(F:F, "♢♢♢♢", E:E, "A1"), 0)))/100, 
   IF(F265="☆", ((M7 * 100) / (COUNTIFS(F:F, "☆", E:E, E265) + COUNTIFS(F:F, "☆", E:E, "A1") + IF(E265="A1", COUNTIFS(F:F, "☆", E:E, E2), 0) - IF(E265="A1", COUNTIFS(F:F, "☆", E:E, "A1"), 0)))/100, 
   IF(F265="☆☆", ((M8 * 100) / (COUNTIFS(F:F, "☆☆", E:E, E265) + COUNTIFS(F:F, "☆☆", E:E, "A1") + IF(E265="A1", COUNTIFS(F:F, "☆☆", E:E, E2), 0) - IF(E265="A1", COUNTIFS(F:F, "☆☆", E:E, "A1"), 0)))/100, 
   IF(F265="☆☆☆", ((M9 * 100) / (COUNTIFS(F:F, "☆☆☆", E:E, E265) + COUNTIFS(F:F, "☆☆☆", E:E, "A1") + IF(E265="A1", COUNTIFS(F:F, "☆☆☆", E:E, E2), 0) - IF(E265="A1", COUNTIFS(F:F, "☆☆☆", E:E, "A1"), 0)))/100, 
   IF(F265="♛", ((M10 * 100) / (COUNTIFS(F:F, "♛", E:E, E265) + COUNTIFS(F:F, "♛", E:E, "A1") + IF(E265="A1", COUNTIFS(F:F, "♛", E:E, E2), 0) - IF(E265="A1", COUNTIFS(F:F, "♛", E:E, "A1"), 0)))/100, "")))))))
</f>
        <v>0.0005555555556</v>
      </c>
      <c r="I265" s="129">
        <f>IF(F265="♢♢", ((N4 * 100) / (COUNTIFS(F:F, "♢♢", E:E, E265) + COUNTIFS(F:F, "♢♢", E:E, "A1") + IF(E265="A1", COUNTIFS(F:F, "♢♢", E:E, E2), 0) - IF(E265="A1", COUNTIFS(F:F, "♢♢", E:E, "A1"), 0)))/100, 
   IF(F265="♢♢♢", ((N5 * 100) / (COUNTIFS(F:F, "♢♢♢", E:E, E265) + COUNTIFS(F:F, "♢♢♢", E:E, "A1") + IF(E265="A1", COUNTIFS(F:F, "♢♢♢", E:E, E2), 0) - IF(E265="A1", COUNTIFS(F:F, "♢♢♢", E:E, "A1"), 0)))/100, 
   IF(F265="♢♢♢♢", ((N6 * 100) / (COUNTIFS(F:F, "♢♢♢♢", E:E, E265) + COUNTIFS(F:F, "♢♢♢♢", E:E, "A1") + IF(E265="A1", COUNTIFS(F:F, "♢♢♢♢", E:E, E2), 0) - IF(E265="A1", COUNTIFS(F:F, "♢♢♢♢", E:E, "A1"), 0)))/100, 
   IF(F265="☆", ((N7 * 100) / (COUNTIFS(F:F, "☆", E:E, E265) + COUNTIFS(F:F, "☆", E:E, "A1") + IF(E265="A1", COUNTIFS(F:F, "☆", E:E, E2), 0) - IF(E265="A1", COUNTIFS(F:F, "☆", E:E, "A1"), 0)))/100, 
   IF(F265="☆☆", ((N8 * 100) / (COUNTIFS(F:F, "☆☆", E:E, E265) + COUNTIFS(F:F, "☆☆", E:E, "A1") + IF(E265="A1", COUNTIFS(F:F, "☆☆", E:E, E2), 0) - IF(E265="A1", COUNTIFS(F:F, "☆☆", E:E, "A1"), 0)))/100, 
   IF(F265="☆☆☆", ((N9 * 100) / (COUNTIFS(F:F, "☆☆☆", E:E, E265) + COUNTIFS(F:F, "☆☆☆", E:E, "A1") + IF(E265="A1", COUNTIFS(F:F, "☆☆☆", E:E, E2), 0) - IF(E265="A1", COUNTIFS(F:F, "☆☆☆", E:E, "A1"), 0)))/100, 
   IF(F265="♛", ((N10 * 100) / (COUNTIFS(F:F, "♛", E:E, E265) + COUNTIFS(F:F, "♛", E:E, "A1") + IF(E265="A1", COUNTIFS(F:F, "♛", E:E, E2), 0) - IF(E265="A1", COUNTIFS(F:F, "♛", E:E, "A1"), 0)))/100, "")))))))
</f>
        <v>0.002222222222</v>
      </c>
      <c r="J265" s="131"/>
      <c r="K265" s="247"/>
      <c r="L265" s="20"/>
      <c r="M265" s="150" t="s">
        <v>615</v>
      </c>
      <c r="N265" s="259">
        <f>COUNTIFS(F:F, "♢♢", E:E, "A1-Charizard")</f>
        <v>17</v>
      </c>
      <c r="O265" s="260"/>
    </row>
    <row r="266">
      <c r="A266" s="125" t="b">
        <f t="shared" si="1"/>
        <v>0</v>
      </c>
      <c r="B266" s="126">
        <v>0.0</v>
      </c>
      <c r="C266" s="127" t="s">
        <v>616</v>
      </c>
      <c r="D266" s="128" t="s">
        <v>506</v>
      </c>
      <c r="E266" s="128" t="s">
        <v>31</v>
      </c>
      <c r="F266" s="127" t="s">
        <v>47</v>
      </c>
      <c r="G266" s="130" t="str">
        <f>IF(F266="♢", ((L3 * 100) / (COUNTIFS(F:F, "♢", E:E, E266) + COUNTIFS(F:F, "♢", E:E, "A1") + IF(E266="A1", COUNTIFS(F:F, "♢", E:E, E2), 0) - IF(E266="A1", COUNTIFS(F:F, "♢", E:E, "A1"), 0)))/100, "")
</f>
        <v/>
      </c>
      <c r="H266" s="129">
        <f>IF(F266="♢♢", ((M4 * 100) / (COUNTIFS(F:F, "♢♢", E:E, E266) + COUNTIFS(F:F, "♢♢", E:E, "A1") + IF(E266="A1", COUNTIFS(F:F, "♢♢", E:E, E2), 0) - IF(E266="A1", COUNTIFS(F:F, "♢♢", E:E, "A1"), 0)))/100, 
   IF(F266="♢♢♢", ((M5 * 100) / (COUNTIFS(F:F, "♢♢♢", E:E, E266) + COUNTIFS(F:F, "♢♢♢", E:E, "A1") + IF(E266="A1", COUNTIFS(F:F, "♢♢♢", E:E, E2), 0) - IF(E266="A1", COUNTIFS(F:F, "♢♢♢", E:E, "A1"), 0)))/100, 
   IF(F266="♢♢♢♢", ((M6 * 100) / (COUNTIFS(F:F, "♢♢♢♢", E:E, E266) + COUNTIFS(F:F, "♢♢♢♢", E:E, "A1") + IF(E266="A1", COUNTIFS(F:F, "♢♢♢♢", E:E, E2), 0) - IF(E266="A1", COUNTIFS(F:F, "♢♢♢♢", E:E, "A1"), 0)))/100, 
   IF(F266="☆", ((M7 * 100) / (COUNTIFS(F:F, "☆", E:E, E266) + COUNTIFS(F:F, "☆", E:E, "A1") + IF(E266="A1", COUNTIFS(F:F, "☆", E:E, E2), 0) - IF(E266="A1", COUNTIFS(F:F, "☆", E:E, "A1"), 0)))/100, 
   IF(F266="☆☆", ((M8 * 100) / (COUNTIFS(F:F, "☆☆", E:E, E266) + COUNTIFS(F:F, "☆☆", E:E, "A1") + IF(E266="A1", COUNTIFS(F:F, "☆☆", E:E, E2), 0) - IF(E266="A1", COUNTIFS(F:F, "☆☆", E:E, "A1"), 0)))/100, 
   IF(F266="☆☆☆", ((M9 * 100) / (COUNTIFS(F:F, "☆☆☆", E:E, E266) + COUNTIFS(F:F, "☆☆☆", E:E, "A1") + IF(E266="A1", COUNTIFS(F:F, "☆☆☆", E:E, E2), 0) - IF(E266="A1", COUNTIFS(F:F, "☆☆☆", E:E, "A1"), 0)))/100, 
   IF(F266="♛", ((M10 * 100) / (COUNTIFS(F:F, "♛", E:E, E266) + COUNTIFS(F:F, "♛", E:E, "A1") + IF(E266="A1", COUNTIFS(F:F, "♛", E:E, E2), 0) - IF(E266="A1", COUNTIFS(F:F, "♛", E:E, "A1"), 0)))/100, "")))))))
</f>
        <v>0.0005</v>
      </c>
      <c r="I266" s="129">
        <f>IF(F266="♢♢", ((N4 * 100) / (COUNTIFS(F:F, "♢♢", E:E, E266) + COUNTIFS(F:F, "♢♢", E:E, "A1") + IF(E266="A1", COUNTIFS(F:F, "♢♢", E:E, E2), 0) - IF(E266="A1", COUNTIFS(F:F, "♢♢", E:E, "A1"), 0)))/100, 
   IF(F266="♢♢♢", ((N5 * 100) / (COUNTIFS(F:F, "♢♢♢", E:E, E266) + COUNTIFS(F:F, "♢♢♢", E:E, "A1") + IF(E266="A1", COUNTIFS(F:F, "♢♢♢", E:E, E2), 0) - IF(E266="A1", COUNTIFS(F:F, "♢♢♢", E:E, "A1"), 0)))/100, 
   IF(F266="♢♢♢♢", ((N6 * 100) / (COUNTIFS(F:F, "♢♢♢♢", E:E, E266) + COUNTIFS(F:F, "♢♢♢♢", E:E, "A1") + IF(E266="A1", COUNTIFS(F:F, "♢♢♢♢", E:E, E2), 0) - IF(E266="A1", COUNTIFS(F:F, "♢♢♢♢", E:E, "A1"), 0)))/100, 
   IF(F266="☆", ((N7 * 100) / (COUNTIFS(F:F, "☆", E:E, E266) + COUNTIFS(F:F, "☆", E:E, "A1") + IF(E266="A1", COUNTIFS(F:F, "☆", E:E, E2), 0) - IF(E266="A1", COUNTIFS(F:F, "☆", E:E, "A1"), 0)))/100, 
   IF(F266="☆☆", ((N8 * 100) / (COUNTIFS(F:F, "☆☆", E:E, E266) + COUNTIFS(F:F, "☆☆", E:E, "A1") + IF(E266="A1", COUNTIFS(F:F, "☆☆", E:E, E2), 0) - IF(E266="A1", COUNTIFS(F:F, "☆☆", E:E, "A1"), 0)))/100, 
   IF(F266="☆☆☆", ((N9 * 100) / (COUNTIFS(F:F, "☆☆☆", E:E, E266) + COUNTIFS(F:F, "☆☆☆", E:E, "A1") + IF(E266="A1", COUNTIFS(F:F, "☆☆☆", E:E, E2), 0) - IF(E266="A1", COUNTIFS(F:F, "☆☆☆", E:E, "A1"), 0)))/100, 
   IF(F266="♛", ((N10 * 100) / (COUNTIFS(F:F, "♛", E:E, E266) + COUNTIFS(F:F, "♛", E:E, "A1") + IF(E266="A1", COUNTIFS(F:F, "♛", E:E, E2), 0) - IF(E266="A1", COUNTIFS(F:F, "♛", E:E, "A1"), 0)))/100, "")))))))
</f>
        <v>0.002</v>
      </c>
      <c r="J266" s="131"/>
      <c r="K266" s="247"/>
      <c r="L266" s="20"/>
      <c r="M266" s="150" t="s">
        <v>617</v>
      </c>
      <c r="N266" s="259">
        <f>COUNTIFS(F:F, "♢♢", E:E, "A1")</f>
        <v>18</v>
      </c>
      <c r="O266" s="249"/>
    </row>
    <row r="267">
      <c r="A267" s="125" t="b">
        <f t="shared" si="1"/>
        <v>0</v>
      </c>
      <c r="B267" s="126">
        <v>0.0</v>
      </c>
      <c r="C267" s="127" t="s">
        <v>618</v>
      </c>
      <c r="D267" s="127" t="s">
        <v>552</v>
      </c>
      <c r="E267" s="128" t="s">
        <v>32</v>
      </c>
      <c r="F267" s="127" t="s">
        <v>47</v>
      </c>
      <c r="G267" s="130" t="str">
        <f>IF(F267="♢", ((L3 * 100) / (COUNTIFS(F:F, "♢", E:E, E267) + COUNTIFS(F:F, "♢", E:E, "A1") + IF(E267="A1", COUNTIFS(F:F, "♢", E:E, E2), 0) - IF(E267="A1", COUNTIFS(F:F, "♢", E:E, "A1"), 0)))/100, "")
</f>
        <v/>
      </c>
      <c r="H267" s="129">
        <f>IF(F267="♢♢", ((M4 * 100) / (COUNTIFS(F:F, "♢♢", E:E, E267) + COUNTIFS(F:F, "♢♢", E:E, "A1") + IF(E267="A1", COUNTIFS(F:F, "♢♢", E:E, E2), 0) - IF(E267="A1", COUNTIFS(F:F, "♢♢", E:E, "A1"), 0)))/100, 
   IF(F267="♢♢♢", ((M5 * 100) / (COUNTIFS(F:F, "♢♢♢", E:E, E267) + COUNTIFS(F:F, "♢♢♢", E:E, "A1") + IF(E267="A1", COUNTIFS(F:F, "♢♢♢", E:E, E2), 0) - IF(E267="A1", COUNTIFS(F:F, "♢♢♢", E:E, "A1"), 0)))/100, 
   IF(F267="♢♢♢♢", ((M6 * 100) / (COUNTIFS(F:F, "♢♢♢♢", E:E, E267) + COUNTIFS(F:F, "♢♢♢♢", E:E, "A1") + IF(E267="A1", COUNTIFS(F:F, "♢♢♢♢", E:E, E2), 0) - IF(E267="A1", COUNTIFS(F:F, "♢♢♢♢", E:E, "A1"), 0)))/100, 
   IF(F267="☆", ((M7 * 100) / (COUNTIFS(F:F, "☆", E:E, E267) + COUNTIFS(F:F, "☆", E:E, "A1") + IF(E267="A1", COUNTIFS(F:F, "☆", E:E, E2), 0) - IF(E267="A1", COUNTIFS(F:F, "☆", E:E, "A1"), 0)))/100, 
   IF(F267="☆☆", ((M8 * 100) / (COUNTIFS(F:F, "☆☆", E:E, E267) + COUNTIFS(F:F, "☆☆", E:E, "A1") + IF(E267="A1", COUNTIFS(F:F, "☆☆", E:E, E2), 0) - IF(E267="A1", COUNTIFS(F:F, "☆☆", E:E, "A1"), 0)))/100, 
   IF(F267="☆☆☆", ((M9 * 100) / (COUNTIFS(F:F, "☆☆☆", E:E, E267) + COUNTIFS(F:F, "☆☆☆", E:E, "A1") + IF(E267="A1", COUNTIFS(F:F, "☆☆☆", E:E, E2), 0) - IF(E267="A1", COUNTIFS(F:F, "☆☆☆", E:E, "A1"), 0)))/100, 
   IF(F267="♛", ((M10 * 100) / (COUNTIFS(F:F, "♛", E:E, E267) + COUNTIFS(F:F, "♛", E:E, "A1") + IF(E267="A1", COUNTIFS(F:F, "♛", E:E, E2), 0) - IF(E267="A1", COUNTIFS(F:F, "♛", E:E, "A1"), 0)))/100, "")))))))
</f>
        <v>0.0005</v>
      </c>
      <c r="I267" s="129">
        <f>IF(F267="♢♢", ((N4 * 100) / (COUNTIFS(F:F, "♢♢", E:E, E267) + COUNTIFS(F:F, "♢♢", E:E, "A1") + IF(E267="A1", COUNTIFS(F:F, "♢♢", E:E, E2), 0) - IF(E267="A1", COUNTIFS(F:F, "♢♢", E:E, "A1"), 0)))/100, 
   IF(F267="♢♢♢", ((N5 * 100) / (COUNTIFS(F:F, "♢♢♢", E:E, E267) + COUNTIFS(F:F, "♢♢♢", E:E, "A1") + IF(E267="A1", COUNTIFS(F:F, "♢♢♢", E:E, E2), 0) - IF(E267="A1", COUNTIFS(F:F, "♢♢♢", E:E, "A1"), 0)))/100, 
   IF(F267="♢♢♢♢", ((N6 * 100) / (COUNTIFS(F:F, "♢♢♢♢", E:E, E267) + COUNTIFS(F:F, "♢♢♢♢", E:E, "A1") + IF(E267="A1", COUNTIFS(F:F, "♢♢♢♢", E:E, E2), 0) - IF(E267="A1", COUNTIFS(F:F, "♢♢♢♢", E:E, "A1"), 0)))/100, 
   IF(F267="☆", ((N7 * 100) / (COUNTIFS(F:F, "☆", E:E, E267) + COUNTIFS(F:F, "☆", E:E, "A1") + IF(E267="A1", COUNTIFS(F:F, "☆", E:E, E2), 0) - IF(E267="A1", COUNTIFS(F:F, "☆", E:E, "A1"), 0)))/100, 
   IF(F267="☆☆", ((N8 * 100) / (COUNTIFS(F:F, "☆☆", E:E, E267) + COUNTIFS(F:F, "☆☆", E:E, "A1") + IF(E267="A1", COUNTIFS(F:F, "☆☆", E:E, E2), 0) - IF(E267="A1", COUNTIFS(F:F, "☆☆", E:E, "A1"), 0)))/100, 
   IF(F267="☆☆☆", ((N9 * 100) / (COUNTIFS(F:F, "☆☆☆", E:E, E267) + COUNTIFS(F:F, "☆☆☆", E:E, "A1") + IF(E267="A1", COUNTIFS(F:F, "☆☆☆", E:E, E2), 0) - IF(E267="A1", COUNTIFS(F:F, "☆☆☆", E:E, "A1"), 0)))/100, 
   IF(F267="♛", ((N10 * 100) / (COUNTIFS(F:F, "♛", E:E, E267) + COUNTIFS(F:F, "♛", E:E, "A1") + IF(E267="A1", COUNTIFS(F:F, "♛", E:E, E2), 0) - IF(E267="A1", COUNTIFS(F:F, "♛", E:E, "A1"), 0)))/100, "")))))))
</f>
        <v>0.002</v>
      </c>
      <c r="J267" s="131"/>
      <c r="K267" s="247"/>
      <c r="L267" s="20"/>
      <c r="M267" s="150" t="s">
        <v>619</v>
      </c>
      <c r="N267" s="259">
        <f>COUNTIFS(F:F, "♢♢♢", E:E, "A1-Mewtwo")</f>
        <v>14</v>
      </c>
      <c r="O267" s="260"/>
    </row>
    <row r="268">
      <c r="A268" s="125" t="b">
        <f t="shared" si="1"/>
        <v>0</v>
      </c>
      <c r="B268" s="126">
        <v>0.0</v>
      </c>
      <c r="C268" s="127" t="s">
        <v>620</v>
      </c>
      <c r="D268" s="127" t="s">
        <v>554</v>
      </c>
      <c r="E268" s="128" t="s">
        <v>31</v>
      </c>
      <c r="F268" s="127" t="s">
        <v>47</v>
      </c>
      <c r="G268" s="130" t="str">
        <f>IF(F268="♢", ((L3 * 100) / (COUNTIFS(F:F, "♢", E:E, E268) + COUNTIFS(F:F, "♢", E:E, "A1") + IF(E268="A1", COUNTIFS(F:F, "♢", E:E, E2), 0) - IF(E268="A1", COUNTIFS(F:F, "♢", E:E, "A1"), 0)))/100, "")
</f>
        <v/>
      </c>
      <c r="H268" s="129">
        <f>IF(F268="♢♢", ((M4 * 100) / (COUNTIFS(F:F, "♢♢", E:E, E268) + COUNTIFS(F:F, "♢♢", E:E, "A1") + IF(E268="A1", COUNTIFS(F:F, "♢♢", E:E, E2), 0) - IF(E268="A1", COUNTIFS(F:F, "♢♢", E:E, "A1"), 0)))/100, 
   IF(F268="♢♢♢", ((M5 * 100) / (COUNTIFS(F:F, "♢♢♢", E:E, E268) + COUNTIFS(F:F, "♢♢♢", E:E, "A1") + IF(E268="A1", COUNTIFS(F:F, "♢♢♢", E:E, E2), 0) - IF(E268="A1", COUNTIFS(F:F, "♢♢♢", E:E, "A1"), 0)))/100, 
   IF(F268="♢♢♢♢", ((M6 * 100) / (COUNTIFS(F:F, "♢♢♢♢", E:E, E268) + COUNTIFS(F:F, "♢♢♢♢", E:E, "A1") + IF(E268="A1", COUNTIFS(F:F, "♢♢♢♢", E:E, E2), 0) - IF(E268="A1", COUNTIFS(F:F, "♢♢♢♢", E:E, "A1"), 0)))/100, 
   IF(F268="☆", ((M7 * 100) / (COUNTIFS(F:F, "☆", E:E, E268) + COUNTIFS(F:F, "☆", E:E, "A1") + IF(E268="A1", COUNTIFS(F:F, "☆", E:E, E2), 0) - IF(E268="A1", COUNTIFS(F:F, "☆", E:E, "A1"), 0)))/100, 
   IF(F268="☆☆", ((M8 * 100) / (COUNTIFS(F:F, "☆☆", E:E, E268) + COUNTIFS(F:F, "☆☆", E:E, "A1") + IF(E268="A1", COUNTIFS(F:F, "☆☆", E:E, E2), 0) - IF(E268="A1", COUNTIFS(F:F, "☆☆", E:E, "A1"), 0)))/100, 
   IF(F268="☆☆☆", ((M9 * 100) / (COUNTIFS(F:F, "☆☆☆", E:E, E268) + COUNTIFS(F:F, "☆☆☆", E:E, "A1") + IF(E268="A1", COUNTIFS(F:F, "☆☆☆", E:E, E2), 0) - IF(E268="A1", COUNTIFS(F:F, "☆☆☆", E:E, "A1"), 0)))/100, 
   IF(F268="♛", ((M10 * 100) / (COUNTIFS(F:F, "♛", E:E, E268) + COUNTIFS(F:F, "♛", E:E, "A1") + IF(E268="A1", COUNTIFS(F:F, "♛", E:E, E2), 0) - IF(E268="A1", COUNTIFS(F:F, "♛", E:E, "A1"), 0)))/100, "")))))))
</f>
        <v>0.0005</v>
      </c>
      <c r="I268" s="129">
        <f>IF(F268="♢♢", ((N4 * 100) / (COUNTIFS(F:F, "♢♢", E:E, E268) + COUNTIFS(F:F, "♢♢", E:E, "A1") + IF(E268="A1", COUNTIFS(F:F, "♢♢", E:E, E2), 0) - IF(E268="A1", COUNTIFS(F:F, "♢♢", E:E, "A1"), 0)))/100, 
   IF(F268="♢♢♢", ((N5 * 100) / (COUNTIFS(F:F, "♢♢♢", E:E, E268) + COUNTIFS(F:F, "♢♢♢", E:E, "A1") + IF(E268="A1", COUNTIFS(F:F, "♢♢♢", E:E, E2), 0) - IF(E268="A1", COUNTIFS(F:F, "♢♢♢", E:E, "A1"), 0)))/100, 
   IF(F268="♢♢♢♢", ((N6 * 100) / (COUNTIFS(F:F, "♢♢♢♢", E:E, E268) + COUNTIFS(F:F, "♢♢♢♢", E:E, "A1") + IF(E268="A1", COUNTIFS(F:F, "♢♢♢♢", E:E, E2), 0) - IF(E268="A1", COUNTIFS(F:F, "♢♢♢♢", E:E, "A1"), 0)))/100, 
   IF(F268="☆", ((N7 * 100) / (COUNTIFS(F:F, "☆", E:E, E268) + COUNTIFS(F:F, "☆", E:E, "A1") + IF(E268="A1", COUNTIFS(F:F, "☆", E:E, E2), 0) - IF(E268="A1", COUNTIFS(F:F, "☆", E:E, "A1"), 0)))/100, 
   IF(F268="☆☆", ((N8 * 100) / (COUNTIFS(F:F, "☆☆", E:E, E268) + COUNTIFS(F:F, "☆☆", E:E, "A1") + IF(E268="A1", COUNTIFS(F:F, "☆☆", E:E, E2), 0) - IF(E268="A1", COUNTIFS(F:F, "☆☆", E:E, "A1"), 0)))/100, 
   IF(F268="☆☆☆", ((N9 * 100) / (COUNTIFS(F:F, "☆☆☆", E:E, E268) + COUNTIFS(F:F, "☆☆☆", E:E, "A1") + IF(E268="A1", COUNTIFS(F:F, "☆☆☆", E:E, E2), 0) - IF(E268="A1", COUNTIFS(F:F, "☆☆☆", E:E, "A1"), 0)))/100, 
   IF(F268="♛", ((N10 * 100) / (COUNTIFS(F:F, "♛", E:E, E268) + COUNTIFS(F:F, "♛", E:E, "A1") + IF(E268="A1", COUNTIFS(F:F, "♛", E:E, E2), 0) - IF(E268="A1", COUNTIFS(F:F, "♛", E:E, "A1"), 0)))/100, "")))))))
</f>
        <v>0.002</v>
      </c>
      <c r="J268" s="131"/>
      <c r="K268" s="247"/>
      <c r="L268" s="20"/>
      <c r="M268" s="150" t="s">
        <v>621</v>
      </c>
      <c r="N268" s="259">
        <f>COUNTIFS(F:F, "♢♢♢", E:E, "A1-Pikachu")</f>
        <v>14</v>
      </c>
      <c r="O268" s="249"/>
    </row>
    <row r="269">
      <c r="A269" s="125" t="b">
        <f t="shared" si="1"/>
        <v>0</v>
      </c>
      <c r="B269" s="126">
        <v>0.0</v>
      </c>
      <c r="C269" s="127" t="s">
        <v>622</v>
      </c>
      <c r="D269" s="127" t="s">
        <v>556</v>
      </c>
      <c r="E269" s="128" t="s">
        <v>32</v>
      </c>
      <c r="F269" s="127" t="s">
        <v>47</v>
      </c>
      <c r="G269" s="130" t="str">
        <f>IF(F269="♢", ((L3 * 100) / (COUNTIFS(F:F, "♢", E:E, E269) + COUNTIFS(F:F, "♢", E:E, "A1") + IF(E269="A1", COUNTIFS(F:F, "♢", E:E, E2), 0) - IF(E269="A1", COUNTIFS(F:F, "♢", E:E, "A1"), 0)))/100, "")
</f>
        <v/>
      </c>
      <c r="H269" s="129">
        <f>IF(F269="♢♢", ((M4 * 100) / (COUNTIFS(F:F, "♢♢", E:E, E269) + COUNTIFS(F:F, "♢♢", E:E, "A1") + IF(E269="A1", COUNTIFS(F:F, "♢♢", E:E, E2), 0) - IF(E269="A1", COUNTIFS(F:F, "♢♢", E:E, "A1"), 0)))/100, 
   IF(F269="♢♢♢", ((M5 * 100) / (COUNTIFS(F:F, "♢♢♢", E:E, E269) + COUNTIFS(F:F, "♢♢♢", E:E, "A1") + IF(E269="A1", COUNTIFS(F:F, "♢♢♢", E:E, E2), 0) - IF(E269="A1", COUNTIFS(F:F, "♢♢♢", E:E, "A1"), 0)))/100, 
   IF(F269="♢♢♢♢", ((M6 * 100) / (COUNTIFS(F:F, "♢♢♢♢", E:E, E269) + COUNTIFS(F:F, "♢♢♢♢", E:E, "A1") + IF(E269="A1", COUNTIFS(F:F, "♢♢♢♢", E:E, E2), 0) - IF(E269="A1", COUNTIFS(F:F, "♢♢♢♢", E:E, "A1"), 0)))/100, 
   IF(F269="☆", ((M7 * 100) / (COUNTIFS(F:F, "☆", E:E, E269) + COUNTIFS(F:F, "☆", E:E, "A1") + IF(E269="A1", COUNTIFS(F:F, "☆", E:E, E2), 0) - IF(E269="A1", COUNTIFS(F:F, "☆", E:E, "A1"), 0)))/100, 
   IF(F269="☆☆", ((M8 * 100) / (COUNTIFS(F:F, "☆☆", E:E, E269) + COUNTIFS(F:F, "☆☆", E:E, "A1") + IF(E269="A1", COUNTIFS(F:F, "☆☆", E:E, E2), 0) - IF(E269="A1", COUNTIFS(F:F, "☆☆", E:E, "A1"), 0)))/100, 
   IF(F269="☆☆☆", ((M9 * 100) / (COUNTIFS(F:F, "☆☆☆", E:E, E269) + COUNTIFS(F:F, "☆☆☆", E:E, "A1") + IF(E269="A1", COUNTIFS(F:F, "☆☆☆", E:E, E2), 0) - IF(E269="A1", COUNTIFS(F:F, "☆☆☆", E:E, "A1"), 0)))/100, 
   IF(F269="♛", ((M10 * 100) / (COUNTIFS(F:F, "♛", E:E, E269) + COUNTIFS(F:F, "♛", E:E, "A1") + IF(E269="A1", COUNTIFS(F:F, "♛", E:E, E2), 0) - IF(E269="A1", COUNTIFS(F:F, "♛", E:E, "A1"), 0)))/100, "")))))))
</f>
        <v>0.0005</v>
      </c>
      <c r="I269" s="129">
        <f>IF(F269="♢♢", ((N4 * 100) / (COUNTIFS(F:F, "♢♢", E:E, E269) + COUNTIFS(F:F, "♢♢", E:E, "A1") + IF(E269="A1", COUNTIFS(F:F, "♢♢", E:E, E2), 0) - IF(E269="A1", COUNTIFS(F:F, "♢♢", E:E, "A1"), 0)))/100, 
   IF(F269="♢♢♢", ((N5 * 100) / (COUNTIFS(F:F, "♢♢♢", E:E, E269) + COUNTIFS(F:F, "♢♢♢", E:E, "A1") + IF(E269="A1", COUNTIFS(F:F, "♢♢♢", E:E, E2), 0) - IF(E269="A1", COUNTIFS(F:F, "♢♢♢", E:E, "A1"), 0)))/100, 
   IF(F269="♢♢♢♢", ((N6 * 100) / (COUNTIFS(F:F, "♢♢♢♢", E:E, E269) + COUNTIFS(F:F, "♢♢♢♢", E:E, "A1") + IF(E269="A1", COUNTIFS(F:F, "♢♢♢♢", E:E, E2), 0) - IF(E269="A1", COUNTIFS(F:F, "♢♢♢♢", E:E, "A1"), 0)))/100, 
   IF(F269="☆", ((N7 * 100) / (COUNTIFS(F:F, "☆", E:E, E269) + COUNTIFS(F:F, "☆", E:E, "A1") + IF(E269="A1", COUNTIFS(F:F, "☆", E:E, E2), 0) - IF(E269="A1", COUNTIFS(F:F, "☆", E:E, "A1"), 0)))/100, 
   IF(F269="☆☆", ((N8 * 100) / (COUNTIFS(F:F, "☆☆", E:E, E269) + COUNTIFS(F:F, "☆☆", E:E, "A1") + IF(E269="A1", COUNTIFS(F:F, "☆☆", E:E, E2), 0) - IF(E269="A1", COUNTIFS(F:F, "☆☆", E:E, "A1"), 0)))/100, 
   IF(F269="☆☆☆", ((N9 * 100) / (COUNTIFS(F:F, "☆☆☆", E:E, E269) + COUNTIFS(F:F, "☆☆☆", E:E, "A1") + IF(E269="A1", COUNTIFS(F:F, "☆☆☆", E:E, E2), 0) - IF(E269="A1", COUNTIFS(F:F, "☆☆☆", E:E, "A1"), 0)))/100, 
   IF(F269="♛", ((N10 * 100) / (COUNTIFS(F:F, "♛", E:E, E269) + COUNTIFS(F:F, "♛", E:E, "A1") + IF(E269="A1", COUNTIFS(F:F, "♛", E:E, E2), 0) - IF(E269="A1", COUNTIFS(F:F, "♛", E:E, "A1"), 0)))/100, "")))))))
</f>
        <v>0.002</v>
      </c>
      <c r="J269" s="131"/>
      <c r="K269" s="247"/>
      <c r="L269" s="20"/>
      <c r="M269" s="150" t="s">
        <v>623</v>
      </c>
      <c r="N269" s="259">
        <f>COUNTIFS(F:F, "♢♢♢", E:E, "A1-Charizard")</f>
        <v>14</v>
      </c>
      <c r="O269" s="249"/>
    </row>
    <row r="270">
      <c r="A270" s="125" t="b">
        <f t="shared" si="1"/>
        <v>0</v>
      </c>
      <c r="B270" s="126">
        <v>0.0</v>
      </c>
      <c r="C270" s="127" t="s">
        <v>624</v>
      </c>
      <c r="D270" s="127" t="s">
        <v>558</v>
      </c>
      <c r="E270" s="128" t="s">
        <v>29</v>
      </c>
      <c r="F270" s="127" t="s">
        <v>47</v>
      </c>
      <c r="G270" s="130" t="str">
        <f>IF(F270="♢", ((L3 * 100) / (COUNTIFS(F:F, "♢", E:E, E270) + COUNTIFS(F:F, "♢", E:E, "A1") + IF(E270="A1", COUNTIFS(F:F, "♢", E:E, E2), 0) - IF(E270="A1", COUNTIFS(F:F, "♢", E:E, "A1"), 0)))/100, "")
</f>
        <v/>
      </c>
      <c r="H270" s="129">
        <f>IF(F270="♢♢", ((M4 * 100) / (COUNTIFS(F:F, "♢♢", E:E, E270) + COUNTIFS(F:F, "♢♢", E:E, "A1") + IF(E270="A1", COUNTIFS(F:F, "♢♢", E:E, E2), 0) - IF(E270="A1", COUNTIFS(F:F, "♢♢", E:E, "A1"), 0)))/100, 
   IF(F270="♢♢♢", ((M5 * 100) / (COUNTIFS(F:F, "♢♢♢", E:E, E270) + COUNTIFS(F:F, "♢♢♢", E:E, "A1") + IF(E270="A1", COUNTIFS(F:F, "♢♢♢", E:E, E2), 0) - IF(E270="A1", COUNTIFS(F:F, "♢♢♢", E:E, "A1"), 0)))/100, 
   IF(F270="♢♢♢♢", ((M6 * 100) / (COUNTIFS(F:F, "♢♢♢♢", E:E, E270) + COUNTIFS(F:F, "♢♢♢♢", E:E, "A1") + IF(E270="A1", COUNTIFS(F:F, "♢♢♢♢", E:E, E2), 0) - IF(E270="A1", COUNTIFS(F:F, "♢♢♢♢", E:E, "A1"), 0)))/100, 
   IF(F270="☆", ((M7 * 100) / (COUNTIFS(F:F, "☆", E:E, E270) + COUNTIFS(F:F, "☆", E:E, "A1") + IF(E270="A1", COUNTIFS(F:F, "☆", E:E, E2), 0) - IF(E270="A1", COUNTIFS(F:F, "☆", E:E, "A1"), 0)))/100, 
   IF(F270="☆☆", ((M8 * 100) / (COUNTIFS(F:F, "☆☆", E:E, E270) + COUNTIFS(F:F, "☆☆", E:E, "A1") + IF(E270="A1", COUNTIFS(F:F, "☆☆", E:E, E2), 0) - IF(E270="A1", COUNTIFS(F:F, "☆☆", E:E, "A1"), 0)))/100, 
   IF(F270="☆☆☆", ((M9 * 100) / (COUNTIFS(F:F, "☆☆☆", E:E, E270) + COUNTIFS(F:F, "☆☆☆", E:E, "A1") + IF(E270="A1", COUNTIFS(F:F, "☆☆☆", E:E, E2), 0) - IF(E270="A1", COUNTIFS(F:F, "☆☆☆", E:E, "A1"), 0)))/100, 
   IF(F270="♛", ((M10 * 100) / (COUNTIFS(F:F, "♛", E:E, E270) + COUNTIFS(F:F, "♛", E:E, "A1") + IF(E270="A1", COUNTIFS(F:F, "♛", E:E, E2), 0) - IF(E270="A1", COUNTIFS(F:F, "♛", E:E, "A1"), 0)))/100, "")))))))
</f>
        <v>0.0005555555556</v>
      </c>
      <c r="I270" s="129">
        <f>IF(F270="♢♢", ((N4 * 100) / (COUNTIFS(F:F, "♢♢", E:E, E270) + COUNTIFS(F:F, "♢♢", E:E, "A1") + IF(E270="A1", COUNTIFS(F:F, "♢♢", E:E, E2), 0) - IF(E270="A1", COUNTIFS(F:F, "♢♢", E:E, "A1"), 0)))/100, 
   IF(F270="♢♢♢", ((N5 * 100) / (COUNTIFS(F:F, "♢♢♢", E:E, E270) + COUNTIFS(F:F, "♢♢♢", E:E, "A1") + IF(E270="A1", COUNTIFS(F:F, "♢♢♢", E:E, E2), 0) - IF(E270="A1", COUNTIFS(F:F, "♢♢♢", E:E, "A1"), 0)))/100, 
   IF(F270="♢♢♢♢", ((N6 * 100) / (COUNTIFS(F:F, "♢♢♢♢", E:E, E270) + COUNTIFS(F:F, "♢♢♢♢", E:E, "A1") + IF(E270="A1", COUNTIFS(F:F, "♢♢♢♢", E:E, E2), 0) - IF(E270="A1", COUNTIFS(F:F, "♢♢♢♢", E:E, "A1"), 0)))/100, 
   IF(F270="☆", ((N7 * 100) / (COUNTIFS(F:F, "☆", E:E, E270) + COUNTIFS(F:F, "☆", E:E, "A1") + IF(E270="A1", COUNTIFS(F:F, "☆", E:E, E2), 0) - IF(E270="A1", COUNTIFS(F:F, "☆", E:E, "A1"), 0)))/100, 
   IF(F270="☆☆", ((N8 * 100) / (COUNTIFS(F:F, "☆☆", E:E, E270) + COUNTIFS(F:F, "☆☆", E:E, "A1") + IF(E270="A1", COUNTIFS(F:F, "☆☆", E:E, E2), 0) - IF(E270="A1", COUNTIFS(F:F, "☆☆", E:E, "A1"), 0)))/100, 
   IF(F270="☆☆☆", ((N9 * 100) / (COUNTIFS(F:F, "☆☆☆", E:E, E270) + COUNTIFS(F:F, "☆☆☆", E:E, "A1") + IF(E270="A1", COUNTIFS(F:F, "☆☆☆", E:E, E2), 0) - IF(E270="A1", COUNTIFS(F:F, "☆☆☆", E:E, "A1"), 0)))/100, 
   IF(F270="♛", ((N10 * 100) / (COUNTIFS(F:F, "♛", E:E, E270) + COUNTIFS(F:F, "♛", E:E, "A1") + IF(E270="A1", COUNTIFS(F:F, "♛", E:E, E2), 0) - IF(E270="A1", COUNTIFS(F:F, "♛", E:E, "A1"), 0)))/100, "")))))))
</f>
        <v>0.002222222222</v>
      </c>
      <c r="J270" s="131"/>
      <c r="K270" s="247"/>
      <c r="L270" s="20"/>
      <c r="M270" s="150" t="s">
        <v>625</v>
      </c>
      <c r="N270" s="259">
        <f>COUNTIFS(F:F, "♢♢♢", E:E, "A1")</f>
        <v>0</v>
      </c>
      <c r="O270" s="249"/>
    </row>
    <row r="271">
      <c r="A271" s="125" t="b">
        <f t="shared" si="1"/>
        <v>0</v>
      </c>
      <c r="B271" s="126">
        <v>0.0</v>
      </c>
      <c r="C271" s="127" t="s">
        <v>626</v>
      </c>
      <c r="D271" s="127" t="s">
        <v>560</v>
      </c>
      <c r="E271" s="128" t="s">
        <v>29</v>
      </c>
      <c r="F271" s="127" t="s">
        <v>47</v>
      </c>
      <c r="G271" s="130" t="str">
        <f>IF(F271="♢", ((L3 * 100) / (COUNTIFS(F:F, "♢", E:E, E271) + COUNTIFS(F:F, "♢", E:E, "A1") + IF(E271="A1", COUNTIFS(F:F, "♢", E:E, E2), 0) - IF(E271="A1", COUNTIFS(F:F, "♢", E:E, "A1"), 0)))/100, "")
</f>
        <v/>
      </c>
      <c r="H271" s="129">
        <f>IF(F271="♢♢", ((M4 * 100) / (COUNTIFS(F:F, "♢♢", E:E, E271) + COUNTIFS(F:F, "♢♢", E:E, "A1") + IF(E271="A1", COUNTIFS(F:F, "♢♢", E:E, E2), 0) - IF(E271="A1", COUNTIFS(F:F, "♢♢", E:E, "A1"), 0)))/100, 
   IF(F271="♢♢♢", ((M5 * 100) / (COUNTIFS(F:F, "♢♢♢", E:E, E271) + COUNTIFS(F:F, "♢♢♢", E:E, "A1") + IF(E271="A1", COUNTIFS(F:F, "♢♢♢", E:E, E2), 0) - IF(E271="A1", COUNTIFS(F:F, "♢♢♢", E:E, "A1"), 0)))/100, 
   IF(F271="♢♢♢♢", ((M6 * 100) / (COUNTIFS(F:F, "♢♢♢♢", E:E, E271) + COUNTIFS(F:F, "♢♢♢♢", E:E, "A1") + IF(E271="A1", COUNTIFS(F:F, "♢♢♢♢", E:E, E2), 0) - IF(E271="A1", COUNTIFS(F:F, "♢♢♢♢", E:E, "A1"), 0)))/100, 
   IF(F271="☆", ((M7 * 100) / (COUNTIFS(F:F, "☆", E:E, E271) + COUNTIFS(F:F, "☆", E:E, "A1") + IF(E271="A1", COUNTIFS(F:F, "☆", E:E, E2), 0) - IF(E271="A1", COUNTIFS(F:F, "☆", E:E, "A1"), 0)))/100, 
   IF(F271="☆☆", ((M8 * 100) / (COUNTIFS(F:F, "☆☆", E:E, E271) + COUNTIFS(F:F, "☆☆", E:E, "A1") + IF(E271="A1", COUNTIFS(F:F, "☆☆", E:E, E2), 0) - IF(E271="A1", COUNTIFS(F:F, "☆☆", E:E, "A1"), 0)))/100, 
   IF(F271="☆☆☆", ((M9 * 100) / (COUNTIFS(F:F, "☆☆☆", E:E, E271) + COUNTIFS(F:F, "☆☆☆", E:E, "A1") + IF(E271="A1", COUNTIFS(F:F, "☆☆☆", E:E, E2), 0) - IF(E271="A1", COUNTIFS(F:F, "☆☆☆", E:E, "A1"), 0)))/100, 
   IF(F271="♛", ((M10 * 100) / (COUNTIFS(F:F, "♛", E:E, E271) + COUNTIFS(F:F, "♛", E:E, "A1") + IF(E271="A1", COUNTIFS(F:F, "♛", E:E, E2), 0) - IF(E271="A1", COUNTIFS(F:F, "♛", E:E, "A1"), 0)))/100, "")))))))
</f>
        <v>0.0005555555556</v>
      </c>
      <c r="I271" s="129">
        <f>IF(F271="♢♢", ((N4 * 100) / (COUNTIFS(F:F, "♢♢", E:E, E271) + COUNTIFS(F:F, "♢♢", E:E, "A1") + IF(E271="A1", COUNTIFS(F:F, "♢♢", E:E, E2), 0) - IF(E271="A1", COUNTIFS(F:F, "♢♢", E:E, "A1"), 0)))/100, 
   IF(F271="♢♢♢", ((N5 * 100) / (COUNTIFS(F:F, "♢♢♢", E:E, E271) + COUNTIFS(F:F, "♢♢♢", E:E, "A1") + IF(E271="A1", COUNTIFS(F:F, "♢♢♢", E:E, E2), 0) - IF(E271="A1", COUNTIFS(F:F, "♢♢♢", E:E, "A1"), 0)))/100, 
   IF(F271="♢♢♢♢", ((N6 * 100) / (COUNTIFS(F:F, "♢♢♢♢", E:E, E271) + COUNTIFS(F:F, "♢♢♢♢", E:E, "A1") + IF(E271="A1", COUNTIFS(F:F, "♢♢♢♢", E:E, E2), 0) - IF(E271="A1", COUNTIFS(F:F, "♢♢♢♢", E:E, "A1"), 0)))/100, 
   IF(F271="☆", ((N7 * 100) / (COUNTIFS(F:F, "☆", E:E, E271) + COUNTIFS(F:F, "☆", E:E, "A1") + IF(E271="A1", COUNTIFS(F:F, "☆", E:E, E2), 0) - IF(E271="A1", COUNTIFS(F:F, "☆", E:E, "A1"), 0)))/100, 
   IF(F271="☆☆", ((N8 * 100) / (COUNTIFS(F:F, "☆☆", E:E, E271) + COUNTIFS(F:F, "☆☆", E:E, "A1") + IF(E271="A1", COUNTIFS(F:F, "☆☆", E:E, E2), 0) - IF(E271="A1", COUNTIFS(F:F, "☆☆", E:E, "A1"), 0)))/100, 
   IF(F271="☆☆☆", ((N9 * 100) / (COUNTIFS(F:F, "☆☆☆", E:E, E271) + COUNTIFS(F:F, "☆☆☆", E:E, "A1") + IF(E271="A1", COUNTIFS(F:F, "☆☆☆", E:E, E2), 0) - IF(E271="A1", COUNTIFS(F:F, "☆☆☆", E:E, "A1"), 0)))/100, 
   IF(F271="♛", ((N10 * 100) / (COUNTIFS(F:F, "♛", E:E, E271) + COUNTIFS(F:F, "♛", E:E, "A1") + IF(E271="A1", COUNTIFS(F:F, "♛", E:E, E2), 0) - IF(E271="A1", COUNTIFS(F:F, "♛", E:E, "A1"), 0)))/100, "")))))))
</f>
        <v>0.002222222222</v>
      </c>
      <c r="J271" s="131"/>
      <c r="K271" s="247"/>
      <c r="L271" s="20"/>
      <c r="M271" s="150" t="s">
        <v>627</v>
      </c>
      <c r="N271" s="259">
        <f>COUNTIFS(F:F, "♢♢♢♢", E:E, "A1-Mewtwo")</f>
        <v>5</v>
      </c>
      <c r="O271" s="249"/>
    </row>
    <row r="272">
      <c r="A272" s="125" t="b">
        <f t="shared" si="1"/>
        <v>0</v>
      </c>
      <c r="B272" s="126">
        <v>0.0</v>
      </c>
      <c r="C272" s="127" t="s">
        <v>628</v>
      </c>
      <c r="D272" s="127" t="s">
        <v>562</v>
      </c>
      <c r="E272" s="128" t="s">
        <v>31</v>
      </c>
      <c r="F272" s="127" t="s">
        <v>47</v>
      </c>
      <c r="G272" s="130" t="str">
        <f>IF(F272="♢", ((L3 * 100) / (COUNTIFS(F:F, "♢", E:E, E272) + COUNTIFS(F:F, "♢", E:E, "A1") + IF(E272="A1", COUNTIFS(F:F, "♢", E:E, E2), 0) - IF(E272="A1", COUNTIFS(F:F, "♢", E:E, "A1"), 0)))/100, "")
</f>
        <v/>
      </c>
      <c r="H272" s="129">
        <f>IF(F272="♢♢", ((M4 * 100) / (COUNTIFS(F:F, "♢♢", E:E, E272) + COUNTIFS(F:F, "♢♢", E:E, "A1") + IF(E272="A1", COUNTIFS(F:F, "♢♢", E:E, E2), 0) - IF(E272="A1", COUNTIFS(F:F, "♢♢", E:E, "A1"), 0)))/100, 
   IF(F272="♢♢♢", ((M5 * 100) / (COUNTIFS(F:F, "♢♢♢", E:E, E272) + COUNTIFS(F:F, "♢♢♢", E:E, "A1") + IF(E272="A1", COUNTIFS(F:F, "♢♢♢", E:E, E2), 0) - IF(E272="A1", COUNTIFS(F:F, "♢♢♢", E:E, "A1"), 0)))/100, 
   IF(F272="♢♢♢♢", ((M6 * 100) / (COUNTIFS(F:F, "♢♢♢♢", E:E, E272) + COUNTIFS(F:F, "♢♢♢♢", E:E, "A1") + IF(E272="A1", COUNTIFS(F:F, "♢♢♢♢", E:E, E2), 0) - IF(E272="A1", COUNTIFS(F:F, "♢♢♢♢", E:E, "A1"), 0)))/100, 
   IF(F272="☆", ((M7 * 100) / (COUNTIFS(F:F, "☆", E:E, E272) + COUNTIFS(F:F, "☆", E:E, "A1") + IF(E272="A1", COUNTIFS(F:F, "☆", E:E, E2), 0) - IF(E272="A1", COUNTIFS(F:F, "☆", E:E, "A1"), 0)))/100, 
   IF(F272="☆☆", ((M8 * 100) / (COUNTIFS(F:F, "☆☆", E:E, E272) + COUNTIFS(F:F, "☆☆", E:E, "A1") + IF(E272="A1", COUNTIFS(F:F, "☆☆", E:E, E2), 0) - IF(E272="A1", COUNTIFS(F:F, "☆☆", E:E, "A1"), 0)))/100, 
   IF(F272="☆☆☆", ((M9 * 100) / (COUNTIFS(F:F, "☆☆☆", E:E, E272) + COUNTIFS(F:F, "☆☆☆", E:E, "A1") + IF(E272="A1", COUNTIFS(F:F, "☆☆☆", E:E, E2), 0) - IF(E272="A1", COUNTIFS(F:F, "☆☆☆", E:E, "A1"), 0)))/100, 
   IF(F272="♛", ((M10 * 100) / (COUNTIFS(F:F, "♛", E:E, E272) + COUNTIFS(F:F, "♛", E:E, "A1") + IF(E272="A1", COUNTIFS(F:F, "♛", E:E, E2), 0) - IF(E272="A1", COUNTIFS(F:F, "♛", E:E, "A1"), 0)))/100, "")))))))
</f>
        <v>0.0005</v>
      </c>
      <c r="I272" s="129">
        <f>IF(F272="♢♢", ((N4 * 100) / (COUNTIFS(F:F, "♢♢", E:E, E272) + COUNTIFS(F:F, "♢♢", E:E, "A1") + IF(E272="A1", COUNTIFS(F:F, "♢♢", E:E, E2), 0) - IF(E272="A1", COUNTIFS(F:F, "♢♢", E:E, "A1"), 0)))/100, 
   IF(F272="♢♢♢", ((N5 * 100) / (COUNTIFS(F:F, "♢♢♢", E:E, E272) + COUNTIFS(F:F, "♢♢♢", E:E, "A1") + IF(E272="A1", COUNTIFS(F:F, "♢♢♢", E:E, E2), 0) - IF(E272="A1", COUNTIFS(F:F, "♢♢♢", E:E, "A1"), 0)))/100, 
   IF(F272="♢♢♢♢", ((N6 * 100) / (COUNTIFS(F:F, "♢♢♢♢", E:E, E272) + COUNTIFS(F:F, "♢♢♢♢", E:E, "A1") + IF(E272="A1", COUNTIFS(F:F, "♢♢♢♢", E:E, E2), 0) - IF(E272="A1", COUNTIFS(F:F, "♢♢♢♢", E:E, "A1"), 0)))/100, 
   IF(F272="☆", ((N7 * 100) / (COUNTIFS(F:F, "☆", E:E, E272) + COUNTIFS(F:F, "☆", E:E, "A1") + IF(E272="A1", COUNTIFS(F:F, "☆", E:E, E2), 0) - IF(E272="A1", COUNTIFS(F:F, "☆", E:E, "A1"), 0)))/100, 
   IF(F272="☆☆", ((N8 * 100) / (COUNTIFS(F:F, "☆☆", E:E, E272) + COUNTIFS(F:F, "☆☆", E:E, "A1") + IF(E272="A1", COUNTIFS(F:F, "☆☆", E:E, E2), 0) - IF(E272="A1", COUNTIFS(F:F, "☆☆", E:E, "A1"), 0)))/100, 
   IF(F272="☆☆☆", ((N9 * 100) / (COUNTIFS(F:F, "☆☆☆", E:E, E272) + COUNTIFS(F:F, "☆☆☆", E:E, "A1") + IF(E272="A1", COUNTIFS(F:F, "☆☆☆", E:E, E2), 0) - IF(E272="A1", COUNTIFS(F:F, "☆☆☆", E:E, "A1"), 0)))/100, 
   IF(F272="♛", ((N10 * 100) / (COUNTIFS(F:F, "♛", E:E, E272) + COUNTIFS(F:F, "♛", E:E, "A1") + IF(E272="A1", COUNTIFS(F:F, "♛", E:E, E2), 0) - IF(E272="A1", COUNTIFS(F:F, "♛", E:E, "A1"), 0)))/100, "")))))))
</f>
        <v>0.002</v>
      </c>
      <c r="J272" s="131"/>
      <c r="K272" s="247"/>
      <c r="L272" s="20"/>
      <c r="M272" s="150" t="s">
        <v>629</v>
      </c>
      <c r="N272" s="259">
        <f>COUNTIFS(F:F, "♢♢♢♢", E:E, "A1-Pikachu")</f>
        <v>5</v>
      </c>
      <c r="O272" s="249"/>
    </row>
    <row r="273">
      <c r="A273" s="125" t="b">
        <f t="shared" si="1"/>
        <v>0</v>
      </c>
      <c r="B273" s="126">
        <v>0.0</v>
      </c>
      <c r="C273" s="127" t="s">
        <v>630</v>
      </c>
      <c r="D273" s="127" t="s">
        <v>564</v>
      </c>
      <c r="E273" s="128" t="s">
        <v>32</v>
      </c>
      <c r="F273" s="127" t="s">
        <v>47</v>
      </c>
      <c r="G273" s="130" t="str">
        <f>IF(F273="♢", ((L3 * 100) / (COUNTIFS(F:F, "♢", E:E, E273) + COUNTIFS(F:F, "♢", E:E, "A1") + IF(E273="A1", COUNTIFS(F:F, "♢", E:E, E2), 0) - IF(E273="A1", COUNTIFS(F:F, "♢", E:E, "A1"), 0)))/100, "")
</f>
        <v/>
      </c>
      <c r="H273" s="129">
        <f>IF(F273="♢♢", ((M4 * 100) / (COUNTIFS(F:F, "♢♢", E:E, E273) + COUNTIFS(F:F, "♢♢", E:E, "A1") + IF(E273="A1", COUNTIFS(F:F, "♢♢", E:E, E2), 0) - IF(E273="A1", COUNTIFS(F:F, "♢♢", E:E, "A1"), 0)))/100, 
   IF(F273="♢♢♢", ((M5 * 100) / (COUNTIFS(F:F, "♢♢♢", E:E, E273) + COUNTIFS(F:F, "♢♢♢", E:E, "A1") + IF(E273="A1", COUNTIFS(F:F, "♢♢♢", E:E, E2), 0) - IF(E273="A1", COUNTIFS(F:F, "♢♢♢", E:E, "A1"), 0)))/100, 
   IF(F273="♢♢♢♢", ((M6 * 100) / (COUNTIFS(F:F, "♢♢♢♢", E:E, E273) + COUNTIFS(F:F, "♢♢♢♢", E:E, "A1") + IF(E273="A1", COUNTIFS(F:F, "♢♢♢♢", E:E, E2), 0) - IF(E273="A1", COUNTIFS(F:F, "♢♢♢♢", E:E, "A1"), 0)))/100, 
   IF(F273="☆", ((M7 * 100) / (COUNTIFS(F:F, "☆", E:E, E273) + COUNTIFS(F:F, "☆", E:E, "A1") + IF(E273="A1", COUNTIFS(F:F, "☆", E:E, E2), 0) - IF(E273="A1", COUNTIFS(F:F, "☆", E:E, "A1"), 0)))/100, 
   IF(F273="☆☆", ((M8 * 100) / (COUNTIFS(F:F, "☆☆", E:E, E273) + COUNTIFS(F:F, "☆☆", E:E, "A1") + IF(E273="A1", COUNTIFS(F:F, "☆☆", E:E, E2), 0) - IF(E273="A1", COUNTIFS(F:F, "☆☆", E:E, "A1"), 0)))/100, 
   IF(F273="☆☆☆", ((M9 * 100) / (COUNTIFS(F:F, "☆☆☆", E:E, E273) + COUNTIFS(F:F, "☆☆☆", E:E, "A1") + IF(E273="A1", COUNTIFS(F:F, "☆☆☆", E:E, E2), 0) - IF(E273="A1", COUNTIFS(F:F, "☆☆☆", E:E, "A1"), 0)))/100, 
   IF(F273="♛", ((M10 * 100) / (COUNTIFS(F:F, "♛", E:E, E273) + COUNTIFS(F:F, "♛", E:E, "A1") + IF(E273="A1", COUNTIFS(F:F, "♛", E:E, E2), 0) - IF(E273="A1", COUNTIFS(F:F, "♛", E:E, "A1"), 0)))/100, "")))))))
</f>
        <v>0.0005</v>
      </c>
      <c r="I273" s="129">
        <f>IF(F273="♢♢", ((N4 * 100) / (COUNTIFS(F:F, "♢♢", E:E, E273) + COUNTIFS(F:F, "♢♢", E:E, "A1") + IF(E273="A1", COUNTIFS(F:F, "♢♢", E:E, E2), 0) - IF(E273="A1", COUNTIFS(F:F, "♢♢", E:E, "A1"), 0)))/100, 
   IF(F273="♢♢♢", ((N5 * 100) / (COUNTIFS(F:F, "♢♢♢", E:E, E273) + COUNTIFS(F:F, "♢♢♢", E:E, "A1") + IF(E273="A1", COUNTIFS(F:F, "♢♢♢", E:E, E2), 0) - IF(E273="A1", COUNTIFS(F:F, "♢♢♢", E:E, "A1"), 0)))/100, 
   IF(F273="♢♢♢♢", ((N6 * 100) / (COUNTIFS(F:F, "♢♢♢♢", E:E, E273) + COUNTIFS(F:F, "♢♢♢♢", E:E, "A1") + IF(E273="A1", COUNTIFS(F:F, "♢♢♢♢", E:E, E2), 0) - IF(E273="A1", COUNTIFS(F:F, "♢♢♢♢", E:E, "A1"), 0)))/100, 
   IF(F273="☆", ((N7 * 100) / (COUNTIFS(F:F, "☆", E:E, E273) + COUNTIFS(F:F, "☆", E:E, "A1") + IF(E273="A1", COUNTIFS(F:F, "☆", E:E, E2), 0) - IF(E273="A1", COUNTIFS(F:F, "☆", E:E, "A1"), 0)))/100, 
   IF(F273="☆☆", ((N8 * 100) / (COUNTIFS(F:F, "☆☆", E:E, E273) + COUNTIFS(F:F, "☆☆", E:E, "A1") + IF(E273="A1", COUNTIFS(F:F, "☆☆", E:E, E2), 0) - IF(E273="A1", COUNTIFS(F:F, "☆☆", E:E, "A1"), 0)))/100, 
   IF(F273="☆☆☆", ((N9 * 100) / (COUNTIFS(F:F, "☆☆☆", E:E, E273) + COUNTIFS(F:F, "☆☆☆", E:E, "A1") + IF(E273="A1", COUNTIFS(F:F, "☆☆☆", E:E, E2), 0) - IF(E273="A1", COUNTIFS(F:F, "☆☆☆", E:E, "A1"), 0)))/100, 
   IF(F273="♛", ((N10 * 100) / (COUNTIFS(F:F, "♛", E:E, E273) + COUNTIFS(F:F, "♛", E:E, "A1") + IF(E273="A1", COUNTIFS(F:F, "♛", E:E, E2), 0) - IF(E273="A1", COUNTIFS(F:F, "♛", E:E, "A1"), 0)))/100, "")))))))
</f>
        <v>0.002</v>
      </c>
      <c r="J273" s="131"/>
      <c r="K273" s="247"/>
      <c r="L273" s="20"/>
      <c r="M273" s="150" t="s">
        <v>631</v>
      </c>
      <c r="N273" s="259">
        <f>COUNTIFS(F:F, "♢♢♢♢", E:E, "A1-Charizard")</f>
        <v>5</v>
      </c>
      <c r="O273" s="249"/>
    </row>
    <row r="274">
      <c r="A274" s="125" t="b">
        <f t="shared" si="1"/>
        <v>0</v>
      </c>
      <c r="B274" s="126">
        <v>0.0</v>
      </c>
      <c r="C274" s="127" t="s">
        <v>632</v>
      </c>
      <c r="D274" s="127" t="s">
        <v>566</v>
      </c>
      <c r="E274" s="128" t="s">
        <v>31</v>
      </c>
      <c r="F274" s="127" t="s">
        <v>47</v>
      </c>
      <c r="G274" s="130" t="str">
        <f>IF(F274="♢", ((L3 * 100) / (COUNTIFS(F:F, "♢", E:E, E274) + COUNTIFS(F:F, "♢", E:E, "A1") + IF(E274="A1", COUNTIFS(F:F, "♢", E:E, E2), 0) - IF(E274="A1", COUNTIFS(F:F, "♢", E:E, "A1"), 0)))/100, "")
</f>
        <v/>
      </c>
      <c r="H274" s="129">
        <f>IF(F274="♢♢", ((M4 * 100) / (COUNTIFS(F:F, "♢♢", E:E, E274) + COUNTIFS(F:F, "♢♢", E:E, "A1") + IF(E274="A1", COUNTIFS(F:F, "♢♢", E:E, E2), 0) - IF(E274="A1", COUNTIFS(F:F, "♢♢", E:E, "A1"), 0)))/100, 
   IF(F274="♢♢♢", ((M5 * 100) / (COUNTIFS(F:F, "♢♢♢", E:E, E274) + COUNTIFS(F:F, "♢♢♢", E:E, "A1") + IF(E274="A1", COUNTIFS(F:F, "♢♢♢", E:E, E2), 0) - IF(E274="A1", COUNTIFS(F:F, "♢♢♢", E:E, "A1"), 0)))/100, 
   IF(F274="♢♢♢♢", ((M6 * 100) / (COUNTIFS(F:F, "♢♢♢♢", E:E, E274) + COUNTIFS(F:F, "♢♢♢♢", E:E, "A1") + IF(E274="A1", COUNTIFS(F:F, "♢♢♢♢", E:E, E2), 0) - IF(E274="A1", COUNTIFS(F:F, "♢♢♢♢", E:E, "A1"), 0)))/100, 
   IF(F274="☆", ((M7 * 100) / (COUNTIFS(F:F, "☆", E:E, E274) + COUNTIFS(F:F, "☆", E:E, "A1") + IF(E274="A1", COUNTIFS(F:F, "☆", E:E, E2), 0) - IF(E274="A1", COUNTIFS(F:F, "☆", E:E, "A1"), 0)))/100, 
   IF(F274="☆☆", ((M8 * 100) / (COUNTIFS(F:F, "☆☆", E:E, E274) + COUNTIFS(F:F, "☆☆", E:E, "A1") + IF(E274="A1", COUNTIFS(F:F, "☆☆", E:E, E2), 0) - IF(E274="A1", COUNTIFS(F:F, "☆☆", E:E, "A1"), 0)))/100, 
   IF(F274="☆☆☆", ((M9 * 100) / (COUNTIFS(F:F, "☆☆☆", E:E, E274) + COUNTIFS(F:F, "☆☆☆", E:E, "A1") + IF(E274="A1", COUNTIFS(F:F, "☆☆☆", E:E, E2), 0) - IF(E274="A1", COUNTIFS(F:F, "☆☆☆", E:E, "A1"), 0)))/100, 
   IF(F274="♛", ((M10 * 100) / (COUNTIFS(F:F, "♛", E:E, E274) + COUNTIFS(F:F, "♛", E:E, "A1") + IF(E274="A1", COUNTIFS(F:F, "♛", E:E, E2), 0) - IF(E274="A1", COUNTIFS(F:F, "♛", E:E, "A1"), 0)))/100, "")))))))
</f>
        <v>0.0005</v>
      </c>
      <c r="I274" s="129">
        <f>IF(F274="♢♢", ((N4 * 100) / (COUNTIFS(F:F, "♢♢", E:E, E274) + COUNTIFS(F:F, "♢♢", E:E, "A1") + IF(E274="A1", COUNTIFS(F:F, "♢♢", E:E, E2), 0) - IF(E274="A1", COUNTIFS(F:F, "♢♢", E:E, "A1"), 0)))/100, 
   IF(F274="♢♢♢", ((N5 * 100) / (COUNTIFS(F:F, "♢♢♢", E:E, E274) + COUNTIFS(F:F, "♢♢♢", E:E, "A1") + IF(E274="A1", COUNTIFS(F:F, "♢♢♢", E:E, E2), 0) - IF(E274="A1", COUNTIFS(F:F, "♢♢♢", E:E, "A1"), 0)))/100, 
   IF(F274="♢♢♢♢", ((N6 * 100) / (COUNTIFS(F:F, "♢♢♢♢", E:E, E274) + COUNTIFS(F:F, "♢♢♢♢", E:E, "A1") + IF(E274="A1", COUNTIFS(F:F, "♢♢♢♢", E:E, E2), 0) - IF(E274="A1", COUNTIFS(F:F, "♢♢♢♢", E:E, "A1"), 0)))/100, 
   IF(F274="☆", ((N7 * 100) / (COUNTIFS(F:F, "☆", E:E, E274) + COUNTIFS(F:F, "☆", E:E, "A1") + IF(E274="A1", COUNTIFS(F:F, "☆", E:E, E2), 0) - IF(E274="A1", COUNTIFS(F:F, "☆", E:E, "A1"), 0)))/100, 
   IF(F274="☆☆", ((N8 * 100) / (COUNTIFS(F:F, "☆☆", E:E, E274) + COUNTIFS(F:F, "☆☆", E:E, "A1") + IF(E274="A1", COUNTIFS(F:F, "☆☆", E:E, E2), 0) - IF(E274="A1", COUNTIFS(F:F, "☆☆", E:E, "A1"), 0)))/100, 
   IF(F274="☆☆☆", ((N9 * 100) / (COUNTIFS(F:F, "☆☆☆", E:E, E274) + COUNTIFS(F:F, "☆☆☆", E:E, "A1") + IF(E274="A1", COUNTIFS(F:F, "☆☆☆", E:E, E2), 0) - IF(E274="A1", COUNTIFS(F:F, "☆☆☆", E:E, "A1"), 0)))/100, 
   IF(F274="♛", ((N10 * 100) / (COUNTIFS(F:F, "♛", E:E, E274) + COUNTIFS(F:F, "♛", E:E, "A1") + IF(E274="A1", COUNTIFS(F:F, "♛", E:E, E2), 0) - IF(E274="A1", COUNTIFS(F:F, "♛", E:E, "A1"), 0)))/100, "")))))))
</f>
        <v>0.002</v>
      </c>
      <c r="J274" s="131"/>
      <c r="K274" s="247"/>
      <c r="L274" s="20"/>
      <c r="M274" s="150" t="s">
        <v>633</v>
      </c>
      <c r="N274" s="259">
        <f>COUNTIFS(F:F, "♢♢♢♢", E:E, "A1")</f>
        <v>0</v>
      </c>
      <c r="O274" s="249"/>
    </row>
    <row r="275">
      <c r="A275" s="125" t="b">
        <f t="shared" si="1"/>
        <v>0</v>
      </c>
      <c r="B275" s="126">
        <v>0.0</v>
      </c>
      <c r="C275" s="127" t="s">
        <v>634</v>
      </c>
      <c r="D275" s="128" t="s">
        <v>188</v>
      </c>
      <c r="E275" s="128" t="s">
        <v>32</v>
      </c>
      <c r="F275" s="127" t="s">
        <v>47</v>
      </c>
      <c r="G275" s="130" t="str">
        <f>IF(F275="♢", ((L3 * 100) / (COUNTIFS(F:F, "♢", E:E, E275) + COUNTIFS(F:F, "♢", E:E, "A1") + IF(E275="A1", COUNTIFS(F:F, "♢", E:E, E2), 0) - IF(E275="A1", COUNTIFS(F:F, "♢", E:E, "A1"), 0)))/100, "")
</f>
        <v/>
      </c>
      <c r="H275" s="129">
        <f>IF(F275="♢♢", ((M4 * 100) / (COUNTIFS(F:F, "♢♢", E:E, E275) + COUNTIFS(F:F, "♢♢", E:E, "A1") + IF(E275="A1", COUNTIFS(F:F, "♢♢", E:E, E2), 0) - IF(E275="A1", COUNTIFS(F:F, "♢♢", E:E, "A1"), 0)))/100, 
   IF(F275="♢♢♢", ((M5 * 100) / (COUNTIFS(F:F, "♢♢♢", E:E, E275) + COUNTIFS(F:F, "♢♢♢", E:E, "A1") + IF(E275="A1", COUNTIFS(F:F, "♢♢♢", E:E, E2), 0) - IF(E275="A1", COUNTIFS(F:F, "♢♢♢", E:E, "A1"), 0)))/100, 
   IF(F275="♢♢♢♢", ((M6 * 100) / (COUNTIFS(F:F, "♢♢♢♢", E:E, E275) + COUNTIFS(F:F, "♢♢♢♢", E:E, "A1") + IF(E275="A1", COUNTIFS(F:F, "♢♢♢♢", E:E, E2), 0) - IF(E275="A1", COUNTIFS(F:F, "♢♢♢♢", E:E, "A1"), 0)))/100, 
   IF(F275="☆", ((M7 * 100) / (COUNTIFS(F:F, "☆", E:E, E275) + COUNTIFS(F:F, "☆", E:E, "A1") + IF(E275="A1", COUNTIFS(F:F, "☆", E:E, E2), 0) - IF(E275="A1", COUNTIFS(F:F, "☆", E:E, "A1"), 0)))/100, 
   IF(F275="☆☆", ((M8 * 100) / (COUNTIFS(F:F, "☆☆", E:E, E275) + COUNTIFS(F:F, "☆☆", E:E, "A1") + IF(E275="A1", COUNTIFS(F:F, "☆☆", E:E, E2), 0) - IF(E275="A1", COUNTIFS(F:F, "☆☆", E:E, "A1"), 0)))/100, 
   IF(F275="☆☆☆", ((M9 * 100) / (COUNTIFS(F:F, "☆☆☆", E:E, E275) + COUNTIFS(F:F, "☆☆☆", E:E, "A1") + IF(E275="A1", COUNTIFS(F:F, "☆☆☆", E:E, E2), 0) - IF(E275="A1", COUNTIFS(F:F, "☆☆☆", E:E, "A1"), 0)))/100, 
   IF(F275="♛", ((M10 * 100) / (COUNTIFS(F:F, "♛", E:E, E275) + COUNTIFS(F:F, "♛", E:E, "A1") + IF(E275="A1", COUNTIFS(F:F, "♛", E:E, E2), 0) - IF(E275="A1", COUNTIFS(F:F, "♛", E:E, "A1"), 0)))/100, "")))))))
</f>
        <v>0.0005</v>
      </c>
      <c r="I275" s="129">
        <f>IF(F275="♢♢", ((N4 * 100) / (COUNTIFS(F:F, "♢♢", E:E, E275) + COUNTIFS(F:F, "♢♢", E:E, "A1") + IF(E275="A1", COUNTIFS(F:F, "♢♢", E:E, E2), 0) - IF(E275="A1", COUNTIFS(F:F, "♢♢", E:E, "A1"), 0)))/100, 
   IF(F275="♢♢♢", ((N5 * 100) / (COUNTIFS(F:F, "♢♢♢", E:E, E275) + COUNTIFS(F:F, "♢♢♢", E:E, "A1") + IF(E275="A1", COUNTIFS(F:F, "♢♢♢", E:E, E2), 0) - IF(E275="A1", COUNTIFS(F:F, "♢♢♢", E:E, "A1"), 0)))/100, 
   IF(F275="♢♢♢♢", ((N6 * 100) / (COUNTIFS(F:F, "♢♢♢♢", E:E, E275) + COUNTIFS(F:F, "♢♢♢♢", E:E, "A1") + IF(E275="A1", COUNTIFS(F:F, "♢♢♢♢", E:E, E2), 0) - IF(E275="A1", COUNTIFS(F:F, "♢♢♢♢", E:E, "A1"), 0)))/100, 
   IF(F275="☆", ((N7 * 100) / (COUNTIFS(F:F, "☆", E:E, E275) + COUNTIFS(F:F, "☆", E:E, "A1") + IF(E275="A1", COUNTIFS(F:F, "☆", E:E, E2), 0) - IF(E275="A1", COUNTIFS(F:F, "☆", E:E, "A1"), 0)))/100, 
   IF(F275="☆☆", ((N8 * 100) / (COUNTIFS(F:F, "☆☆", E:E, E275) + COUNTIFS(F:F, "☆☆", E:E, "A1") + IF(E275="A1", COUNTIFS(F:F, "☆☆", E:E, E2), 0) - IF(E275="A1", COUNTIFS(F:F, "☆☆", E:E, "A1"), 0)))/100, 
   IF(F275="☆☆☆", ((N9 * 100) / (COUNTIFS(F:F, "☆☆☆", E:E, E275) + COUNTIFS(F:F, "☆☆☆", E:E, "A1") + IF(E275="A1", COUNTIFS(F:F, "☆☆☆", E:E, E2), 0) - IF(E275="A1", COUNTIFS(F:F, "☆☆☆", E:E, "A1"), 0)))/100, 
   IF(F275="♛", ((N10 * 100) / (COUNTIFS(F:F, "♛", E:E, E275) + COUNTIFS(F:F, "♛", E:E, "A1") + IF(E275="A1", COUNTIFS(F:F, "♛", E:E, E2), 0) - IF(E275="A1", COUNTIFS(F:F, "♛", E:E, "A1"), 0)))/100, "")))))))
</f>
        <v>0.002</v>
      </c>
      <c r="J275" s="131"/>
      <c r="K275" s="247"/>
      <c r="L275" s="20"/>
      <c r="M275" s="150" t="s">
        <v>635</v>
      </c>
      <c r="N275" s="259">
        <f>COUNTIFS(F:F, "☆", E:E, "A1-Mewtwo")</f>
        <v>8</v>
      </c>
      <c r="O275" s="249"/>
    </row>
    <row r="276">
      <c r="A276" s="125" t="b">
        <f t="shared" si="1"/>
        <v>0</v>
      </c>
      <c r="B276" s="126">
        <v>0.0</v>
      </c>
      <c r="C276" s="127" t="s">
        <v>636</v>
      </c>
      <c r="D276" s="128" t="s">
        <v>276</v>
      </c>
      <c r="E276" s="128" t="s">
        <v>29</v>
      </c>
      <c r="F276" s="127" t="s">
        <v>47</v>
      </c>
      <c r="G276" s="130" t="str">
        <f>IF(F276="♢", ((L3 * 100) / (COUNTIFS(F:F, "♢", E:E, E276) + COUNTIFS(F:F, "♢", E:E, "A1") + IF(E276="A1", COUNTIFS(F:F, "♢", E:E, E2), 0) - IF(E276="A1", COUNTIFS(F:F, "♢", E:E, "A1"), 0)))/100, "")
</f>
        <v/>
      </c>
      <c r="H276" s="129">
        <f>IF(F276="♢♢", ((M4 * 100) / (COUNTIFS(F:F, "♢♢", E:E, E276) + COUNTIFS(F:F, "♢♢", E:E, "A1") + IF(E276="A1", COUNTIFS(F:F, "♢♢", E:E, E2), 0) - IF(E276="A1", COUNTIFS(F:F, "♢♢", E:E, "A1"), 0)))/100, 
   IF(F276="♢♢♢", ((M5 * 100) / (COUNTIFS(F:F, "♢♢♢", E:E, E276) + COUNTIFS(F:F, "♢♢♢", E:E, "A1") + IF(E276="A1", COUNTIFS(F:F, "♢♢♢", E:E, E2), 0) - IF(E276="A1", COUNTIFS(F:F, "♢♢♢", E:E, "A1"), 0)))/100, 
   IF(F276="♢♢♢♢", ((M6 * 100) / (COUNTIFS(F:F, "♢♢♢♢", E:E, E276) + COUNTIFS(F:F, "♢♢♢♢", E:E, "A1") + IF(E276="A1", COUNTIFS(F:F, "♢♢♢♢", E:E, E2), 0) - IF(E276="A1", COUNTIFS(F:F, "♢♢♢♢", E:E, "A1"), 0)))/100, 
   IF(F276="☆", ((M7 * 100) / (COUNTIFS(F:F, "☆", E:E, E276) + COUNTIFS(F:F, "☆", E:E, "A1") + IF(E276="A1", COUNTIFS(F:F, "☆", E:E, E2), 0) - IF(E276="A1", COUNTIFS(F:F, "☆", E:E, "A1"), 0)))/100, 
   IF(F276="☆☆", ((M8 * 100) / (COUNTIFS(F:F, "☆☆", E:E, E276) + COUNTIFS(F:F, "☆☆", E:E, "A1") + IF(E276="A1", COUNTIFS(F:F, "☆☆", E:E, E2), 0) - IF(E276="A1", COUNTIFS(F:F, "☆☆", E:E, "A1"), 0)))/100, 
   IF(F276="☆☆☆", ((M9 * 100) / (COUNTIFS(F:F, "☆☆☆", E:E, E276) + COUNTIFS(F:F, "☆☆☆", E:E, "A1") + IF(E276="A1", COUNTIFS(F:F, "☆☆☆", E:E, E2), 0) - IF(E276="A1", COUNTIFS(F:F, "☆☆☆", E:E, "A1"), 0)))/100, 
   IF(F276="♛", ((M10 * 100) / (COUNTIFS(F:F, "♛", E:E, E276) + COUNTIFS(F:F, "♛", E:E, "A1") + IF(E276="A1", COUNTIFS(F:F, "♛", E:E, E2), 0) - IF(E276="A1", COUNTIFS(F:F, "♛", E:E, "A1"), 0)))/100, "")))))))
</f>
        <v>0.0005555555556</v>
      </c>
      <c r="I276" s="129">
        <f>IF(F276="♢♢", ((N4 * 100) / (COUNTIFS(F:F, "♢♢", E:E, E276) + COUNTIFS(F:F, "♢♢", E:E, "A1") + IF(E276="A1", COUNTIFS(F:F, "♢♢", E:E, E2), 0) - IF(E276="A1", COUNTIFS(F:F, "♢♢", E:E, "A1"), 0)))/100, 
   IF(F276="♢♢♢", ((N5 * 100) / (COUNTIFS(F:F, "♢♢♢", E:E, E276) + COUNTIFS(F:F, "♢♢♢", E:E, "A1") + IF(E276="A1", COUNTIFS(F:F, "♢♢♢", E:E, E2), 0) - IF(E276="A1", COUNTIFS(F:F, "♢♢♢", E:E, "A1"), 0)))/100, 
   IF(F276="♢♢♢♢", ((N6 * 100) / (COUNTIFS(F:F, "♢♢♢♢", E:E, E276) + COUNTIFS(F:F, "♢♢♢♢", E:E, "A1") + IF(E276="A1", COUNTIFS(F:F, "♢♢♢♢", E:E, E2), 0) - IF(E276="A1", COUNTIFS(F:F, "♢♢♢♢", E:E, "A1"), 0)))/100, 
   IF(F276="☆", ((N7 * 100) / (COUNTIFS(F:F, "☆", E:E, E276) + COUNTIFS(F:F, "☆", E:E, "A1") + IF(E276="A1", COUNTIFS(F:F, "☆", E:E, E2), 0) - IF(E276="A1", COUNTIFS(F:F, "☆", E:E, "A1"), 0)))/100, 
   IF(F276="☆☆", ((N8 * 100) / (COUNTIFS(F:F, "☆☆", E:E, E276) + COUNTIFS(F:F, "☆☆", E:E, "A1") + IF(E276="A1", COUNTIFS(F:F, "☆☆", E:E, E2), 0) - IF(E276="A1", COUNTIFS(F:F, "☆☆", E:E, "A1"), 0)))/100, 
   IF(F276="☆☆☆", ((N9 * 100) / (COUNTIFS(F:F, "☆☆☆", E:E, E276) + COUNTIFS(F:F, "☆☆☆", E:E, "A1") + IF(E276="A1", COUNTIFS(F:F, "☆☆☆", E:E, E2), 0) - IF(E276="A1", COUNTIFS(F:F, "☆☆☆", E:E, "A1"), 0)))/100, 
   IF(F276="♛", ((N10 * 100) / (COUNTIFS(F:F, "♛", E:E, E276) + COUNTIFS(F:F, "♛", E:E, "A1") + IF(E276="A1", COUNTIFS(F:F, "♛", E:E, E2), 0) - IF(E276="A1", COUNTIFS(F:F, "♛", E:E, "A1"), 0)))/100, "")))))))
</f>
        <v>0.002222222222</v>
      </c>
      <c r="J276" s="131"/>
      <c r="K276" s="247"/>
      <c r="L276" s="20"/>
      <c r="M276" s="150" t="s">
        <v>637</v>
      </c>
      <c r="N276" s="259">
        <f>COUNTIFS(F:F, "☆", E:E, "A1-Pikachu")</f>
        <v>8</v>
      </c>
      <c r="O276" s="249"/>
    </row>
    <row r="277">
      <c r="A277" s="125" t="b">
        <f t="shared" si="1"/>
        <v>0</v>
      </c>
      <c r="B277" s="126">
        <v>0.0</v>
      </c>
      <c r="C277" s="127" t="s">
        <v>638</v>
      </c>
      <c r="D277" s="128" t="s">
        <v>319</v>
      </c>
      <c r="E277" s="128" t="s">
        <v>31</v>
      </c>
      <c r="F277" s="127" t="s">
        <v>47</v>
      </c>
      <c r="G277" s="130" t="str">
        <f>IF(F277="♢", ((L3 * 100) / (COUNTIFS(F:F, "♢", E:E, E277) + COUNTIFS(F:F, "♢", E:E, "A1") + IF(E277="A1", COUNTIFS(F:F, "♢", E:E, E2), 0) - IF(E277="A1", COUNTIFS(F:F, "♢", E:E, "A1"), 0)))/100, "")
</f>
        <v/>
      </c>
      <c r="H277" s="129">
        <f>IF(F277="♢♢", ((M4 * 100) / (COUNTIFS(F:F, "♢♢", E:E, E277) + COUNTIFS(F:F, "♢♢", E:E, "A1") + IF(E277="A1", COUNTIFS(F:F, "♢♢", E:E, E2), 0) - IF(E277="A1", COUNTIFS(F:F, "♢♢", E:E, "A1"), 0)))/100, 
   IF(F277="♢♢♢", ((M5 * 100) / (COUNTIFS(F:F, "♢♢♢", E:E, E277) + COUNTIFS(F:F, "♢♢♢", E:E, "A1") + IF(E277="A1", COUNTIFS(F:F, "♢♢♢", E:E, E2), 0) - IF(E277="A1", COUNTIFS(F:F, "♢♢♢", E:E, "A1"), 0)))/100, 
   IF(F277="♢♢♢♢", ((M6 * 100) / (COUNTIFS(F:F, "♢♢♢♢", E:E, E277) + COUNTIFS(F:F, "♢♢♢♢", E:E, "A1") + IF(E277="A1", COUNTIFS(F:F, "♢♢♢♢", E:E, E2), 0) - IF(E277="A1", COUNTIFS(F:F, "♢♢♢♢", E:E, "A1"), 0)))/100, 
   IF(F277="☆", ((M7 * 100) / (COUNTIFS(F:F, "☆", E:E, E277) + COUNTIFS(F:F, "☆", E:E, "A1") + IF(E277="A1", COUNTIFS(F:F, "☆", E:E, E2), 0) - IF(E277="A1", COUNTIFS(F:F, "☆", E:E, "A1"), 0)))/100, 
   IF(F277="☆☆", ((M8 * 100) / (COUNTIFS(F:F, "☆☆", E:E, E277) + COUNTIFS(F:F, "☆☆", E:E, "A1") + IF(E277="A1", COUNTIFS(F:F, "☆☆", E:E, E2), 0) - IF(E277="A1", COUNTIFS(F:F, "☆☆", E:E, "A1"), 0)))/100, 
   IF(F277="☆☆☆", ((M9 * 100) / (COUNTIFS(F:F, "☆☆☆", E:E, E277) + COUNTIFS(F:F, "☆☆☆", E:E, "A1") + IF(E277="A1", COUNTIFS(F:F, "☆☆☆", E:E, E2), 0) - IF(E277="A1", COUNTIFS(F:F, "☆☆☆", E:E, "A1"), 0)))/100, 
   IF(F277="♛", ((M10 * 100) / (COUNTIFS(F:F, "♛", E:E, E277) + COUNTIFS(F:F, "♛", E:E, "A1") + IF(E277="A1", COUNTIFS(F:F, "♛", E:E, E2), 0) - IF(E277="A1", COUNTIFS(F:F, "♛", E:E, "A1"), 0)))/100, "")))))))
</f>
        <v>0.0005</v>
      </c>
      <c r="I277" s="129">
        <f>IF(F277="♢♢", ((N4 * 100) / (COUNTIFS(F:F, "♢♢", E:E, E277) + COUNTIFS(F:F, "♢♢", E:E, "A1") + IF(E277="A1", COUNTIFS(F:F, "♢♢", E:E, E2), 0) - IF(E277="A1", COUNTIFS(F:F, "♢♢", E:E, "A1"), 0)))/100, 
   IF(F277="♢♢♢", ((N5 * 100) / (COUNTIFS(F:F, "♢♢♢", E:E, E277) + COUNTIFS(F:F, "♢♢♢", E:E, "A1") + IF(E277="A1", COUNTIFS(F:F, "♢♢♢", E:E, E2), 0) - IF(E277="A1", COUNTIFS(F:F, "♢♢♢", E:E, "A1"), 0)))/100, 
   IF(F277="♢♢♢♢", ((N6 * 100) / (COUNTIFS(F:F, "♢♢♢♢", E:E, E277) + COUNTIFS(F:F, "♢♢♢♢", E:E, "A1") + IF(E277="A1", COUNTIFS(F:F, "♢♢♢♢", E:E, E2), 0) - IF(E277="A1", COUNTIFS(F:F, "♢♢♢♢", E:E, "A1"), 0)))/100, 
   IF(F277="☆", ((N7 * 100) / (COUNTIFS(F:F, "☆", E:E, E277) + COUNTIFS(F:F, "☆", E:E, "A1") + IF(E277="A1", COUNTIFS(F:F, "☆", E:E, E2), 0) - IF(E277="A1", COUNTIFS(F:F, "☆", E:E, "A1"), 0)))/100, 
   IF(F277="☆☆", ((N8 * 100) / (COUNTIFS(F:F, "☆☆", E:E, E277) + COUNTIFS(F:F, "☆☆", E:E, "A1") + IF(E277="A1", COUNTIFS(F:F, "☆☆", E:E, E2), 0) - IF(E277="A1", COUNTIFS(F:F, "☆☆", E:E, "A1"), 0)))/100, 
   IF(F277="☆☆☆", ((N9 * 100) / (COUNTIFS(F:F, "☆☆☆", E:E, E277) + COUNTIFS(F:F, "☆☆☆", E:E, "A1") + IF(E277="A1", COUNTIFS(F:F, "☆☆☆", E:E, E2), 0) - IF(E277="A1", COUNTIFS(F:F, "☆☆☆", E:E, "A1"), 0)))/100, 
   IF(F277="♛", ((N10 * 100) / (COUNTIFS(F:F, "♛", E:E, E277) + COUNTIFS(F:F, "♛", E:E, "A1") + IF(E277="A1", COUNTIFS(F:F, "♛", E:E, E2), 0) - IF(E277="A1", COUNTIFS(F:F, "♛", E:E, "A1"), 0)))/100, "")))))))
</f>
        <v>0.002</v>
      </c>
      <c r="J277" s="131"/>
      <c r="K277" s="247"/>
      <c r="L277" s="20"/>
      <c r="M277" s="150" t="s">
        <v>639</v>
      </c>
      <c r="N277" s="259">
        <f>COUNTIFS(F:F, "☆", E:E, "A1-Charizard")</f>
        <v>8</v>
      </c>
      <c r="O277" s="249"/>
    </row>
    <row r="278">
      <c r="A278" s="125" t="b">
        <f t="shared" si="1"/>
        <v>0</v>
      </c>
      <c r="B278" s="126">
        <v>0.0</v>
      </c>
      <c r="C278" s="127" t="s">
        <v>640</v>
      </c>
      <c r="D278" s="128" t="s">
        <v>359</v>
      </c>
      <c r="E278" s="128" t="s">
        <v>29</v>
      </c>
      <c r="F278" s="127" t="s">
        <v>47</v>
      </c>
      <c r="G278" s="130" t="str">
        <f>IF(F278="♢", ((L3 * 100) / (COUNTIFS(F:F, "♢", E:E, E278) + COUNTIFS(F:F, "♢", E:E, "A1") + IF(E278="A1", COUNTIFS(F:F, "♢", E:E, E2), 0) - IF(E278="A1", COUNTIFS(F:F, "♢", E:E, "A1"), 0)))/100, "")
</f>
        <v/>
      </c>
      <c r="H278" s="129">
        <f>IF(F278="♢♢", ((M4 * 100) / (COUNTIFS(F:F, "♢♢", E:E, E278) + COUNTIFS(F:F, "♢♢", E:E, "A1") + IF(E278="A1", COUNTIFS(F:F, "♢♢", E:E, E2), 0) - IF(E278="A1", COUNTIFS(F:F, "♢♢", E:E, "A1"), 0)))/100, 
   IF(F278="♢♢♢", ((M5 * 100) / (COUNTIFS(F:F, "♢♢♢", E:E, E278) + COUNTIFS(F:F, "♢♢♢", E:E, "A1") + IF(E278="A1", COUNTIFS(F:F, "♢♢♢", E:E, E2), 0) - IF(E278="A1", COUNTIFS(F:F, "♢♢♢", E:E, "A1"), 0)))/100, 
   IF(F278="♢♢♢♢", ((M6 * 100) / (COUNTIFS(F:F, "♢♢♢♢", E:E, E278) + COUNTIFS(F:F, "♢♢♢♢", E:E, "A1") + IF(E278="A1", COUNTIFS(F:F, "♢♢♢♢", E:E, E2), 0) - IF(E278="A1", COUNTIFS(F:F, "♢♢♢♢", E:E, "A1"), 0)))/100, 
   IF(F278="☆", ((M7 * 100) / (COUNTIFS(F:F, "☆", E:E, E278) + COUNTIFS(F:F, "☆", E:E, "A1") + IF(E278="A1", COUNTIFS(F:F, "☆", E:E, E2), 0) - IF(E278="A1", COUNTIFS(F:F, "☆", E:E, "A1"), 0)))/100, 
   IF(F278="☆☆", ((M8 * 100) / (COUNTIFS(F:F, "☆☆", E:E, E278) + COUNTIFS(F:F, "☆☆", E:E, "A1") + IF(E278="A1", COUNTIFS(F:F, "☆☆", E:E, E2), 0) - IF(E278="A1", COUNTIFS(F:F, "☆☆", E:E, "A1"), 0)))/100, 
   IF(F278="☆☆☆", ((M9 * 100) / (COUNTIFS(F:F, "☆☆☆", E:E, E278) + COUNTIFS(F:F, "☆☆☆", E:E, "A1") + IF(E278="A1", COUNTIFS(F:F, "☆☆☆", E:E, E2), 0) - IF(E278="A1", COUNTIFS(F:F, "☆☆☆", E:E, "A1"), 0)))/100, 
   IF(F278="♛", ((M10 * 100) / (COUNTIFS(F:F, "♛", E:E, E278) + COUNTIFS(F:F, "♛", E:E, "A1") + IF(E278="A1", COUNTIFS(F:F, "♛", E:E, E2), 0) - IF(E278="A1", COUNTIFS(F:F, "♛", E:E, "A1"), 0)))/100, "")))))))
</f>
        <v>0.0005555555556</v>
      </c>
      <c r="I278" s="129">
        <f>IF(F278="♢♢", ((N4 * 100) / (COUNTIFS(F:F, "♢♢", E:E, E278) + COUNTIFS(F:F, "♢♢", E:E, "A1") + IF(E278="A1", COUNTIFS(F:F, "♢♢", E:E, E2), 0) - IF(E278="A1", COUNTIFS(F:F, "♢♢", E:E, "A1"), 0)))/100, 
   IF(F278="♢♢♢", ((N5 * 100) / (COUNTIFS(F:F, "♢♢♢", E:E, E278) + COUNTIFS(F:F, "♢♢♢", E:E, "A1") + IF(E278="A1", COUNTIFS(F:F, "♢♢♢", E:E, E2), 0) - IF(E278="A1", COUNTIFS(F:F, "♢♢♢", E:E, "A1"), 0)))/100, 
   IF(F278="♢♢♢♢", ((N6 * 100) / (COUNTIFS(F:F, "♢♢♢♢", E:E, E278) + COUNTIFS(F:F, "♢♢♢♢", E:E, "A1") + IF(E278="A1", COUNTIFS(F:F, "♢♢♢♢", E:E, E2), 0) - IF(E278="A1", COUNTIFS(F:F, "♢♢♢♢", E:E, "A1"), 0)))/100, 
   IF(F278="☆", ((N7 * 100) / (COUNTIFS(F:F, "☆", E:E, E278) + COUNTIFS(F:F, "☆", E:E, "A1") + IF(E278="A1", COUNTIFS(F:F, "☆", E:E, E2), 0) - IF(E278="A1", COUNTIFS(F:F, "☆", E:E, "A1"), 0)))/100, 
   IF(F278="☆☆", ((N8 * 100) / (COUNTIFS(F:F, "☆☆", E:E, E278) + COUNTIFS(F:F, "☆☆", E:E, "A1") + IF(E278="A1", COUNTIFS(F:F, "☆☆", E:E, E2), 0) - IF(E278="A1", COUNTIFS(F:F, "☆☆", E:E, "A1"), 0)))/100, 
   IF(F278="☆☆☆", ((N9 * 100) / (COUNTIFS(F:F, "☆☆☆", E:E, E278) + COUNTIFS(F:F, "☆☆☆", E:E, "A1") + IF(E278="A1", COUNTIFS(F:F, "☆☆☆", E:E, E2), 0) - IF(E278="A1", COUNTIFS(F:F, "☆☆☆", E:E, "A1"), 0)))/100, 
   IF(F278="♛", ((N10 * 100) / (COUNTIFS(F:F, "♛", E:E, E278) + COUNTIFS(F:F, "♛", E:E, "A1") + IF(E278="A1", COUNTIFS(F:F, "♛", E:E, E2), 0) - IF(E278="A1", COUNTIFS(F:F, "♛", E:E, "A1"), 0)))/100, "")))))))
</f>
        <v>0.002222222222</v>
      </c>
      <c r="J278" s="131"/>
      <c r="K278" s="258" t="s">
        <v>641</v>
      </c>
      <c r="L278" s="252"/>
      <c r="M278" s="150" t="s">
        <v>642</v>
      </c>
      <c r="N278" s="259">
        <f>COUNTIFS(F:F, "☆", E:E, "A1")</f>
        <v>0</v>
      </c>
      <c r="O278" s="124" t="s">
        <v>643</v>
      </c>
    </row>
    <row r="279">
      <c r="A279" s="125" t="b">
        <f t="shared" si="1"/>
        <v>0</v>
      </c>
      <c r="B279" s="126">
        <v>0.0</v>
      </c>
      <c r="C279" s="127" t="s">
        <v>644</v>
      </c>
      <c r="D279" s="128" t="s">
        <v>408</v>
      </c>
      <c r="E279" s="128" t="s">
        <v>32</v>
      </c>
      <c r="F279" s="127" t="s">
        <v>47</v>
      </c>
      <c r="G279" s="130" t="str">
        <f>IF(F279="♢", ((L3 * 100) / (COUNTIFS(F:F, "♢", E:E, E279) + COUNTIFS(F:F, "♢", E:E, "A1") + IF(E279="A1", COUNTIFS(F:F, "♢", E:E, E2), 0) - IF(E279="A1", COUNTIFS(F:F, "♢", E:E, "A1"), 0)))/100, "")
</f>
        <v/>
      </c>
      <c r="H279" s="129">
        <f>IF(F279="♢♢", ((M4 * 100) / (COUNTIFS(F:F, "♢♢", E:E, E279) + COUNTIFS(F:F, "♢♢", E:E, "A1") + IF(E279="A1", COUNTIFS(F:F, "♢♢", E:E, E2), 0) - IF(E279="A1", COUNTIFS(F:F, "♢♢", E:E, "A1"), 0)))/100, 
   IF(F279="♢♢♢", ((M5 * 100) / (COUNTIFS(F:F, "♢♢♢", E:E, E279) + COUNTIFS(F:F, "♢♢♢", E:E, "A1") + IF(E279="A1", COUNTIFS(F:F, "♢♢♢", E:E, E2), 0) - IF(E279="A1", COUNTIFS(F:F, "♢♢♢", E:E, "A1"), 0)))/100, 
   IF(F279="♢♢♢♢", ((M6 * 100) / (COUNTIFS(F:F, "♢♢♢♢", E:E, E279) + COUNTIFS(F:F, "♢♢♢♢", E:E, "A1") + IF(E279="A1", COUNTIFS(F:F, "♢♢♢♢", E:E, E2), 0) - IF(E279="A1", COUNTIFS(F:F, "♢♢♢♢", E:E, "A1"), 0)))/100, 
   IF(F279="☆", ((M7 * 100) / (COUNTIFS(F:F, "☆", E:E, E279) + COUNTIFS(F:F, "☆", E:E, "A1") + IF(E279="A1", COUNTIFS(F:F, "☆", E:E, E2), 0) - IF(E279="A1", COUNTIFS(F:F, "☆", E:E, "A1"), 0)))/100, 
   IF(F279="☆☆", ((M8 * 100) / (COUNTIFS(F:F, "☆☆", E:E, E279) + COUNTIFS(F:F, "☆☆", E:E, "A1") + IF(E279="A1", COUNTIFS(F:F, "☆☆", E:E, E2), 0) - IF(E279="A1", COUNTIFS(F:F, "☆☆", E:E, "A1"), 0)))/100, 
   IF(F279="☆☆☆", ((M9 * 100) / (COUNTIFS(F:F, "☆☆☆", E:E, E279) + COUNTIFS(F:F, "☆☆☆", E:E, "A1") + IF(E279="A1", COUNTIFS(F:F, "☆☆☆", E:E, E2), 0) - IF(E279="A1", COUNTIFS(F:F, "☆☆☆", E:E, "A1"), 0)))/100, 
   IF(F279="♛", ((M10 * 100) / (COUNTIFS(F:F, "♛", E:E, E279) + COUNTIFS(F:F, "♛", E:E, "A1") + IF(E279="A1", COUNTIFS(F:F, "♛", E:E, E2), 0) - IF(E279="A1", COUNTIFS(F:F, "♛", E:E, "A1"), 0)))/100, "")))))))
</f>
        <v>0.0005</v>
      </c>
      <c r="I279" s="129">
        <f>IF(F279="♢♢", ((N4 * 100) / (COUNTIFS(F:F, "♢♢", E:E, E279) + COUNTIFS(F:F, "♢♢", E:E, "A1") + IF(E279="A1", COUNTIFS(F:F, "♢♢", E:E, E2), 0) - IF(E279="A1", COUNTIFS(F:F, "♢♢", E:E, "A1"), 0)))/100, 
   IF(F279="♢♢♢", ((N5 * 100) / (COUNTIFS(F:F, "♢♢♢", E:E, E279) + COUNTIFS(F:F, "♢♢♢", E:E, "A1") + IF(E279="A1", COUNTIFS(F:F, "♢♢♢", E:E, E2), 0) - IF(E279="A1", COUNTIFS(F:F, "♢♢♢", E:E, "A1"), 0)))/100, 
   IF(F279="♢♢♢♢", ((N6 * 100) / (COUNTIFS(F:F, "♢♢♢♢", E:E, E279) + COUNTIFS(F:F, "♢♢♢♢", E:E, "A1") + IF(E279="A1", COUNTIFS(F:F, "♢♢♢♢", E:E, E2), 0) - IF(E279="A1", COUNTIFS(F:F, "♢♢♢♢", E:E, "A1"), 0)))/100, 
   IF(F279="☆", ((N7 * 100) / (COUNTIFS(F:F, "☆", E:E, E279) + COUNTIFS(F:F, "☆", E:E, "A1") + IF(E279="A1", COUNTIFS(F:F, "☆", E:E, E2), 0) - IF(E279="A1", COUNTIFS(F:F, "☆", E:E, "A1"), 0)))/100, 
   IF(F279="☆☆", ((N8 * 100) / (COUNTIFS(F:F, "☆☆", E:E, E279) + COUNTIFS(F:F, "☆☆", E:E, "A1") + IF(E279="A1", COUNTIFS(F:F, "☆☆", E:E, E2), 0) - IF(E279="A1", COUNTIFS(F:F, "☆☆", E:E, "A1"), 0)))/100, 
   IF(F279="☆☆☆", ((N9 * 100) / (COUNTIFS(F:F, "☆☆☆", E:E, E279) + COUNTIFS(F:F, "☆☆☆", E:E, "A1") + IF(E279="A1", COUNTIFS(F:F, "☆☆☆", E:E, E2), 0) - IF(E279="A1", COUNTIFS(F:F, "☆☆☆", E:E, "A1"), 0)))/100, 
   IF(F279="♛", ((N10 * 100) / (COUNTIFS(F:F, "♛", E:E, E279) + COUNTIFS(F:F, "♛", E:E, "A1") + IF(E279="A1", COUNTIFS(F:F, "♛", E:E, E2), 0) - IF(E279="A1", COUNTIFS(F:F, "♛", E:E, "A1"), 0)))/100, "")))))))
</f>
        <v>0.002</v>
      </c>
      <c r="J279" s="131"/>
      <c r="K279" s="150" t="s">
        <v>645</v>
      </c>
      <c r="L279" s="261">
        <f>SUMIFS(G:G, E:E, "A1-Mewtwo") + SUMIFS(G:G, E:E, "A1")</f>
        <v>1</v>
      </c>
      <c r="M279" s="150" t="s">
        <v>646</v>
      </c>
      <c r="N279" s="259">
        <f>COUNTIFS(F:F, "☆☆", E:E, "A1-Mewtwo")</f>
        <v>9</v>
      </c>
    </row>
    <row r="280">
      <c r="A280" s="125" t="b">
        <f t="shared" si="1"/>
        <v>0</v>
      </c>
      <c r="B280" s="126">
        <v>0.0</v>
      </c>
      <c r="C280" s="127" t="s">
        <v>647</v>
      </c>
      <c r="D280" s="128" t="s">
        <v>506</v>
      </c>
      <c r="E280" s="128" t="s">
        <v>31</v>
      </c>
      <c r="F280" s="127" t="s">
        <v>47</v>
      </c>
      <c r="G280" s="130" t="str">
        <f>IF(F280="♢", ((L3 * 100) / (COUNTIFS(F:F, "♢", E:E, E280) + COUNTIFS(F:F, "♢", E:E, "A1") + IF(E280="A1", COUNTIFS(F:F, "♢", E:E, E2), 0) - IF(E280="A1", COUNTIFS(F:F, "♢", E:E, "A1"), 0)))/100, "")
</f>
        <v/>
      </c>
      <c r="H280" s="129">
        <f>IF(F280="♢♢", ((M4 * 100) / (COUNTIFS(F:F, "♢♢", E:E, E280) + COUNTIFS(F:F, "♢♢", E:E, "A1") + IF(E280="A1", COUNTIFS(F:F, "♢♢", E:E, E2), 0) - IF(E280="A1", COUNTIFS(F:F, "♢♢", E:E, "A1"), 0)))/100, 
   IF(F280="♢♢♢", ((M5 * 100) / (COUNTIFS(F:F, "♢♢♢", E:E, E280) + COUNTIFS(F:F, "♢♢♢", E:E, "A1") + IF(E280="A1", COUNTIFS(F:F, "♢♢♢", E:E, E2), 0) - IF(E280="A1", COUNTIFS(F:F, "♢♢♢", E:E, "A1"), 0)))/100, 
   IF(F280="♢♢♢♢", ((M6 * 100) / (COUNTIFS(F:F, "♢♢♢♢", E:E, E280) + COUNTIFS(F:F, "♢♢♢♢", E:E, "A1") + IF(E280="A1", COUNTIFS(F:F, "♢♢♢♢", E:E, E2), 0) - IF(E280="A1", COUNTIFS(F:F, "♢♢♢♢", E:E, "A1"), 0)))/100, 
   IF(F280="☆", ((M7 * 100) / (COUNTIFS(F:F, "☆", E:E, E280) + COUNTIFS(F:F, "☆", E:E, "A1") + IF(E280="A1", COUNTIFS(F:F, "☆", E:E, E2), 0) - IF(E280="A1", COUNTIFS(F:F, "☆", E:E, "A1"), 0)))/100, 
   IF(F280="☆☆", ((M8 * 100) / (COUNTIFS(F:F, "☆☆", E:E, E280) + COUNTIFS(F:F, "☆☆", E:E, "A1") + IF(E280="A1", COUNTIFS(F:F, "☆☆", E:E, E2), 0) - IF(E280="A1", COUNTIFS(F:F, "☆☆", E:E, "A1"), 0)))/100, 
   IF(F280="☆☆☆", ((M9 * 100) / (COUNTIFS(F:F, "☆☆☆", E:E, E280) + COUNTIFS(F:F, "☆☆☆", E:E, "A1") + IF(E280="A1", COUNTIFS(F:F, "☆☆☆", E:E, E2), 0) - IF(E280="A1", COUNTIFS(F:F, "☆☆☆", E:E, "A1"), 0)))/100, 
   IF(F280="♛", ((M10 * 100) / (COUNTIFS(F:F, "♛", E:E, E280) + COUNTIFS(F:F, "♛", E:E, "A1") + IF(E280="A1", COUNTIFS(F:F, "♛", E:E, E2), 0) - IF(E280="A1", COUNTIFS(F:F, "♛", E:E, "A1"), 0)))/100, "")))))))
</f>
        <v>0.0005</v>
      </c>
      <c r="I280" s="129">
        <f>IF(F280="♢♢", ((N4 * 100) / (COUNTIFS(F:F, "♢♢", E:E, E280) + COUNTIFS(F:F, "♢♢", E:E, "A1") + IF(E280="A1", COUNTIFS(F:F, "♢♢", E:E, E2), 0) - IF(E280="A1", COUNTIFS(F:F, "♢♢", E:E, "A1"), 0)))/100, 
   IF(F280="♢♢♢", ((N5 * 100) / (COUNTIFS(F:F, "♢♢♢", E:E, E280) + COUNTIFS(F:F, "♢♢♢", E:E, "A1") + IF(E280="A1", COUNTIFS(F:F, "♢♢♢", E:E, E2), 0) - IF(E280="A1", COUNTIFS(F:F, "♢♢♢", E:E, "A1"), 0)))/100, 
   IF(F280="♢♢♢♢", ((N6 * 100) / (COUNTIFS(F:F, "♢♢♢♢", E:E, E280) + COUNTIFS(F:F, "♢♢♢♢", E:E, "A1") + IF(E280="A1", COUNTIFS(F:F, "♢♢♢♢", E:E, E2), 0) - IF(E280="A1", COUNTIFS(F:F, "♢♢♢♢", E:E, "A1"), 0)))/100, 
   IF(F280="☆", ((N7 * 100) / (COUNTIFS(F:F, "☆", E:E, E280) + COUNTIFS(F:F, "☆", E:E, "A1") + IF(E280="A1", COUNTIFS(F:F, "☆", E:E, E2), 0) - IF(E280="A1", COUNTIFS(F:F, "☆", E:E, "A1"), 0)))/100, 
   IF(F280="☆☆", ((N8 * 100) / (COUNTIFS(F:F, "☆☆", E:E, E280) + COUNTIFS(F:F, "☆☆", E:E, "A1") + IF(E280="A1", COUNTIFS(F:F, "☆☆", E:E, E2), 0) - IF(E280="A1", COUNTIFS(F:F, "☆☆", E:E, "A1"), 0)))/100, 
   IF(F280="☆☆☆", ((N9 * 100) / (COUNTIFS(F:F, "☆☆☆", E:E, E280) + COUNTIFS(F:F, "☆☆☆", E:E, "A1") + IF(E280="A1", COUNTIFS(F:F, "☆☆☆", E:E, E2), 0) - IF(E280="A1", COUNTIFS(F:F, "☆☆☆", E:E, "A1"), 0)))/100, 
   IF(F280="♛", ((N10 * 100) / (COUNTIFS(F:F, "♛", E:E, E280) + COUNTIFS(F:F, "♛", E:E, "A1") + IF(E280="A1", COUNTIFS(F:F, "♛", E:E, E2), 0) - IF(E280="A1", COUNTIFS(F:F, "♛", E:E, "A1"), 0)))/100, "")))))))
</f>
        <v>0.002</v>
      </c>
      <c r="J280" s="131"/>
      <c r="K280" s="150" t="s">
        <v>648</v>
      </c>
      <c r="L280" s="261">
        <f>SUMIFS(G:G, E:E, "A1-Pikachu") + SUMIFS(G:G, E:E, "A1")</f>
        <v>1</v>
      </c>
      <c r="M280" s="150" t="s">
        <v>649</v>
      </c>
      <c r="N280" s="259">
        <f>COUNTIFS(F:F, "☆☆", E:E, "A1-Pikachu")</f>
        <v>10</v>
      </c>
    </row>
    <row r="281">
      <c r="A281" s="125" t="b">
        <f t="shared" si="1"/>
        <v>0</v>
      </c>
      <c r="B281" s="126">
        <v>0.0</v>
      </c>
      <c r="C281" s="127" t="s">
        <v>650</v>
      </c>
      <c r="D281" s="128" t="s">
        <v>160</v>
      </c>
      <c r="E281" s="128" t="s">
        <v>32</v>
      </c>
      <c r="F281" s="127" t="s">
        <v>49</v>
      </c>
      <c r="G281" s="130" t="str">
        <f>IF(F281="♢", ((L3 * 100) / (COUNTIFS(F:F, "♢", E:E, E281) + COUNTIFS(F:F, "♢", E:E, "A1") + IF(E281="A1", COUNTIFS(F:F, "♢", E:E, E2), 0) - IF(E281="A1", COUNTIFS(F:F, "♢", E:E, "A1"), 0)))/100, "")
</f>
        <v/>
      </c>
      <c r="H281" s="129">
        <f>IF(F281="♢♢", ((M4 * 100) / (COUNTIFS(F:F, "♢♢", E:E, E281) + COUNTIFS(F:F, "♢♢", E:E, "A1") + IF(E281="A1", COUNTIFS(F:F, "♢♢", E:E, E2), 0) - IF(E281="A1", COUNTIFS(F:F, "♢♢", E:E, "A1"), 0)))/100, 
   IF(F281="♢♢♢", ((M5 * 100) / (COUNTIFS(F:F, "♢♢♢", E:E, E281) + COUNTIFS(F:F, "♢♢♢", E:E, "A1") + IF(E281="A1", COUNTIFS(F:F, "♢♢♢", E:E, E2), 0) - IF(E281="A1", COUNTIFS(F:F, "♢♢♢", E:E, "A1"), 0)))/100, 
   IF(F281="♢♢♢♢", ((M6 * 100) / (COUNTIFS(F:F, "♢♢♢♢", E:E, E281) + COUNTIFS(F:F, "♢♢♢♢", E:E, "A1") + IF(E281="A1", COUNTIFS(F:F, "♢♢♢♢", E:E, E2), 0) - IF(E281="A1", COUNTIFS(F:F, "♢♢♢♢", E:E, "A1"), 0)))/100, 
   IF(F281="☆", ((M7 * 100) / (COUNTIFS(F:F, "☆", E:E, E281) + COUNTIFS(F:F, "☆", E:E, "A1") + IF(E281="A1", COUNTIFS(F:F, "☆", E:E, E2), 0) - IF(E281="A1", COUNTIFS(F:F, "☆", E:E, "A1"), 0)))/100, 
   IF(F281="☆☆", ((M8 * 100) / (COUNTIFS(F:F, "☆☆", E:E, E281) + COUNTIFS(F:F, "☆☆", E:E, "A1") + IF(E281="A1", COUNTIFS(F:F, "☆☆", E:E, E2), 0) - IF(E281="A1", COUNTIFS(F:F, "☆☆", E:E, "A1"), 0)))/100, 
   IF(F281="☆☆☆", ((M9 * 100) / (COUNTIFS(F:F, "☆☆☆", E:E, E281) + COUNTIFS(F:F, "☆☆☆", E:E, "A1") + IF(E281="A1", COUNTIFS(F:F, "☆☆☆", E:E, E2), 0) - IF(E281="A1", COUNTIFS(F:F, "☆☆☆", E:E, "A1"), 0)))/100, 
   IF(F281="♛", ((M10 * 100) / (COUNTIFS(F:F, "♛", E:E, E281) + COUNTIFS(F:F, "♛", E:E, "A1") + IF(E281="A1", COUNTIFS(F:F, "♛", E:E, E2), 0) - IF(E281="A1", COUNTIFS(F:F, "♛", E:E, "A1"), 0)))/100, "")))))))
</f>
        <v>0.00222</v>
      </c>
      <c r="I281" s="129">
        <f>IF(F281="♢♢", ((N4 * 100) / (COUNTIFS(F:F, "♢♢", E:E, E281) + COUNTIFS(F:F, "♢♢", E:E, "A1") + IF(E281="A1", COUNTIFS(F:F, "♢♢", E:E, E2), 0) - IF(E281="A1", COUNTIFS(F:F, "♢♢", E:E, "A1"), 0)))/100, 
   IF(F281="♢♢♢", ((N5 * 100) / (COUNTIFS(F:F, "♢♢♢", E:E, E281) + COUNTIFS(F:F, "♢♢♢", E:E, "A1") + IF(E281="A1", COUNTIFS(F:F, "♢♢♢", E:E, E2), 0) - IF(E281="A1", COUNTIFS(F:F, "♢♢♢", E:E, "A1"), 0)))/100, 
   IF(F281="♢♢♢♢", ((N6 * 100) / (COUNTIFS(F:F, "♢♢♢♢", E:E, E281) + COUNTIFS(F:F, "♢♢♢♢", E:E, "A1") + IF(E281="A1", COUNTIFS(F:F, "♢♢♢♢", E:E, E2), 0) - IF(E281="A1", COUNTIFS(F:F, "♢♢♢♢", E:E, "A1"), 0)))/100, 
   IF(F281="☆", ((N7 * 100) / (COUNTIFS(F:F, "☆", E:E, E281) + COUNTIFS(F:F, "☆", E:E, "A1") + IF(E281="A1", COUNTIFS(F:F, "☆", E:E, E2), 0) - IF(E281="A1", COUNTIFS(F:F, "☆", E:E, "A1"), 0)))/100, 
   IF(F281="☆☆", ((N8 * 100) / (COUNTIFS(F:F, "☆☆", E:E, E281) + COUNTIFS(F:F, "☆☆", E:E, "A1") + IF(E281="A1", COUNTIFS(F:F, "☆☆", E:E, E2), 0) - IF(E281="A1", COUNTIFS(F:F, "☆☆", E:E, "A1"), 0)))/100, 
   IF(F281="☆☆☆", ((N9 * 100) / (COUNTIFS(F:F, "☆☆☆", E:E, E281) + COUNTIFS(F:F, "☆☆☆", E:E, "A1") + IF(E281="A1", COUNTIFS(F:F, "☆☆☆", E:E, E2), 0) - IF(E281="A1", COUNTIFS(F:F, "☆☆☆", E:E, "A1"), 0)))/100, 
   IF(F281="♛", ((N10 * 100) / (COUNTIFS(F:F, "♛", E:E, E281) + COUNTIFS(F:F, "♛", E:E, "A1") + IF(E281="A1", COUNTIFS(F:F, "♛", E:E, E2), 0) - IF(E281="A1", COUNTIFS(F:F, "♛", E:E, "A1"), 0)))/100, "")))))))
</f>
        <v>0.00888</v>
      </c>
      <c r="J281" s="131"/>
      <c r="K281" s="150" t="s">
        <v>651</v>
      </c>
      <c r="L281" s="261">
        <f>SUMIFS(G:G, E:E, "A1-Charizard") + SUMIFS(G:G, E:E, "A1")
</f>
        <v>1</v>
      </c>
      <c r="M281" s="150" t="s">
        <v>652</v>
      </c>
      <c r="N281" s="259">
        <f>COUNTIFS(F:F, "☆☆", E:E, "A1-Charizard")</f>
        <v>10</v>
      </c>
    </row>
    <row r="282">
      <c r="A282" s="125" t="b">
        <f t="shared" si="1"/>
        <v>0</v>
      </c>
      <c r="B282" s="126">
        <v>0.0</v>
      </c>
      <c r="C282" s="127" t="s">
        <v>653</v>
      </c>
      <c r="D282" s="128" t="s">
        <v>302</v>
      </c>
      <c r="E282" s="128" t="s">
        <v>31</v>
      </c>
      <c r="F282" s="127" t="s">
        <v>49</v>
      </c>
      <c r="G282" s="130" t="str">
        <f>IF(F282="♢", ((L3 * 100) / (COUNTIFS(F:F, "♢", E:E, E282) + COUNTIFS(F:F, "♢", E:E, "A1") + IF(E282="A1", COUNTIFS(F:F, "♢", E:E, E2), 0) - IF(E282="A1", COUNTIFS(F:F, "♢", E:E, "A1"), 0)))/100, "")
</f>
        <v/>
      </c>
      <c r="H282" s="129">
        <f>IF(F282="♢♢", ((M4 * 100) / (COUNTIFS(F:F, "♢♢", E:E, E282) + COUNTIFS(F:F, "♢♢", E:E, "A1") + IF(E282="A1", COUNTIFS(F:F, "♢♢", E:E, E2), 0) - IF(E282="A1", COUNTIFS(F:F, "♢♢", E:E, "A1"), 0)))/100, 
   IF(F282="♢♢♢", ((M5 * 100) / (COUNTIFS(F:F, "♢♢♢", E:E, E282) + COUNTIFS(F:F, "♢♢♢", E:E, "A1") + IF(E282="A1", COUNTIFS(F:F, "♢♢♢", E:E, E2), 0) - IF(E282="A1", COUNTIFS(F:F, "♢♢♢", E:E, "A1"), 0)))/100, 
   IF(F282="♢♢♢♢", ((M6 * 100) / (COUNTIFS(F:F, "♢♢♢♢", E:E, E282) + COUNTIFS(F:F, "♢♢♢♢", E:E, "A1") + IF(E282="A1", COUNTIFS(F:F, "♢♢♢♢", E:E, E2), 0) - IF(E282="A1", COUNTIFS(F:F, "♢♢♢♢", E:E, "A1"), 0)))/100, 
   IF(F282="☆", ((M7 * 100) / (COUNTIFS(F:F, "☆", E:E, E282) + COUNTIFS(F:F, "☆", E:E, "A1") + IF(E282="A1", COUNTIFS(F:F, "☆", E:E, E2), 0) - IF(E282="A1", COUNTIFS(F:F, "☆", E:E, "A1"), 0)))/100, 
   IF(F282="☆☆", ((M8 * 100) / (COUNTIFS(F:F, "☆☆", E:E, E282) + COUNTIFS(F:F, "☆☆", E:E, "A1") + IF(E282="A1", COUNTIFS(F:F, "☆☆", E:E, E2), 0) - IF(E282="A1", COUNTIFS(F:F, "☆☆", E:E, "A1"), 0)))/100, 
   IF(F282="☆☆☆", ((M9 * 100) / (COUNTIFS(F:F, "☆☆☆", E:E, E282) + COUNTIFS(F:F, "☆☆☆", E:E, "A1") + IF(E282="A1", COUNTIFS(F:F, "☆☆☆", E:E, E2), 0) - IF(E282="A1", COUNTIFS(F:F, "☆☆☆", E:E, "A1"), 0)))/100, 
   IF(F282="♛", ((M10 * 100) / (COUNTIFS(F:F, "♛", E:E, E282) + COUNTIFS(F:F, "♛", E:E, "A1") + IF(E282="A1", COUNTIFS(F:F, "♛", E:E, E2), 0) - IF(E282="A1", COUNTIFS(F:F, "♛", E:E, "A1"), 0)))/100, "")))))))
</f>
        <v>0.00222</v>
      </c>
      <c r="I282" s="129">
        <f>IF(F282="♢♢", ((N4 * 100) / (COUNTIFS(F:F, "♢♢", E:E, E282) + COUNTIFS(F:F, "♢♢", E:E, "A1") + IF(E282="A1", COUNTIFS(F:F, "♢♢", E:E, E2), 0) - IF(E282="A1", COUNTIFS(F:F, "♢♢", E:E, "A1"), 0)))/100, 
   IF(F282="♢♢♢", ((N5 * 100) / (COUNTIFS(F:F, "♢♢♢", E:E, E282) + COUNTIFS(F:F, "♢♢♢", E:E, "A1") + IF(E282="A1", COUNTIFS(F:F, "♢♢♢", E:E, E2), 0) - IF(E282="A1", COUNTIFS(F:F, "♢♢♢", E:E, "A1"), 0)))/100, 
   IF(F282="♢♢♢♢", ((N6 * 100) / (COUNTIFS(F:F, "♢♢♢♢", E:E, E282) + COUNTIFS(F:F, "♢♢♢♢", E:E, "A1") + IF(E282="A1", COUNTIFS(F:F, "♢♢♢♢", E:E, E2), 0) - IF(E282="A1", COUNTIFS(F:F, "♢♢♢♢", E:E, "A1"), 0)))/100, 
   IF(F282="☆", ((N7 * 100) / (COUNTIFS(F:F, "☆", E:E, E282) + COUNTIFS(F:F, "☆", E:E, "A1") + IF(E282="A1", COUNTIFS(F:F, "☆", E:E, E2), 0) - IF(E282="A1", COUNTIFS(F:F, "☆", E:E, "A1"), 0)))/100, 
   IF(F282="☆☆", ((N8 * 100) / (COUNTIFS(F:F, "☆☆", E:E, E282) + COUNTIFS(F:F, "☆☆", E:E, "A1") + IF(E282="A1", COUNTIFS(F:F, "☆☆", E:E, E2), 0) - IF(E282="A1", COUNTIFS(F:F, "☆☆", E:E, "A1"), 0)))/100, 
   IF(F282="☆☆☆", ((N9 * 100) / (COUNTIFS(F:F, "☆☆☆", E:E, E282) + COUNTIFS(F:F, "☆☆☆", E:E, "A1") + IF(E282="A1", COUNTIFS(F:F, "☆☆☆", E:E, E2), 0) - IF(E282="A1", COUNTIFS(F:F, "☆☆☆", E:E, "A1"), 0)))/100, 
   IF(F282="♛", ((N10 * 100) / (COUNTIFS(F:F, "♛", E:E, E282) + COUNTIFS(F:F, "♛", E:E, "A1") + IF(E282="A1", COUNTIFS(F:F, "♛", E:E, E2), 0) - IF(E282="A1", COUNTIFS(F:F, "♛", E:E, "A1"), 0)))/100, "")))))))
</f>
        <v>0.00888</v>
      </c>
      <c r="J282" s="131"/>
      <c r="K282" s="150" t="s">
        <v>654</v>
      </c>
      <c r="L282" s="261">
        <f>SUMIFS(H:H, E:E, "A1-Mewtwo") + SUMIFS(H:H, E:E, "A1")</f>
        <v>1</v>
      </c>
      <c r="M282" s="150" t="s">
        <v>655</v>
      </c>
      <c r="N282" s="259">
        <f>COUNTIFS(F:F, "☆☆", E:E, "A1")</f>
        <v>0</v>
      </c>
    </row>
    <row r="283">
      <c r="A283" s="125" t="b">
        <f t="shared" si="1"/>
        <v>0</v>
      </c>
      <c r="B283" s="126">
        <v>0.0</v>
      </c>
      <c r="C283" s="127" t="s">
        <v>656</v>
      </c>
      <c r="D283" s="128" t="s">
        <v>373</v>
      </c>
      <c r="E283" s="128" t="s">
        <v>29</v>
      </c>
      <c r="F283" s="127" t="s">
        <v>49</v>
      </c>
      <c r="G283" s="130" t="str">
        <f>IF(F283="♢", ((L3 * 100) / (COUNTIFS(F:F, "♢", E:E, E283) + COUNTIFS(F:F, "♢", E:E, "A1") + IF(E283="A1", COUNTIFS(F:F, "♢", E:E, E2), 0) - IF(E283="A1", COUNTIFS(F:F, "♢", E:E, "A1"), 0)))/100, "")
</f>
        <v/>
      </c>
      <c r="H283" s="129">
        <f>IF(F283="♢♢", ((M4 * 100) / (COUNTIFS(F:F, "♢♢", E:E, E283) + COUNTIFS(F:F, "♢♢", E:E, "A1") + IF(E283="A1", COUNTIFS(F:F, "♢♢", E:E, E2), 0) - IF(E283="A1", COUNTIFS(F:F, "♢♢", E:E, "A1"), 0)))/100, 
   IF(F283="♢♢♢", ((M5 * 100) / (COUNTIFS(F:F, "♢♢♢", E:E, E283) + COUNTIFS(F:F, "♢♢♢", E:E, "A1") + IF(E283="A1", COUNTIFS(F:F, "♢♢♢", E:E, E2), 0) - IF(E283="A1", COUNTIFS(F:F, "♢♢♢", E:E, "A1"), 0)))/100, 
   IF(F283="♢♢♢♢", ((M6 * 100) / (COUNTIFS(F:F, "♢♢♢♢", E:E, E283) + COUNTIFS(F:F, "♢♢♢♢", E:E, "A1") + IF(E283="A1", COUNTIFS(F:F, "♢♢♢♢", E:E, E2), 0) - IF(E283="A1", COUNTIFS(F:F, "♢♢♢♢", E:E, "A1"), 0)))/100, 
   IF(F283="☆", ((M7 * 100) / (COUNTIFS(F:F, "☆", E:E, E283) + COUNTIFS(F:F, "☆", E:E, "A1") + IF(E283="A1", COUNTIFS(F:F, "☆", E:E, E2), 0) - IF(E283="A1", COUNTIFS(F:F, "☆", E:E, "A1"), 0)))/100, 
   IF(F283="☆☆", ((M8 * 100) / (COUNTIFS(F:F, "☆☆", E:E, E283) + COUNTIFS(F:F, "☆☆", E:E, "A1") + IF(E283="A1", COUNTIFS(F:F, "☆☆", E:E, E2), 0) - IF(E283="A1", COUNTIFS(F:F, "☆☆", E:E, "A1"), 0)))/100, 
   IF(F283="☆☆☆", ((M9 * 100) / (COUNTIFS(F:F, "☆☆☆", E:E, E283) + COUNTIFS(F:F, "☆☆☆", E:E, "A1") + IF(E283="A1", COUNTIFS(F:F, "☆☆☆", E:E, E2), 0) - IF(E283="A1", COUNTIFS(F:F, "☆☆☆", E:E, "A1"), 0)))/100, 
   IF(F283="♛", ((M10 * 100) / (COUNTIFS(F:F, "♛", E:E, E283) + COUNTIFS(F:F, "♛", E:E, "A1") + IF(E283="A1", COUNTIFS(F:F, "♛", E:E, E2), 0) - IF(E283="A1", COUNTIFS(F:F, "♛", E:E, "A1"), 0)))/100, "")))))))
</f>
        <v>0.00222</v>
      </c>
      <c r="I283" s="129">
        <f>IF(F283="♢♢", ((N4 * 100) / (COUNTIFS(F:F, "♢♢", E:E, E283) + COUNTIFS(F:F, "♢♢", E:E, "A1") + IF(E283="A1", COUNTIFS(F:F, "♢♢", E:E, E2), 0) - IF(E283="A1", COUNTIFS(F:F, "♢♢", E:E, "A1"), 0)))/100, 
   IF(F283="♢♢♢", ((N5 * 100) / (COUNTIFS(F:F, "♢♢♢", E:E, E283) + COUNTIFS(F:F, "♢♢♢", E:E, "A1") + IF(E283="A1", COUNTIFS(F:F, "♢♢♢", E:E, E2), 0) - IF(E283="A1", COUNTIFS(F:F, "♢♢♢", E:E, "A1"), 0)))/100, 
   IF(F283="♢♢♢♢", ((N6 * 100) / (COUNTIFS(F:F, "♢♢♢♢", E:E, E283) + COUNTIFS(F:F, "♢♢♢♢", E:E, "A1") + IF(E283="A1", COUNTIFS(F:F, "♢♢♢♢", E:E, E2), 0) - IF(E283="A1", COUNTIFS(F:F, "♢♢♢♢", E:E, "A1"), 0)))/100, 
   IF(F283="☆", ((N7 * 100) / (COUNTIFS(F:F, "☆", E:E, E283) + COUNTIFS(F:F, "☆", E:E, "A1") + IF(E283="A1", COUNTIFS(F:F, "☆", E:E, E2), 0) - IF(E283="A1", COUNTIFS(F:F, "☆", E:E, "A1"), 0)))/100, 
   IF(F283="☆☆", ((N8 * 100) / (COUNTIFS(F:F, "☆☆", E:E, E283) + COUNTIFS(F:F, "☆☆", E:E, "A1") + IF(E283="A1", COUNTIFS(F:F, "☆☆", E:E, E2), 0) - IF(E283="A1", COUNTIFS(F:F, "☆☆", E:E, "A1"), 0)))/100, 
   IF(F283="☆☆☆", ((N9 * 100) / (COUNTIFS(F:F, "☆☆☆", E:E, E283) + COUNTIFS(F:F, "☆☆☆", E:E, "A1") + IF(E283="A1", COUNTIFS(F:F, "☆☆☆", E:E, E2), 0) - IF(E283="A1", COUNTIFS(F:F, "☆☆☆", E:E, "A1"), 0)))/100, 
   IF(F283="♛", ((N10 * 100) / (COUNTIFS(F:F, "♛", E:E, E283) + COUNTIFS(F:F, "♛", E:E, "A1") + IF(E283="A1", COUNTIFS(F:F, "♛", E:E, E2), 0) - IF(E283="A1", COUNTIFS(F:F, "♛", E:E, "A1"), 0)))/100, "")))))))
</f>
        <v>0.00888</v>
      </c>
      <c r="J283" s="131"/>
      <c r="K283" s="150" t="s">
        <v>657</v>
      </c>
      <c r="L283" s="261">
        <f>SUMIFS(H:H, E:E, "A1-Pikachu") + SUMIFS(H:H, E:E, "A1")</f>
        <v>1</v>
      </c>
      <c r="M283" s="150" t="s">
        <v>658</v>
      </c>
      <c r="N283" s="259">
        <f>COUNTIFS(F:F, "☆☆☆", E:E, "A1-Mewtwo")</f>
        <v>1</v>
      </c>
    </row>
    <row r="284">
      <c r="A284" s="125" t="b">
        <f t="shared" si="1"/>
        <v>0</v>
      </c>
      <c r="B284" s="126">
        <v>0.0</v>
      </c>
      <c r="C284" s="127" t="s">
        <v>659</v>
      </c>
      <c r="D284" s="127" t="s">
        <v>660</v>
      </c>
      <c r="E284" s="128" t="s">
        <v>59</v>
      </c>
      <c r="F284" s="127"/>
      <c r="G284" s="130" t="str">
        <f>IF(F284="♢", ((L3 * 100) / (COUNTIFS(F:F, "♢", E:E, E284) + COUNTIFS(F:F, "♢", E:E, "A1") + IF(E284="A1", COUNTIFS(F:F, "♢", E:E, E2), 0) - IF(E284="A1", COUNTIFS(F:F, "♢", E:E, "A1"), 0)))/100, "")
</f>
        <v/>
      </c>
      <c r="H284" s="130" t="str">
        <f>IF(F284="♢♢", ((M4 * 100) / (COUNTIFS(F:F, "♢♢", E:E, E284) + COUNTIFS(F:F, "♢♢", E:E, "A1") + IF(E284="A1", COUNTIFS(F:F, "♢♢", E:E, E2), 0) - IF(E284="A1", COUNTIFS(F:F, "♢♢", E:E, "A1"), 0)))/100, 
   IF(F284="♢♢♢", ((M5 * 100) / (COUNTIFS(F:F, "♢♢♢", E:E, E284) + COUNTIFS(F:F, "♢♢♢", E:E, "A1") + IF(E284="A1", COUNTIFS(F:F, "♢♢♢", E:E, E2), 0) - IF(E284="A1", COUNTIFS(F:F, "♢♢♢", E:E, "A1"), 0)))/100, 
   IF(F284="♢♢♢♢", ((M6 * 100) / (COUNTIFS(F:F, "♢♢♢♢", E:E, E284) + COUNTIFS(F:F, "♢♢♢♢", E:E, "A1") + IF(E284="A1", COUNTIFS(F:F, "♢♢♢♢", E:E, E2), 0) - IF(E284="A1", COUNTIFS(F:F, "♢♢♢♢", E:E, "A1"), 0)))/100, 
   IF(F284="☆", ((M7 * 100) / (COUNTIFS(F:F, "☆", E:E, E284) + COUNTIFS(F:F, "☆", E:E, "A1") + IF(E284="A1", COUNTIFS(F:F, "☆", E:E, E2), 0) - IF(E284="A1", COUNTIFS(F:F, "☆", E:E, "A1"), 0)))/100, 
   IF(F284="☆☆", ((M8 * 100) / (COUNTIFS(F:F, "☆☆", E:E, E284) + COUNTIFS(F:F, "☆☆", E:E, "A1") + IF(E284="A1", COUNTIFS(F:F, "☆☆", E:E, E2), 0) - IF(E284="A1", COUNTIFS(F:F, "☆☆", E:E, "A1"), 0)))/100, 
   IF(F284="☆☆☆", ((M9 * 100) / (COUNTIFS(F:F, "☆☆☆", E:E, E284) + COUNTIFS(F:F, "☆☆☆", E:E, "A1") + IF(E284="A1", COUNTIFS(F:F, "☆☆☆", E:E, E2), 0) - IF(E284="A1", COUNTIFS(F:F, "☆☆☆", E:E, "A1"), 0)))/100, 
   IF(F284="♛", ((M10 * 100) / (COUNTIFS(F:F, "♛", E:E, E284) + COUNTIFS(F:F, "♛", E:E, "A1") + IF(E284="A1", COUNTIFS(F:F, "♛", E:E, E2), 0) - IF(E284="A1", COUNTIFS(F:F, "♛", E:E, "A1"), 0)))/100, "")))))))
</f>
        <v/>
      </c>
      <c r="I284" s="130" t="str">
        <f>IF(F284="♢♢", ((N4 * 100) / (COUNTIFS(F:F, "♢♢", E:E, E284) + COUNTIFS(F:F, "♢♢", E:E, "A1") + IF(E284="A1", COUNTIFS(F:F, "♢♢", E:E, E2), 0) - IF(E284="A1", COUNTIFS(F:F, "♢♢", E:E, "A1"), 0)))/100, 
   IF(F284="♢♢♢", ((N5 * 100) / (COUNTIFS(F:F, "♢♢♢", E:E, E284) + COUNTIFS(F:F, "♢♢♢", E:E, "A1") + IF(E284="A1", COUNTIFS(F:F, "♢♢♢", E:E, E2), 0) - IF(E284="A1", COUNTIFS(F:F, "♢♢♢", E:E, "A1"), 0)))/100, 
   IF(F284="♢♢♢♢", ((N6 * 100) / (COUNTIFS(F:F, "♢♢♢♢", E:E, E284) + COUNTIFS(F:F, "♢♢♢♢", E:E, "A1") + IF(E284="A1", COUNTIFS(F:F, "♢♢♢♢", E:E, E2), 0) - IF(E284="A1", COUNTIFS(F:F, "♢♢♢♢", E:E, "A1"), 0)))/100, 
   IF(F284="☆", ((N7 * 100) / (COUNTIFS(F:F, "☆", E:E, E284) + COUNTIFS(F:F, "☆", E:E, "A1") + IF(E284="A1", COUNTIFS(F:F, "☆", E:E, E2), 0) - IF(E284="A1", COUNTIFS(F:F, "☆", E:E, "A1"), 0)))/100, 
   IF(F284="☆☆", ((N8 * 100) / (COUNTIFS(F:F, "☆☆", E:E, E284) + COUNTIFS(F:F, "☆☆", E:E, "A1") + IF(E284="A1", COUNTIFS(F:F, "☆☆", E:E, E2), 0) - IF(E284="A1", COUNTIFS(F:F, "☆☆", E:E, "A1"), 0)))/100, 
   IF(F284="☆☆☆", ((N9 * 100) / (COUNTIFS(F:F, "☆☆☆", E:E, E284) + COUNTIFS(F:F, "☆☆☆", E:E, "A1") + IF(E284="A1", COUNTIFS(F:F, "☆☆☆", E:E, E2), 0) - IF(E284="A1", COUNTIFS(F:F, "☆☆☆", E:E, "A1"), 0)))/100, 
   IF(F284="♛", ((N10 * 100) / (COUNTIFS(F:F, "♛", E:E, E284) + COUNTIFS(F:F, "♛", E:E, "A1") + IF(E284="A1", COUNTIFS(F:F, "♛", E:E, E2), 0) - IF(E284="A1", COUNTIFS(F:F, "♛", E:E, "A1"), 0)))/100, "")))))))
</f>
        <v/>
      </c>
      <c r="J284" s="131"/>
      <c r="K284" s="150" t="s">
        <v>661</v>
      </c>
      <c r="L284" s="261">
        <f>SUMIFS(H:H, E:E, "A1-Charizard") + SUMIFS(H:H, E:E, "A1")
</f>
        <v>1</v>
      </c>
      <c r="M284" s="150" t="s">
        <v>662</v>
      </c>
      <c r="N284" s="259">
        <f>COUNTIFS(F:F, "☆☆☆", E:E, "A1-Pikachu")</f>
        <v>1</v>
      </c>
    </row>
    <row r="285">
      <c r="A285" s="125" t="b">
        <f t="shared" si="1"/>
        <v>0</v>
      </c>
      <c r="B285" s="126">
        <v>0.0</v>
      </c>
      <c r="C285" s="127" t="s">
        <v>663</v>
      </c>
      <c r="D285" s="128" t="s">
        <v>160</v>
      </c>
      <c r="E285" s="128" t="s">
        <v>137</v>
      </c>
      <c r="F285" s="127" t="s">
        <v>52</v>
      </c>
      <c r="G285" s="130" t="str">
        <f>IF(F285="♢", ((L3 * 100) / (COUNTIFS(F:F, "♢", E:E, E285) + COUNTIFS(F:F, "♢", E:E, "A1") + IF(E285="A1", COUNTIFS(F:F, "♢", E:E, E2), 0) - IF(E285="A1", COUNTIFS(F:F, "♢", E:E, "A1"), 0)))/100, "")
</f>
        <v/>
      </c>
      <c r="H285" s="129">
        <f>IF(F285="♢♢", ((M4 * 100) / (COUNTIFS(F:F, "♢♢", E:E, E285) + COUNTIFS(F:F, "♢♢", E:E, "A1") + IF(E285="A1", COUNTIFS(F:F, "♢♢", E:E, E2), 0) - IF(E285="A1", COUNTIFS(F:F, "♢♢", E:E, "A1"), 0)))/100, 
   IF(F285="♢♢♢", ((M5 * 100) / (COUNTIFS(F:F, "♢♢♢", E:E, E285) + COUNTIFS(F:F, "♢♢♢", E:E, "A1") + IF(E285="A1", COUNTIFS(F:F, "♢♢♢", E:E, E2), 0) - IF(E285="A1", COUNTIFS(F:F, "♢♢♢", E:E, "A1"), 0)))/100, 
   IF(F285="♢♢♢♢", ((M6 * 100) / (COUNTIFS(F:F, "♢♢♢♢", E:E, E285) + COUNTIFS(F:F, "♢♢♢♢", E:E, "A1") + IF(E285="A1", COUNTIFS(F:F, "♢♢♢♢", E:E, E2), 0) - IF(E285="A1", COUNTIFS(F:F, "♢♢♢♢", E:E, "A1"), 0)))/100, 
   IF(F285="☆", ((M7 * 100) / (COUNTIFS(F:F, "☆", E:E, E285) + COUNTIFS(F:F, "☆", E:E, "A1") + IF(E285="A1", COUNTIFS(F:F, "☆", E:E, E2), 0) - IF(E285="A1", COUNTIFS(F:F, "☆", E:E, "A1"), 0)))/100, 
   IF(F285="☆☆", ((M8 * 100) / (COUNTIFS(F:F, "☆☆", E:E, E285) + COUNTIFS(F:F, "☆☆", E:E, "A1") + IF(E285="A1", COUNTIFS(F:F, "☆☆", E:E, E2), 0) - IF(E285="A1", COUNTIFS(F:F, "☆☆", E:E, "A1"), 0)))/100, 
   IF(F285="☆☆☆", ((M9 * 100) / (COUNTIFS(F:F, "☆☆☆", E:E, E285) + COUNTIFS(F:F, "☆☆☆", E:E, "A1") + IF(E285="A1", COUNTIFS(F:F, "☆☆☆", E:E, E2), 0) - IF(E285="A1", COUNTIFS(F:F, "☆☆☆", E:E, "A1"), 0)))/100, 
   IF(F285="♛", ((M10 * 100) / (COUNTIFS(F:F, "♛", E:E, E285) + COUNTIFS(F:F, "♛", E:E, "A1") + IF(E285="A1", COUNTIFS(F:F, "♛", E:E, E2), 0) - IF(E285="A1", COUNTIFS(F:F, "♛", E:E, "A1"), 0)))/100, "")))))))
</f>
        <v>0.0001333333333</v>
      </c>
      <c r="I285" s="129">
        <f>IF(F285="♢♢", ((N4 * 100) / (COUNTIFS(F:F, "♢♢", E:E, E285) + COUNTIFS(F:F, "♢♢", E:E, "A1") + IF(E285="A1", COUNTIFS(F:F, "♢♢", E:E, E2), 0) - IF(E285="A1", COUNTIFS(F:F, "♢♢", E:E, "A1"), 0)))/100, 
   IF(F285="♢♢♢", ((N5 * 100) / (COUNTIFS(F:F, "♢♢♢", E:E, E285) + COUNTIFS(F:F, "♢♢♢", E:E, "A1") + IF(E285="A1", COUNTIFS(F:F, "♢♢♢", E:E, E2), 0) - IF(E285="A1", COUNTIFS(F:F, "♢♢♢", E:E, "A1"), 0)))/100, 
   IF(F285="♢♢♢♢", ((N6 * 100) / (COUNTIFS(F:F, "♢♢♢♢", E:E, E285) + COUNTIFS(F:F, "♢♢♢♢", E:E, "A1") + IF(E285="A1", COUNTIFS(F:F, "♢♢♢♢", E:E, E2), 0) - IF(E285="A1", COUNTIFS(F:F, "♢♢♢♢", E:E, "A1"), 0)))/100, 
   IF(F285="☆", ((N7 * 100) / (COUNTIFS(F:F, "☆", E:E, E285) + COUNTIFS(F:F, "☆", E:E, "A1") + IF(E285="A1", COUNTIFS(F:F, "☆", E:E, E2), 0) - IF(E285="A1", COUNTIFS(F:F, "☆", E:E, "A1"), 0)))/100, 
   IF(F285="☆☆", ((N8 * 100) / (COUNTIFS(F:F, "☆☆", E:E, E285) + COUNTIFS(F:F, "☆☆", E:E, "A1") + IF(E285="A1", COUNTIFS(F:F, "☆☆", E:E, E2), 0) - IF(E285="A1", COUNTIFS(F:F, "☆☆", E:E, "A1"), 0)))/100, 
   IF(F285="☆☆☆", ((N9 * 100) / (COUNTIFS(F:F, "☆☆☆", E:E, E285) + COUNTIFS(F:F, "☆☆☆", E:E, "A1") + IF(E285="A1", COUNTIFS(F:F, "☆☆☆", E:E, E2), 0) - IF(E285="A1", COUNTIFS(F:F, "☆☆☆", E:E, "A1"), 0)))/100, 
   IF(F285="♛", ((N10 * 100) / (COUNTIFS(F:F, "♛", E:E, E285) + COUNTIFS(F:F, "♛", E:E, "A1") + IF(E285="A1", COUNTIFS(F:F, "♛", E:E, E2), 0) - IF(E285="A1", COUNTIFS(F:F, "♛", E:E, "A1"), 0)))/100, "")))))))
</f>
        <v>0.0005333333333</v>
      </c>
      <c r="J285" s="131"/>
      <c r="K285" s="150" t="s">
        <v>664</v>
      </c>
      <c r="L285" s="261">
        <f>SUMIFS(I:I, E:E, "A1-Mewtwo") + SUMIFS(I:I, E:E, "A1")</f>
        <v>1</v>
      </c>
      <c r="M285" s="150" t="s">
        <v>665</v>
      </c>
      <c r="N285" s="259">
        <f>COUNTIFS(F:F, "☆☆☆", E:E, "A1-Charizard")</f>
        <v>1</v>
      </c>
    </row>
    <row r="286">
      <c r="A286" s="125" t="b">
        <f t="shared" si="1"/>
        <v>0</v>
      </c>
      <c r="B286" s="126">
        <v>0.0</v>
      </c>
      <c r="C286" s="127" t="s">
        <v>666</v>
      </c>
      <c r="D286" s="128" t="s">
        <v>302</v>
      </c>
      <c r="E286" s="128" t="s">
        <v>137</v>
      </c>
      <c r="F286" s="127" t="s">
        <v>52</v>
      </c>
      <c r="G286" s="130" t="str">
        <f>IF(F286="♢", ((L3 * 100) / (COUNTIFS(F:F, "♢", E:E, E286) + COUNTIFS(F:F, "♢", E:E, "A1") + IF(E286="A1", COUNTIFS(F:F, "♢", E:E, E2), 0) - IF(E286="A1", COUNTIFS(F:F, "♢", E:E, "A1"), 0)))/100, "")
</f>
        <v/>
      </c>
      <c r="H286" s="129">
        <f>IF(F286="♢♢", ((M4 * 100) / (COUNTIFS(F:F, "♢♢", E:E, E286) + COUNTIFS(F:F, "♢♢", E:E, "A1") + IF(E286="A1", COUNTIFS(F:F, "♢♢", E:E, E2), 0) - IF(E286="A1", COUNTIFS(F:F, "♢♢", E:E, "A1"), 0)))/100, 
   IF(F286="♢♢♢", ((M5 * 100) / (COUNTIFS(F:F, "♢♢♢", E:E, E286) + COUNTIFS(F:F, "♢♢♢", E:E, "A1") + IF(E286="A1", COUNTIFS(F:F, "♢♢♢", E:E, E2), 0) - IF(E286="A1", COUNTIFS(F:F, "♢♢♢", E:E, "A1"), 0)))/100, 
   IF(F286="♢♢♢♢", ((M6 * 100) / (COUNTIFS(F:F, "♢♢♢♢", E:E, E286) + COUNTIFS(F:F, "♢♢♢♢", E:E, "A1") + IF(E286="A1", COUNTIFS(F:F, "♢♢♢♢", E:E, E2), 0) - IF(E286="A1", COUNTIFS(F:F, "♢♢♢♢", E:E, "A1"), 0)))/100, 
   IF(F286="☆", ((M7 * 100) / (COUNTIFS(F:F, "☆", E:E, E286) + COUNTIFS(F:F, "☆", E:E, "A1") + IF(E286="A1", COUNTIFS(F:F, "☆", E:E, E2), 0) - IF(E286="A1", COUNTIFS(F:F, "☆", E:E, "A1"), 0)))/100, 
   IF(F286="☆☆", ((M8 * 100) / (COUNTIFS(F:F, "☆☆", E:E, E286) + COUNTIFS(F:F, "☆☆", E:E, "A1") + IF(E286="A1", COUNTIFS(F:F, "☆☆", E:E, E2), 0) - IF(E286="A1", COUNTIFS(F:F, "☆☆", E:E, "A1"), 0)))/100, 
   IF(F286="☆☆☆", ((M9 * 100) / (COUNTIFS(F:F, "☆☆☆", E:E, E286) + COUNTIFS(F:F, "☆☆☆", E:E, "A1") + IF(E286="A1", COUNTIFS(F:F, "☆☆☆", E:E, E2), 0) - IF(E286="A1", COUNTIFS(F:F, "☆☆☆", E:E, "A1"), 0)))/100, 
   IF(F286="♛", ((M10 * 100) / (COUNTIFS(F:F, "♛", E:E, E286) + COUNTIFS(F:F, "♛", E:E, "A1") + IF(E286="A1", COUNTIFS(F:F, "♛", E:E, E2), 0) - IF(E286="A1", COUNTIFS(F:F, "♛", E:E, "A1"), 0)))/100, "")))))))
</f>
        <v>0.0001333333333</v>
      </c>
      <c r="I286" s="129">
        <f>IF(F286="♢♢", ((N4 * 100) / (COUNTIFS(F:F, "♢♢", E:E, E286) + COUNTIFS(F:F, "♢♢", E:E, "A1") + IF(E286="A1", COUNTIFS(F:F, "♢♢", E:E, E2), 0) - IF(E286="A1", COUNTIFS(F:F, "♢♢", E:E, "A1"), 0)))/100, 
   IF(F286="♢♢♢", ((N5 * 100) / (COUNTIFS(F:F, "♢♢♢", E:E, E286) + COUNTIFS(F:F, "♢♢♢", E:E, "A1") + IF(E286="A1", COUNTIFS(F:F, "♢♢♢", E:E, E2), 0) - IF(E286="A1", COUNTIFS(F:F, "♢♢♢", E:E, "A1"), 0)))/100, 
   IF(F286="♢♢♢♢", ((N6 * 100) / (COUNTIFS(F:F, "♢♢♢♢", E:E, E286) + COUNTIFS(F:F, "♢♢♢♢", E:E, "A1") + IF(E286="A1", COUNTIFS(F:F, "♢♢♢♢", E:E, E2), 0) - IF(E286="A1", COUNTIFS(F:F, "♢♢♢♢", E:E, "A1"), 0)))/100, 
   IF(F286="☆", ((N7 * 100) / (COUNTIFS(F:F, "☆", E:E, E286) + COUNTIFS(F:F, "☆", E:E, "A1") + IF(E286="A1", COUNTIFS(F:F, "☆", E:E, E2), 0) - IF(E286="A1", COUNTIFS(F:F, "☆", E:E, "A1"), 0)))/100, 
   IF(F286="☆☆", ((N8 * 100) / (COUNTIFS(F:F, "☆☆", E:E, E286) + COUNTIFS(F:F, "☆☆", E:E, "A1") + IF(E286="A1", COUNTIFS(F:F, "☆☆", E:E, E2), 0) - IF(E286="A1", COUNTIFS(F:F, "☆☆", E:E, "A1"), 0)))/100, 
   IF(F286="☆☆☆", ((N9 * 100) / (COUNTIFS(F:F, "☆☆☆", E:E, E286) + COUNTIFS(F:F, "☆☆☆", E:E, "A1") + IF(E286="A1", COUNTIFS(F:F, "☆☆☆", E:E, E2), 0) - IF(E286="A1", COUNTIFS(F:F, "☆☆☆", E:E, "A1"), 0)))/100, 
   IF(F286="♛", ((N10 * 100) / (COUNTIFS(F:F, "♛", E:E, E286) + COUNTIFS(F:F, "♛", E:E, "A1") + IF(E286="A1", COUNTIFS(F:F, "♛", E:E, E2), 0) - IF(E286="A1", COUNTIFS(F:F, "♛", E:E, "A1"), 0)))/100, "")))))))
</f>
        <v>0.0005333333333</v>
      </c>
      <c r="J286" s="131"/>
      <c r="K286" s="150" t="s">
        <v>667</v>
      </c>
      <c r="L286" s="261">
        <f>SUMIFS(I:I, E:E, "A1-Pikachu") + SUMIFS(I:I, E:E, "A1")</f>
        <v>1</v>
      </c>
      <c r="M286" s="150" t="s">
        <v>668</v>
      </c>
      <c r="N286" s="259">
        <f>COUNTIFS(F:F, "☆☆☆", E:E, "A1")</f>
        <v>0</v>
      </c>
    </row>
    <row r="287">
      <c r="A287" s="125" t="b">
        <f t="shared" si="1"/>
        <v>0</v>
      </c>
      <c r="B287" s="126">
        <v>0.0</v>
      </c>
      <c r="C287" s="262" t="s">
        <v>669</v>
      </c>
      <c r="D287" s="263" t="s">
        <v>373</v>
      </c>
      <c r="E287" s="263" t="s">
        <v>137</v>
      </c>
      <c r="F287" s="264" t="s">
        <v>52</v>
      </c>
      <c r="G287" s="265" t="str">
        <f>IF(F287="♢", ((L3 * 100) / (COUNTIFS(F:F, "♢", E:E, E287) + COUNTIFS(F:F, "♢", E:E, "A1") + IF(E287="A1", COUNTIFS(F:F, "♢", E:E, E2), 0) - IF(E287="A1", COUNTIFS(F:F, "♢", E:E, "A1"), 0)))/100, "")
</f>
        <v/>
      </c>
      <c r="H287" s="266">
        <f>IF(F287="♢♢", ((M4 * 100) / (COUNTIFS(F:F, "♢♢", E:E, E287) + COUNTIFS(F:F, "♢♢", E:E, "A1") + IF(E287="A1", COUNTIFS(F:F, "♢♢", E:E, E2), 0) - IF(E287="A1", COUNTIFS(F:F, "♢♢", E:E, "A1"), 0)))/100, 
   IF(F287="♢♢♢", ((M5 * 100) / (COUNTIFS(F:F, "♢♢♢", E:E, E287) + COUNTIFS(F:F, "♢♢♢", E:E, "A1") + IF(E287="A1", COUNTIFS(F:F, "♢♢♢", E:E, E2), 0) - IF(E287="A1", COUNTIFS(F:F, "♢♢♢", E:E, "A1"), 0)))/100, 
   IF(F287="♢♢♢♢", ((M6 * 100) / (COUNTIFS(F:F, "♢♢♢♢", E:E, E287) + COUNTIFS(F:F, "♢♢♢♢", E:E, "A1") + IF(E287="A1", COUNTIFS(F:F, "♢♢♢♢", E:E, E2), 0) - IF(E287="A1", COUNTIFS(F:F, "♢♢♢♢", E:E, "A1"), 0)))/100, 
   IF(F287="☆", ((M7 * 100) / (COUNTIFS(F:F, "☆", E:E, E287) + COUNTIFS(F:F, "☆", E:E, "A1") + IF(E287="A1", COUNTIFS(F:F, "☆", E:E, E2), 0) - IF(E287="A1", COUNTIFS(F:F, "☆", E:E, "A1"), 0)))/100, 
   IF(F287="☆☆", ((M8 * 100) / (COUNTIFS(F:F, "☆☆", E:E, E287) + COUNTIFS(F:F, "☆☆", E:E, "A1") + IF(E287="A1", COUNTIFS(F:F, "☆☆", E:E, E2), 0) - IF(E287="A1", COUNTIFS(F:F, "☆☆", E:E, "A1"), 0)))/100, 
   IF(F287="☆☆☆", ((M9 * 100) / (COUNTIFS(F:F, "☆☆☆", E:E, E287) + COUNTIFS(F:F, "☆☆☆", E:E, "A1") + IF(E287="A1", COUNTIFS(F:F, "☆☆☆", E:E, E2), 0) - IF(E287="A1", COUNTIFS(F:F, "☆☆☆", E:E, "A1"), 0)))/100, 
   IF(F287="♛", ((M10 * 100) / (COUNTIFS(F:F, "♛", E:E, E287) + COUNTIFS(F:F, "♛", E:E, "A1") + IF(E287="A1", COUNTIFS(F:F, "♛", E:E, E2), 0) - IF(E287="A1", COUNTIFS(F:F, "♛", E:E, "A1"), 0)))/100, "")))))))
</f>
        <v>0.0001333333333</v>
      </c>
      <c r="I287" s="266">
        <f>IF(F287="♢♢", ((N4 * 100) / (COUNTIFS(F:F, "♢♢", E:E, E287) + COUNTIFS(F:F, "♢♢", E:E, "A1") + IF(E287="A1", COUNTIFS(F:F, "♢♢", E:E, E2), 0) - IF(E287="A1", COUNTIFS(F:F, "♢♢", E:E, "A1"), 0)))/100, 
   IF(F287="♢♢♢", ((N5 * 100) / (COUNTIFS(F:F, "♢♢♢", E:E, E287) + COUNTIFS(F:F, "♢♢♢", E:E, "A1") + IF(E287="A1", COUNTIFS(F:F, "♢♢♢", E:E, E2), 0) - IF(E287="A1", COUNTIFS(F:F, "♢♢♢", E:E, "A1"), 0)))/100, 
   IF(F287="♢♢♢♢", ((N6 * 100) / (COUNTIFS(F:F, "♢♢♢♢", E:E, E287) + COUNTIFS(F:F, "♢♢♢♢", E:E, "A1") + IF(E287="A1", COUNTIFS(F:F, "♢♢♢♢", E:E, E2), 0) - IF(E287="A1", COUNTIFS(F:F, "♢♢♢♢", E:E, "A1"), 0)))/100, 
   IF(F287="☆", ((N7 * 100) / (COUNTIFS(F:F, "☆", E:E, E287) + COUNTIFS(F:F, "☆", E:E, "A1") + IF(E287="A1", COUNTIFS(F:F, "☆", E:E, E2), 0) - IF(E287="A1", COUNTIFS(F:F, "☆", E:E, "A1"), 0)))/100, 
   IF(F287="☆☆", ((N8 * 100) / (COUNTIFS(F:F, "☆☆", E:E, E287) + COUNTIFS(F:F, "☆☆", E:E, "A1") + IF(E287="A1", COUNTIFS(F:F, "☆☆", E:E, E2), 0) - IF(E287="A1", COUNTIFS(F:F, "☆☆", E:E, "A1"), 0)))/100, 
   IF(F287="☆☆☆", ((N9 * 100) / (COUNTIFS(F:F, "☆☆☆", E:E, E287) + COUNTIFS(F:F, "☆☆☆", E:E, "A1") + IF(E287="A1", COUNTIFS(F:F, "☆☆☆", E:E, E2), 0) - IF(E287="A1", COUNTIFS(F:F, "☆☆☆", E:E, "A1"), 0)))/100, 
   IF(F287="♛", ((N10 * 100) / (COUNTIFS(F:F, "♛", E:E, E287) + COUNTIFS(F:F, "♛", E:E, "A1") + IF(E287="A1", COUNTIFS(F:F, "♛", E:E, E2), 0) - IF(E287="A1", COUNTIFS(F:F, "♛", E:E, "A1"), 0)))/100, "")))))))
</f>
        <v>0.0005333333333</v>
      </c>
      <c r="J287" s="267"/>
      <c r="K287" s="268" t="s">
        <v>670</v>
      </c>
      <c r="L287" s="269">
        <f>SUMIFS(I:I, E:E, "A1-Charizard") + SUMIFS(I:I, E:E, "A1")
</f>
        <v>1</v>
      </c>
      <c r="M287" s="268" t="s">
        <v>671</v>
      </c>
      <c r="N287" s="270">
        <f>COUNTIFS(F:F, "♛", E:E, "A1")</f>
        <v>3</v>
      </c>
    </row>
    <row r="288">
      <c r="A288" s="125"/>
      <c r="B288" s="271">
        <f>SUM(B2:B287)</f>
        <v>0</v>
      </c>
      <c r="C288" s="127"/>
      <c r="D288" s="128"/>
      <c r="E288" s="127"/>
      <c r="F288" s="179"/>
      <c r="G288" s="130"/>
      <c r="H288" s="129"/>
      <c r="I288" s="129"/>
      <c r="J288" s="272"/>
      <c r="K288" s="148"/>
      <c r="L288" s="151"/>
      <c r="M288" s="148"/>
      <c r="N288" s="273"/>
      <c r="O288" s="124"/>
    </row>
  </sheetData>
  <autoFilter ref="$A$1:$F$287"/>
  <mergeCells count="56">
    <mergeCell ref="O254:O257"/>
    <mergeCell ref="M258:N258"/>
    <mergeCell ref="O258:O261"/>
    <mergeCell ref="K278:L278"/>
    <mergeCell ref="O278:O287"/>
    <mergeCell ref="O97:O106"/>
    <mergeCell ref="O107:O118"/>
    <mergeCell ref="O119:O124"/>
    <mergeCell ref="O125:O126"/>
    <mergeCell ref="O127:O137"/>
    <mergeCell ref="O138:O143"/>
    <mergeCell ref="K254:N255"/>
    <mergeCell ref="O2:O10"/>
    <mergeCell ref="K11:N12"/>
    <mergeCell ref="O11:O19"/>
    <mergeCell ref="K18:K19"/>
    <mergeCell ref="L18:N19"/>
    <mergeCell ref="K20:N21"/>
    <mergeCell ref="K26:N26"/>
    <mergeCell ref="K33:K34"/>
    <mergeCell ref="L33:N34"/>
    <mergeCell ref="K35:N35"/>
    <mergeCell ref="K40:K41"/>
    <mergeCell ref="L40:L41"/>
    <mergeCell ref="M40:M41"/>
    <mergeCell ref="N40:N41"/>
    <mergeCell ref="K42:N42"/>
    <mergeCell ref="M43:N43"/>
    <mergeCell ref="M44:N45"/>
    <mergeCell ref="K46:N47"/>
    <mergeCell ref="K48:L48"/>
    <mergeCell ref="M48:N48"/>
    <mergeCell ref="K55:K56"/>
    <mergeCell ref="M65:N65"/>
    <mergeCell ref="M66:N67"/>
    <mergeCell ref="L55:N56"/>
    <mergeCell ref="K57:N57"/>
    <mergeCell ref="K62:K63"/>
    <mergeCell ref="L62:L63"/>
    <mergeCell ref="M62:M63"/>
    <mergeCell ref="N62:N63"/>
    <mergeCell ref="K64:N64"/>
    <mergeCell ref="O20:O25"/>
    <mergeCell ref="O26:O34"/>
    <mergeCell ref="O35:O41"/>
    <mergeCell ref="O42:O45"/>
    <mergeCell ref="O46:O56"/>
    <mergeCell ref="O57:O63"/>
    <mergeCell ref="O64:O67"/>
    <mergeCell ref="O68:O69"/>
    <mergeCell ref="O70:O75"/>
    <mergeCell ref="O76:O79"/>
    <mergeCell ref="O80:O81"/>
    <mergeCell ref="O82:O88"/>
    <mergeCell ref="O89:O90"/>
    <mergeCell ref="O91:O96"/>
  </mergeCells>
  <conditionalFormatting sqref="B2:I288">
    <cfRule type="expression" dxfId="4" priority="1">
      <formula>$E2="A1-Mewtwo"</formula>
    </cfRule>
  </conditionalFormatting>
  <conditionalFormatting sqref="B2:I288">
    <cfRule type="expression" dxfId="5" priority="2">
      <formula>$E2="A1-Pikachu"</formula>
    </cfRule>
  </conditionalFormatting>
  <conditionalFormatting sqref="B2:I288">
    <cfRule type="expression" dxfId="6" priority="3">
      <formula>$E2="A1-Charizard"</formula>
    </cfRule>
  </conditionalFormatting>
  <conditionalFormatting sqref="B2:I288">
    <cfRule type="expression" dxfId="10" priority="4">
      <formula>$E2="A1"</formula>
    </cfRule>
  </conditionalFormatting>
  <conditionalFormatting sqref="K15:N17 K29:N32 K37:N39 K43:L45 K51:N54 K59:N61 K65:L67">
    <cfRule type="expression" dxfId="4" priority="5">
      <formula>$K15="A1-Mewtwo"</formula>
    </cfRule>
  </conditionalFormatting>
  <conditionalFormatting sqref="K15:N17 K29:N32 K37:N39 K43:L45 K51:N54 K59:N61 K65:L67">
    <cfRule type="expression" dxfId="5" priority="6">
      <formula>$K15="A1-Pikachu"</formula>
    </cfRule>
  </conditionalFormatting>
  <conditionalFormatting sqref="K15:N17 K29:N32 K37:N39 K43:L45 K51:N54 K59:N61 K65:L67">
    <cfRule type="expression" dxfId="6" priority="7">
      <formula>$K15="A1-Charizard"</formula>
    </cfRule>
  </conditionalFormatting>
  <conditionalFormatting sqref="K15:N17 K29:N32 K37:N39 K43:L45 K51:N54 K59:N61 K65:L67">
    <cfRule type="expression" dxfId="10" priority="8">
      <formula>$K15="A1"</formula>
    </cfRule>
  </conditionalFormatting>
  <conditionalFormatting sqref="L18:N19 L33:N34 L40:N41 M44:N45 L55:N56 L62:N63 M66:N67">
    <cfRule type="containsText" dxfId="4" priority="9" operator="containsText" text="Mewtwo">
      <formula>NOT(ISERROR(SEARCH(("Mewtwo"),(L18))))</formula>
    </cfRule>
  </conditionalFormatting>
  <conditionalFormatting sqref="L18:N19 L33:N34 L40:N41 M44:N45 L55:N56 L62:N63 M66:N67">
    <cfRule type="containsText" dxfId="5" priority="10" operator="containsText" text="Pikachu">
      <formula>NOT(ISERROR(SEARCH(("Pikachu"),(L18))))</formula>
    </cfRule>
  </conditionalFormatting>
  <conditionalFormatting sqref="L18:N19 L33:N34 L40:N41 M44:N45 L55:N56 L62:N63 M66:N67">
    <cfRule type="containsText" dxfId="6" priority="11" operator="containsText" text="Charizard">
      <formula>NOT(ISERROR(SEARCH(("Charizard"),(L18))))</formula>
    </cfRule>
  </conditionalFormatting>
  <conditionalFormatting sqref="A1:A288">
    <cfRule type="containsText" dxfId="11" priority="12" operator="containsText" text="TRUE">
      <formula>NOT(ISERROR(SEARCH(("TRUE"),(A1))))</formula>
    </cfRule>
  </conditionalFormatting>
  <conditionalFormatting sqref="A1:A288">
    <cfRule type="containsText" dxfId="12" priority="13" operator="containsText" text="FALSE">
      <formula>NOT(ISERROR(SEARCH(("FALSE"),(A1))))</formula>
    </cfRule>
  </conditionalFormatting>
  <conditionalFormatting sqref="B2:I288">
    <cfRule type="expression" dxfId="7" priority="14">
      <formula>$E2="Mission"</formula>
    </cfRule>
  </conditionalFormatting>
  <hyperlinks>
    <hyperlink r:id="rId2" ref="O57"/>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4.0"/>
    <col customWidth="1" min="3" max="3" width="7.13"/>
    <col customWidth="1" min="4" max="4" width="17.25"/>
  </cols>
  <sheetData>
    <row r="1">
      <c r="A1" s="274"/>
      <c r="B1" s="274" t="s">
        <v>62</v>
      </c>
      <c r="C1" s="274" t="s">
        <v>63</v>
      </c>
      <c r="D1" s="274" t="s">
        <v>64</v>
      </c>
      <c r="E1" s="274" t="s">
        <v>65</v>
      </c>
      <c r="F1" s="274" t="s">
        <v>66</v>
      </c>
      <c r="G1" s="274" t="s">
        <v>67</v>
      </c>
      <c r="H1" s="274" t="s">
        <v>68</v>
      </c>
      <c r="I1" s="274" t="s">
        <v>69</v>
      </c>
      <c r="J1" s="274" t="s">
        <v>3</v>
      </c>
      <c r="K1" s="23"/>
      <c r="L1" s="23"/>
      <c r="M1" s="23"/>
      <c r="N1" s="23"/>
    </row>
    <row r="2">
      <c r="A2" s="275" t="b">
        <f t="shared" ref="A2:A87" si="1">B2&gt;0</f>
        <v>0</v>
      </c>
      <c r="B2" s="276">
        <v>0.0</v>
      </c>
      <c r="C2" s="277" t="s">
        <v>672</v>
      </c>
      <c r="D2" s="277" t="s">
        <v>124</v>
      </c>
      <c r="E2" s="277" t="s">
        <v>34</v>
      </c>
      <c r="F2" s="278" t="s">
        <v>44</v>
      </c>
      <c r="G2" s="279">
        <f t="shared" ref="G2:G87" si="2">IF(F2="♢", (($L$3 * 100) / (COUNTIFS(F:F, "♢", E:E, E2) + COUNTIFS(F:F, "♢", E:E, "All") + IF(E2="All", COUNTIFS(F:F, "♢", E:E, $K$15), 0) - IF(E2="All", COUNTIFS(F:F, "♢", E:E, "All"), 0)))/100, "")
</f>
        <v>0.03125</v>
      </c>
      <c r="H2" s="280" t="str">
        <f>IF(F2="♢♢", ((M4 * 100) / (COUNTIFS(F:F, "♢♢", E:E, E2) + COUNTIFS(F:F, "♢♢", E:E, "All") + IF(E2="All", COUNTIFS(F:F, "♢♢", E:E, E2), 0) - IF(E2="All", COUNTIFS(F:F, "♢♢", E:E, "All"), 0)))/100,
 IF(F2="♢♢", ((M4 * 100) / (COUNTIFS(F:F, "♢♢", E:E, E2) + COUNTIFS(F:F, "♢♢", E:E, "All") + IF(E2="All", COUNTIFS(F:F, "♢♢", E:E, E2), 0) - IF(E2="All", COUNTIFS(F:F, "♢♢", E:E, "All"), 0)))/100, 
   IF(F2="♢♢♢", ((M5 * 100) / (COUNTIFS(F:F, "♢♢♢", E:E, E2) + COUNTIFS(F:F, "♢♢♢", E:E, "All") + IF(E2="All", COUNTIFS(F:F, "♢♢♢", E:E, E2), 0) - IF(E2="All", COUNTIFS(F:F, "♢♢♢", E:E, "All"), 0)))/100, 
   IF(F2="♢♢♢♢", ((M6 * 100) / (COUNTIFS(F:F, "♢♢♢♢", E:E, E2) + COUNTIFS(F:F, "♢♢♢♢", E:E, "All") + IF(E2="All", COUNTIFS(F:F, "♢♢♢♢", E:E, E2), 0) - IF(E2="All", COUNTIFS(F:F, "♢♢♢♢", E:E, "All"), 0)))/100, 
   IF(F2="☆", ((M7 * 100) / (COUNTIFS(F:F, "☆", E:E, E2) + COUNTIFS(F:F, "☆", E:E, "All") + IF(E2="All", COUNTIFS(F:F, "☆", E:E, E2), 0) - IF(E2="All", COUNTIFS(F:F, "☆", E:E, "All"), 0)))/100, 
   IF(F2="☆☆", ((M8 * 100) / (COUNTIFS(F:F, "☆☆", E:E, E2) + COUNTIFS(F:F, "☆☆", E:E, "All") + IF(E2="All", COUNTIFS(F:F, "☆☆", E:E, E2), 0) - IF(E2="All", COUNTIFS(F:F, "☆☆", E:E, "All"), 0)))/100, 
   IF(F2="☆☆☆", ((M9 * 100) / (COUNTIFS(F:F, "☆☆☆", E:E, E2) + COUNTIFS(F:F, "☆☆☆", E:E, "All") + IF(E2="All", COUNTIFS(F:F, "☆☆☆", E:E, E2), 0) - IF(E2="All", COUNTIFS(F:F, "☆☆☆", E:E, "All"), 0)))/100, 
   IF(F2="♛", ((M10 * 100) / (COUNTIFS(F:F, "♛", E:E, E2) + COUNTIFS(F:F, "♛", E:E, "All") + IF(E2="All", COUNTIFS(F:F, "♛", E:E, E2), 0) - IF(E2="All", COUNTIFS(F:F, "♛", E:E, "All"), 0)))/100, "")))))))
)</f>
        <v/>
      </c>
      <c r="I2" s="281" t="str">
        <f>IF(F2="♢♢", ((N4 * 100) / (COUNTIFS(F:F, "♢♢", E:E, E2) + COUNTIFS(F:F, "♢♢", E:E, "All") + IF(E2="All", COUNTIFS(F:F, "♢♢", E:E, E2), 0) - IF(E2="All", COUNTIFS(F:F, "♢♢", E:E, "All"), 0)))/100, 
   IF(F2="♢♢♢", ((N5 * 100) / (COUNTIFS(F:F, "♢♢♢", E:E, E2) + COUNTIFS(F:F, "♢♢♢", E:E, "All") + IF(E2="All", COUNTIFS(F:F, "♢♢♢", E:E, E2), 0) - IF(E2="All", COUNTIFS(F:F, "♢♢♢", E:E, "All"), 0)))/100, 
   IF(F2="♢♢♢♢", ((N6 * 100) / (COUNTIFS(F:F, "♢♢♢♢", E:E, E2) + COUNTIFS(F:F, "♢♢♢♢", E:E, "All") + IF(E2="All", COUNTIFS(F:F, "♢♢♢♢", E:E, E2), 0) - IF(E2="All", COUNTIFS(F:F, "♢♢♢♢", E:E, "All"), 0)))/100, 
   IF(F2="☆", ((N7 * 100) / (COUNTIFS(F:F, "☆", E:E, E2) + COUNTIFS(F:F, "☆", E:E, "All") + IF(E2="All", COUNTIFS(F:F, "☆", E:E, E2), 0) - IF(E2="All", COUNTIFS(F:F, "☆", E:E, "All"), 0)))/100, 
   IF(F2="☆☆", ((N8 * 100) / (COUNTIFS(F:F, "☆☆", E:E, E2) + COUNTIFS(F:F, "☆☆", E:E, "All") + IF(E2="All", COUNTIFS(F:F, "☆☆", E:E, E2), 0) - IF(E2="All", COUNTIFS(F:F, "☆☆", E:E, "All"), 0)))/100, 
   IF(F2="☆☆☆", ((N9 * 100) / (COUNTIFS(F:F, "☆☆☆", E:E, E2) + COUNTIFS(F:F, "☆☆☆", E:E, "All") + IF(E2="All", COUNTIFS(F:F, "☆☆☆", E:E, E2), 0) - IF(E2="All", COUNTIFS(F:F, "☆☆☆", E:E, "All"), 0)))/100, 
   IF(F2="♛", ((N10 * 100) / (COUNTIFS(F:F, "♛", E:E, E2) + COUNTIFS(F:F, "♛", E:E, "All") + IF(E2="All", COUNTIFS(F:F, "♛", E:E, E2), 0) - IF(E2="All", COUNTIFS(F:F, "♛", E:E, "All"), 0)))/100, "")))))))
</f>
        <v/>
      </c>
      <c r="J2" s="282"/>
      <c r="K2" s="283" t="s">
        <v>73</v>
      </c>
      <c r="L2" s="284">
        <v>45294.0</v>
      </c>
      <c r="M2" s="285">
        <v>4.0</v>
      </c>
      <c r="N2" s="286">
        <v>5.0</v>
      </c>
    </row>
    <row r="3">
      <c r="A3" s="275" t="b">
        <f t="shared" si="1"/>
        <v>0</v>
      </c>
      <c r="B3" s="276">
        <v>0.0</v>
      </c>
      <c r="C3" s="277" t="s">
        <v>673</v>
      </c>
      <c r="D3" s="277" t="s">
        <v>126</v>
      </c>
      <c r="E3" s="277" t="s">
        <v>34</v>
      </c>
      <c r="F3" s="278" t="s">
        <v>46</v>
      </c>
      <c r="G3" s="279" t="str">
        <f t="shared" si="2"/>
        <v/>
      </c>
      <c r="H3" s="280">
        <f>IF(F3="♢♢", ((M4 * 100) / (COUNTIFS(F:F, "♢♢", E:E, E3) + COUNTIFS(F:F, "♢♢", E:E, "All") + IF(E3="All", COUNTIFS(F:F, "♢♢", E:E, E2), 0) - IF(E3="All", COUNTIFS(F:F, "♢♢", E:E, "All"), 0)))/100, 
   IF(F3="♢♢♢", ((M5 * 100) / (COUNTIFS(F:F, "♢♢♢", E:E, E3) + COUNTIFS(F:F, "♢♢♢", E:E, "All") + IF(E3="All", COUNTIFS(F:F, "♢♢♢", E:E, E2), 0) - IF(E3="All", COUNTIFS(F:F, "♢♢♢", E:E, "All"), 0)))/100, 
   IF(F3="♢♢♢♢", ((M6 * 100) / (COUNTIFS(F:F, "♢♢♢♢", E:E, E3) + COUNTIFS(F:F, "♢♢♢♢", E:E, "All") + IF(E3="All", COUNTIFS(F:F, "♢♢♢♢", E:E, E2), 0) - IF(E3="All", COUNTIFS(F:F, "♢♢♢♢", E:E, "All"), 0)))/100, 
   IF(F3="☆", ((M7 * 100) / (COUNTIFS(F:F, "☆", E:E, E3) + COUNTIFS(F:F, "☆", E:E, "All") + IF(E3="All", COUNTIFS(F:F, "☆", E:E, E2), 0) - IF(E3="All", COUNTIFS(F:F, "☆", E:E, "All"), 0)))/100, 
   IF(F3="☆☆", ((M8 * 100) / (COUNTIFS(F:F, "☆☆", E:E, E3) + COUNTIFS(F:F, "☆☆", E:E, "All") + IF(E3="All", COUNTIFS(F:F, "☆☆", E:E, E2), 0) - IF(E3="All", COUNTIFS(F:F, "☆☆", E:E, "All"), 0)))/100, 
   IF(F3="☆☆☆", ((M9 * 100) / (COUNTIFS(F:F, "☆☆☆", E:E, E3) + COUNTIFS(F:F, "☆☆☆", E:E, "All") + IF(E3="All", COUNTIFS(F:F, "☆☆☆", E:E, E2), 0) - IF(E3="All", COUNTIFS(F:F, "☆☆☆", E:E, "All"), 0)))/100, 
   IF(F3="♛", ((M10 * 100) / (COUNTIFS(F:F, "♛", E:E, E3) + COUNTIFS(F:F, "♛", E:E, "All") + IF(E3="All", COUNTIFS(F:F, "♛", E:E, E2), 0) - IF(E3="All", COUNTIFS(F:F, "♛", E:E, "All"), 0)))/100, "")))))))
</f>
        <v>0.03913043478</v>
      </c>
      <c r="I3" s="281">
        <f>IF(F3="♢♢", ((N4 * 100) / (COUNTIFS(F:F, "♢♢", E:E, E3) + COUNTIFS(F:F, "♢♢", E:E, "All") + IF(E3="All", COUNTIFS(F:F, "♢♢", E:E, E2), 0) - IF(E3="All", COUNTIFS(F:F, "♢♢", E:E, "All"), 0)))/100, 
   IF(F3="♢♢♢", ((N5 * 100) / (COUNTIFS(F:F, "♢♢♢", E:E, E3) + COUNTIFS(F:F, "♢♢♢", E:E, "All") + IF(E3="All", COUNTIFS(F:F, "♢♢♢", E:E, E2), 0) - IF(E3="All", COUNTIFS(F:F, "♢♢♢", E:E, "All"), 0)))/100, 
   IF(F3="♢♢♢♢", ((N6 * 100) / (COUNTIFS(F:F, "♢♢♢♢", E:E, E3) + COUNTIFS(F:F, "♢♢♢♢", E:E, "All") + IF(E3="All", COUNTIFS(F:F, "♢♢♢♢", E:E, E2), 0) - IF(E3="All", COUNTIFS(F:F, "♢♢♢♢", E:E, "All"), 0)))/100, 
   IF(F3="☆", ((N7 * 100) / (COUNTIFS(F:F, "☆", E:E, E3) + COUNTIFS(F:F, "☆", E:E, "All") + IF(E3="All", COUNTIFS(F:F, "☆", E:E, E2), 0) - IF(E3="All", COUNTIFS(F:F, "☆", E:E, "All"), 0)))/100, 
   IF(F3="☆☆", ((N8 * 100) / (COUNTIFS(F:F, "☆☆", E:E, E3) + COUNTIFS(F:F, "☆☆", E:E, "All") + IF(E3="All", COUNTIFS(F:F, "☆☆", E:E, E2), 0) - IF(E3="All", COUNTIFS(F:F, "☆☆", E:E, "All"), 0)))/100, 
   IF(F3="☆☆☆", ((N9 * 100) / (COUNTIFS(F:F, "☆☆☆", E:E, E3) + COUNTIFS(F:F, "☆☆☆", E:E, "All") + IF(E3="All", COUNTIFS(F:F, "☆☆☆", E:E, E2), 0) - IF(E3="All", COUNTIFS(F:F, "☆☆☆", E:E, "All"), 0)))/100, 
   IF(F3="♛", ((N10 * 100) / (COUNTIFS(F:F, "♛", E:E, E3) + COUNTIFS(F:F, "♛", E:E, "All") + IF(E3="All", COUNTIFS(F:F, "♛", E:E, E2), 0) - IF(E3="All", COUNTIFS(F:F, "♛", E:E, "All"), 0)))/100, "")))))))
</f>
        <v>0.02608695652</v>
      </c>
      <c r="J3" s="282"/>
      <c r="K3" s="277" t="s">
        <v>44</v>
      </c>
      <c r="L3" s="287">
        <v>1.0</v>
      </c>
      <c r="M3" s="287">
        <v>0.0</v>
      </c>
      <c r="N3" s="288">
        <v>0.0</v>
      </c>
    </row>
    <row r="4">
      <c r="A4" s="275" t="b">
        <f t="shared" si="1"/>
        <v>0</v>
      </c>
      <c r="B4" s="276">
        <v>0.0</v>
      </c>
      <c r="C4" s="277" t="s">
        <v>674</v>
      </c>
      <c r="D4" s="277" t="s">
        <v>675</v>
      </c>
      <c r="E4" s="277" t="s">
        <v>34</v>
      </c>
      <c r="F4" s="277" t="s">
        <v>51</v>
      </c>
      <c r="G4" s="279" t="str">
        <f t="shared" si="2"/>
        <v/>
      </c>
      <c r="H4" s="280">
        <f>IF(F4="♢♢", ((M4 * 100) / (COUNTIFS(F:F, "♢♢", E:E, E4) + COUNTIFS(F:F, "♢♢", E:E, "All") + IF(E4="All", COUNTIFS(F:F, "♢♢", E:E, E2), 0) - IF(E4="All", COUNTIFS(F:F, "♢♢", E:E, "All"), 0)))/100, 
   IF(F4="♢♢♢", ((M5 * 100) / (COUNTIFS(F:F, "♢♢♢", E:E, E4) + COUNTIFS(F:F, "♢♢♢", E:E, "All") + IF(E4="All", COUNTIFS(F:F, "♢♢♢", E:E, E2), 0) - IF(E4="All", COUNTIFS(F:F, "♢♢♢", E:E, "All"), 0)))/100, 
   IF(F4="♢♢♢♢", ((M6 * 100) / (COUNTIFS(F:F, "♢♢♢♢", E:E, E4) + COUNTIFS(F:F, "♢♢♢♢", E:E, "All") + IF(E4="All", COUNTIFS(F:F, "♢♢♢♢", E:E, E2), 0) - IF(E4="All", COUNTIFS(F:F, "♢♢♢♢", E:E, "All"), 0)))/100, 
   IF(F4="☆", ((M7 * 100) / (COUNTIFS(F:F, "☆", E:E, E4) + COUNTIFS(F:F, "☆", E:E, "All") + IF(E4="All", COUNTIFS(F:F, "☆", E:E, E2), 0) - IF(E4="All", COUNTIFS(F:F, "☆", E:E, "All"), 0)))/100, 
   IF(F4="☆☆", ((M8 * 100) / (COUNTIFS(F:F, "☆☆", E:E, E4) + COUNTIFS(F:F, "☆☆", E:E, "All") + IF(E4="All", COUNTIFS(F:F, "☆☆", E:E, E2), 0) - IF(E4="All", COUNTIFS(F:F, "☆☆", E:E, "All"), 0)))/100, 
   IF(F4="☆☆☆", ((M9 * 100) / (COUNTIFS(F:F, "☆☆☆", E:E, E4) + COUNTIFS(F:F, "☆☆☆", E:E, "All") + IF(E4="All", COUNTIFS(F:F, "☆☆☆", E:E, E2), 0) - IF(E4="All", COUNTIFS(F:F, "☆☆☆", E:E, "All"), 0)))/100, 
   IF(F4="♛", ((M10 * 100) / (COUNTIFS(F:F, "♛", E:E, E4) + COUNTIFS(F:F, "♛", E:E, "All") + IF(E4="All", COUNTIFS(F:F, "♛", E:E, E2), 0) - IF(E4="All", COUNTIFS(F:F, "♛", E:E, "All"), 0)))/100, "")))))))
</f>
        <v>0.003332</v>
      </c>
      <c r="I4" s="281">
        <f>IF(F4="♢♢", ((N4 * 100) / (COUNTIFS(F:F, "♢♢", E:E, E4) + COUNTIFS(F:F, "♢♢", E:E, "All") + IF(E4="All", COUNTIFS(F:F, "♢♢", E:E, E2), 0) - IF(E4="All", COUNTIFS(F:F, "♢♢", E:E, "All"), 0)))/100, 
   IF(F4="♢♢♢", ((N5 * 100) / (COUNTIFS(F:F, "♢♢♢", E:E, E4) + COUNTIFS(F:F, "♢♢♢", E:E, "All") + IF(E4="All", COUNTIFS(F:F, "♢♢♢", E:E, E2), 0) - IF(E4="All", COUNTIFS(F:F, "♢♢♢", E:E, "All"), 0)))/100, 
   IF(F4="♢♢♢♢", ((N6 * 100) / (COUNTIFS(F:F, "♢♢♢♢", E:E, E4) + COUNTIFS(F:F, "♢♢♢♢", E:E, "All") + IF(E4="All", COUNTIFS(F:F, "♢♢♢♢", E:E, E2), 0) - IF(E4="All", COUNTIFS(F:F, "♢♢♢♢", E:E, "All"), 0)))/100, 
   IF(F4="☆", ((N7 * 100) / (COUNTIFS(F:F, "☆", E:E, E4) + COUNTIFS(F:F, "☆", E:E, "All") + IF(E4="All", COUNTIFS(F:F, "☆", E:E, E2), 0) - IF(E4="All", COUNTIFS(F:F, "☆", E:E, "All"), 0)))/100, 
   IF(F4="☆☆", ((N8 * 100) / (COUNTIFS(F:F, "☆☆", E:E, E4) + COUNTIFS(F:F, "☆☆", E:E, "All") + IF(E4="All", COUNTIFS(F:F, "☆☆", E:E, E2), 0) - IF(E4="All", COUNTIFS(F:F, "☆☆", E:E, "All"), 0)))/100, 
   IF(F4="☆☆☆", ((N9 * 100) / (COUNTIFS(F:F, "☆☆☆", E:E, E4) + COUNTIFS(F:F, "☆☆☆", E:E, "All") + IF(E4="All", COUNTIFS(F:F, "☆☆☆", E:E, E2), 0) - IF(E4="All", COUNTIFS(F:F, "☆☆☆", E:E, "All"), 0)))/100, 
   IF(F4="♛", ((N10 * 100) / (COUNTIFS(F:F, "♛", E:E, E4) + COUNTIFS(F:F, "♛", E:E, "All") + IF(E4="All", COUNTIFS(F:F, "♛", E:E, E2), 0) - IF(E4="All", COUNTIFS(F:F, "♛", E:E, "All"), 0)))/100, "")))))))
</f>
        <v>0.013328</v>
      </c>
      <c r="J4" s="282"/>
      <c r="K4" s="277" t="s">
        <v>46</v>
      </c>
      <c r="L4" s="287">
        <v>0.0</v>
      </c>
      <c r="M4" s="287">
        <v>0.9</v>
      </c>
      <c r="N4" s="288">
        <v>0.6</v>
      </c>
    </row>
    <row r="5">
      <c r="A5" s="275" t="b">
        <f t="shared" si="1"/>
        <v>0</v>
      </c>
      <c r="B5" s="276">
        <v>0.0</v>
      </c>
      <c r="C5" s="277" t="s">
        <v>676</v>
      </c>
      <c r="D5" s="277" t="s">
        <v>677</v>
      </c>
      <c r="E5" s="277" t="s">
        <v>34</v>
      </c>
      <c r="F5" s="277" t="s">
        <v>44</v>
      </c>
      <c r="G5" s="279">
        <f t="shared" si="2"/>
        <v>0.03125</v>
      </c>
      <c r="H5" s="280" t="str">
        <f>IF(F5="♢♢", ((M4 * 100) / (COUNTIFS(F:F, "♢♢", E:E, E5) + COUNTIFS(F:F, "♢♢", E:E, "All") + IF(E5="All", COUNTIFS(F:F, "♢♢", E:E, E2), 0) - IF(E5="All", COUNTIFS(F:F, "♢♢", E:E, "All"), 0)))/100, 
   IF(F5="♢♢♢", ((M5 * 100) / (COUNTIFS(F:F, "♢♢♢", E:E, E5) + COUNTIFS(F:F, "♢♢♢", E:E, "All") + IF(E5="All", COUNTIFS(F:F, "♢♢♢", E:E, E2), 0) - IF(E5="All", COUNTIFS(F:F, "♢♢♢", E:E, "All"), 0)))/100, 
   IF(F5="♢♢♢♢", ((M6 * 100) / (COUNTIFS(F:F, "♢♢♢♢", E:E, E5) + COUNTIFS(F:F, "♢♢♢♢", E:E, "All") + IF(E5="All", COUNTIFS(F:F, "♢♢♢♢", E:E, E2), 0) - IF(E5="All", COUNTIFS(F:F, "♢♢♢♢", E:E, "All"), 0)))/100, 
   IF(F5="☆", ((M7 * 100) / (COUNTIFS(F:F, "☆", E:E, E5) + COUNTIFS(F:F, "☆", E:E, "All") + IF(E5="All", COUNTIFS(F:F, "☆", E:E, E2), 0) - IF(E5="All", COUNTIFS(F:F, "☆", E:E, "All"), 0)))/100, 
   IF(F5="☆☆", ((M8 * 100) / (COUNTIFS(F:F, "☆☆", E:E, E5) + COUNTIFS(F:F, "☆☆", E:E, "All") + IF(E5="All", COUNTIFS(F:F, "☆☆", E:E, E2), 0) - IF(E5="All", COUNTIFS(F:F, "☆☆", E:E, "All"), 0)))/100, 
   IF(F5="☆☆☆", ((M9 * 100) / (COUNTIFS(F:F, "☆☆☆", E:E, E5) + COUNTIFS(F:F, "☆☆☆", E:E, "All") + IF(E5="All", COUNTIFS(F:F, "☆☆☆", E:E, E2), 0) - IF(E5="All", COUNTIFS(F:F, "☆☆☆", E:E, "All"), 0)))/100, 
   IF(F5="♛", ((M10 * 100) / (COUNTIFS(F:F, "♛", E:E, E5) + COUNTIFS(F:F, "♛", E:E, "All") + IF(E5="All", COUNTIFS(F:F, "♛", E:E, E2), 0) - IF(E5="All", COUNTIFS(F:F, "♛", E:E, "All"), 0)))/100, "")))))))
</f>
        <v/>
      </c>
      <c r="I5" s="281" t="str">
        <f>IF(F5="♢♢", ((N4 * 100) / (COUNTIFS(F:F, "♢♢", E:E, E5) + COUNTIFS(F:F, "♢♢", E:E, "All") + IF(E5="All", COUNTIFS(F:F, "♢♢", E:E, E2), 0) - IF(E5="All", COUNTIFS(F:F, "♢♢", E:E, "All"), 0)))/100, 
   IF(F5="♢♢♢", ((N5 * 100) / (COUNTIFS(F:F, "♢♢♢", E:E, E5) + COUNTIFS(F:F, "♢♢♢", E:E, "All") + IF(E5="All", COUNTIFS(F:F, "♢♢♢", E:E, E2), 0) - IF(E5="All", COUNTIFS(F:F, "♢♢♢", E:E, "All"), 0)))/100, 
   IF(F5="♢♢♢♢", ((N6 * 100) / (COUNTIFS(F:F, "♢♢♢♢", E:E, E5) + COUNTIFS(F:F, "♢♢♢♢", E:E, "All") + IF(E5="All", COUNTIFS(F:F, "♢♢♢♢", E:E, E2), 0) - IF(E5="All", COUNTIFS(F:F, "♢♢♢♢", E:E, "All"), 0)))/100, 
   IF(F5="☆", ((N7 * 100) / (COUNTIFS(F:F, "☆", E:E, E5) + COUNTIFS(F:F, "☆", E:E, "All") + IF(E5="All", COUNTIFS(F:F, "☆", E:E, E2), 0) - IF(E5="All", COUNTIFS(F:F, "☆", E:E, "All"), 0)))/100, 
   IF(F5="☆☆", ((N8 * 100) / (COUNTIFS(F:F, "☆☆", E:E, E5) + COUNTIFS(F:F, "☆☆", E:E, "All") + IF(E5="All", COUNTIFS(F:F, "☆☆", E:E, E2), 0) - IF(E5="All", COUNTIFS(F:F, "☆☆", E:E, "All"), 0)))/100, 
   IF(F5="☆☆☆", ((N9 * 100) / (COUNTIFS(F:F, "☆☆☆", E:E, E5) + COUNTIFS(F:F, "☆☆☆", E:E, "All") + IF(E5="All", COUNTIFS(F:F, "☆☆☆", E:E, E2), 0) - IF(E5="All", COUNTIFS(F:F, "☆☆☆", E:E, "All"), 0)))/100, 
   IF(F5="♛", ((N10 * 100) / (COUNTIFS(F:F, "♛", E:E, E5) + COUNTIFS(F:F, "♛", E:E, "All") + IF(E5="All", COUNTIFS(F:F, "♛", E:E, E2), 0) - IF(E5="All", COUNTIFS(F:F, "♛", E:E, "All"), 0)))/100, "")))))))
</f>
        <v/>
      </c>
      <c r="J5" s="282"/>
      <c r="K5" s="277" t="s">
        <v>48</v>
      </c>
      <c r="L5" s="287">
        <v>0.0</v>
      </c>
      <c r="M5" s="287">
        <v>0.05</v>
      </c>
      <c r="N5" s="288">
        <v>0.2</v>
      </c>
    </row>
    <row r="6">
      <c r="A6" s="275" t="b">
        <f t="shared" si="1"/>
        <v>0</v>
      </c>
      <c r="B6" s="276">
        <v>0.0</v>
      </c>
      <c r="C6" s="277" t="s">
        <v>678</v>
      </c>
      <c r="D6" s="277" t="s">
        <v>679</v>
      </c>
      <c r="E6" s="277" t="s">
        <v>34</v>
      </c>
      <c r="F6" s="277" t="s">
        <v>46</v>
      </c>
      <c r="G6" s="279" t="str">
        <f t="shared" si="2"/>
        <v/>
      </c>
      <c r="H6" s="280">
        <f>IF(F6="♢♢", ((M4 * 100) / (COUNTIFS(F:F, "♢♢", E:E, E6) + COUNTIFS(F:F, "♢♢", E:E, "All") + IF(E6="All", COUNTIFS(F:F, "♢♢", E:E, E2), 0) - IF(E6="All", COUNTIFS(F:F, "♢♢", E:E, "All"), 0)))/100, 
   IF(F6="♢♢♢", ((M5 * 100) / (COUNTIFS(F:F, "♢♢♢", E:E, E6) + COUNTIFS(F:F, "♢♢♢", E:E, "All") + IF(E6="All", COUNTIFS(F:F, "♢♢♢", E:E, E2), 0) - IF(E6="All", COUNTIFS(F:F, "♢♢♢", E:E, "All"), 0)))/100, 
   IF(F6="♢♢♢♢", ((M6 * 100) / (COUNTIFS(F:F, "♢♢♢♢", E:E, E6) + COUNTIFS(F:F, "♢♢♢♢", E:E, "All") + IF(E6="All", COUNTIFS(F:F, "♢♢♢♢", E:E, E2), 0) - IF(E6="All", COUNTIFS(F:F, "♢♢♢♢", E:E, "All"), 0)))/100, 
   IF(F6="☆", ((M7 * 100) / (COUNTIFS(F:F, "☆", E:E, E6) + COUNTIFS(F:F, "☆", E:E, "All") + IF(E6="All", COUNTIFS(F:F, "☆", E:E, E2), 0) - IF(E6="All", COUNTIFS(F:F, "☆", E:E, "All"), 0)))/100, 
   IF(F6="☆☆", ((M8 * 100) / (COUNTIFS(F:F, "☆☆", E:E, E6) + COUNTIFS(F:F, "☆☆", E:E, "All") + IF(E6="All", COUNTIFS(F:F, "☆☆", E:E, E2), 0) - IF(E6="All", COUNTIFS(F:F, "☆☆", E:E, "All"), 0)))/100, 
   IF(F6="☆☆☆", ((M9 * 100) / (COUNTIFS(F:F, "☆☆☆", E:E, E6) + COUNTIFS(F:F, "☆☆☆", E:E, "All") + IF(E6="All", COUNTIFS(F:F, "☆☆☆", E:E, E2), 0) - IF(E6="All", COUNTIFS(F:F, "☆☆☆", E:E, "All"), 0)))/100, 
   IF(F6="♛", ((M10 * 100) / (COUNTIFS(F:F, "♛", E:E, E6) + COUNTIFS(F:F, "♛", E:E, "All") + IF(E6="All", COUNTIFS(F:F, "♛", E:E, E2), 0) - IF(E6="All", COUNTIFS(F:F, "♛", E:E, "All"), 0)))/100, "")))))))
</f>
        <v>0.03913043478</v>
      </c>
      <c r="I6" s="281">
        <f>IF(F6="♢♢", ((N4 * 100) / (COUNTIFS(F:F, "♢♢", E:E, E6) + COUNTIFS(F:F, "♢♢", E:E, "All") + IF(E6="All", COUNTIFS(F:F, "♢♢", E:E, E2), 0) - IF(E6="All", COUNTIFS(F:F, "♢♢", E:E, "All"), 0)))/100, 
   IF(F6="♢♢♢", ((N5 * 100) / (COUNTIFS(F:F, "♢♢♢", E:E, E6) + COUNTIFS(F:F, "♢♢♢", E:E, "All") + IF(E6="All", COUNTIFS(F:F, "♢♢♢", E:E, E2), 0) - IF(E6="All", COUNTIFS(F:F, "♢♢♢", E:E, "All"), 0)))/100, 
   IF(F6="♢♢♢♢", ((N6 * 100) / (COUNTIFS(F:F, "♢♢♢♢", E:E, E6) + COUNTIFS(F:F, "♢♢♢♢", E:E, "All") + IF(E6="All", COUNTIFS(F:F, "♢♢♢♢", E:E, E2), 0) - IF(E6="All", COUNTIFS(F:F, "♢♢♢♢", E:E, "All"), 0)))/100, 
   IF(F6="☆", ((N7 * 100) / (COUNTIFS(F:F, "☆", E:E, E6) + COUNTIFS(F:F, "☆", E:E, "All") + IF(E6="All", COUNTIFS(F:F, "☆", E:E, E2), 0) - IF(E6="All", COUNTIFS(F:F, "☆", E:E, "All"), 0)))/100, 
   IF(F6="☆☆", ((N8 * 100) / (COUNTIFS(F:F, "☆☆", E:E, E6) + COUNTIFS(F:F, "☆☆", E:E, "All") + IF(E6="All", COUNTIFS(F:F, "☆☆", E:E, E2), 0) - IF(E6="All", COUNTIFS(F:F, "☆☆", E:E, "All"), 0)))/100, 
   IF(F6="☆☆☆", ((N9 * 100) / (COUNTIFS(F:F, "☆☆☆", E:E, E6) + COUNTIFS(F:F, "☆☆☆", E:E, "All") + IF(E6="All", COUNTIFS(F:F, "☆☆☆", E:E, E2), 0) - IF(E6="All", COUNTIFS(F:F, "☆☆☆", E:E, "All"), 0)))/100, 
   IF(F6="♛", ((N10 * 100) / (COUNTIFS(F:F, "♛", E:E, E6) + COUNTIFS(F:F, "♛", E:E, "All") + IF(E6="All", COUNTIFS(F:F, "♛", E:E, E2), 0) - IF(E6="All", COUNTIFS(F:F, "♛", E:E, "All"), 0)))/100, "")))))))
</f>
        <v>0.02608695652</v>
      </c>
      <c r="J6" s="282"/>
      <c r="K6" s="277" t="s">
        <v>51</v>
      </c>
      <c r="L6" s="287">
        <v>0.0</v>
      </c>
      <c r="M6" s="287">
        <v>0.01666</v>
      </c>
      <c r="N6" s="288">
        <v>0.06664</v>
      </c>
    </row>
    <row r="7">
      <c r="A7" s="275" t="b">
        <f t="shared" si="1"/>
        <v>0</v>
      </c>
      <c r="B7" s="276">
        <v>0.0</v>
      </c>
      <c r="C7" s="277" t="s">
        <v>680</v>
      </c>
      <c r="D7" s="277" t="s">
        <v>681</v>
      </c>
      <c r="E7" s="277" t="s">
        <v>34</v>
      </c>
      <c r="F7" s="277" t="s">
        <v>48</v>
      </c>
      <c r="G7" s="279" t="str">
        <f t="shared" si="2"/>
        <v/>
      </c>
      <c r="H7" s="280">
        <f>IF(F7="♢♢", ((M4 * 100) / (COUNTIFS(F:F, "♢♢", E:E, E7) + COUNTIFS(F:F, "♢♢", E:E, "All") + IF(E7="All", COUNTIFS(F:F, "♢♢", E:E, E2), 0) - IF(E7="All", COUNTIFS(F:F, "♢♢", E:E, "All"), 0)))/100, 
   IF(F7="♢♢♢", ((M5 * 100) / (COUNTIFS(F:F, "♢♢♢", E:E, E7) + COUNTIFS(F:F, "♢♢♢", E:E, "All") + IF(E7="All", COUNTIFS(F:F, "♢♢♢", E:E, E2), 0) - IF(E7="All", COUNTIFS(F:F, "♢♢♢", E:E, "All"), 0)))/100, 
   IF(F7="♢♢♢♢", ((M6 * 100) / (COUNTIFS(F:F, "♢♢♢♢", E:E, E7) + COUNTIFS(F:F, "♢♢♢♢", E:E, "All") + IF(E7="All", COUNTIFS(F:F, "♢♢♢♢", E:E, E2), 0) - IF(E7="All", COUNTIFS(F:F, "♢♢♢♢", E:E, "All"), 0)))/100, 
   IF(F7="☆", ((M7 * 100) / (COUNTIFS(F:F, "☆", E:E, E7) + COUNTIFS(F:F, "☆", E:E, "All") + IF(E7="All", COUNTIFS(F:F, "☆", E:E, E2), 0) - IF(E7="All", COUNTIFS(F:F, "☆", E:E, "All"), 0)))/100, 
   IF(F7="☆☆", ((M8 * 100) / (COUNTIFS(F:F, "☆☆", E:E, E7) + COUNTIFS(F:F, "☆☆", E:E, "All") + IF(E7="All", COUNTIFS(F:F, "☆☆", E:E, E2), 0) - IF(E7="All", COUNTIFS(F:F, "☆☆", E:E, "All"), 0)))/100, 
   IF(F7="☆☆☆", ((M9 * 100) / (COUNTIFS(F:F, "☆☆☆", E:E, E7) + COUNTIFS(F:F, "☆☆☆", E:E, "All") + IF(E7="All", COUNTIFS(F:F, "☆☆☆", E:E, E2), 0) - IF(E7="All", COUNTIFS(F:F, "☆☆☆", E:E, "All"), 0)))/100, 
   IF(F7="♛", ((M10 * 100) / (COUNTIFS(F:F, "♛", E:E, E7) + COUNTIFS(F:F, "♛", E:E, "All") + IF(E7="All", COUNTIFS(F:F, "♛", E:E, E2), 0) - IF(E7="All", COUNTIFS(F:F, "♛", E:E, "All"), 0)))/100, "")))))))
</f>
        <v>0.00625</v>
      </c>
      <c r="I7" s="281">
        <f>IF(F7="♢♢", ((N4 * 100) / (COUNTIFS(F:F, "♢♢", E:E, E7) + COUNTIFS(F:F, "♢♢", E:E, "All") + IF(E7="All", COUNTIFS(F:F, "♢♢", E:E, E2), 0) - IF(E7="All", COUNTIFS(F:F, "♢♢", E:E, "All"), 0)))/100, 
   IF(F7="♢♢♢", ((N5 * 100) / (COUNTIFS(F:F, "♢♢♢", E:E, E7) + COUNTIFS(F:F, "♢♢♢", E:E, "All") + IF(E7="All", COUNTIFS(F:F, "♢♢♢", E:E, E2), 0) - IF(E7="All", COUNTIFS(F:F, "♢♢♢", E:E, "All"), 0)))/100, 
   IF(F7="♢♢♢♢", ((N6 * 100) / (COUNTIFS(F:F, "♢♢♢♢", E:E, E7) + COUNTIFS(F:F, "♢♢♢♢", E:E, "All") + IF(E7="All", COUNTIFS(F:F, "♢♢♢♢", E:E, E2), 0) - IF(E7="All", COUNTIFS(F:F, "♢♢♢♢", E:E, "All"), 0)))/100, 
   IF(F7="☆", ((N7 * 100) / (COUNTIFS(F:F, "☆", E:E, E7) + COUNTIFS(F:F, "☆", E:E, "All") + IF(E7="All", COUNTIFS(F:F, "☆", E:E, E2), 0) - IF(E7="All", COUNTIFS(F:F, "☆", E:E, "All"), 0)))/100, 
   IF(F7="☆☆", ((N8 * 100) / (COUNTIFS(F:F, "☆☆", E:E, E7) + COUNTIFS(F:F, "☆☆", E:E, "All") + IF(E7="All", COUNTIFS(F:F, "☆☆", E:E, E2), 0) - IF(E7="All", COUNTIFS(F:F, "☆☆", E:E, "All"), 0)))/100, 
   IF(F7="☆☆☆", ((N9 * 100) / (COUNTIFS(F:F, "☆☆☆", E:E, E7) + COUNTIFS(F:F, "☆☆☆", E:E, "All") + IF(E7="All", COUNTIFS(F:F, "☆☆☆", E:E, E2), 0) - IF(E7="All", COUNTIFS(F:F, "☆☆☆", E:E, "All"), 0)))/100, 
   IF(F7="♛", ((N10 * 100) / (COUNTIFS(F:F, "♛", E:E, E7) + COUNTIFS(F:F, "♛", E:E, "All") + IF(E7="All", COUNTIFS(F:F, "♛", E:E, E2), 0) - IF(E7="All", COUNTIFS(F:F, "♛", E:E, "All"), 0)))/100, "")))))))
</f>
        <v>0.025</v>
      </c>
      <c r="J7" s="282"/>
      <c r="K7" s="277" t="s">
        <v>45</v>
      </c>
      <c r="L7" s="287">
        <v>0.0</v>
      </c>
      <c r="M7" s="287">
        <v>0.02572</v>
      </c>
      <c r="N7" s="288">
        <v>0.10288</v>
      </c>
    </row>
    <row r="8">
      <c r="A8" s="275" t="b">
        <f t="shared" si="1"/>
        <v>0</v>
      </c>
      <c r="B8" s="276">
        <v>0.0</v>
      </c>
      <c r="C8" s="277" t="s">
        <v>682</v>
      </c>
      <c r="D8" s="277" t="s">
        <v>683</v>
      </c>
      <c r="E8" s="277" t="s">
        <v>34</v>
      </c>
      <c r="F8" s="277" t="s">
        <v>44</v>
      </c>
      <c r="G8" s="279">
        <f t="shared" si="2"/>
        <v>0.03125</v>
      </c>
      <c r="H8" s="280" t="str">
        <f>IF(F8="♢♢", ((M4 * 100) / (COUNTIFS(F:F, "♢♢", E:E, E8) + COUNTIFS(F:F, "♢♢", E:E, "All") + IF(E8="All", COUNTIFS(F:F, "♢♢", E:E, E2), 0) - IF(E8="All", COUNTIFS(F:F, "♢♢", E:E, "All"), 0)))/100, 
   IF(F8="♢♢♢", ((M5 * 100) / (COUNTIFS(F:F, "♢♢♢", E:E, E8) + COUNTIFS(F:F, "♢♢♢", E:E, "All") + IF(E8="All", COUNTIFS(F:F, "♢♢♢", E:E, E2), 0) - IF(E8="All", COUNTIFS(F:F, "♢♢♢", E:E, "All"), 0)))/100, 
   IF(F8="♢♢♢♢", ((M6 * 100) / (COUNTIFS(F:F, "♢♢♢♢", E:E, E8) + COUNTIFS(F:F, "♢♢♢♢", E:E, "All") + IF(E8="All", COUNTIFS(F:F, "♢♢♢♢", E:E, E2), 0) - IF(E8="All", COUNTIFS(F:F, "♢♢♢♢", E:E, "All"), 0)))/100, 
   IF(F8="☆", ((M7 * 100) / (COUNTIFS(F:F, "☆", E:E, E8) + COUNTIFS(F:F, "☆", E:E, "All") + IF(E8="All", COUNTIFS(F:F, "☆", E:E, E2), 0) - IF(E8="All", COUNTIFS(F:F, "☆", E:E, "All"), 0)))/100, 
   IF(F8="☆☆", ((M8 * 100) / (COUNTIFS(F:F, "☆☆", E:E, E8) + COUNTIFS(F:F, "☆☆", E:E, "All") + IF(E8="All", COUNTIFS(F:F, "☆☆", E:E, E2), 0) - IF(E8="All", COUNTIFS(F:F, "☆☆", E:E, "All"), 0)))/100, 
   IF(F8="☆☆☆", ((M9 * 100) / (COUNTIFS(F:F, "☆☆☆", E:E, E8) + COUNTIFS(F:F, "☆☆☆", E:E, "All") + IF(E8="All", COUNTIFS(F:F, "☆☆☆", E:E, E2), 0) - IF(E8="All", COUNTIFS(F:F, "☆☆☆", E:E, "All"), 0)))/100, 
   IF(F8="♛", ((M10 * 100) / (COUNTIFS(F:F, "♛", E:E, E8) + COUNTIFS(F:F, "♛", E:E, "All") + IF(E8="All", COUNTIFS(F:F, "♛", E:E, E2), 0) - IF(E8="All", COUNTIFS(F:F, "♛", E:E, "All"), 0)))/100, "")))))))
</f>
        <v/>
      </c>
      <c r="I8" s="281" t="str">
        <f>IF(F8="♢♢", ((N4 * 100) / (COUNTIFS(F:F, "♢♢", E:E, E8) + COUNTIFS(F:F, "♢♢", E:E, "All") + IF(E8="All", COUNTIFS(F:F, "♢♢", E:E, E2), 0) - IF(E8="All", COUNTIFS(F:F, "♢♢", E:E, "All"), 0)))/100, 
   IF(F8="♢♢♢", ((N5 * 100) / (COUNTIFS(F:F, "♢♢♢", E:E, E8) + COUNTIFS(F:F, "♢♢♢", E:E, "All") + IF(E8="All", COUNTIFS(F:F, "♢♢♢", E:E, E2), 0) - IF(E8="All", COUNTIFS(F:F, "♢♢♢", E:E, "All"), 0)))/100, 
   IF(F8="♢♢♢♢", ((N6 * 100) / (COUNTIFS(F:F, "♢♢♢♢", E:E, E8) + COUNTIFS(F:F, "♢♢♢♢", E:E, "All") + IF(E8="All", COUNTIFS(F:F, "♢♢♢♢", E:E, E2), 0) - IF(E8="All", COUNTIFS(F:F, "♢♢♢♢", E:E, "All"), 0)))/100, 
   IF(F8="☆", ((N7 * 100) / (COUNTIFS(F:F, "☆", E:E, E8) + COUNTIFS(F:F, "☆", E:E, "All") + IF(E8="All", COUNTIFS(F:F, "☆", E:E, E2), 0) - IF(E8="All", COUNTIFS(F:F, "☆", E:E, "All"), 0)))/100, 
   IF(F8="☆☆", ((N8 * 100) / (COUNTIFS(F:F, "☆☆", E:E, E8) + COUNTIFS(F:F, "☆☆", E:E, "All") + IF(E8="All", COUNTIFS(F:F, "☆☆", E:E, E2), 0) - IF(E8="All", COUNTIFS(F:F, "☆☆", E:E, "All"), 0)))/100, 
   IF(F8="☆☆☆", ((N9 * 100) / (COUNTIFS(F:F, "☆☆☆", E:E, E8) + COUNTIFS(F:F, "☆☆☆", E:E, "All") + IF(E8="All", COUNTIFS(F:F, "☆☆☆", E:E, E2), 0) - IF(E8="All", COUNTIFS(F:F, "☆☆☆", E:E, "All"), 0)))/100, 
   IF(F8="♛", ((N10 * 100) / (COUNTIFS(F:F, "♛", E:E, E8) + COUNTIFS(F:F, "♛", E:E, "All") + IF(E8="All", COUNTIFS(F:F, "♛", E:E, E2), 0) - IF(E8="All", COUNTIFS(F:F, "♛", E:E, "All"), 0)))/100, "")))))))
</f>
        <v/>
      </c>
      <c r="J8" s="282"/>
      <c r="K8" s="277" t="s">
        <v>47</v>
      </c>
      <c r="L8" s="287">
        <v>0.0</v>
      </c>
      <c r="M8" s="287">
        <v>0.005</v>
      </c>
      <c r="N8" s="288">
        <v>0.02</v>
      </c>
    </row>
    <row r="9">
      <c r="A9" s="275" t="b">
        <f t="shared" si="1"/>
        <v>0</v>
      </c>
      <c r="B9" s="276">
        <v>0.0</v>
      </c>
      <c r="C9" s="277" t="s">
        <v>684</v>
      </c>
      <c r="D9" s="277" t="s">
        <v>685</v>
      </c>
      <c r="E9" s="277" t="s">
        <v>34</v>
      </c>
      <c r="F9" s="277" t="s">
        <v>46</v>
      </c>
      <c r="G9" s="279" t="str">
        <f t="shared" si="2"/>
        <v/>
      </c>
      <c r="H9" s="280">
        <f>IF(F9="♢♢", ((M4 * 100) / (COUNTIFS(F:F, "♢♢", E:E, E9) + COUNTIFS(F:F, "♢♢", E:E, "All") + IF(E9="All", COUNTIFS(F:F, "♢♢", E:E, E2), 0) - IF(E9="All", COUNTIFS(F:F, "♢♢", E:E, "All"), 0)))/100, 
   IF(F9="♢♢♢", ((M5 * 100) / (COUNTIFS(F:F, "♢♢♢", E:E, E9) + COUNTIFS(F:F, "♢♢♢", E:E, "All") + IF(E9="All", COUNTIFS(F:F, "♢♢♢", E:E, E2), 0) - IF(E9="All", COUNTIFS(F:F, "♢♢♢", E:E, "All"), 0)))/100, 
   IF(F9="♢♢♢♢", ((M6 * 100) / (COUNTIFS(F:F, "♢♢♢♢", E:E, E9) + COUNTIFS(F:F, "♢♢♢♢", E:E, "All") + IF(E9="All", COUNTIFS(F:F, "♢♢♢♢", E:E, E2), 0) - IF(E9="All", COUNTIFS(F:F, "♢♢♢♢", E:E, "All"), 0)))/100, 
   IF(F9="☆", ((M7 * 100) / (COUNTIFS(F:F, "☆", E:E, E9) + COUNTIFS(F:F, "☆", E:E, "All") + IF(E9="All", COUNTIFS(F:F, "☆", E:E, E2), 0) - IF(E9="All", COUNTIFS(F:F, "☆", E:E, "All"), 0)))/100, 
   IF(F9="☆☆", ((M8 * 100) / (COUNTIFS(F:F, "☆☆", E:E, E9) + COUNTIFS(F:F, "☆☆", E:E, "All") + IF(E9="All", COUNTIFS(F:F, "☆☆", E:E, E2), 0) - IF(E9="All", COUNTIFS(F:F, "☆☆", E:E, "All"), 0)))/100, 
   IF(F9="☆☆☆", ((M9 * 100) / (COUNTIFS(F:F, "☆☆☆", E:E, E9) + COUNTIFS(F:F, "☆☆☆", E:E, "All") + IF(E9="All", COUNTIFS(F:F, "☆☆☆", E:E, E2), 0) - IF(E9="All", COUNTIFS(F:F, "☆☆☆", E:E, "All"), 0)))/100, 
   IF(F9="♛", ((M10 * 100) / (COUNTIFS(F:F, "♛", E:E, E9) + COUNTIFS(F:F, "♛", E:E, "All") + IF(E9="All", COUNTIFS(F:F, "♛", E:E, E2), 0) - IF(E9="All", COUNTIFS(F:F, "♛", E:E, "All"), 0)))/100, "")))))))
</f>
        <v>0.03913043478</v>
      </c>
      <c r="I9" s="281">
        <f>IF(F9="♢♢", ((N4 * 100) / (COUNTIFS(F:F, "♢♢", E:E, E9) + COUNTIFS(F:F, "♢♢", E:E, "All") + IF(E9="All", COUNTIFS(F:F, "♢♢", E:E, E2), 0) - IF(E9="All", COUNTIFS(F:F, "♢♢", E:E, "All"), 0)))/100, 
   IF(F9="♢♢♢", ((N5 * 100) / (COUNTIFS(F:F, "♢♢♢", E:E, E9) + COUNTIFS(F:F, "♢♢♢", E:E, "All") + IF(E9="All", COUNTIFS(F:F, "♢♢♢", E:E, E2), 0) - IF(E9="All", COUNTIFS(F:F, "♢♢♢", E:E, "All"), 0)))/100, 
   IF(F9="♢♢♢♢", ((N6 * 100) / (COUNTIFS(F:F, "♢♢♢♢", E:E, E9) + COUNTIFS(F:F, "♢♢♢♢", E:E, "All") + IF(E9="All", COUNTIFS(F:F, "♢♢♢♢", E:E, E2), 0) - IF(E9="All", COUNTIFS(F:F, "♢♢♢♢", E:E, "All"), 0)))/100, 
   IF(F9="☆", ((N7 * 100) / (COUNTIFS(F:F, "☆", E:E, E9) + COUNTIFS(F:F, "☆", E:E, "All") + IF(E9="All", COUNTIFS(F:F, "☆", E:E, E2), 0) - IF(E9="All", COUNTIFS(F:F, "☆", E:E, "All"), 0)))/100, 
   IF(F9="☆☆", ((N8 * 100) / (COUNTIFS(F:F, "☆☆", E:E, E9) + COUNTIFS(F:F, "☆☆", E:E, "All") + IF(E9="All", COUNTIFS(F:F, "☆☆", E:E, E2), 0) - IF(E9="All", COUNTIFS(F:F, "☆☆", E:E, "All"), 0)))/100, 
   IF(F9="☆☆☆", ((N9 * 100) / (COUNTIFS(F:F, "☆☆☆", E:E, E9) + COUNTIFS(F:F, "☆☆☆", E:E, "All") + IF(E9="All", COUNTIFS(F:F, "☆☆☆", E:E, E2), 0) - IF(E9="All", COUNTIFS(F:F, "☆☆☆", E:E, "All"), 0)))/100, 
   IF(F9="♛", ((N10 * 100) / (COUNTIFS(F:F, "♛", E:E, E9) + COUNTIFS(F:F, "♛", E:E, "All") + IF(E9="All", COUNTIFS(F:F, "♛", E:E, E2), 0) - IF(E9="All", COUNTIFS(F:F, "♛", E:E, "All"), 0)))/100, "")))))))
</f>
        <v>0.02608695652</v>
      </c>
      <c r="J9" s="282"/>
      <c r="K9" s="277" t="s">
        <v>49</v>
      </c>
      <c r="L9" s="287">
        <v>0.0</v>
      </c>
      <c r="M9" s="287">
        <v>0.00222</v>
      </c>
      <c r="N9" s="288">
        <v>0.00888</v>
      </c>
    </row>
    <row r="10">
      <c r="A10" s="275" t="b">
        <f t="shared" si="1"/>
        <v>0</v>
      </c>
      <c r="B10" s="276">
        <v>0.0</v>
      </c>
      <c r="C10" s="277" t="s">
        <v>686</v>
      </c>
      <c r="D10" s="277" t="s">
        <v>687</v>
      </c>
      <c r="E10" s="277" t="s">
        <v>34</v>
      </c>
      <c r="F10" s="277" t="s">
        <v>46</v>
      </c>
      <c r="G10" s="279" t="str">
        <f t="shared" si="2"/>
        <v/>
      </c>
      <c r="H10" s="280">
        <f>IF(F10="♢♢", ((M4 * 100) / (COUNTIFS(F:F, "♢♢", E:E, E10) + COUNTIFS(F:F, "♢♢", E:E, "All") + IF(E10="All", COUNTIFS(F:F, "♢♢", E:E, E2), 0) - IF(E10="All", COUNTIFS(F:F, "♢♢", E:E, "All"), 0)))/100, 
   IF(F10="♢♢♢", ((M5 * 100) / (COUNTIFS(F:F, "♢♢♢", E:E, E10) + COUNTIFS(F:F, "♢♢♢", E:E, "All") + IF(E10="All", COUNTIFS(F:F, "♢♢♢", E:E, E2), 0) - IF(E10="All", COUNTIFS(F:F, "♢♢♢", E:E, "All"), 0)))/100, 
   IF(F10="♢♢♢♢", ((M6 * 100) / (COUNTIFS(F:F, "♢♢♢♢", E:E, E10) + COUNTIFS(F:F, "♢♢♢♢", E:E, "All") + IF(E10="All", COUNTIFS(F:F, "♢♢♢♢", E:E, E2), 0) - IF(E10="All", COUNTIFS(F:F, "♢♢♢♢", E:E, "All"), 0)))/100, 
   IF(F10="☆", ((M7 * 100) / (COUNTIFS(F:F, "☆", E:E, E10) + COUNTIFS(F:F, "☆", E:E, "All") + IF(E10="All", COUNTIFS(F:F, "☆", E:E, E2), 0) - IF(E10="All", COUNTIFS(F:F, "☆", E:E, "All"), 0)))/100, 
   IF(F10="☆☆", ((M8 * 100) / (COUNTIFS(F:F, "☆☆", E:E, E10) + COUNTIFS(F:F, "☆☆", E:E, "All") + IF(E10="All", COUNTIFS(F:F, "☆☆", E:E, E2), 0) - IF(E10="All", COUNTIFS(F:F, "☆☆", E:E, "All"), 0)))/100, 
   IF(F10="☆☆☆", ((M9 * 100) / (COUNTIFS(F:F, "☆☆☆", E:E, E10) + COUNTIFS(F:F, "☆☆☆", E:E, "All") + IF(E10="All", COUNTIFS(F:F, "☆☆☆", E:E, E2), 0) - IF(E10="All", COUNTIFS(F:F, "☆☆☆", E:E, "All"), 0)))/100, 
   IF(F10="♛", ((M10 * 100) / (COUNTIFS(F:F, "♛", E:E, E10) + COUNTIFS(F:F, "♛", E:E, "All") + IF(E10="All", COUNTIFS(F:F, "♛", E:E, E2), 0) - IF(E10="All", COUNTIFS(F:F, "♛", E:E, "All"), 0)))/100, "")))))))
</f>
        <v>0.03913043478</v>
      </c>
      <c r="I10" s="281">
        <f>IF(F10="♢♢", ((N4 * 100) / (COUNTIFS(F:F, "♢♢", E:E, E10) + COUNTIFS(F:F, "♢♢", E:E, "All") + IF(E10="All", COUNTIFS(F:F, "♢♢", E:E, E2), 0) - IF(E10="All", COUNTIFS(F:F, "♢♢", E:E, "All"), 0)))/100, 
   IF(F10="♢♢♢", ((N5 * 100) / (COUNTIFS(F:F, "♢♢♢", E:E, E10) + COUNTIFS(F:F, "♢♢♢", E:E, "All") + IF(E10="All", COUNTIFS(F:F, "♢♢♢", E:E, E2), 0) - IF(E10="All", COUNTIFS(F:F, "♢♢♢", E:E, "All"), 0)))/100, 
   IF(F10="♢♢♢♢", ((N6 * 100) / (COUNTIFS(F:F, "♢♢♢♢", E:E, E10) + COUNTIFS(F:F, "♢♢♢♢", E:E, "All") + IF(E10="All", COUNTIFS(F:F, "♢♢♢♢", E:E, E2), 0) - IF(E10="All", COUNTIFS(F:F, "♢♢♢♢", E:E, "All"), 0)))/100, 
   IF(F10="☆", ((N7 * 100) / (COUNTIFS(F:F, "☆", E:E, E10) + COUNTIFS(F:F, "☆", E:E, "All") + IF(E10="All", COUNTIFS(F:F, "☆", E:E, E2), 0) - IF(E10="All", COUNTIFS(F:F, "☆", E:E, "All"), 0)))/100, 
   IF(F10="☆☆", ((N8 * 100) / (COUNTIFS(F:F, "☆☆", E:E, E10) + COUNTIFS(F:F, "☆☆", E:E, "All") + IF(E10="All", COUNTIFS(F:F, "☆☆", E:E, E2), 0) - IF(E10="All", COUNTIFS(F:F, "☆☆", E:E, "All"), 0)))/100, 
   IF(F10="☆☆☆", ((N9 * 100) / (COUNTIFS(F:F, "☆☆☆", E:E, E10) + COUNTIFS(F:F, "☆☆☆", E:E, "All") + IF(E10="All", COUNTIFS(F:F, "☆☆☆", E:E, E2), 0) - IF(E10="All", COUNTIFS(F:F, "☆☆☆", E:E, "All"), 0)))/100, 
   IF(F10="♛", ((N10 * 100) / (COUNTIFS(F:F, "♛", E:E, E10) + COUNTIFS(F:F, "♛", E:E, "All") + IF(E10="All", COUNTIFS(F:F, "♛", E:E, E2), 0) - IF(E10="All", COUNTIFS(F:F, "♛", E:E, "All"), 0)))/100, "")))))))
</f>
        <v>0.02608695652</v>
      </c>
      <c r="J10" s="282"/>
      <c r="K10" s="289" t="s">
        <v>52</v>
      </c>
      <c r="L10" s="290">
        <v>0.0</v>
      </c>
      <c r="M10" s="290">
        <v>4.0E-4</v>
      </c>
      <c r="N10" s="291">
        <v>0.0016</v>
      </c>
    </row>
    <row r="11">
      <c r="A11" s="275" t="b">
        <f t="shared" si="1"/>
        <v>0</v>
      </c>
      <c r="B11" s="276">
        <v>0.0</v>
      </c>
      <c r="C11" s="277" t="s">
        <v>688</v>
      </c>
      <c r="D11" s="277" t="s">
        <v>175</v>
      </c>
      <c r="E11" s="277" t="s">
        <v>34</v>
      </c>
      <c r="F11" s="277" t="s">
        <v>44</v>
      </c>
      <c r="G11" s="279">
        <f t="shared" si="2"/>
        <v>0.03125</v>
      </c>
      <c r="H11" s="280" t="str">
        <f>IF(F11="♢♢", ((M4 * 100) / (COUNTIFS(F:F, "♢♢", E:E, E11) + COUNTIFS(F:F, "♢♢", E:E, "All") + IF(E11="All", COUNTIFS(F:F, "♢♢", E:E, E2), 0) - IF(E11="All", COUNTIFS(F:F, "♢♢", E:E, "All"), 0)))/100, 
   IF(F11="♢♢♢", ((M5 * 100) / (COUNTIFS(F:F, "♢♢♢", E:E, E11) + COUNTIFS(F:F, "♢♢♢", E:E, "All") + IF(E11="All", COUNTIFS(F:F, "♢♢♢", E:E, E2), 0) - IF(E11="All", COUNTIFS(F:F, "♢♢♢", E:E, "All"), 0)))/100, 
   IF(F11="♢♢♢♢", ((M6 * 100) / (COUNTIFS(F:F, "♢♢♢♢", E:E, E11) + COUNTIFS(F:F, "♢♢♢♢", E:E, "All") + IF(E11="All", COUNTIFS(F:F, "♢♢♢♢", E:E, E2), 0) - IF(E11="All", COUNTIFS(F:F, "♢♢♢♢", E:E, "All"), 0)))/100, 
   IF(F11="☆", ((M7 * 100) / (COUNTIFS(F:F, "☆", E:E, E11) + COUNTIFS(F:F, "☆", E:E, "All") + IF(E11="All", COUNTIFS(F:F, "☆", E:E, E2), 0) - IF(E11="All", COUNTIFS(F:F, "☆", E:E, "All"), 0)))/100, 
   IF(F11="☆☆", ((M8 * 100) / (COUNTIFS(F:F, "☆☆", E:E, E11) + COUNTIFS(F:F, "☆☆", E:E, "All") + IF(E11="All", COUNTIFS(F:F, "☆☆", E:E, E2), 0) - IF(E11="All", COUNTIFS(F:F, "☆☆", E:E, "All"), 0)))/100, 
   IF(F11="☆☆☆", ((M9 * 100) / (COUNTIFS(F:F, "☆☆☆", E:E, E11) + COUNTIFS(F:F, "☆☆☆", E:E, "All") + IF(E11="All", COUNTIFS(F:F, "☆☆☆", E:E, E2), 0) - IF(E11="All", COUNTIFS(F:F, "☆☆☆", E:E, "All"), 0)))/100, 
   IF(F11="♛", ((M10 * 100) / (COUNTIFS(F:F, "♛", E:E, E11) + COUNTIFS(F:F, "♛", E:E, "All") + IF(E11="All", COUNTIFS(F:F, "♛", E:E, E2), 0) - IF(E11="All", COUNTIFS(F:F, "♛", E:E, "All"), 0)))/100, "")))))))
</f>
        <v/>
      </c>
      <c r="I11" s="281" t="str">
        <f>IF(F11="♢♢", ((N4 * 100) / (COUNTIFS(F:F, "♢♢", E:E, E11) + COUNTIFS(F:F, "♢♢", E:E, "All") + IF(E11="All", COUNTIFS(F:F, "♢♢", E:E, E2), 0) - IF(E11="All", COUNTIFS(F:F, "♢♢", E:E, "All"), 0)))/100, 
   IF(F11="♢♢♢", ((N5 * 100) / (COUNTIFS(F:F, "♢♢♢", E:E, E11) + COUNTIFS(F:F, "♢♢♢", E:E, "All") + IF(E11="All", COUNTIFS(F:F, "♢♢♢", E:E, E2), 0) - IF(E11="All", COUNTIFS(F:F, "♢♢♢", E:E, "All"), 0)))/100, 
   IF(F11="♢♢♢♢", ((N6 * 100) / (COUNTIFS(F:F, "♢♢♢♢", E:E, E11) + COUNTIFS(F:F, "♢♢♢♢", E:E, "All") + IF(E11="All", COUNTIFS(F:F, "♢♢♢♢", E:E, E2), 0) - IF(E11="All", COUNTIFS(F:F, "♢♢♢♢", E:E, "All"), 0)))/100, 
   IF(F11="☆", ((N7 * 100) / (COUNTIFS(F:F, "☆", E:E, E11) + COUNTIFS(F:F, "☆", E:E, "All") + IF(E11="All", COUNTIFS(F:F, "☆", E:E, E2), 0) - IF(E11="All", COUNTIFS(F:F, "☆", E:E, "All"), 0)))/100, 
   IF(F11="☆☆", ((N8 * 100) / (COUNTIFS(F:F, "☆☆", E:E, E11) + COUNTIFS(F:F, "☆☆", E:E, "All") + IF(E11="All", COUNTIFS(F:F, "☆☆", E:E, E2), 0) - IF(E11="All", COUNTIFS(F:F, "☆☆", E:E, "All"), 0)))/100, 
   IF(F11="☆☆☆", ((N9 * 100) / (COUNTIFS(F:F, "☆☆☆", E:E, E11) + COUNTIFS(F:F, "☆☆☆", E:E, "All") + IF(E11="All", COUNTIFS(F:F, "☆☆☆", E:E, E2), 0) - IF(E11="All", COUNTIFS(F:F, "☆☆☆", E:E, "All"), 0)))/100, 
   IF(F11="♛", ((N10 * 100) / (COUNTIFS(F:F, "♛", E:E, E11) + COUNTIFS(F:F, "♛", E:E, "All") + IF(E11="All", COUNTIFS(F:F, "♛", E:E, E2), 0) - IF(E11="All", COUNTIFS(F:F, "♛", E:E, "All"), 0)))/100, "")))))))
</f>
        <v/>
      </c>
      <c r="J11" s="282"/>
      <c r="K11" s="292" t="s">
        <v>19</v>
      </c>
      <c r="N11" s="145"/>
    </row>
    <row r="12">
      <c r="A12" s="275" t="b">
        <f t="shared" si="1"/>
        <v>0</v>
      </c>
      <c r="B12" s="276">
        <v>0.0</v>
      </c>
      <c r="C12" s="277" t="s">
        <v>689</v>
      </c>
      <c r="D12" s="277" t="s">
        <v>178</v>
      </c>
      <c r="E12" s="277" t="s">
        <v>34</v>
      </c>
      <c r="F12" s="277" t="s">
        <v>46</v>
      </c>
      <c r="G12" s="279" t="str">
        <f t="shared" si="2"/>
        <v/>
      </c>
      <c r="H12" s="280">
        <f>IF(F12="♢♢", ((M4 * 100) / (COUNTIFS(F:F, "♢♢", E:E, E12) + COUNTIFS(F:F, "♢♢", E:E, "All") + IF(E12="All", COUNTIFS(F:F, "♢♢", E:E, E2), 0) - IF(E12="All", COUNTIFS(F:F, "♢♢", E:E, "All"), 0)))/100, 
   IF(F12="♢♢♢", ((M5 * 100) / (COUNTIFS(F:F, "♢♢♢", E:E, E12) + COUNTIFS(F:F, "♢♢♢", E:E, "All") + IF(E12="All", COUNTIFS(F:F, "♢♢♢", E:E, E2), 0) - IF(E12="All", COUNTIFS(F:F, "♢♢♢", E:E, "All"), 0)))/100, 
   IF(F12="♢♢♢♢", ((M6 * 100) / (COUNTIFS(F:F, "♢♢♢♢", E:E, E12) + COUNTIFS(F:F, "♢♢♢♢", E:E, "All") + IF(E12="All", COUNTIFS(F:F, "♢♢♢♢", E:E, E2), 0) - IF(E12="All", COUNTIFS(F:F, "♢♢♢♢", E:E, "All"), 0)))/100, 
   IF(F12="☆", ((M7 * 100) / (COUNTIFS(F:F, "☆", E:E, E12) + COUNTIFS(F:F, "☆", E:E, "All") + IF(E12="All", COUNTIFS(F:F, "☆", E:E, E2), 0) - IF(E12="All", COUNTIFS(F:F, "☆", E:E, "All"), 0)))/100, 
   IF(F12="☆☆", ((M8 * 100) / (COUNTIFS(F:F, "☆☆", E:E, E12) + COUNTIFS(F:F, "☆☆", E:E, "All") + IF(E12="All", COUNTIFS(F:F, "☆☆", E:E, E2), 0) - IF(E12="All", COUNTIFS(F:F, "☆☆", E:E, "All"), 0)))/100, 
   IF(F12="☆☆☆", ((M9 * 100) / (COUNTIFS(F:F, "☆☆☆", E:E, E12) + COUNTIFS(F:F, "☆☆☆", E:E, "All") + IF(E12="All", COUNTIFS(F:F, "☆☆☆", E:E, E2), 0) - IF(E12="All", COUNTIFS(F:F, "☆☆☆", E:E, "All"), 0)))/100, 
   IF(F12="♛", ((M10 * 100) / (COUNTIFS(F:F, "♛", E:E, E12) + COUNTIFS(F:F, "♛", E:E, "All") + IF(E12="All", COUNTIFS(F:F, "♛", E:E, E2), 0) - IF(E12="All", COUNTIFS(F:F, "♛", E:E, "All"), 0)))/100, "")))))))
</f>
        <v>0.03913043478</v>
      </c>
      <c r="I12" s="281">
        <f>IF(F12="♢♢", ((N4 * 100) / (COUNTIFS(F:F, "♢♢", E:E, E12) + COUNTIFS(F:F, "♢♢", E:E, "All") + IF(E12="All", COUNTIFS(F:F, "♢♢", E:E, E2), 0) - IF(E12="All", COUNTIFS(F:F, "♢♢", E:E, "All"), 0)))/100, 
   IF(F12="♢♢♢", ((N5 * 100) / (COUNTIFS(F:F, "♢♢♢", E:E, E12) + COUNTIFS(F:F, "♢♢♢", E:E, "All") + IF(E12="All", COUNTIFS(F:F, "♢♢♢", E:E, E2), 0) - IF(E12="All", COUNTIFS(F:F, "♢♢♢", E:E, "All"), 0)))/100, 
   IF(F12="♢♢♢♢", ((N6 * 100) / (COUNTIFS(F:F, "♢♢♢♢", E:E, E12) + COUNTIFS(F:F, "♢♢♢♢", E:E, "All") + IF(E12="All", COUNTIFS(F:F, "♢♢♢♢", E:E, E2), 0) - IF(E12="All", COUNTIFS(F:F, "♢♢♢♢", E:E, "All"), 0)))/100, 
   IF(F12="☆", ((N7 * 100) / (COUNTIFS(F:F, "☆", E:E, E12) + COUNTIFS(F:F, "☆", E:E, "All") + IF(E12="All", COUNTIFS(F:F, "☆", E:E, E2), 0) - IF(E12="All", COUNTIFS(F:F, "☆", E:E, "All"), 0)))/100, 
   IF(F12="☆☆", ((N8 * 100) / (COUNTIFS(F:F, "☆☆", E:E, E12) + COUNTIFS(F:F, "☆☆", E:E, "All") + IF(E12="All", COUNTIFS(F:F, "☆☆", E:E, E2), 0) - IF(E12="All", COUNTIFS(F:F, "☆☆", E:E, "All"), 0)))/100, 
   IF(F12="☆☆☆", ((N9 * 100) / (COUNTIFS(F:F, "☆☆☆", E:E, E12) + COUNTIFS(F:F, "☆☆☆", E:E, "All") + IF(E12="All", COUNTIFS(F:F, "☆☆☆", E:E, E2), 0) - IF(E12="All", COUNTIFS(F:F, "☆☆☆", E:E, "All"), 0)))/100, 
   IF(F12="♛", ((N10 * 100) / (COUNTIFS(F:F, "♛", E:E, E12) + COUNTIFS(F:F, "♛", E:E, "All") + IF(E12="All", COUNTIFS(F:F, "♛", E:E, E2), 0) - IF(E12="All", COUNTIFS(F:F, "♛", E:E, "All"), 0)))/100, "")))))))
</f>
        <v>0.02608695652</v>
      </c>
      <c r="J12" s="282"/>
      <c r="N12" s="145"/>
    </row>
    <row r="13">
      <c r="A13" s="275" t="b">
        <f t="shared" si="1"/>
        <v>0</v>
      </c>
      <c r="B13" s="276">
        <v>0.0</v>
      </c>
      <c r="C13" s="277" t="s">
        <v>690</v>
      </c>
      <c r="D13" s="277" t="s">
        <v>180</v>
      </c>
      <c r="E13" s="277" t="s">
        <v>34</v>
      </c>
      <c r="F13" s="278" t="s">
        <v>46</v>
      </c>
      <c r="G13" s="279" t="str">
        <f t="shared" si="2"/>
        <v/>
      </c>
      <c r="H13" s="280">
        <f>IF(F13="♢♢", ((M4 * 100) / (COUNTIFS(F:F, "♢♢", E:E, E13) + COUNTIFS(F:F, "♢♢", E:E, "All") + IF(E13="All", COUNTIFS(F:F, "♢♢", E:E, E2), 0) - IF(E13="All", COUNTIFS(F:F, "♢♢", E:E, "All"), 0)))/100, 
   IF(F13="♢♢♢", ((M5 * 100) / (COUNTIFS(F:F, "♢♢♢", E:E, E13) + COUNTIFS(F:F, "♢♢♢", E:E, "All") + IF(E13="All", COUNTIFS(F:F, "♢♢♢", E:E, E2), 0) - IF(E13="All", COUNTIFS(F:F, "♢♢♢", E:E, "All"), 0)))/100, 
   IF(F13="♢♢♢♢", ((M6 * 100) / (COUNTIFS(F:F, "♢♢♢♢", E:E, E13) + COUNTIFS(F:F, "♢♢♢♢", E:E, "All") + IF(E13="All", COUNTIFS(F:F, "♢♢♢♢", E:E, E2), 0) - IF(E13="All", COUNTIFS(F:F, "♢♢♢♢", E:E, "All"), 0)))/100, 
   IF(F13="☆", ((M7 * 100) / (COUNTIFS(F:F, "☆", E:E, E13) + COUNTIFS(F:F, "☆", E:E, "All") + IF(E13="All", COUNTIFS(F:F, "☆", E:E, E2), 0) - IF(E13="All", COUNTIFS(F:F, "☆", E:E, "All"), 0)))/100, 
   IF(F13="☆☆", ((M8 * 100) / (COUNTIFS(F:F, "☆☆", E:E, E13) + COUNTIFS(F:F, "☆☆", E:E, "All") + IF(E13="All", COUNTIFS(F:F, "☆☆", E:E, E2), 0) - IF(E13="All", COUNTIFS(F:F, "☆☆", E:E, "All"), 0)))/100, 
   IF(F13="☆☆☆", ((M9 * 100) / (COUNTIFS(F:F, "☆☆☆", E:E, E13) + COUNTIFS(F:F, "☆☆☆", E:E, "All") + IF(E13="All", COUNTIFS(F:F, "☆☆☆", E:E, E2), 0) - IF(E13="All", COUNTIFS(F:F, "☆☆☆", E:E, "All"), 0)))/100, 
   IF(F13="♛", ((M10 * 100) / (COUNTIFS(F:F, "♛", E:E, E13) + COUNTIFS(F:F, "♛", E:E, "All") + IF(E13="All", COUNTIFS(F:F, "♛", E:E, E2), 0) - IF(E13="All", COUNTIFS(F:F, "♛", E:E, "All"), 0)))/100, "")))))))
</f>
        <v>0.03913043478</v>
      </c>
      <c r="I13" s="281">
        <f>IF(F13="♢♢", ((N4 * 100) / (COUNTIFS(F:F, "♢♢", E:E, E13) + COUNTIFS(F:F, "♢♢", E:E, "All") + IF(E13="All", COUNTIFS(F:F, "♢♢", E:E, E2), 0) - IF(E13="All", COUNTIFS(F:F, "♢♢", E:E, "All"), 0)))/100, 
   IF(F13="♢♢♢", ((N5 * 100) / (COUNTIFS(F:F, "♢♢♢", E:E, E13) + COUNTIFS(F:F, "♢♢♢", E:E, "All") + IF(E13="All", COUNTIFS(F:F, "♢♢♢", E:E, E2), 0) - IF(E13="All", COUNTIFS(F:F, "♢♢♢", E:E, "All"), 0)))/100, 
   IF(F13="♢♢♢♢", ((N6 * 100) / (COUNTIFS(F:F, "♢♢♢♢", E:E, E13) + COUNTIFS(F:F, "♢♢♢♢", E:E, "All") + IF(E13="All", COUNTIFS(F:F, "♢♢♢♢", E:E, E2), 0) - IF(E13="All", COUNTIFS(F:F, "♢♢♢♢", E:E, "All"), 0)))/100, 
   IF(F13="☆", ((N7 * 100) / (COUNTIFS(F:F, "☆", E:E, E13) + COUNTIFS(F:F, "☆", E:E, "All") + IF(E13="All", COUNTIFS(F:F, "☆", E:E, E2), 0) - IF(E13="All", COUNTIFS(F:F, "☆", E:E, "All"), 0)))/100, 
   IF(F13="☆☆", ((N8 * 100) / (COUNTIFS(F:F, "☆☆", E:E, E13) + COUNTIFS(F:F, "☆☆", E:E, "All") + IF(E13="All", COUNTIFS(F:F, "☆☆", E:E, E2), 0) - IF(E13="All", COUNTIFS(F:F, "☆☆", E:E, "All"), 0)))/100, 
   IF(F13="☆☆☆", ((N9 * 100) / (COUNTIFS(F:F, "☆☆☆", E:E, E13) + COUNTIFS(F:F, "☆☆☆", E:E, "All") + IF(E13="All", COUNTIFS(F:F, "☆☆☆", E:E, E2), 0) - IF(E13="All", COUNTIFS(F:F, "☆☆☆", E:E, "All"), 0)))/100, 
   IF(F13="♛", ((N10 * 100) / (COUNTIFS(F:F, "♛", E:E, E13) + COUNTIFS(F:F, "♛", E:E, "All") + IF(E13="All", COUNTIFS(F:F, "♛", E:E, E2), 0) - IF(E13="All", COUNTIFS(F:F, "♛", E:E, "All"), 0)))/100, "")))))))
</f>
        <v>0.02608695652</v>
      </c>
      <c r="J13" s="282"/>
      <c r="K13" s="293" t="s">
        <v>103</v>
      </c>
      <c r="L13" s="294" t="s">
        <v>24</v>
      </c>
      <c r="M13" s="294" t="s">
        <v>25</v>
      </c>
      <c r="N13" s="295" t="s">
        <v>26</v>
      </c>
    </row>
    <row r="14">
      <c r="A14" s="275" t="b">
        <f t="shared" si="1"/>
        <v>0</v>
      </c>
      <c r="B14" s="276">
        <v>0.0</v>
      </c>
      <c r="C14" s="277" t="s">
        <v>691</v>
      </c>
      <c r="D14" s="277" t="s">
        <v>692</v>
      </c>
      <c r="E14" s="277" t="s">
        <v>34</v>
      </c>
      <c r="F14" s="277" t="s">
        <v>44</v>
      </c>
      <c r="G14" s="279">
        <f t="shared" si="2"/>
        <v>0.03125</v>
      </c>
      <c r="H14" s="280" t="str">
        <f>IF(F14="♢♢", ((M4 * 100) / (COUNTIFS(F:F, "♢♢", E:E, E14) + COUNTIFS(F:F, "♢♢", E:E, "All") + IF(E14="All", COUNTIFS(F:F, "♢♢", E:E, E2), 0) - IF(E14="All", COUNTIFS(F:F, "♢♢", E:E, "All"), 0)))/100, 
   IF(F14="♢♢♢", ((M5 * 100) / (COUNTIFS(F:F, "♢♢♢", E:E, E14) + COUNTIFS(F:F, "♢♢♢", E:E, "All") + IF(E14="All", COUNTIFS(F:F, "♢♢♢", E:E, E2), 0) - IF(E14="All", COUNTIFS(F:F, "♢♢♢", E:E, "All"), 0)))/100, 
   IF(F14="♢♢♢♢", ((M6 * 100) / (COUNTIFS(F:F, "♢♢♢♢", E:E, E14) + COUNTIFS(F:F, "♢♢♢♢", E:E, "All") + IF(E14="All", COUNTIFS(F:F, "♢♢♢♢", E:E, E2), 0) - IF(E14="All", COUNTIFS(F:F, "♢♢♢♢", E:E, "All"), 0)))/100, 
   IF(F14="☆", ((M7 * 100) / (COUNTIFS(F:F, "☆", E:E, E14) + COUNTIFS(F:F, "☆", E:E, "All") + IF(E14="All", COUNTIFS(F:F, "☆", E:E, E2), 0) - IF(E14="All", COUNTIFS(F:F, "☆", E:E, "All"), 0)))/100, 
   IF(F14="☆☆", ((M8 * 100) / (COUNTIFS(F:F, "☆☆", E:E, E14) + COUNTIFS(F:F, "☆☆", E:E, "All") + IF(E14="All", COUNTIFS(F:F, "☆☆", E:E, E2), 0) - IF(E14="All", COUNTIFS(F:F, "☆☆", E:E, "All"), 0)))/100, 
   IF(F14="☆☆☆", ((M9 * 100) / (COUNTIFS(F:F, "☆☆☆", E:E, E14) + COUNTIFS(F:F, "☆☆☆", E:E, "All") + IF(E14="All", COUNTIFS(F:F, "☆☆☆", E:E, E2), 0) - IF(E14="All", COUNTIFS(F:F, "☆☆☆", E:E, "All"), 0)))/100, 
   IF(F14="♛", ((M10 * 100) / (COUNTIFS(F:F, "♛", E:E, E14) + COUNTIFS(F:F, "♛", E:E, "All") + IF(E14="All", COUNTIFS(F:F, "♛", E:E, E2), 0) - IF(E14="All", COUNTIFS(F:F, "♛", E:E, "All"), 0)))/100, "")))))))
</f>
        <v/>
      </c>
      <c r="I14" s="281" t="str">
        <f>IF(F14="♢♢", ((N4 * 100) / (COUNTIFS(F:F, "♢♢", E:E, E14) + COUNTIFS(F:F, "♢♢", E:E, "All") + IF(E14="All", COUNTIFS(F:F, "♢♢", E:E, E2), 0) - IF(E14="All", COUNTIFS(F:F, "♢♢", E:E, "All"), 0)))/100, 
   IF(F14="♢♢♢", ((N5 * 100) / (COUNTIFS(F:F, "♢♢♢", E:E, E14) + COUNTIFS(F:F, "♢♢♢", E:E, "All") + IF(E14="All", COUNTIFS(F:F, "♢♢♢", E:E, E2), 0) - IF(E14="All", COUNTIFS(F:F, "♢♢♢", E:E, "All"), 0)))/100, 
   IF(F14="♢♢♢♢", ((N6 * 100) / (COUNTIFS(F:F, "♢♢♢♢", E:E, E14) + COUNTIFS(F:F, "♢♢♢♢", E:E, "All") + IF(E14="All", COUNTIFS(F:F, "♢♢♢♢", E:E, E2), 0) - IF(E14="All", COUNTIFS(F:F, "♢♢♢♢", E:E, "All"), 0)))/100, 
   IF(F14="☆", ((N7 * 100) / (COUNTIFS(F:F, "☆", E:E, E14) + COUNTIFS(F:F, "☆", E:E, "All") + IF(E14="All", COUNTIFS(F:F, "☆", E:E, E2), 0) - IF(E14="All", COUNTIFS(F:F, "☆", E:E, "All"), 0)))/100, 
   IF(F14="☆☆", ((N8 * 100) / (COUNTIFS(F:F, "☆☆", E:E, E14) + COUNTIFS(F:F, "☆☆", E:E, "All") + IF(E14="All", COUNTIFS(F:F, "☆☆", E:E, E2), 0) - IF(E14="All", COUNTIFS(F:F, "☆☆", E:E, "All"), 0)))/100, 
   IF(F14="☆☆☆", ((N9 * 100) / (COUNTIFS(F:F, "☆☆☆", E:E, E14) + COUNTIFS(F:F, "☆☆☆", E:E, "All") + IF(E14="All", COUNTIFS(F:F, "☆☆☆", E:E, E2), 0) - IF(E14="All", COUNTIFS(F:F, "☆☆☆", E:E, "All"), 0)))/100, 
   IF(F14="♛", ((N10 * 100) / (COUNTIFS(F:F, "♛", E:E, E14) + COUNTIFS(F:F, "♛", E:E, "All") + IF(E14="All", COUNTIFS(F:F, "♛", E:E, E2), 0) - IF(E14="All", COUNTIFS(F:F, "♛", E:E, "All"), 0)))/100, "")))))))
</f>
        <v/>
      </c>
      <c r="J14" s="282"/>
      <c r="K14" s="294" t="s">
        <v>30</v>
      </c>
      <c r="L14" s="296">
        <f t="shared" ref="L14:L15" si="3">COUNTIF(A:A, TRUE) / COUNTA(A:A)</f>
        <v>0</v>
      </c>
      <c r="M14" s="296">
        <f t="shared" ref="M14:M15" si="4">COUNTIF(A:A, FALSE) / COUNTA(A:A)</f>
        <v>1</v>
      </c>
      <c r="N14" s="297" t="str">
        <f>TEXT(COUNTIF(A2:A88, TRUE), "0") &amp; "/" &amp; TEXT(COUNTA(A2:A88), "0")</f>
        <v>0/86</v>
      </c>
    </row>
    <row r="15">
      <c r="A15" s="275" t="b">
        <f t="shared" si="1"/>
        <v>0</v>
      </c>
      <c r="B15" s="276">
        <v>0.0</v>
      </c>
      <c r="C15" s="277" t="s">
        <v>693</v>
      </c>
      <c r="D15" s="277" t="s">
        <v>694</v>
      </c>
      <c r="E15" s="277" t="s">
        <v>34</v>
      </c>
      <c r="F15" s="298" t="s">
        <v>48</v>
      </c>
      <c r="G15" s="279" t="str">
        <f t="shared" si="2"/>
        <v/>
      </c>
      <c r="H15" s="280">
        <f>IF(F15="♢♢", ((M4 * 100) / (COUNTIFS(F:F, "♢♢", E:E, E15) + COUNTIFS(F:F, "♢♢", E:E, "All") + IF(E15="All", COUNTIFS(F:F, "♢♢", E:E, E2), 0) - IF(E15="All", COUNTIFS(F:F, "♢♢", E:E, "All"), 0)))/100, 
   IF(F15="♢♢♢", ((M5 * 100) / (COUNTIFS(F:F, "♢♢♢", E:E, E15) + COUNTIFS(F:F, "♢♢♢", E:E, "All") + IF(E15="All", COUNTIFS(F:F, "♢♢♢", E:E, E2), 0) - IF(E15="All", COUNTIFS(F:F, "♢♢♢", E:E, "All"), 0)))/100, 
   IF(F15="♢♢♢♢", ((M6 * 100) / (COUNTIFS(F:F, "♢♢♢♢", E:E, E15) + COUNTIFS(F:F, "♢♢♢♢", E:E, "All") + IF(E15="All", COUNTIFS(F:F, "♢♢♢♢", E:E, E2), 0) - IF(E15="All", COUNTIFS(F:F, "♢♢♢♢", E:E, "All"), 0)))/100, 
   IF(F15="☆", ((M7 * 100) / (COUNTIFS(F:F, "☆", E:E, E15) + COUNTIFS(F:F, "☆", E:E, "All") + IF(E15="All", COUNTIFS(F:F, "☆", E:E, E2), 0) - IF(E15="All", COUNTIFS(F:F, "☆", E:E, "All"), 0)))/100, 
   IF(F15="☆☆", ((M8 * 100) / (COUNTIFS(F:F, "☆☆", E:E, E15) + COUNTIFS(F:F, "☆☆", E:E, "All") + IF(E15="All", COUNTIFS(F:F, "☆☆", E:E, E2), 0) - IF(E15="All", COUNTIFS(F:F, "☆☆", E:E, "All"), 0)))/100, 
   IF(F15="☆☆☆", ((M9 * 100) / (COUNTIFS(F:F, "☆☆☆", E:E, E15) + COUNTIFS(F:F, "☆☆☆", E:E, "All") + IF(E15="All", COUNTIFS(F:F, "☆☆☆", E:E, E2), 0) - IF(E15="All", COUNTIFS(F:F, "☆☆☆", E:E, "All"), 0)))/100, 
   IF(F15="♛", ((M10 * 100) / (COUNTIFS(F:F, "♛", E:E, E15) + COUNTIFS(F:F, "♛", E:E, "All") + IF(E15="All", COUNTIFS(F:F, "♛", E:E, E2), 0) - IF(E15="All", COUNTIFS(F:F, "♛", E:E, "All"), 0)))/100, "")))))))
</f>
        <v>0.00625</v>
      </c>
      <c r="I15" s="281">
        <f>IF(F15="♢♢", ((N4 * 100) / (COUNTIFS(F:F, "♢♢", E:E, E15) + COUNTIFS(F:F, "♢♢", E:E, "All") + IF(E15="All", COUNTIFS(F:F, "♢♢", E:E, E2), 0) - IF(E15="All", COUNTIFS(F:F, "♢♢", E:E, "All"), 0)))/100, 
   IF(F15="♢♢♢", ((N5 * 100) / (COUNTIFS(F:F, "♢♢♢", E:E, E15) + COUNTIFS(F:F, "♢♢♢", E:E, "All") + IF(E15="All", COUNTIFS(F:F, "♢♢♢", E:E, E2), 0) - IF(E15="All", COUNTIFS(F:F, "♢♢♢", E:E, "All"), 0)))/100, 
   IF(F15="♢♢♢♢", ((N6 * 100) / (COUNTIFS(F:F, "♢♢♢♢", E:E, E15) + COUNTIFS(F:F, "♢♢♢♢", E:E, "All") + IF(E15="All", COUNTIFS(F:F, "♢♢♢♢", E:E, E2), 0) - IF(E15="All", COUNTIFS(F:F, "♢♢♢♢", E:E, "All"), 0)))/100, 
   IF(F15="☆", ((N7 * 100) / (COUNTIFS(F:F, "☆", E:E, E15) + COUNTIFS(F:F, "☆", E:E, "All") + IF(E15="All", COUNTIFS(F:F, "☆", E:E, E2), 0) - IF(E15="All", COUNTIFS(F:F, "☆", E:E, "All"), 0)))/100, 
   IF(F15="☆☆", ((N8 * 100) / (COUNTIFS(F:F, "☆☆", E:E, E15) + COUNTIFS(F:F, "☆☆", E:E, "All") + IF(E15="All", COUNTIFS(F:F, "☆☆", E:E, E2), 0) - IF(E15="All", COUNTIFS(F:F, "☆☆", E:E, "All"), 0)))/100, 
   IF(F15="☆☆☆", ((N9 * 100) / (COUNTIFS(F:F, "☆☆☆", E:E, E15) + COUNTIFS(F:F, "☆☆☆", E:E, "All") + IF(E15="All", COUNTIFS(F:F, "☆☆☆", E:E, E2), 0) - IF(E15="All", COUNTIFS(F:F, "☆☆☆", E:E, "All"), 0)))/100, 
   IF(F15="♛", ((N10 * 100) / (COUNTIFS(F:F, "♛", E:E, E15) + COUNTIFS(F:F, "♛", E:E, "All") + IF(E15="All", COUNTIFS(F:F, "♛", E:E, E2), 0) - IF(E15="All", COUNTIFS(F:F, "♛", E:E, "All"), 0)))/100, "")))))))
</f>
        <v>0.025</v>
      </c>
      <c r="J15" s="282"/>
      <c r="K15" s="299" t="s">
        <v>34</v>
      </c>
      <c r="L15" s="300">
        <f t="shared" si="3"/>
        <v>0</v>
      </c>
      <c r="M15" s="300">
        <f t="shared" si="4"/>
        <v>1</v>
      </c>
      <c r="N15" s="301" t="str">
        <f>TEXT(COUNTIF(A2:A88, TRUE), "0") &amp; "/" &amp; TEXT(COUNTA(A2:A88), "0")</f>
        <v>0/86</v>
      </c>
    </row>
    <row r="16">
      <c r="A16" s="275" t="b">
        <f t="shared" si="1"/>
        <v>0</v>
      </c>
      <c r="B16" s="276">
        <v>0.0</v>
      </c>
      <c r="C16" s="277" t="s">
        <v>695</v>
      </c>
      <c r="D16" s="277" t="s">
        <v>195</v>
      </c>
      <c r="E16" s="277" t="s">
        <v>34</v>
      </c>
      <c r="F16" s="277" t="s">
        <v>44</v>
      </c>
      <c r="G16" s="279">
        <f t="shared" si="2"/>
        <v>0.03125</v>
      </c>
      <c r="H16" s="280" t="str">
        <f>IF(F16="♢♢", ((M4 * 100) / (COUNTIFS(F:F, "♢♢", E:E, E16) + COUNTIFS(F:F, "♢♢", E:E, "All") + IF(E16="All", COUNTIFS(F:F, "♢♢", E:E, E2), 0) - IF(E16="All", COUNTIFS(F:F, "♢♢", E:E, "All"), 0)))/100, 
   IF(F16="♢♢♢", ((M5 * 100) / (COUNTIFS(F:F, "♢♢♢", E:E, E16) + COUNTIFS(F:F, "♢♢♢", E:E, "All") + IF(E16="All", COUNTIFS(F:F, "♢♢♢", E:E, E2), 0) - IF(E16="All", COUNTIFS(F:F, "♢♢♢", E:E, "All"), 0)))/100, 
   IF(F16="♢♢♢♢", ((M6 * 100) / (COUNTIFS(F:F, "♢♢♢♢", E:E, E16) + COUNTIFS(F:F, "♢♢♢♢", E:E, "All") + IF(E16="All", COUNTIFS(F:F, "♢♢♢♢", E:E, E2), 0) - IF(E16="All", COUNTIFS(F:F, "♢♢♢♢", E:E, "All"), 0)))/100, 
   IF(F16="☆", ((M7 * 100) / (COUNTIFS(F:F, "☆", E:E, E16) + COUNTIFS(F:F, "☆", E:E, "All") + IF(E16="All", COUNTIFS(F:F, "☆", E:E, E2), 0) - IF(E16="All", COUNTIFS(F:F, "☆", E:E, "All"), 0)))/100, 
   IF(F16="☆☆", ((M8 * 100) / (COUNTIFS(F:F, "☆☆", E:E, E16) + COUNTIFS(F:F, "☆☆", E:E, "All") + IF(E16="All", COUNTIFS(F:F, "☆☆", E:E, E2), 0) - IF(E16="All", COUNTIFS(F:F, "☆☆", E:E, "All"), 0)))/100, 
   IF(F16="☆☆☆", ((M9 * 100) / (COUNTIFS(F:F, "☆☆☆", E:E, E16) + COUNTIFS(F:F, "☆☆☆", E:E, "All") + IF(E16="All", COUNTIFS(F:F, "☆☆☆", E:E, E2), 0) - IF(E16="All", COUNTIFS(F:F, "☆☆☆", E:E, "All"), 0)))/100, 
   IF(F16="♛", ((M10 * 100) / (COUNTIFS(F:F, "♛", E:E, E16) + COUNTIFS(F:F, "♛", E:E, "All") + IF(E16="All", COUNTIFS(F:F, "♛", E:E, E2), 0) - IF(E16="All", COUNTIFS(F:F, "♛", E:E, "All"), 0)))/100, "")))))))
</f>
        <v/>
      </c>
      <c r="I16" s="281" t="str">
        <f>IF(F16="♢♢", ((N4 * 100) / (COUNTIFS(F:F, "♢♢", E:E, E16) + COUNTIFS(F:F, "♢♢", E:E, "All") + IF(E16="All", COUNTIFS(F:F, "♢♢", E:E, E2), 0) - IF(E16="All", COUNTIFS(F:F, "♢♢", E:E, "All"), 0)))/100, 
   IF(F16="♢♢♢", ((N5 * 100) / (COUNTIFS(F:F, "♢♢♢", E:E, E16) + COUNTIFS(F:F, "♢♢♢", E:E, "All") + IF(E16="All", COUNTIFS(F:F, "♢♢♢", E:E, E2), 0) - IF(E16="All", COUNTIFS(F:F, "♢♢♢", E:E, "All"), 0)))/100, 
   IF(F16="♢♢♢♢", ((N6 * 100) / (COUNTIFS(F:F, "♢♢♢♢", E:E, E16) + COUNTIFS(F:F, "♢♢♢♢", E:E, "All") + IF(E16="All", COUNTIFS(F:F, "♢♢♢♢", E:E, E2), 0) - IF(E16="All", COUNTIFS(F:F, "♢♢♢♢", E:E, "All"), 0)))/100, 
   IF(F16="☆", ((N7 * 100) / (COUNTIFS(F:F, "☆", E:E, E16) + COUNTIFS(F:F, "☆", E:E, "All") + IF(E16="All", COUNTIFS(F:F, "☆", E:E, E2), 0) - IF(E16="All", COUNTIFS(F:F, "☆", E:E, "All"), 0)))/100, 
   IF(F16="☆☆", ((N8 * 100) / (COUNTIFS(F:F, "☆☆", E:E, E16) + COUNTIFS(F:F, "☆☆", E:E, "All") + IF(E16="All", COUNTIFS(F:F, "☆☆", E:E, E2), 0) - IF(E16="All", COUNTIFS(F:F, "☆☆", E:E, "All"), 0)))/100, 
   IF(F16="☆☆☆", ((N9 * 100) / (COUNTIFS(F:F, "☆☆☆", E:E, E16) + COUNTIFS(F:F, "☆☆☆", E:E, "All") + IF(E16="All", COUNTIFS(F:F, "☆☆☆", E:E, E2), 0) - IF(E16="All", COUNTIFS(F:F, "☆☆☆", E:E, "All"), 0)))/100, 
   IF(F16="♛", ((N10 * 100) / (COUNTIFS(F:F, "♛", E:E, E16) + COUNTIFS(F:F, "♛", E:E, "All") + IF(E16="All", COUNTIFS(F:F, "♛", E:E, E2), 0) - IF(E16="All", COUNTIFS(F:F, "♛", E:E, "All"), 0)))/100, "")))))))
</f>
        <v/>
      </c>
      <c r="J16" s="282"/>
      <c r="K16" s="302" t="s">
        <v>42</v>
      </c>
      <c r="L16" s="169"/>
      <c r="M16" s="169"/>
      <c r="N16" s="170"/>
    </row>
    <row r="17">
      <c r="A17" s="275" t="b">
        <f t="shared" si="1"/>
        <v>0</v>
      </c>
      <c r="B17" s="276">
        <v>0.0</v>
      </c>
      <c r="C17" s="277" t="s">
        <v>696</v>
      </c>
      <c r="D17" s="277" t="s">
        <v>197</v>
      </c>
      <c r="E17" s="277" t="s">
        <v>34</v>
      </c>
      <c r="F17" s="277" t="s">
        <v>44</v>
      </c>
      <c r="G17" s="279">
        <f t="shared" si="2"/>
        <v>0.03125</v>
      </c>
      <c r="H17" s="280" t="str">
        <f>IF(F17="♢♢", ((M4 * 100) / (COUNTIFS(F:F, "♢♢", E:E, E17) + COUNTIFS(F:F, "♢♢", E:E, "All") + IF(E17="All", COUNTIFS(F:F, "♢♢", E:E, E2), 0) - IF(E17="All", COUNTIFS(F:F, "♢♢", E:E, "All"), 0)))/100, 
   IF(F17="♢♢♢", ((M5 * 100) / (COUNTIFS(F:F, "♢♢♢", E:E, E17) + COUNTIFS(F:F, "♢♢♢", E:E, "All") + IF(E17="All", COUNTIFS(F:F, "♢♢♢", E:E, E2), 0) - IF(E17="All", COUNTIFS(F:F, "♢♢♢", E:E, "All"), 0)))/100, 
   IF(F17="♢♢♢♢", ((M6 * 100) / (COUNTIFS(F:F, "♢♢♢♢", E:E, E17) + COUNTIFS(F:F, "♢♢♢♢", E:E, "All") + IF(E17="All", COUNTIFS(F:F, "♢♢♢♢", E:E, E2), 0) - IF(E17="All", COUNTIFS(F:F, "♢♢♢♢", E:E, "All"), 0)))/100, 
   IF(F17="☆", ((M7 * 100) / (COUNTIFS(F:F, "☆", E:E, E17) + COUNTIFS(F:F, "☆", E:E, "All") + IF(E17="All", COUNTIFS(F:F, "☆", E:E, E2), 0) - IF(E17="All", COUNTIFS(F:F, "☆", E:E, "All"), 0)))/100, 
   IF(F17="☆☆", ((M8 * 100) / (COUNTIFS(F:F, "☆☆", E:E, E17) + COUNTIFS(F:F, "☆☆", E:E, "All") + IF(E17="All", COUNTIFS(F:F, "☆☆", E:E, E2), 0) - IF(E17="All", COUNTIFS(F:F, "☆☆", E:E, "All"), 0)))/100, 
   IF(F17="☆☆☆", ((M9 * 100) / (COUNTIFS(F:F, "☆☆☆", E:E, E17) + COUNTIFS(F:F, "☆☆☆", E:E, "All") + IF(E17="All", COUNTIFS(F:F, "☆☆☆", E:E, E2), 0) - IF(E17="All", COUNTIFS(F:F, "☆☆☆", E:E, "All"), 0)))/100, 
   IF(F17="♛", ((M10 * 100) / (COUNTIFS(F:F, "♛", E:E, E17) + COUNTIFS(F:F, "♛", E:E, "All") + IF(E17="All", COUNTIFS(F:F, "♛", E:E, E2), 0) - IF(E17="All", COUNTIFS(F:F, "♛", E:E, "All"), 0)))/100, "")))))))
</f>
        <v/>
      </c>
      <c r="I17" s="281" t="str">
        <f>IF(F17="♢♢", ((N4 * 100) / (COUNTIFS(F:F, "♢♢", E:E, E17) + COUNTIFS(F:F, "♢♢", E:E, "All") + IF(E17="All", COUNTIFS(F:F, "♢♢", E:E, E2), 0) - IF(E17="All", COUNTIFS(F:F, "♢♢", E:E, "All"), 0)))/100, 
   IF(F17="♢♢♢", ((N5 * 100) / (COUNTIFS(F:F, "♢♢♢", E:E, E17) + COUNTIFS(F:F, "♢♢♢", E:E, "All") + IF(E17="All", COUNTIFS(F:F, "♢♢♢", E:E, E2), 0) - IF(E17="All", COUNTIFS(F:F, "♢♢♢", E:E, "All"), 0)))/100, 
   IF(F17="♢♢♢♢", ((N6 * 100) / (COUNTIFS(F:F, "♢♢♢♢", E:E, E17) + COUNTIFS(F:F, "♢♢♢♢", E:E, "All") + IF(E17="All", COUNTIFS(F:F, "♢♢♢♢", E:E, E2), 0) - IF(E17="All", COUNTIFS(F:F, "♢♢♢♢", E:E, "All"), 0)))/100, 
   IF(F17="☆", ((N7 * 100) / (COUNTIFS(F:F, "☆", E:E, E17) + COUNTIFS(F:F, "☆", E:E, "All") + IF(E17="All", COUNTIFS(F:F, "☆", E:E, E2), 0) - IF(E17="All", COUNTIFS(F:F, "☆", E:E, "All"), 0)))/100, 
   IF(F17="☆☆", ((N8 * 100) / (COUNTIFS(F:F, "☆☆", E:E, E17) + COUNTIFS(F:F, "☆☆", E:E, "All") + IF(E17="All", COUNTIFS(F:F, "☆☆", E:E, E2), 0) - IF(E17="All", COUNTIFS(F:F, "☆☆", E:E, "All"), 0)))/100, 
   IF(F17="☆☆☆", ((N9 * 100) / (COUNTIFS(F:F, "☆☆☆", E:E, E17) + COUNTIFS(F:F, "☆☆☆", E:E, "All") + IF(E17="All", COUNTIFS(F:F, "☆☆☆", E:E, E2), 0) - IF(E17="All", COUNTIFS(F:F, "☆☆☆", E:E, "All"), 0)))/100, 
   IF(F17="♛", ((N10 * 100) / (COUNTIFS(F:F, "♛", E:E, E17) + COUNTIFS(F:F, "♛", E:E, "All") + IF(E17="All", COUNTIFS(F:F, "♛", E:E, E2), 0) - IF(E17="All", COUNTIFS(F:F, "♛", E:E, "All"), 0)))/100, "")))))))
</f>
        <v/>
      </c>
      <c r="J17" s="282"/>
      <c r="N17" s="172"/>
    </row>
    <row r="18">
      <c r="A18" s="275" t="b">
        <f t="shared" si="1"/>
        <v>0</v>
      </c>
      <c r="B18" s="276">
        <v>0.0</v>
      </c>
      <c r="C18" s="277" t="s">
        <v>697</v>
      </c>
      <c r="D18" s="277" t="s">
        <v>260</v>
      </c>
      <c r="E18" s="277" t="s">
        <v>34</v>
      </c>
      <c r="F18" s="303" t="s">
        <v>44</v>
      </c>
      <c r="G18" s="279">
        <f t="shared" si="2"/>
        <v>0.03125</v>
      </c>
      <c r="H18" s="280" t="str">
        <f>IF(F18="♢♢", ((M4 * 100) / (COUNTIFS(F:F, "♢♢", E:E, E18) + COUNTIFS(F:F, "♢♢", E:E, "All") + IF(E18="All", COUNTIFS(F:F, "♢♢", E:E, E2), 0) - IF(E18="All", COUNTIFS(F:F, "♢♢", E:E, "All"), 0)))/100, 
   IF(F18="♢♢♢", ((M5 * 100) / (COUNTIFS(F:F, "♢♢♢", E:E, E18) + COUNTIFS(F:F, "♢♢♢", E:E, "All") + IF(E18="All", COUNTIFS(F:F, "♢♢♢", E:E, E2), 0) - IF(E18="All", COUNTIFS(F:F, "♢♢♢", E:E, "All"), 0)))/100, 
   IF(F18="♢♢♢♢", ((M6 * 100) / (COUNTIFS(F:F, "♢♢♢♢", E:E, E18) + COUNTIFS(F:F, "♢♢♢♢", E:E, "All") + IF(E18="All", COUNTIFS(F:F, "♢♢♢♢", E:E, E2), 0) - IF(E18="All", COUNTIFS(F:F, "♢♢♢♢", E:E, "All"), 0)))/100, 
   IF(F18="☆", ((M7 * 100) / (COUNTIFS(F:F, "☆", E:E, E18) + COUNTIFS(F:F, "☆", E:E, "All") + IF(E18="All", COUNTIFS(F:F, "☆", E:E, E2), 0) - IF(E18="All", COUNTIFS(F:F, "☆", E:E, "All"), 0)))/100, 
   IF(F18="☆☆", ((M8 * 100) / (COUNTIFS(F:F, "☆☆", E:E, E18) + COUNTIFS(F:F, "☆☆", E:E, "All") + IF(E18="All", COUNTIFS(F:F, "☆☆", E:E, E2), 0) - IF(E18="All", COUNTIFS(F:F, "☆☆", E:E, "All"), 0)))/100, 
   IF(F18="☆☆☆", ((M9 * 100) / (COUNTIFS(F:F, "☆☆☆", E:E, E18) + COUNTIFS(F:F, "☆☆☆", E:E, "All") + IF(E18="All", COUNTIFS(F:F, "☆☆☆", E:E, E2), 0) - IF(E18="All", COUNTIFS(F:F, "☆☆☆", E:E, "All"), 0)))/100, 
   IF(F18="♛", ((M10 * 100) / (COUNTIFS(F:F, "♛", E:E, E18) + COUNTIFS(F:F, "♛", E:E, "All") + IF(E18="All", COUNTIFS(F:F, "♛", E:E, E2), 0) - IF(E18="All", COUNTIFS(F:F, "♛", E:E, "All"), 0)))/100, "")))))))
</f>
        <v/>
      </c>
      <c r="I18" s="281" t="str">
        <f>IF(F18="♢♢", ((N4 * 100) / (COUNTIFS(F:F, "♢♢", E:E, E18) + COUNTIFS(F:F, "♢♢", E:E, "All") + IF(E18="All", COUNTIFS(F:F, "♢♢", E:E, E2), 0) - IF(E18="All", COUNTIFS(F:F, "♢♢", E:E, "All"), 0)))/100, 
   IF(F18="♢♢♢", ((N5 * 100) / (COUNTIFS(F:F, "♢♢♢", E:E, E18) + COUNTIFS(F:F, "♢♢♢", E:E, "All") + IF(E18="All", COUNTIFS(F:F, "♢♢♢", E:E, E2), 0) - IF(E18="All", COUNTIFS(F:F, "♢♢♢", E:E, "All"), 0)))/100, 
   IF(F18="♢♢♢♢", ((N6 * 100) / (COUNTIFS(F:F, "♢♢♢♢", E:E, E18) + COUNTIFS(F:F, "♢♢♢♢", E:E, "All") + IF(E18="All", COUNTIFS(F:F, "♢♢♢♢", E:E, E2), 0) - IF(E18="All", COUNTIFS(F:F, "♢♢♢♢", E:E, "All"), 0)))/100, 
   IF(F18="☆", ((N7 * 100) / (COUNTIFS(F:F, "☆", E:E, E18) + COUNTIFS(F:F, "☆", E:E, "All") + IF(E18="All", COUNTIFS(F:F, "☆", E:E, E2), 0) - IF(E18="All", COUNTIFS(F:F, "☆", E:E, "All"), 0)))/100, 
   IF(F18="☆☆", ((N8 * 100) / (COUNTIFS(F:F, "☆☆", E:E, E18) + COUNTIFS(F:F, "☆☆", E:E, "All") + IF(E18="All", COUNTIFS(F:F, "☆☆", E:E, E2), 0) - IF(E18="All", COUNTIFS(F:F, "☆☆", E:E, "All"), 0)))/100, 
   IF(F18="☆☆☆", ((N9 * 100) / (COUNTIFS(F:F, "☆☆☆", E:E, E18) + COUNTIFS(F:F, "☆☆☆", E:E, "All") + IF(E18="All", COUNTIFS(F:F, "☆☆☆", E:E, E2), 0) - IF(E18="All", COUNTIFS(F:F, "☆☆☆", E:E, "All"), 0)))/100, 
   IF(F18="♛", ((N10 * 100) / (COUNTIFS(F:F, "♛", E:E, E18) + COUNTIFS(F:F, "♛", E:E, "All") + IF(E18="All", COUNTIFS(F:F, "♛", E:E, E2), 0) - IF(E18="All", COUNTIFS(F:F, "♛", E:E, "All"), 0)))/100, "")))))))
</f>
        <v/>
      </c>
      <c r="J18" s="282"/>
      <c r="K18" s="304" t="b">
        <v>1</v>
      </c>
      <c r="L18" s="278" t="s">
        <v>44</v>
      </c>
      <c r="M18" s="304" t="b">
        <v>1</v>
      </c>
      <c r="N18" s="305" t="s">
        <v>45</v>
      </c>
    </row>
    <row r="19">
      <c r="A19" s="275" t="b">
        <f t="shared" si="1"/>
        <v>0</v>
      </c>
      <c r="B19" s="276">
        <v>0.0</v>
      </c>
      <c r="C19" s="277" t="s">
        <v>698</v>
      </c>
      <c r="D19" s="277" t="s">
        <v>699</v>
      </c>
      <c r="E19" s="277" t="s">
        <v>34</v>
      </c>
      <c r="F19" s="277" t="s">
        <v>51</v>
      </c>
      <c r="G19" s="279" t="str">
        <f t="shared" si="2"/>
        <v/>
      </c>
      <c r="H19" s="280">
        <f>IF(F19="♢♢", ((M4 * 100) / (COUNTIFS(F:F, "♢♢", E:E, E19) + COUNTIFS(F:F, "♢♢", E:E, "All") + IF(E19="All", COUNTIFS(F:F, "♢♢", E:E, E2), 0) - IF(E19="All", COUNTIFS(F:F, "♢♢", E:E, "All"), 0)))/100, 
   IF(F19="♢♢♢", ((M5 * 100) / (COUNTIFS(F:F, "♢♢♢", E:E, E19) + COUNTIFS(F:F, "♢♢♢", E:E, "All") + IF(E19="All", COUNTIFS(F:F, "♢♢♢", E:E, E2), 0) - IF(E19="All", COUNTIFS(F:F, "♢♢♢", E:E, "All"), 0)))/100, 
   IF(F19="♢♢♢♢", ((M6 * 100) / (COUNTIFS(F:F, "♢♢♢♢", E:E, E19) + COUNTIFS(F:F, "♢♢♢♢", E:E, "All") + IF(E19="All", COUNTIFS(F:F, "♢♢♢♢", E:E, E2), 0) - IF(E19="All", COUNTIFS(F:F, "♢♢♢♢", E:E, "All"), 0)))/100, 
   IF(F19="☆", ((M7 * 100) / (COUNTIFS(F:F, "☆", E:E, E19) + COUNTIFS(F:F, "☆", E:E, "All") + IF(E19="All", COUNTIFS(F:F, "☆", E:E, E2), 0) - IF(E19="All", COUNTIFS(F:F, "☆", E:E, "All"), 0)))/100, 
   IF(F19="☆☆", ((M8 * 100) / (COUNTIFS(F:F, "☆☆", E:E, E19) + COUNTIFS(F:F, "☆☆", E:E, "All") + IF(E19="All", COUNTIFS(F:F, "☆☆", E:E, E2), 0) - IF(E19="All", COUNTIFS(F:F, "☆☆", E:E, "All"), 0)))/100, 
   IF(F19="☆☆☆", ((M9 * 100) / (COUNTIFS(F:F, "☆☆☆", E:E, E19) + COUNTIFS(F:F, "☆☆☆", E:E, "All") + IF(E19="All", COUNTIFS(F:F, "☆☆☆", E:E, E2), 0) - IF(E19="All", COUNTIFS(F:F, "☆☆☆", E:E, "All"), 0)))/100, 
   IF(F19="♛", ((M10 * 100) / (COUNTIFS(F:F, "♛", E:E, E19) + COUNTIFS(F:F, "♛", E:E, "All") + IF(E19="All", COUNTIFS(F:F, "♛", E:E, E2), 0) - IF(E19="All", COUNTIFS(F:F, "♛", E:E, "All"), 0)))/100, "")))))))
</f>
        <v>0.003332</v>
      </c>
      <c r="I19" s="281">
        <f>IF(F19="♢♢", ((N4 * 100) / (COUNTIFS(F:F, "♢♢", E:E, E19) + COUNTIFS(F:F, "♢♢", E:E, "All") + IF(E19="All", COUNTIFS(F:F, "♢♢", E:E, E2), 0) - IF(E19="All", COUNTIFS(F:F, "♢♢", E:E, "All"), 0)))/100, 
   IF(F19="♢♢♢", ((N5 * 100) / (COUNTIFS(F:F, "♢♢♢", E:E, E19) + COUNTIFS(F:F, "♢♢♢", E:E, "All") + IF(E19="All", COUNTIFS(F:F, "♢♢♢", E:E, E2), 0) - IF(E19="All", COUNTIFS(F:F, "♢♢♢", E:E, "All"), 0)))/100, 
   IF(F19="♢♢♢♢", ((N6 * 100) / (COUNTIFS(F:F, "♢♢♢♢", E:E, E19) + COUNTIFS(F:F, "♢♢♢♢", E:E, "All") + IF(E19="All", COUNTIFS(F:F, "♢♢♢♢", E:E, E2), 0) - IF(E19="All", COUNTIFS(F:F, "♢♢♢♢", E:E, "All"), 0)))/100, 
   IF(F19="☆", ((N7 * 100) / (COUNTIFS(F:F, "☆", E:E, E19) + COUNTIFS(F:F, "☆", E:E, "All") + IF(E19="All", COUNTIFS(F:F, "☆", E:E, E2), 0) - IF(E19="All", COUNTIFS(F:F, "☆", E:E, "All"), 0)))/100, 
   IF(F19="☆☆", ((N8 * 100) / (COUNTIFS(F:F, "☆☆", E:E, E19) + COUNTIFS(F:F, "☆☆", E:E, "All") + IF(E19="All", COUNTIFS(F:F, "☆☆", E:E, E2), 0) - IF(E19="All", COUNTIFS(F:F, "☆☆", E:E, "All"), 0)))/100, 
   IF(F19="☆☆☆", ((N9 * 100) / (COUNTIFS(F:F, "☆☆☆", E:E, E19) + COUNTIFS(F:F, "☆☆☆", E:E, "All") + IF(E19="All", COUNTIFS(F:F, "☆☆☆", E:E, E2), 0) - IF(E19="All", COUNTIFS(F:F, "☆☆☆", E:E, "All"), 0)))/100, 
   IF(F19="♛", ((N10 * 100) / (COUNTIFS(F:F, "♛", E:E, E19) + COUNTIFS(F:F, "♛", E:E, "All") + IF(E19="All", COUNTIFS(F:F, "♛", E:E, E2), 0) - IF(E19="All", COUNTIFS(F:F, "♛", E:E, "All"), 0)))/100, "")))))))
</f>
        <v>0.013328</v>
      </c>
      <c r="J19" s="282"/>
      <c r="K19" s="304" t="b">
        <v>1</v>
      </c>
      <c r="L19" s="278" t="s">
        <v>46</v>
      </c>
      <c r="M19" s="304" t="b">
        <v>1</v>
      </c>
      <c r="N19" s="305" t="s">
        <v>47</v>
      </c>
    </row>
    <row r="20">
      <c r="A20" s="275" t="b">
        <f t="shared" si="1"/>
        <v>0</v>
      </c>
      <c r="B20" s="276">
        <v>0.0</v>
      </c>
      <c r="C20" s="277" t="s">
        <v>700</v>
      </c>
      <c r="D20" s="277" t="s">
        <v>267</v>
      </c>
      <c r="E20" s="277" t="s">
        <v>34</v>
      </c>
      <c r="F20" s="277" t="s">
        <v>48</v>
      </c>
      <c r="G20" s="279" t="str">
        <f t="shared" si="2"/>
        <v/>
      </c>
      <c r="H20" s="280">
        <f>IF(F20="♢♢", ((M4 * 100) / (COUNTIFS(F:F, "♢♢", E:E, E20) + COUNTIFS(F:F, "♢♢", E:E, "All") + IF(E20="All", COUNTIFS(F:F, "♢♢", E:E, E2), 0) - IF(E20="All", COUNTIFS(F:F, "♢♢", E:E, "All"), 0)))/100, 
   IF(F20="♢♢♢", ((M5 * 100) / (COUNTIFS(F:F, "♢♢♢", E:E, E20) + COUNTIFS(F:F, "♢♢♢", E:E, "All") + IF(E20="All", COUNTIFS(F:F, "♢♢♢", E:E, E2), 0) - IF(E20="All", COUNTIFS(F:F, "♢♢♢", E:E, "All"), 0)))/100, 
   IF(F20="♢♢♢♢", ((M6 * 100) / (COUNTIFS(F:F, "♢♢♢♢", E:E, E20) + COUNTIFS(F:F, "♢♢♢♢", E:E, "All") + IF(E20="All", COUNTIFS(F:F, "♢♢♢♢", E:E, E2), 0) - IF(E20="All", COUNTIFS(F:F, "♢♢♢♢", E:E, "All"), 0)))/100, 
   IF(F20="☆", ((M7 * 100) / (COUNTIFS(F:F, "☆", E:E, E20) + COUNTIFS(F:F, "☆", E:E, "All") + IF(E20="All", COUNTIFS(F:F, "☆", E:E, E2), 0) - IF(E20="All", COUNTIFS(F:F, "☆", E:E, "All"), 0)))/100, 
   IF(F20="☆☆", ((M8 * 100) / (COUNTIFS(F:F, "☆☆", E:E, E20) + COUNTIFS(F:F, "☆☆", E:E, "All") + IF(E20="All", COUNTIFS(F:F, "☆☆", E:E, E2), 0) - IF(E20="All", COUNTIFS(F:F, "☆☆", E:E, "All"), 0)))/100, 
   IF(F20="☆☆☆", ((M9 * 100) / (COUNTIFS(F:F, "☆☆☆", E:E, E20) + COUNTIFS(F:F, "☆☆☆", E:E, "All") + IF(E20="All", COUNTIFS(F:F, "☆☆☆", E:E, E2), 0) - IF(E20="All", COUNTIFS(F:F, "☆☆☆", E:E, "All"), 0)))/100, 
   IF(F20="♛", ((M10 * 100) / (COUNTIFS(F:F, "♛", E:E, E20) + COUNTIFS(F:F, "♛", E:E, "All") + IF(E20="All", COUNTIFS(F:F, "♛", E:E, E2), 0) - IF(E20="All", COUNTIFS(F:F, "♛", E:E, "All"), 0)))/100, "")))))))
</f>
        <v>0.00625</v>
      </c>
      <c r="I20" s="281">
        <f>IF(F20="♢♢", ((N4 * 100) / (COUNTIFS(F:F, "♢♢", E:E, E20) + COUNTIFS(F:F, "♢♢", E:E, "All") + IF(E20="All", COUNTIFS(F:F, "♢♢", E:E, E2), 0) - IF(E20="All", COUNTIFS(F:F, "♢♢", E:E, "All"), 0)))/100, 
   IF(F20="♢♢♢", ((N5 * 100) / (COUNTIFS(F:F, "♢♢♢", E:E, E20) + COUNTIFS(F:F, "♢♢♢", E:E, "All") + IF(E20="All", COUNTIFS(F:F, "♢♢♢", E:E, E2), 0) - IF(E20="All", COUNTIFS(F:F, "♢♢♢", E:E, "All"), 0)))/100, 
   IF(F20="♢♢♢♢", ((N6 * 100) / (COUNTIFS(F:F, "♢♢♢♢", E:E, E20) + COUNTIFS(F:F, "♢♢♢♢", E:E, "All") + IF(E20="All", COUNTIFS(F:F, "♢♢♢♢", E:E, E2), 0) - IF(E20="All", COUNTIFS(F:F, "♢♢♢♢", E:E, "All"), 0)))/100, 
   IF(F20="☆", ((N7 * 100) / (COUNTIFS(F:F, "☆", E:E, E20) + COUNTIFS(F:F, "☆", E:E, "All") + IF(E20="All", COUNTIFS(F:F, "☆", E:E, E2), 0) - IF(E20="All", COUNTIFS(F:F, "☆", E:E, "All"), 0)))/100, 
   IF(F20="☆☆", ((N8 * 100) / (COUNTIFS(F:F, "☆☆", E:E, E20) + COUNTIFS(F:F, "☆☆", E:E, "All") + IF(E20="All", COUNTIFS(F:F, "☆☆", E:E, E2), 0) - IF(E20="All", COUNTIFS(F:F, "☆☆", E:E, "All"), 0)))/100, 
   IF(F20="☆☆☆", ((N9 * 100) / (COUNTIFS(F:F, "☆☆☆", E:E, E20) + COUNTIFS(F:F, "☆☆☆", E:E, "All") + IF(E20="All", COUNTIFS(F:F, "☆☆☆", E:E, E2), 0) - IF(E20="All", COUNTIFS(F:F, "☆☆☆", E:E, "All"), 0)))/100, 
   IF(F20="♛", ((N10 * 100) / (COUNTIFS(F:F, "♛", E:E, E20) + COUNTIFS(F:F, "♛", E:E, "All") + IF(E20="All", COUNTIFS(F:F, "♛", E:E, E2), 0) - IF(E20="All", COUNTIFS(F:F, "♛", E:E, "All"), 0)))/100, "")))))))
</f>
        <v>0.025</v>
      </c>
      <c r="J20" s="282"/>
      <c r="K20" s="304" t="b">
        <v>1</v>
      </c>
      <c r="L20" s="278" t="s">
        <v>48</v>
      </c>
      <c r="M20" s="304" t="b">
        <v>1</v>
      </c>
      <c r="N20" s="305" t="s">
        <v>49</v>
      </c>
    </row>
    <row r="21">
      <c r="A21" s="275" t="b">
        <f t="shared" si="1"/>
        <v>0</v>
      </c>
      <c r="B21" s="276">
        <v>0.0</v>
      </c>
      <c r="C21" s="277" t="s">
        <v>701</v>
      </c>
      <c r="D21" s="277" t="s">
        <v>702</v>
      </c>
      <c r="E21" s="277" t="s">
        <v>34</v>
      </c>
      <c r="F21" s="303" t="s">
        <v>44</v>
      </c>
      <c r="G21" s="279">
        <f t="shared" si="2"/>
        <v>0.03125</v>
      </c>
      <c r="H21" s="280" t="str">
        <f>IF(F21="♢♢", ((M4 * 100) / (COUNTIFS(F:F, "♢♢", E:E, E21) + COUNTIFS(F:F, "♢♢", E:E, "All") + IF(E21="All", COUNTIFS(F:F, "♢♢", E:E, E2), 0) - IF(E21="All", COUNTIFS(F:F, "♢♢", E:E, "All"), 0)))/100, 
   IF(F21="♢♢♢", ((M5 * 100) / (COUNTIFS(F:F, "♢♢♢", E:E, E21) + COUNTIFS(F:F, "♢♢♢", E:E, "All") + IF(E21="All", COUNTIFS(F:F, "♢♢♢", E:E, E2), 0) - IF(E21="All", COUNTIFS(F:F, "♢♢♢", E:E, "All"), 0)))/100, 
   IF(F21="♢♢♢♢", ((M6 * 100) / (COUNTIFS(F:F, "♢♢♢♢", E:E, E21) + COUNTIFS(F:F, "♢♢♢♢", E:E, "All") + IF(E21="All", COUNTIFS(F:F, "♢♢♢♢", E:E, E2), 0) - IF(E21="All", COUNTIFS(F:F, "♢♢♢♢", E:E, "All"), 0)))/100, 
   IF(F21="☆", ((M7 * 100) / (COUNTIFS(F:F, "☆", E:E, E21) + COUNTIFS(F:F, "☆", E:E, "All") + IF(E21="All", COUNTIFS(F:F, "☆", E:E, E2), 0) - IF(E21="All", COUNTIFS(F:F, "☆", E:E, "All"), 0)))/100, 
   IF(F21="☆☆", ((M8 * 100) / (COUNTIFS(F:F, "☆☆", E:E, E21) + COUNTIFS(F:F, "☆☆", E:E, "All") + IF(E21="All", COUNTIFS(F:F, "☆☆", E:E, E2), 0) - IF(E21="All", COUNTIFS(F:F, "☆☆", E:E, "All"), 0)))/100, 
   IF(F21="☆☆☆", ((M9 * 100) / (COUNTIFS(F:F, "☆☆☆", E:E, E21) + COUNTIFS(F:F, "☆☆☆", E:E, "All") + IF(E21="All", COUNTIFS(F:F, "☆☆☆", E:E, E2), 0) - IF(E21="All", COUNTIFS(F:F, "☆☆☆", E:E, "All"), 0)))/100, 
   IF(F21="♛", ((M10 * 100) / (COUNTIFS(F:F, "♛", E:E, E21) + COUNTIFS(F:F, "♛", E:E, "All") + IF(E21="All", COUNTIFS(F:F, "♛", E:E, E2), 0) - IF(E21="All", COUNTIFS(F:F, "♛", E:E, "All"), 0)))/100, "")))))))
</f>
        <v/>
      </c>
      <c r="I21" s="281" t="str">
        <f>IF(F21="♢♢", ((N4 * 100) / (COUNTIFS(F:F, "♢♢", E:E, E21) + COUNTIFS(F:F, "♢♢", E:E, "All") + IF(E21="All", COUNTIFS(F:F, "♢♢", E:E, E2), 0) - IF(E21="All", COUNTIFS(F:F, "♢♢", E:E, "All"), 0)))/100, 
   IF(F21="♢♢♢", ((N5 * 100) / (COUNTIFS(F:F, "♢♢♢", E:E, E21) + COUNTIFS(F:F, "♢♢♢", E:E, "All") + IF(E21="All", COUNTIFS(F:F, "♢♢♢", E:E, E2), 0) - IF(E21="All", COUNTIFS(F:F, "♢♢♢", E:E, "All"), 0)))/100, 
   IF(F21="♢♢♢♢", ((N6 * 100) / (COUNTIFS(F:F, "♢♢♢♢", E:E, E21) + COUNTIFS(F:F, "♢♢♢♢", E:E, "All") + IF(E21="All", COUNTIFS(F:F, "♢♢♢♢", E:E, E2), 0) - IF(E21="All", COUNTIFS(F:F, "♢♢♢♢", E:E, "All"), 0)))/100, 
   IF(F21="☆", ((N7 * 100) / (COUNTIFS(F:F, "☆", E:E, E21) + COUNTIFS(F:F, "☆", E:E, "All") + IF(E21="All", COUNTIFS(F:F, "☆", E:E, E2), 0) - IF(E21="All", COUNTIFS(F:F, "☆", E:E, "All"), 0)))/100, 
   IF(F21="☆☆", ((N8 * 100) / (COUNTIFS(F:F, "☆☆", E:E, E21) + COUNTIFS(F:F, "☆☆", E:E, "All") + IF(E21="All", COUNTIFS(F:F, "☆☆", E:E, E2), 0) - IF(E21="All", COUNTIFS(F:F, "☆☆", E:E, "All"), 0)))/100, 
   IF(F21="☆☆☆", ((N9 * 100) / (COUNTIFS(F:F, "☆☆☆", E:E, E21) + COUNTIFS(F:F, "☆☆☆", E:E, "All") + IF(E21="All", COUNTIFS(F:F, "☆☆☆", E:E, E2), 0) - IF(E21="All", COUNTIFS(F:F, "☆☆☆", E:E, "All"), 0)))/100, 
   IF(F21="♛", ((N10 * 100) / (COUNTIFS(F:F, "♛", E:E, E21) + COUNTIFS(F:F, "♛", E:E, "All") + IF(E21="All", COUNTIFS(F:F, "♛", E:E, E2), 0) - IF(E21="All", COUNTIFS(F:F, "♛", E:E, "All"), 0)))/100, "")))))))
</f>
        <v/>
      </c>
      <c r="J21" s="282"/>
      <c r="K21" s="304" t="b">
        <v>1</v>
      </c>
      <c r="L21" s="278" t="s">
        <v>51</v>
      </c>
      <c r="M21" s="304" t="b">
        <v>1</v>
      </c>
      <c r="N21" s="305" t="s">
        <v>52</v>
      </c>
    </row>
    <row r="22">
      <c r="A22" s="275" t="b">
        <f t="shared" si="1"/>
        <v>0</v>
      </c>
      <c r="B22" s="276">
        <v>0.0</v>
      </c>
      <c r="C22" s="277" t="s">
        <v>703</v>
      </c>
      <c r="D22" s="277" t="s">
        <v>704</v>
      </c>
      <c r="E22" s="277" t="s">
        <v>34</v>
      </c>
      <c r="F22" s="277" t="s">
        <v>46</v>
      </c>
      <c r="G22" s="279" t="str">
        <f t="shared" si="2"/>
        <v/>
      </c>
      <c r="H22" s="280">
        <f>IF(F22="♢♢", ((M4 * 100) / (COUNTIFS(F:F, "♢♢", E:E, E22) + COUNTIFS(F:F, "♢♢", E:E, "All") + IF(E22="All", COUNTIFS(F:F, "♢♢", E:E, E2), 0) - IF(E22="All", COUNTIFS(F:F, "♢♢", E:E, "All"), 0)))/100, 
   IF(F22="♢♢♢", ((M5 * 100) / (COUNTIFS(F:F, "♢♢♢", E:E, E22) + COUNTIFS(F:F, "♢♢♢", E:E, "All") + IF(E22="All", COUNTIFS(F:F, "♢♢♢", E:E, E2), 0) - IF(E22="All", COUNTIFS(F:F, "♢♢♢", E:E, "All"), 0)))/100, 
   IF(F22="♢♢♢♢", ((M6 * 100) / (COUNTIFS(F:F, "♢♢♢♢", E:E, E22) + COUNTIFS(F:F, "♢♢♢♢", E:E, "All") + IF(E22="All", COUNTIFS(F:F, "♢♢♢♢", E:E, E2), 0) - IF(E22="All", COUNTIFS(F:F, "♢♢♢♢", E:E, "All"), 0)))/100, 
   IF(F22="☆", ((M7 * 100) / (COUNTIFS(F:F, "☆", E:E, E22) + COUNTIFS(F:F, "☆", E:E, "All") + IF(E22="All", COUNTIFS(F:F, "☆", E:E, E2), 0) - IF(E22="All", COUNTIFS(F:F, "☆", E:E, "All"), 0)))/100, 
   IF(F22="☆☆", ((M8 * 100) / (COUNTIFS(F:F, "☆☆", E:E, E22) + COUNTIFS(F:F, "☆☆", E:E, "All") + IF(E22="All", COUNTIFS(F:F, "☆☆", E:E, E2), 0) - IF(E22="All", COUNTIFS(F:F, "☆☆", E:E, "All"), 0)))/100, 
   IF(F22="☆☆☆", ((M9 * 100) / (COUNTIFS(F:F, "☆☆☆", E:E, E22) + COUNTIFS(F:F, "☆☆☆", E:E, "All") + IF(E22="All", COUNTIFS(F:F, "☆☆☆", E:E, E2), 0) - IF(E22="All", COUNTIFS(F:F, "☆☆☆", E:E, "All"), 0)))/100, 
   IF(F22="♛", ((M10 * 100) / (COUNTIFS(F:F, "♛", E:E, E22) + COUNTIFS(F:F, "♛", E:E, "All") + IF(E22="All", COUNTIFS(F:F, "♛", E:E, E2), 0) - IF(E22="All", COUNTIFS(F:F, "♛", E:E, "All"), 0)))/100, "")))))))
</f>
        <v>0.03913043478</v>
      </c>
      <c r="I22" s="281">
        <f>IF(F22="♢♢", ((N4 * 100) / (COUNTIFS(F:F, "♢♢", E:E, E22) + COUNTIFS(F:F, "♢♢", E:E, "All") + IF(E22="All", COUNTIFS(F:F, "♢♢", E:E, E2), 0) - IF(E22="All", COUNTIFS(F:F, "♢♢", E:E, "All"), 0)))/100, 
   IF(F22="♢♢♢", ((N5 * 100) / (COUNTIFS(F:F, "♢♢♢", E:E, E22) + COUNTIFS(F:F, "♢♢♢", E:E, "All") + IF(E22="All", COUNTIFS(F:F, "♢♢♢", E:E, E2), 0) - IF(E22="All", COUNTIFS(F:F, "♢♢♢", E:E, "All"), 0)))/100, 
   IF(F22="♢♢♢♢", ((N6 * 100) / (COUNTIFS(F:F, "♢♢♢♢", E:E, E22) + COUNTIFS(F:F, "♢♢♢♢", E:E, "All") + IF(E22="All", COUNTIFS(F:F, "♢♢♢♢", E:E, E2), 0) - IF(E22="All", COUNTIFS(F:F, "♢♢♢♢", E:E, "All"), 0)))/100, 
   IF(F22="☆", ((N7 * 100) / (COUNTIFS(F:F, "☆", E:E, E22) + COUNTIFS(F:F, "☆", E:E, "All") + IF(E22="All", COUNTIFS(F:F, "☆", E:E, E2), 0) - IF(E22="All", COUNTIFS(F:F, "☆", E:E, "All"), 0)))/100, 
   IF(F22="☆☆", ((N8 * 100) / (COUNTIFS(F:F, "☆☆", E:E, E22) + COUNTIFS(F:F, "☆☆", E:E, "All") + IF(E22="All", COUNTIFS(F:F, "☆☆", E:E, E2), 0) - IF(E22="All", COUNTIFS(F:F, "☆☆", E:E, "All"), 0)))/100, 
   IF(F22="☆☆☆", ((N9 * 100) / (COUNTIFS(F:F, "☆☆☆", E:E, E22) + COUNTIFS(F:F, "☆☆☆", E:E, "All") + IF(E22="All", COUNTIFS(F:F, "☆☆☆", E:E, E2), 0) - IF(E22="All", COUNTIFS(F:F, "☆☆☆", E:E, "All"), 0)))/100, 
   IF(F22="♛", ((N10 * 100) / (COUNTIFS(F:F, "♛", E:E, E22) + COUNTIFS(F:F, "♛", E:E, "All") + IF(E22="All", COUNTIFS(F:F, "♛", E:E, E2), 0) - IF(E22="All", COUNTIFS(F:F, "♛", E:E, "All"), 0)))/100, "")))))))
</f>
        <v>0.02608695652</v>
      </c>
      <c r="J22" s="282"/>
      <c r="K22" s="306" t="s">
        <v>133</v>
      </c>
      <c r="L22" s="2"/>
      <c r="M22" s="2"/>
      <c r="N22" s="177"/>
    </row>
    <row r="23">
      <c r="A23" s="275" t="b">
        <f t="shared" si="1"/>
        <v>0</v>
      </c>
      <c r="B23" s="276">
        <v>0.0</v>
      </c>
      <c r="C23" s="277" t="s">
        <v>705</v>
      </c>
      <c r="D23" s="277" t="s">
        <v>706</v>
      </c>
      <c r="E23" s="277" t="s">
        <v>34</v>
      </c>
      <c r="F23" s="277" t="s">
        <v>44</v>
      </c>
      <c r="G23" s="279">
        <f t="shared" si="2"/>
        <v>0.03125</v>
      </c>
      <c r="H23" s="280" t="str">
        <f>IF(F23="♢♢", ((M4 * 100) / (COUNTIFS(F:F, "♢♢", E:E, E23) + COUNTIFS(F:F, "♢♢", E:E, "All") + IF(E23="All", COUNTIFS(F:F, "♢♢", E:E, E2), 0) - IF(E23="All", COUNTIFS(F:F, "♢♢", E:E, "All"), 0)))/100, 
   IF(F23="♢♢♢", ((M5 * 100) / (COUNTIFS(F:F, "♢♢♢", E:E, E23) + COUNTIFS(F:F, "♢♢♢", E:E, "All") + IF(E23="All", COUNTIFS(F:F, "♢♢♢", E:E, E2), 0) - IF(E23="All", COUNTIFS(F:F, "♢♢♢", E:E, "All"), 0)))/100, 
   IF(F23="♢♢♢♢", ((M6 * 100) / (COUNTIFS(F:F, "♢♢♢♢", E:E, E23) + COUNTIFS(F:F, "♢♢♢♢", E:E, "All") + IF(E23="All", COUNTIFS(F:F, "♢♢♢♢", E:E, E2), 0) - IF(E23="All", COUNTIFS(F:F, "♢♢♢♢", E:E, "All"), 0)))/100, 
   IF(F23="☆", ((M7 * 100) / (COUNTIFS(F:F, "☆", E:E, E23) + COUNTIFS(F:F, "☆", E:E, "All") + IF(E23="All", COUNTIFS(F:F, "☆", E:E, E2), 0) - IF(E23="All", COUNTIFS(F:F, "☆", E:E, "All"), 0)))/100, 
   IF(F23="☆☆", ((M8 * 100) / (COUNTIFS(F:F, "☆☆", E:E, E23) + COUNTIFS(F:F, "☆☆", E:E, "All") + IF(E23="All", COUNTIFS(F:F, "☆☆", E:E, E2), 0) - IF(E23="All", COUNTIFS(F:F, "☆☆", E:E, "All"), 0)))/100, 
   IF(F23="☆☆☆", ((M9 * 100) / (COUNTIFS(F:F, "☆☆☆", E:E, E23) + COUNTIFS(F:F, "☆☆☆", E:E, "All") + IF(E23="All", COUNTIFS(F:F, "☆☆☆", E:E, E2), 0) - IF(E23="All", COUNTIFS(F:F, "☆☆☆", E:E, "All"), 0)))/100, 
   IF(F23="♛", ((M10 * 100) / (COUNTIFS(F:F, "♛", E:E, E23) + COUNTIFS(F:F, "♛", E:E, "All") + IF(E23="All", COUNTIFS(F:F, "♛", E:E, E2), 0) - IF(E23="All", COUNTIFS(F:F, "♛", E:E, "All"), 0)))/100, "")))))))
</f>
        <v/>
      </c>
      <c r="I23" s="281" t="str">
        <f>IF(F23="♢♢", ((N4 * 100) / (COUNTIFS(F:F, "♢♢", E:E, E23) + COUNTIFS(F:F, "♢♢", E:E, "All") + IF(E23="All", COUNTIFS(F:F, "♢♢", E:E, E2), 0) - IF(E23="All", COUNTIFS(F:F, "♢♢", E:E, "All"), 0)))/100, 
   IF(F23="♢♢♢", ((N5 * 100) / (COUNTIFS(F:F, "♢♢♢", E:E, E23) + COUNTIFS(F:F, "♢♢♢", E:E, "All") + IF(E23="All", COUNTIFS(F:F, "♢♢♢", E:E, E2), 0) - IF(E23="All", COUNTIFS(F:F, "♢♢♢", E:E, "All"), 0)))/100, 
   IF(F23="♢♢♢♢", ((N6 * 100) / (COUNTIFS(F:F, "♢♢♢♢", E:E, E23) + COUNTIFS(F:F, "♢♢♢♢", E:E, "All") + IF(E23="All", COUNTIFS(F:F, "♢♢♢♢", E:E, E2), 0) - IF(E23="All", COUNTIFS(F:F, "♢♢♢♢", E:E, "All"), 0)))/100, 
   IF(F23="☆", ((N7 * 100) / (COUNTIFS(F:F, "☆", E:E, E23) + COUNTIFS(F:F, "☆", E:E, "All") + IF(E23="All", COUNTIFS(F:F, "☆", E:E, E2), 0) - IF(E23="All", COUNTIFS(F:F, "☆", E:E, "All"), 0)))/100, 
   IF(F23="☆☆", ((N8 * 100) / (COUNTIFS(F:F, "☆☆", E:E, E23) + COUNTIFS(F:F, "☆☆", E:E, "All") + IF(E23="All", COUNTIFS(F:F, "☆☆", E:E, E2), 0) - IF(E23="All", COUNTIFS(F:F, "☆☆", E:E, "All"), 0)))/100, 
   IF(F23="☆☆☆", ((N9 * 100) / (COUNTIFS(F:F, "☆☆☆", E:E, E23) + COUNTIFS(F:F, "☆☆☆", E:E, "All") + IF(E23="All", COUNTIFS(F:F, "☆☆☆", E:E, E2), 0) - IF(E23="All", COUNTIFS(F:F, "☆☆☆", E:E, "All"), 0)))/100, 
   IF(F23="♛", ((N10 * 100) / (COUNTIFS(F:F, "♛", E:E, E23) + COUNTIFS(F:F, "♛", E:E, "All") + IF(E23="All", COUNTIFS(F:F, "♛", E:E, E2), 0) - IF(E23="All", COUNTIFS(F:F, "♛", E:E, "All"), 0)))/100, "")))))))
</f>
        <v/>
      </c>
      <c r="J23" s="282"/>
      <c r="K23" s="307" t="s">
        <v>707</v>
      </c>
      <c r="L23" s="308" t="s">
        <v>24</v>
      </c>
      <c r="M23" s="308" t="s">
        <v>25</v>
      </c>
      <c r="N23" s="309" t="s">
        <v>26</v>
      </c>
    </row>
    <row r="24">
      <c r="A24" s="275" t="b">
        <f t="shared" si="1"/>
        <v>0</v>
      </c>
      <c r="B24" s="276">
        <v>0.0</v>
      </c>
      <c r="C24" s="277" t="s">
        <v>708</v>
      </c>
      <c r="D24" s="277" t="s">
        <v>709</v>
      </c>
      <c r="E24" s="277" t="s">
        <v>34</v>
      </c>
      <c r="F24" s="278" t="s">
        <v>46</v>
      </c>
      <c r="G24" s="279" t="str">
        <f t="shared" si="2"/>
        <v/>
      </c>
      <c r="H24" s="280">
        <f>IF(F24="♢♢", ((M4 * 100) / (COUNTIFS(F:F, "♢♢", E:E, E24) + COUNTIFS(F:F, "♢♢", E:E, "All") + IF(E24="All", COUNTIFS(F:F, "♢♢", E:E, E2), 0) - IF(E24="All", COUNTIFS(F:F, "♢♢", E:E, "All"), 0)))/100, 
   IF(F24="♢♢♢", ((M5 * 100) / (COUNTIFS(F:F, "♢♢♢", E:E, E24) + COUNTIFS(F:F, "♢♢♢", E:E, "All") + IF(E24="All", COUNTIFS(F:F, "♢♢♢", E:E, E2), 0) - IF(E24="All", COUNTIFS(F:F, "♢♢♢", E:E, "All"), 0)))/100, 
   IF(F24="♢♢♢♢", ((M6 * 100) / (COUNTIFS(F:F, "♢♢♢♢", E:E, E24) + COUNTIFS(F:F, "♢♢♢♢", E:E, "All") + IF(E24="All", COUNTIFS(F:F, "♢♢♢♢", E:E, E2), 0) - IF(E24="All", COUNTIFS(F:F, "♢♢♢♢", E:E, "All"), 0)))/100, 
   IF(F24="☆", ((M7 * 100) / (COUNTIFS(F:F, "☆", E:E, E24) + COUNTIFS(F:F, "☆", E:E, "All") + IF(E24="All", COUNTIFS(F:F, "☆", E:E, E2), 0) - IF(E24="All", COUNTIFS(F:F, "☆", E:E, "All"), 0)))/100, 
   IF(F24="☆☆", ((M8 * 100) / (COUNTIFS(F:F, "☆☆", E:E, E24) + COUNTIFS(F:F, "☆☆", E:E, "All") + IF(E24="All", COUNTIFS(F:F, "☆☆", E:E, E2), 0) - IF(E24="All", COUNTIFS(F:F, "☆☆", E:E, "All"), 0)))/100, 
   IF(F24="☆☆☆", ((M9 * 100) / (COUNTIFS(F:F, "☆☆☆", E:E, E24) + COUNTIFS(F:F, "☆☆☆", E:E, "All") + IF(E24="All", COUNTIFS(F:F, "☆☆☆", E:E, E2), 0) - IF(E24="All", COUNTIFS(F:F, "☆☆☆", E:E, "All"), 0)))/100, 
   IF(F24="♛", ((M10 * 100) / (COUNTIFS(F:F, "♛", E:E, E24) + COUNTIFS(F:F, "♛", E:E, "All") + IF(E24="All", COUNTIFS(F:F, "♛", E:E, E2), 0) - IF(E24="All", COUNTIFS(F:F, "♛", E:E, "All"), 0)))/100, "")))))))
</f>
        <v>0.03913043478</v>
      </c>
      <c r="I24" s="281">
        <f>IF(F24="♢♢", ((N4 * 100) / (COUNTIFS(F:F, "♢♢", E:E, E24) + COUNTIFS(F:F, "♢♢", E:E, "All") + IF(E24="All", COUNTIFS(F:F, "♢♢", E:E, E2), 0) - IF(E24="All", COUNTIFS(F:F, "♢♢", E:E, "All"), 0)))/100, 
   IF(F24="♢♢♢", ((N5 * 100) / (COUNTIFS(F:F, "♢♢♢", E:E, E24) + COUNTIFS(F:F, "♢♢♢", E:E, "All") + IF(E24="All", COUNTIFS(F:F, "♢♢♢", E:E, E2), 0) - IF(E24="All", COUNTIFS(F:F, "♢♢♢", E:E, "All"), 0)))/100, 
   IF(F24="♢♢♢♢", ((N6 * 100) / (COUNTIFS(F:F, "♢♢♢♢", E:E, E24) + COUNTIFS(F:F, "♢♢♢♢", E:E, "All") + IF(E24="All", COUNTIFS(F:F, "♢♢♢♢", E:E, E2), 0) - IF(E24="All", COUNTIFS(F:F, "♢♢♢♢", E:E, "All"), 0)))/100, 
   IF(F24="☆", ((N7 * 100) / (COUNTIFS(F:F, "☆", E:E, E24) + COUNTIFS(F:F, "☆", E:E, "All") + IF(E24="All", COUNTIFS(F:F, "☆", E:E, E2), 0) - IF(E24="All", COUNTIFS(F:F, "☆", E:E, "All"), 0)))/100, 
   IF(F24="☆☆", ((N8 * 100) / (COUNTIFS(F:F, "☆☆", E:E, E24) + COUNTIFS(F:F, "☆☆", E:E, "All") + IF(E24="All", COUNTIFS(F:F, "☆☆", E:E, E2), 0) - IF(E24="All", COUNTIFS(F:F, "☆☆", E:E, "All"), 0)))/100, 
   IF(F24="☆☆☆", ((N9 * 100) / (COUNTIFS(F:F, "☆☆☆", E:E, E24) + COUNTIFS(F:F, "☆☆☆", E:E, "All") + IF(E24="All", COUNTIFS(F:F, "☆☆☆", E:E, E2), 0) - IF(E24="All", COUNTIFS(F:F, "☆☆☆", E:E, "All"), 0)))/100, 
   IF(F24="♛", ((N10 * 100) / (COUNTIFS(F:F, "♛", E:E, E24) + COUNTIFS(F:F, "♛", E:E, "All") + IF(E24="All", COUNTIFS(F:F, "♛", E:E, E2), 0) - IF(E24="All", COUNTIFS(F:F, "♛", E:E, "All"), 0)))/100, "")))))))
</f>
        <v>0.02608695652</v>
      </c>
      <c r="J24" s="282"/>
      <c r="K24" s="299" t="s">
        <v>34</v>
      </c>
      <c r="L24" s="300">
        <f>IFERROR(
  (
    COUNTIFS(F:F, "♢", A:A, TRUE, E:E, K24) * K18 +
    COUNTIFS(F:F, "♢♢", A:A, TRUE, E:E, K24) * K19 +
    COUNTIFS(F:F, "♢♢♢", A:A, TRUE, E:E, K24) * K20 +
    COUNTIFS(F:F, "♢♢♢♢", A:A, TRUE, E:E, K24) * K21 +
    COUNTIFS(F:F, "☆", A:A, TRUE, E:E, K24) * M18 +
    COUNTIFS(F:F, "☆☆", A:A, TRUE, E:E, K24) * M19 +
    COUNTIFS(F:F, "☆☆☆", A:A, TRUE, E:E, K24) * M20 +
    COUNTIFS(F:F, "♛", A:A, TRUE, E:E, K24) * M21
  ) / (
    COUNTIFS(F:F, "♢", E:E, K24) * K18 +
    COUNTIFS(F:F, "♢♢", E:E, K24) * K19 +
    COUNTIFS(F:F, "♢♢♢", E:E, K24) * K20 +
    COUNTIFS(F:F, "♢♢♢♢", E:E, K24) * K21 +
    COUNTIFS(F:F, "☆", E:E, K24) * M18 +
    COUNTIFS(F:F, "☆☆", E:E, K24) * M19 +
    COUNTIFS(F:F, "☆☆☆", E:E, K24) * M20 +
    COUNTIFS(F:F, "♛", E:E, K24) * M21
  ),
  0
)
</f>
        <v>0</v>
      </c>
      <c r="M24" s="300">
        <f>IFERROR(
  (
    COUNTIFS(F:F, "♢", A:A, FALSE, E:E, K24) * K18 +
    COUNTIFS(F:F, "♢♢", A:A, FALSE, E:E, K24) * K19 +
    COUNTIFS(F:F, "♢♢♢", A:A, FALSE, E:E, K24) * K20 +
    COUNTIFS(F:F, "♢♢♢♢", A:A, FALSE, E:E, K24) * K21 +
    COUNTIFS(F:F, "☆", A:A, FALSE, E:E, K24) * M18 +
    COUNTIFS(F:F, "☆☆", A:A, FALSE, E:E, K24) * M19 +
    COUNTIFS(F:F, "☆☆☆", A:A, FALSE, E:E, K24) * M20 +
    COUNTIFS(F:F, "♛", A:A, FALSE, E:E, K24) * M21
  ) / (
    COUNTIFS(F:F, "♢", E:E, K24) * K18 +
    COUNTIFS(F:F, "♢♢", E:E, K24) * K19 +
    COUNTIFS(F:F, "♢♢♢", E:E, K24) * K20 +
    COUNTIFS(F:F, "♢♢♢♢", E:E, K24) * K21 +
    COUNTIFS(F:F, "☆", E:E, K24) * M18 +
    COUNTIFS(F:F, "☆☆", E:E, K24) * M19 +
    COUNTIFS(F:F, "☆☆☆", E:E, K24) * M20 +
    COUNTIFS(F:F, "♛", E:E, K24) * M21
  ),
  0
)
</f>
        <v>1</v>
      </c>
      <c r="N24" s="310" t="str">
        <f>TEXT(
  COUNTIFS(F:F, "♢", A:A, TRUE, E:E, K24) * K18 +
  COUNTIFS(F:F, "♢♢", A:A, TRUE, E:E, K24) * K19 +
  COUNTIFS(F:F, "♢♢♢", A:A, TRUE, E:E, K24) * K20 +
  COUNTIFS(F:F, "♢♢♢♢", A:A, TRUE, E:E, K24) * K21 +
  COUNTIFS(F:F, "☆", A:A, TRUE, E:E, K24) * M18 +
  COUNTIFS(F:F, "☆☆", A:A, TRUE, E:E, K24) * M19 +
  COUNTIFS(F:F, "☆☆☆", A:A, TRUE, E:E, K24) * M20 +
  COUNTIFS(F:F, "♛", A:A, TRUE, E:E, K24) * M21, "0"
) &amp; "/" &amp;
TEXT(
  COUNTIFS(F:F, "♢", E:E, K24) * K18 +
  COUNTIFS(F:F, "♢♢", E:E, K24) * K19 +
  COUNTIFS(F:F, "♢♢♢", E:E, K24) * K20 +
  COUNTIFS(F:F, "♢♢♢♢", E:E, K24) * K21 +
  COUNTIFS(F:F, "☆", E:E, K24) * M18 +
  COUNTIFS(F:F, "☆☆", E:E, K24) * M19 +
  COUNTIFS(F:F, "☆☆☆", E:E, K24) * M20 +
  COUNTIFS(F:F, "♛", E:E, K24) * M21, "0"
)
</f>
        <v>0/86</v>
      </c>
    </row>
    <row r="25">
      <c r="A25" s="275" t="b">
        <f t="shared" si="1"/>
        <v>0</v>
      </c>
      <c r="B25" s="276">
        <v>0.0</v>
      </c>
      <c r="C25" s="277" t="s">
        <v>710</v>
      </c>
      <c r="D25" s="277" t="s">
        <v>711</v>
      </c>
      <c r="E25" s="277" t="s">
        <v>34</v>
      </c>
      <c r="F25" s="303" t="s">
        <v>44</v>
      </c>
      <c r="G25" s="279">
        <f t="shared" si="2"/>
        <v>0.03125</v>
      </c>
      <c r="H25" s="280" t="str">
        <f>IF(F25="♢♢", ((M4 * 100) / (COUNTIFS(F:F, "♢♢", E:E, E25) + COUNTIFS(F:F, "♢♢", E:E, "All") + IF(E25="All", COUNTIFS(F:F, "♢♢", E:E, E2), 0) - IF(E25="All", COUNTIFS(F:F, "♢♢", E:E, "All"), 0)))/100, 
   IF(F25="♢♢♢", ((M5 * 100) / (COUNTIFS(F:F, "♢♢♢", E:E, E25) + COUNTIFS(F:F, "♢♢♢", E:E, "All") + IF(E25="All", COUNTIFS(F:F, "♢♢♢", E:E, E2), 0) - IF(E25="All", COUNTIFS(F:F, "♢♢♢", E:E, "All"), 0)))/100, 
   IF(F25="♢♢♢♢", ((M6 * 100) / (COUNTIFS(F:F, "♢♢♢♢", E:E, E25) + COUNTIFS(F:F, "♢♢♢♢", E:E, "All") + IF(E25="All", COUNTIFS(F:F, "♢♢♢♢", E:E, E2), 0) - IF(E25="All", COUNTIFS(F:F, "♢♢♢♢", E:E, "All"), 0)))/100, 
   IF(F25="☆", ((M7 * 100) / (COUNTIFS(F:F, "☆", E:E, E25) + COUNTIFS(F:F, "☆", E:E, "All") + IF(E25="All", COUNTIFS(F:F, "☆", E:E, E2), 0) - IF(E25="All", COUNTIFS(F:F, "☆", E:E, "All"), 0)))/100, 
   IF(F25="☆☆", ((M8 * 100) / (COUNTIFS(F:F, "☆☆", E:E, E25) + COUNTIFS(F:F, "☆☆", E:E, "All") + IF(E25="All", COUNTIFS(F:F, "☆☆", E:E, E2), 0) - IF(E25="All", COUNTIFS(F:F, "☆☆", E:E, "All"), 0)))/100, 
   IF(F25="☆☆☆", ((M9 * 100) / (COUNTIFS(F:F, "☆☆☆", E:E, E25) + COUNTIFS(F:F, "☆☆☆", E:E, "All") + IF(E25="All", COUNTIFS(F:F, "☆☆☆", E:E, E2), 0) - IF(E25="All", COUNTIFS(F:F, "☆☆☆", E:E, "All"), 0)))/100, 
   IF(F25="♛", ((M10 * 100) / (COUNTIFS(F:F, "♛", E:E, E25) + COUNTIFS(F:F, "♛", E:E, "All") + IF(E25="All", COUNTIFS(F:F, "♛", E:E, E2), 0) - IF(E25="All", COUNTIFS(F:F, "♛", E:E, "All"), 0)))/100, "")))))))
</f>
        <v/>
      </c>
      <c r="I25" s="281" t="str">
        <f>IF(F25="♢♢", ((N4 * 100) / (COUNTIFS(F:F, "♢♢", E:E, E25) + COUNTIFS(F:F, "♢♢", E:E, "All") + IF(E25="All", COUNTIFS(F:F, "♢♢", E:E, E2), 0) - IF(E25="All", COUNTIFS(F:F, "♢♢", E:E, "All"), 0)))/100, 
   IF(F25="♢♢♢", ((N5 * 100) / (COUNTIFS(F:F, "♢♢♢", E:E, E25) + COUNTIFS(F:F, "♢♢♢", E:E, "All") + IF(E25="All", COUNTIFS(F:F, "♢♢♢", E:E, E2), 0) - IF(E25="All", COUNTIFS(F:F, "♢♢♢", E:E, "All"), 0)))/100, 
   IF(F25="♢♢♢♢", ((N6 * 100) / (COUNTIFS(F:F, "♢♢♢♢", E:E, E25) + COUNTIFS(F:F, "♢♢♢♢", E:E, "All") + IF(E25="All", COUNTIFS(F:F, "♢♢♢♢", E:E, E2), 0) - IF(E25="All", COUNTIFS(F:F, "♢♢♢♢", E:E, "All"), 0)))/100, 
   IF(F25="☆", ((N7 * 100) / (COUNTIFS(F:F, "☆", E:E, E25) + COUNTIFS(F:F, "☆", E:E, "All") + IF(E25="All", COUNTIFS(F:F, "☆", E:E, E2), 0) - IF(E25="All", COUNTIFS(F:F, "☆", E:E, "All"), 0)))/100, 
   IF(F25="☆☆", ((N8 * 100) / (COUNTIFS(F:F, "☆☆", E:E, E25) + COUNTIFS(F:F, "☆☆", E:E, "All") + IF(E25="All", COUNTIFS(F:F, "☆☆", E:E, E2), 0) - IF(E25="All", COUNTIFS(F:F, "☆☆", E:E, "All"), 0)))/100, 
   IF(F25="☆☆☆", ((N9 * 100) / (COUNTIFS(F:F, "☆☆☆", E:E, E25) + COUNTIFS(F:F, "☆☆☆", E:E, "All") + IF(E25="All", COUNTIFS(F:F, "☆☆☆", E:E, E2), 0) - IF(E25="All", COUNTIFS(F:F, "☆☆☆", E:E, "All"), 0)))/100, 
   IF(F25="♛", ((N10 * 100) / (COUNTIFS(F:F, "♛", E:E, E25) + COUNTIFS(F:F, "♛", E:E, "All") + IF(E25="All", COUNTIFS(F:F, "♛", E:E, E2), 0) - IF(E25="All", COUNTIFS(F:F, "♛", E:E, "All"), 0)))/100, "")))))))
</f>
        <v/>
      </c>
      <c r="J25" s="282"/>
      <c r="K25" s="311" t="s">
        <v>115</v>
      </c>
      <c r="L25" s="312" t="str">
        <f>IF(M24 = MAX(M24), K24, IF(#REF! = MAX(M24), #REF!, #REF!))</f>
        <v>A1a</v>
      </c>
      <c r="N25" s="172"/>
    </row>
    <row r="26">
      <c r="A26" s="275" t="b">
        <f t="shared" si="1"/>
        <v>0</v>
      </c>
      <c r="B26" s="276">
        <v>0.0</v>
      </c>
      <c r="C26" s="277" t="s">
        <v>712</v>
      </c>
      <c r="D26" s="277" t="s">
        <v>298</v>
      </c>
      <c r="E26" s="277" t="s">
        <v>34</v>
      </c>
      <c r="F26" s="278" t="s">
        <v>44</v>
      </c>
      <c r="G26" s="279">
        <f t="shared" si="2"/>
        <v>0.03125</v>
      </c>
      <c r="H26" s="280" t="str">
        <f>IF(F26="♢♢", ((M4 * 100) / (COUNTIFS(F:F, "♢♢", E:E, E26) + COUNTIFS(F:F, "♢♢", E:E, "All") + IF(E26="All", COUNTIFS(F:F, "♢♢", E:E, E2), 0) - IF(E26="All", COUNTIFS(F:F, "♢♢", E:E, "All"), 0)))/100, 
   IF(F26="♢♢♢", ((M5 * 100) / (COUNTIFS(F:F, "♢♢♢", E:E, E26) + COUNTIFS(F:F, "♢♢♢", E:E, "All") + IF(E26="All", COUNTIFS(F:F, "♢♢♢", E:E, E2), 0) - IF(E26="All", COUNTIFS(F:F, "♢♢♢", E:E, "All"), 0)))/100, 
   IF(F26="♢♢♢♢", ((M6 * 100) / (COUNTIFS(F:F, "♢♢♢♢", E:E, E26) + COUNTIFS(F:F, "♢♢♢♢", E:E, "All") + IF(E26="All", COUNTIFS(F:F, "♢♢♢♢", E:E, E2), 0) - IF(E26="All", COUNTIFS(F:F, "♢♢♢♢", E:E, "All"), 0)))/100, 
   IF(F26="☆", ((M7 * 100) / (COUNTIFS(F:F, "☆", E:E, E26) + COUNTIFS(F:F, "☆", E:E, "All") + IF(E26="All", COUNTIFS(F:F, "☆", E:E, E2), 0) - IF(E26="All", COUNTIFS(F:F, "☆", E:E, "All"), 0)))/100, 
   IF(F26="☆☆", ((M8 * 100) / (COUNTIFS(F:F, "☆☆", E:E, E26) + COUNTIFS(F:F, "☆☆", E:E, "All") + IF(E26="All", COUNTIFS(F:F, "☆☆", E:E, E2), 0) - IF(E26="All", COUNTIFS(F:F, "☆☆", E:E, "All"), 0)))/100, 
   IF(F26="☆☆☆", ((M9 * 100) / (COUNTIFS(F:F, "☆☆☆", E:E, E26) + COUNTIFS(F:F, "☆☆☆", E:E, "All") + IF(E26="All", COUNTIFS(F:F, "☆☆☆", E:E, E2), 0) - IF(E26="All", COUNTIFS(F:F, "☆☆☆", E:E, "All"), 0)))/100, 
   IF(F26="♛", ((M10 * 100) / (COUNTIFS(F:F, "♛", E:E, E26) + COUNTIFS(F:F, "♛", E:E, "All") + IF(E26="All", COUNTIFS(F:F, "♛", E:E, E2), 0) - IF(E26="All", COUNTIFS(F:F, "♛", E:E, "All"), 0)))/100, "")))))))
</f>
        <v/>
      </c>
      <c r="I26" s="281" t="str">
        <f>IF(F26="♢♢", ((N4 * 100) / (COUNTIFS(F:F, "♢♢", E:E, E26) + COUNTIFS(F:F, "♢♢", E:E, "All") + IF(E26="All", COUNTIFS(F:F, "♢♢", E:E, E2), 0) - IF(E26="All", COUNTIFS(F:F, "♢♢", E:E, "All"), 0)))/100, 
   IF(F26="♢♢♢", ((N5 * 100) / (COUNTIFS(F:F, "♢♢♢", E:E, E26) + COUNTIFS(F:F, "♢♢♢", E:E, "All") + IF(E26="All", COUNTIFS(F:F, "♢♢♢", E:E, E2), 0) - IF(E26="All", COUNTIFS(F:F, "♢♢♢", E:E, "All"), 0)))/100, 
   IF(F26="♢♢♢♢", ((N6 * 100) / (COUNTIFS(F:F, "♢♢♢♢", E:E, E26) + COUNTIFS(F:F, "♢♢♢♢", E:E, "All") + IF(E26="All", COUNTIFS(F:F, "♢♢♢♢", E:E, E2), 0) - IF(E26="All", COUNTIFS(F:F, "♢♢♢♢", E:E, "All"), 0)))/100, 
   IF(F26="☆", ((N7 * 100) / (COUNTIFS(F:F, "☆", E:E, E26) + COUNTIFS(F:F, "☆", E:E, "All") + IF(E26="All", COUNTIFS(F:F, "☆", E:E, E2), 0) - IF(E26="All", COUNTIFS(F:F, "☆", E:E, "All"), 0)))/100, 
   IF(F26="☆☆", ((N8 * 100) / (COUNTIFS(F:F, "☆☆", E:E, E26) + COUNTIFS(F:F, "☆☆", E:E, "All") + IF(E26="All", COUNTIFS(F:F, "☆☆", E:E, E2), 0) - IF(E26="All", COUNTIFS(F:F, "☆☆", E:E, "All"), 0)))/100, 
   IF(F26="☆☆☆", ((N9 * 100) / (COUNTIFS(F:F, "☆☆☆", E:E, E26) + COUNTIFS(F:F, "☆☆☆", E:E, "All") + IF(E26="All", COUNTIFS(F:F, "☆☆☆", E:E, E2), 0) - IF(E26="All", COUNTIFS(F:F, "☆☆☆", E:E, "All"), 0)))/100, 
   IF(F26="♛", ((N10 * 100) / (COUNTIFS(F:F, "♛", E:E, E26) + COUNTIFS(F:F, "♛", E:E, "All") + IF(E26="All", COUNTIFS(F:F, "♛", E:E, E2), 0) - IF(E26="All", COUNTIFS(F:F, "♛", E:E, "All"), 0)))/100, "")))))))
</f>
        <v/>
      </c>
      <c r="J26" s="282"/>
      <c r="K26" s="10"/>
      <c r="L26" s="10"/>
      <c r="M26" s="10"/>
      <c r="N26" s="195"/>
    </row>
    <row r="27">
      <c r="A27" s="275" t="b">
        <f t="shared" si="1"/>
        <v>0</v>
      </c>
      <c r="B27" s="276">
        <v>0.0</v>
      </c>
      <c r="C27" s="277" t="s">
        <v>713</v>
      </c>
      <c r="D27" s="277" t="s">
        <v>300</v>
      </c>
      <c r="E27" s="277" t="s">
        <v>34</v>
      </c>
      <c r="F27" s="277" t="s">
        <v>48</v>
      </c>
      <c r="G27" s="279" t="str">
        <f t="shared" si="2"/>
        <v/>
      </c>
      <c r="H27" s="280">
        <f>IF(F27="♢♢", ((M4 * 100) / (COUNTIFS(F:F, "♢♢", E:E, E27) + COUNTIFS(F:F, "♢♢", E:E, "All") + IF(E27="All", COUNTIFS(F:F, "♢♢", E:E, E2), 0) - IF(E27="All", COUNTIFS(F:F, "♢♢", E:E, "All"), 0)))/100, 
   IF(F27="♢♢♢", ((M5 * 100) / (COUNTIFS(F:F, "♢♢♢", E:E, E27) + COUNTIFS(F:F, "♢♢♢", E:E, "All") + IF(E27="All", COUNTIFS(F:F, "♢♢♢", E:E, E2), 0) - IF(E27="All", COUNTIFS(F:F, "♢♢♢", E:E, "All"), 0)))/100, 
   IF(F27="♢♢♢♢", ((M6 * 100) / (COUNTIFS(F:F, "♢♢♢♢", E:E, E27) + COUNTIFS(F:F, "♢♢♢♢", E:E, "All") + IF(E27="All", COUNTIFS(F:F, "♢♢♢♢", E:E, E2), 0) - IF(E27="All", COUNTIFS(F:F, "♢♢♢♢", E:E, "All"), 0)))/100, 
   IF(F27="☆", ((M7 * 100) / (COUNTIFS(F:F, "☆", E:E, E27) + COUNTIFS(F:F, "☆", E:E, "All") + IF(E27="All", COUNTIFS(F:F, "☆", E:E, E2), 0) - IF(E27="All", COUNTIFS(F:F, "☆", E:E, "All"), 0)))/100, 
   IF(F27="☆☆", ((M8 * 100) / (COUNTIFS(F:F, "☆☆", E:E, E27) + COUNTIFS(F:F, "☆☆", E:E, "All") + IF(E27="All", COUNTIFS(F:F, "☆☆", E:E, E2), 0) - IF(E27="All", COUNTIFS(F:F, "☆☆", E:E, "All"), 0)))/100, 
   IF(F27="☆☆☆", ((M9 * 100) / (COUNTIFS(F:F, "☆☆☆", E:E, E27) + COUNTIFS(F:F, "☆☆☆", E:E, "All") + IF(E27="All", COUNTIFS(F:F, "☆☆☆", E:E, E2), 0) - IF(E27="All", COUNTIFS(F:F, "☆☆☆", E:E, "All"), 0)))/100, 
   IF(F27="♛", ((M10 * 100) / (COUNTIFS(F:F, "♛", E:E, E27) + COUNTIFS(F:F, "♛", E:E, "All") + IF(E27="All", COUNTIFS(F:F, "♛", E:E, E2), 0) - IF(E27="All", COUNTIFS(F:F, "♛", E:E, "All"), 0)))/100, "")))))))
</f>
        <v>0.00625</v>
      </c>
      <c r="I27" s="281">
        <f>IF(F27="♢♢", ((N4 * 100) / (COUNTIFS(F:F, "♢♢", E:E, E27) + COUNTIFS(F:F, "♢♢", E:E, "All") + IF(E27="All", COUNTIFS(F:F, "♢♢", E:E, E2), 0) - IF(E27="All", COUNTIFS(F:F, "♢♢", E:E, "All"), 0)))/100, 
   IF(F27="♢♢♢", ((N5 * 100) / (COUNTIFS(F:F, "♢♢♢", E:E, E27) + COUNTIFS(F:F, "♢♢♢", E:E, "All") + IF(E27="All", COUNTIFS(F:F, "♢♢♢", E:E, E2), 0) - IF(E27="All", COUNTIFS(F:F, "♢♢♢", E:E, "All"), 0)))/100, 
   IF(F27="♢♢♢♢", ((N6 * 100) / (COUNTIFS(F:F, "♢♢♢♢", E:E, E27) + COUNTIFS(F:F, "♢♢♢♢", E:E, "All") + IF(E27="All", COUNTIFS(F:F, "♢♢♢♢", E:E, E2), 0) - IF(E27="All", COUNTIFS(F:F, "♢♢♢♢", E:E, "All"), 0)))/100, 
   IF(F27="☆", ((N7 * 100) / (COUNTIFS(F:F, "☆", E:E, E27) + COUNTIFS(F:F, "☆", E:E, "All") + IF(E27="All", COUNTIFS(F:F, "☆", E:E, E2), 0) - IF(E27="All", COUNTIFS(F:F, "☆", E:E, "All"), 0)))/100, 
   IF(F27="☆☆", ((N8 * 100) / (COUNTIFS(F:F, "☆☆", E:E, E27) + COUNTIFS(F:F, "☆☆", E:E, "All") + IF(E27="All", COUNTIFS(F:F, "☆☆", E:E, E2), 0) - IF(E27="All", COUNTIFS(F:F, "☆☆", E:E, "All"), 0)))/100, 
   IF(F27="☆☆☆", ((N9 * 100) / (COUNTIFS(F:F, "☆☆☆", E:E, E27) + COUNTIFS(F:F, "☆☆☆", E:E, "All") + IF(E27="All", COUNTIFS(F:F, "☆☆☆", E:E, E2), 0) - IF(E27="All", COUNTIFS(F:F, "☆☆☆", E:E, "All"), 0)))/100, 
   IF(F27="♛", ((N10 * 100) / (COUNTIFS(F:F, "♛", E:E, E27) + COUNTIFS(F:F, "♛", E:E, "All") + IF(E27="All", COUNTIFS(F:F, "♛", E:E, E2), 0) - IF(E27="All", COUNTIFS(F:F, "♛", E:E, "All"), 0)))/100, "")))))))
</f>
        <v>0.025</v>
      </c>
      <c r="J27" s="282"/>
      <c r="K27" s="313" t="s">
        <v>155</v>
      </c>
      <c r="N27" s="172"/>
    </row>
    <row r="28">
      <c r="A28" s="275" t="b">
        <f t="shared" si="1"/>
        <v>0</v>
      </c>
      <c r="B28" s="276">
        <v>0.0</v>
      </c>
      <c r="C28" s="277" t="s">
        <v>714</v>
      </c>
      <c r="D28" s="277" t="s">
        <v>313</v>
      </c>
      <c r="E28" s="277" t="s">
        <v>34</v>
      </c>
      <c r="F28" s="277" t="s">
        <v>46</v>
      </c>
      <c r="G28" s="279" t="str">
        <f t="shared" si="2"/>
        <v/>
      </c>
      <c r="H28" s="280">
        <f>IF(F28="♢♢", ((M4 * 100) / (COUNTIFS(F:F, "♢♢", E:E, E28) + COUNTIFS(F:F, "♢♢", E:E, "All") + IF(E28="All", COUNTIFS(F:F, "♢♢", E:E, E2), 0) - IF(E28="All", COUNTIFS(F:F, "♢♢", E:E, "All"), 0)))/100, 
   IF(F28="♢♢♢", ((M5 * 100) / (COUNTIFS(F:F, "♢♢♢", E:E, E28) + COUNTIFS(F:F, "♢♢♢", E:E, "All") + IF(E28="All", COUNTIFS(F:F, "♢♢♢", E:E, E2), 0) - IF(E28="All", COUNTIFS(F:F, "♢♢♢", E:E, "All"), 0)))/100, 
   IF(F28="♢♢♢♢", ((M6 * 100) / (COUNTIFS(F:F, "♢♢♢♢", E:E, E28) + COUNTIFS(F:F, "♢♢♢♢", E:E, "All") + IF(E28="All", COUNTIFS(F:F, "♢♢♢♢", E:E, E2), 0) - IF(E28="All", COUNTIFS(F:F, "♢♢♢♢", E:E, "All"), 0)))/100, 
   IF(F28="☆", ((M7 * 100) / (COUNTIFS(F:F, "☆", E:E, E28) + COUNTIFS(F:F, "☆", E:E, "All") + IF(E28="All", COUNTIFS(F:F, "☆", E:E, E2), 0) - IF(E28="All", COUNTIFS(F:F, "☆", E:E, "All"), 0)))/100, 
   IF(F28="☆☆", ((M8 * 100) / (COUNTIFS(F:F, "☆☆", E:E, E28) + COUNTIFS(F:F, "☆☆", E:E, "All") + IF(E28="All", COUNTIFS(F:F, "☆☆", E:E, E2), 0) - IF(E28="All", COUNTIFS(F:F, "☆☆", E:E, "All"), 0)))/100, 
   IF(F28="☆☆☆", ((M9 * 100) / (COUNTIFS(F:F, "☆☆☆", E:E, E28) + COUNTIFS(F:F, "☆☆☆", E:E, "All") + IF(E28="All", COUNTIFS(F:F, "☆☆☆", E:E, E2), 0) - IF(E28="All", COUNTIFS(F:F, "☆☆☆", E:E, "All"), 0)))/100, 
   IF(F28="♛", ((M10 * 100) / (COUNTIFS(F:F, "♛", E:E, E28) + COUNTIFS(F:F, "♛", E:E, "All") + IF(E28="All", COUNTIFS(F:F, "♛", E:E, E2), 0) - IF(E28="All", COUNTIFS(F:F, "♛", E:E, "All"), 0)))/100, "")))))))
</f>
        <v>0.03913043478</v>
      </c>
      <c r="I28" s="281">
        <f>IF(F28="♢♢", ((N4 * 100) / (COUNTIFS(F:F, "♢♢", E:E, E28) + COUNTIFS(F:F, "♢♢", E:E, "All") + IF(E28="All", COUNTIFS(F:F, "♢♢", E:E, E2), 0) - IF(E28="All", COUNTIFS(F:F, "♢♢", E:E, "All"), 0)))/100, 
   IF(F28="♢♢♢", ((N5 * 100) / (COUNTIFS(F:F, "♢♢♢", E:E, E28) + COUNTIFS(F:F, "♢♢♢", E:E, "All") + IF(E28="All", COUNTIFS(F:F, "♢♢♢", E:E, E2), 0) - IF(E28="All", COUNTIFS(F:F, "♢♢♢", E:E, "All"), 0)))/100, 
   IF(F28="♢♢♢♢", ((N6 * 100) / (COUNTIFS(F:F, "♢♢♢♢", E:E, E28) + COUNTIFS(F:F, "♢♢♢♢", E:E, "All") + IF(E28="All", COUNTIFS(F:F, "♢♢♢♢", E:E, E2), 0) - IF(E28="All", COUNTIFS(F:F, "♢♢♢♢", E:E, "All"), 0)))/100, 
   IF(F28="☆", ((N7 * 100) / (COUNTIFS(F:F, "☆", E:E, E28) + COUNTIFS(F:F, "☆", E:E, "All") + IF(E28="All", COUNTIFS(F:F, "☆", E:E, E2), 0) - IF(E28="All", COUNTIFS(F:F, "☆", E:E, "All"), 0)))/100, 
   IF(F28="☆☆", ((N8 * 100) / (COUNTIFS(F:F, "☆☆", E:E, E28) + COUNTIFS(F:F, "☆☆", E:E, "All") + IF(E28="All", COUNTIFS(F:F, "☆☆", E:E, E2), 0) - IF(E28="All", COUNTIFS(F:F, "☆☆", E:E, "All"), 0)))/100, 
   IF(F28="☆☆☆", ((N9 * 100) / (COUNTIFS(F:F, "☆☆☆", E:E, E28) + COUNTIFS(F:F, "☆☆☆", E:E, "All") + IF(E28="All", COUNTIFS(F:F, "☆☆☆", E:E, E2), 0) - IF(E28="All", COUNTIFS(F:F, "☆☆☆", E:E, "All"), 0)))/100, 
   IF(F28="♛", ((N10 * 100) / (COUNTIFS(F:F, "♛", E:E, E28) + COUNTIFS(F:F, "♛", E:E, "All") + IF(E28="All", COUNTIFS(F:F, "♛", E:E, E2), 0) - IF(E28="All", COUNTIFS(F:F, "♛", E:E, "All"), 0)))/100, "")))))))
</f>
        <v>0.02608695652</v>
      </c>
      <c r="J28" s="282"/>
      <c r="K28" s="293" t="s">
        <v>103</v>
      </c>
      <c r="L28" s="278" t="s">
        <v>67</v>
      </c>
      <c r="M28" s="278" t="s">
        <v>68</v>
      </c>
      <c r="N28" s="305" t="s">
        <v>69</v>
      </c>
    </row>
    <row r="29">
      <c r="A29" s="275" t="b">
        <f t="shared" si="1"/>
        <v>0</v>
      </c>
      <c r="B29" s="276">
        <v>0.0</v>
      </c>
      <c r="C29" s="277" t="s">
        <v>715</v>
      </c>
      <c r="D29" s="277" t="s">
        <v>716</v>
      </c>
      <c r="E29" s="277" t="s">
        <v>34</v>
      </c>
      <c r="F29" s="277" t="s">
        <v>44</v>
      </c>
      <c r="G29" s="279">
        <f t="shared" si="2"/>
        <v>0.03125</v>
      </c>
      <c r="H29" s="280" t="str">
        <f>IF(F29="♢♢", ((M4 * 100) / (COUNTIFS(F:F, "♢♢", E:E, E29) + COUNTIFS(F:F, "♢♢", E:E, "All") + IF(E29="All", COUNTIFS(F:F, "♢♢", E:E, E2), 0) - IF(E29="All", COUNTIFS(F:F, "♢♢", E:E, "All"), 0)))/100, 
   IF(F29="♢♢♢", ((M5 * 100) / (COUNTIFS(F:F, "♢♢♢", E:E, E29) + COUNTIFS(F:F, "♢♢♢", E:E, "All") + IF(E29="All", COUNTIFS(F:F, "♢♢♢", E:E, E2), 0) - IF(E29="All", COUNTIFS(F:F, "♢♢♢", E:E, "All"), 0)))/100, 
   IF(F29="♢♢♢♢", ((M6 * 100) / (COUNTIFS(F:F, "♢♢♢♢", E:E, E29) + COUNTIFS(F:F, "♢♢♢♢", E:E, "All") + IF(E29="All", COUNTIFS(F:F, "♢♢♢♢", E:E, E2), 0) - IF(E29="All", COUNTIFS(F:F, "♢♢♢♢", E:E, "All"), 0)))/100, 
   IF(F29="☆", ((M7 * 100) / (COUNTIFS(F:F, "☆", E:E, E29) + COUNTIFS(F:F, "☆", E:E, "All") + IF(E29="All", COUNTIFS(F:F, "☆", E:E, E2), 0) - IF(E29="All", COUNTIFS(F:F, "☆", E:E, "All"), 0)))/100, 
   IF(F29="☆☆", ((M8 * 100) / (COUNTIFS(F:F, "☆☆", E:E, E29) + COUNTIFS(F:F, "☆☆", E:E, "All") + IF(E29="All", COUNTIFS(F:F, "☆☆", E:E, E2), 0) - IF(E29="All", COUNTIFS(F:F, "☆☆", E:E, "All"), 0)))/100, 
   IF(F29="☆☆☆", ((M9 * 100) / (COUNTIFS(F:F, "☆☆☆", E:E, E29) + COUNTIFS(F:F, "☆☆☆", E:E, "All") + IF(E29="All", COUNTIFS(F:F, "☆☆☆", E:E, E2), 0) - IF(E29="All", COUNTIFS(F:F, "☆☆☆", E:E, "All"), 0)))/100, 
   IF(F29="♛", ((M10 * 100) / (COUNTIFS(F:F, "♛", E:E, E29) + COUNTIFS(F:F, "♛", E:E, "All") + IF(E29="All", COUNTIFS(F:F, "♛", E:E, E2), 0) - IF(E29="All", COUNTIFS(F:F, "♛", E:E, "All"), 0)))/100, "")))))))
</f>
        <v/>
      </c>
      <c r="I29" s="281" t="str">
        <f>IF(F29="♢♢", ((N4 * 100) / (COUNTIFS(F:F, "♢♢", E:E, E29) + COUNTIFS(F:F, "♢♢", E:E, "All") + IF(E29="All", COUNTIFS(F:F, "♢♢", E:E, E2), 0) - IF(E29="All", COUNTIFS(F:F, "♢♢", E:E, "All"), 0)))/100, 
   IF(F29="♢♢♢", ((N5 * 100) / (COUNTIFS(F:F, "♢♢♢", E:E, E29) + COUNTIFS(F:F, "♢♢♢", E:E, "All") + IF(E29="All", COUNTIFS(F:F, "♢♢♢", E:E, E2), 0) - IF(E29="All", COUNTIFS(F:F, "♢♢♢", E:E, "All"), 0)))/100, 
   IF(F29="♢♢♢♢", ((N6 * 100) / (COUNTIFS(F:F, "♢♢♢♢", E:E, E29) + COUNTIFS(F:F, "♢♢♢♢", E:E, "All") + IF(E29="All", COUNTIFS(F:F, "♢♢♢♢", E:E, E2), 0) - IF(E29="All", COUNTIFS(F:F, "♢♢♢♢", E:E, "All"), 0)))/100, 
   IF(F29="☆", ((N7 * 100) / (COUNTIFS(F:F, "☆", E:E, E29) + COUNTIFS(F:F, "☆", E:E, "All") + IF(E29="All", COUNTIFS(F:F, "☆", E:E, E2), 0) - IF(E29="All", COUNTIFS(F:F, "☆", E:E, "All"), 0)))/100, 
   IF(F29="☆☆", ((N8 * 100) / (COUNTIFS(F:F, "☆☆", E:E, E29) + COUNTIFS(F:F, "☆☆", E:E, "All") + IF(E29="All", COUNTIFS(F:F, "☆☆", E:E, E2), 0) - IF(E29="All", COUNTIFS(F:F, "☆☆", E:E, "All"), 0)))/100, 
   IF(F29="☆☆☆", ((N9 * 100) / (COUNTIFS(F:F, "☆☆☆", E:E, E29) + COUNTIFS(F:F, "☆☆☆", E:E, "All") + IF(E29="All", COUNTIFS(F:F, "☆☆☆", E:E, E2), 0) - IF(E29="All", COUNTIFS(F:F, "☆☆☆", E:E, "All"), 0)))/100, 
   IF(F29="♛", ((N10 * 100) / (COUNTIFS(F:F, "♛", E:E, E29) + COUNTIFS(F:F, "♛", E:E, "All") + IF(E29="All", COUNTIFS(F:F, "♛", E:E, E2), 0) - IF(E29="All", COUNTIFS(F:F, "♛", E:E, "All"), 0)))/100, "")))))))
</f>
        <v/>
      </c>
      <c r="J29" s="282"/>
      <c r="K29" s="299" t="s">
        <v>34</v>
      </c>
      <c r="L29" s="314">
        <f>IFERROR(
  (
    SUMIFS(G:G, A:A, FALSE, F:F, "♢", E:E, K29) * K18 +
    SUMIFS(G:G, A:A, FALSE, F:F, "♢♢", E:E, K29) * K19 +
    SUMIFS(G:G, A:A, FALSE, F:F, "♢♢♢", E:E, K29) * K20 +
    SUMIFS(G:G, A:A, FALSE, F:F, "♢♢♢♢", E:E, K29) * K21 +
    SUMIFS(G:G, A:A, FALSE, F:F, "☆", E:E, K29) * M18 +
    SUMIFS(G:G, A:A, FALSE, F:F, "☆☆", E:E, K29) * M19 +
    SUMIFS(G:G, A:A, FALSE, F:F, "☆☆☆", E:E, K29) * M20 +
    SUMIFS(G:G, A:A, FALSE, F:F, "♛", E:E, K29) * M21
  ),
  0
)
</f>
        <v>1</v>
      </c>
      <c r="M29" s="314">
        <f>IFERROR(
  (
    SUMIFS(H:H, A:A, FALSE, F:F, "♢", E:E, K29) * K18 +
    SUMIFS(H:H, A:A, FALSE, F:F, "♢♢", E:E, K29) * K19 +
    SUMIFS(H:H, A:A, FALSE, F:F, "♢♢♢", E:E, K29) * K20 +
    SUMIFS(H:H, A:A, FALSE, F:F, "♢♢♢♢", E:E, K29) * K21 +
    SUMIFS(H:H, A:A, FALSE, F:F, "☆", E:E, K29) * M18 +
    SUMIFS(H:H, A:A, FALSE, F:F, "☆☆", E:E, K29) * M19 +
    SUMIFS(H:H, A:A, FALSE, F:F, "☆☆☆", E:E, K29) * M20 +
    SUMIFS(H:H, A:A, FALSE, F:F, "♛", E:E, K29) * M21
  ),
  0
)
</f>
        <v>1</v>
      </c>
      <c r="N29" s="315">
        <f>IFERROR(
  (
    SUMIFS(I:I, A:A, FALSE, F:F, "♢", E:E, K29) * K18 +
    SUMIFS(I:I, A:A, FALSE, F:F, "♢♢", E:E, K29) * K19 +
    SUMIFS(I:I, A:A, FALSE, F:F, "♢♢♢", E:E, K29) * K20 +
    SUMIFS(I:I, A:A, FALSE, F:F, "♢♢♢♢", E:E, K29) * K21 +
    SUMIFS(I:I, A:A, FALSE, F:F, "☆", E:E, K29) * M18 +
    SUMIFS(I:I, A:A, FALSE, F:F, "☆☆", E:E, K29) * M19 +
    SUMIFS(I:I, A:A, FALSE, F:F, "☆☆☆", E:E, K29) * M20 +
    SUMIFS(I:I, A:A, FALSE, F:F, "♛", E:E, K29) * M21
  ),
  0
)
</f>
        <v>1</v>
      </c>
    </row>
    <row r="30">
      <c r="A30" s="275" t="b">
        <f t="shared" si="1"/>
        <v>0</v>
      </c>
      <c r="B30" s="276">
        <v>0.0</v>
      </c>
      <c r="C30" s="277" t="s">
        <v>717</v>
      </c>
      <c r="D30" s="277" t="s">
        <v>718</v>
      </c>
      <c r="E30" s="277" t="s">
        <v>34</v>
      </c>
      <c r="F30" s="278" t="s">
        <v>46</v>
      </c>
      <c r="G30" s="279" t="str">
        <f t="shared" si="2"/>
        <v/>
      </c>
      <c r="H30" s="280">
        <f>IF(F30="♢♢", ((M4 * 100) / (COUNTIFS(F:F, "♢♢", E:E, E30) + COUNTIFS(F:F, "♢♢", E:E, "All") + IF(E30="All", COUNTIFS(F:F, "♢♢", E:E, E2), 0) - IF(E30="All", COUNTIFS(F:F, "♢♢", E:E, "All"), 0)))/100, 
   IF(F30="♢♢♢", ((M5 * 100) / (COUNTIFS(F:F, "♢♢♢", E:E, E30) + COUNTIFS(F:F, "♢♢♢", E:E, "All") + IF(E30="All", COUNTIFS(F:F, "♢♢♢", E:E, E2), 0) - IF(E30="All", COUNTIFS(F:F, "♢♢♢", E:E, "All"), 0)))/100, 
   IF(F30="♢♢♢♢", ((M6 * 100) / (COUNTIFS(F:F, "♢♢♢♢", E:E, E30) + COUNTIFS(F:F, "♢♢♢♢", E:E, "All") + IF(E30="All", COUNTIFS(F:F, "♢♢♢♢", E:E, E2), 0) - IF(E30="All", COUNTIFS(F:F, "♢♢♢♢", E:E, "All"), 0)))/100, 
   IF(F30="☆", ((M7 * 100) / (COUNTIFS(F:F, "☆", E:E, E30) + COUNTIFS(F:F, "☆", E:E, "All") + IF(E30="All", COUNTIFS(F:F, "☆", E:E, E2), 0) - IF(E30="All", COUNTIFS(F:F, "☆", E:E, "All"), 0)))/100, 
   IF(F30="☆☆", ((M8 * 100) / (COUNTIFS(F:F, "☆☆", E:E, E30) + COUNTIFS(F:F, "☆☆", E:E, "All") + IF(E30="All", COUNTIFS(F:F, "☆☆", E:E, E2), 0) - IF(E30="All", COUNTIFS(F:F, "☆☆", E:E, "All"), 0)))/100, 
   IF(F30="☆☆☆", ((M9 * 100) / (COUNTIFS(F:F, "☆☆☆", E:E, E30) + COUNTIFS(F:F, "☆☆☆", E:E, "All") + IF(E30="All", COUNTIFS(F:F, "☆☆☆", E:E, E2), 0) - IF(E30="All", COUNTIFS(F:F, "☆☆☆", E:E, "All"), 0)))/100, 
   IF(F30="♛", ((M10 * 100) / (COUNTIFS(F:F, "♛", E:E, E30) + COUNTIFS(F:F, "♛", E:E, "All") + IF(E30="All", COUNTIFS(F:F, "♛", E:E, E2), 0) - IF(E30="All", COUNTIFS(F:F, "♛", E:E, "All"), 0)))/100, "")))))))
</f>
        <v>0.03913043478</v>
      </c>
      <c r="I30" s="281">
        <f>IF(F30="♢♢", ((N4 * 100) / (COUNTIFS(F:F, "♢♢", E:E, E30) + COUNTIFS(F:F, "♢♢", E:E, "All") + IF(E30="All", COUNTIFS(F:F, "♢♢", E:E, E2), 0) - IF(E30="All", COUNTIFS(F:F, "♢♢", E:E, "All"), 0)))/100, 
   IF(F30="♢♢♢", ((N5 * 100) / (COUNTIFS(F:F, "♢♢♢", E:E, E30) + COUNTIFS(F:F, "♢♢♢", E:E, "All") + IF(E30="All", COUNTIFS(F:F, "♢♢♢", E:E, E2), 0) - IF(E30="All", COUNTIFS(F:F, "♢♢♢", E:E, "All"), 0)))/100, 
   IF(F30="♢♢♢♢", ((N6 * 100) / (COUNTIFS(F:F, "♢♢♢♢", E:E, E30) + COUNTIFS(F:F, "♢♢♢♢", E:E, "All") + IF(E30="All", COUNTIFS(F:F, "♢♢♢♢", E:E, E2), 0) - IF(E30="All", COUNTIFS(F:F, "♢♢♢♢", E:E, "All"), 0)))/100, 
   IF(F30="☆", ((N7 * 100) / (COUNTIFS(F:F, "☆", E:E, E30) + COUNTIFS(F:F, "☆", E:E, "All") + IF(E30="All", COUNTIFS(F:F, "☆", E:E, E2), 0) - IF(E30="All", COUNTIFS(F:F, "☆", E:E, "All"), 0)))/100, 
   IF(F30="☆☆", ((N8 * 100) / (COUNTIFS(F:F, "☆☆", E:E, E30) + COUNTIFS(F:F, "☆☆", E:E, "All") + IF(E30="All", COUNTIFS(F:F, "☆☆", E:E, E2), 0) - IF(E30="All", COUNTIFS(F:F, "☆☆", E:E, "All"), 0)))/100, 
   IF(F30="☆☆☆", ((N9 * 100) / (COUNTIFS(F:F, "☆☆☆", E:E, E30) + COUNTIFS(F:F, "☆☆☆", E:E, "All") + IF(E30="All", COUNTIFS(F:F, "☆☆☆", E:E, E2), 0) - IF(E30="All", COUNTIFS(F:F, "☆☆☆", E:E, "All"), 0)))/100, 
   IF(F30="♛", ((N10 * 100) / (COUNTIFS(F:F, "♛", E:E, E30) + COUNTIFS(F:F, "♛", E:E, "All") + IF(E30="All", COUNTIFS(F:F, "♛", E:E, E2), 0) - IF(E30="All", COUNTIFS(F:F, "♛", E:E, "All"), 0)))/100, "")))))))
</f>
        <v>0.02608695652</v>
      </c>
      <c r="J30" s="282"/>
      <c r="K30" s="316" t="s">
        <v>167</v>
      </c>
      <c r="L30" s="317" t="str">
        <f>IF(L29 = MAX(L29), K29, IF(#REF! = MAX(L29), #REF!, #REF!))</f>
        <v>A1a</v>
      </c>
      <c r="M30" s="317" t="str">
        <f>IF(M29 = MAX(M29), K29, IF(#REF! = MAX(M29), #REF!, #REF!))</f>
        <v>A1a</v>
      </c>
      <c r="N30" s="318" t="str">
        <f>IF(N29 = MAX(N29), K29, IF(#REF! = MAX(N29), #REF!, #REF!))</f>
        <v>A1a</v>
      </c>
    </row>
    <row r="31">
      <c r="A31" s="275" t="b">
        <f t="shared" si="1"/>
        <v>0</v>
      </c>
      <c r="B31" s="276">
        <v>0.0</v>
      </c>
      <c r="C31" s="277" t="s">
        <v>719</v>
      </c>
      <c r="D31" s="277" t="s">
        <v>720</v>
      </c>
      <c r="E31" s="277" t="s">
        <v>34</v>
      </c>
      <c r="F31" s="278" t="s">
        <v>44</v>
      </c>
      <c r="G31" s="279">
        <f t="shared" si="2"/>
        <v>0.03125</v>
      </c>
      <c r="H31" s="280" t="str">
        <f>IF(F31="♢♢", ((M4 * 100) / (COUNTIFS(F:F, "♢♢", E:E, E31) + COUNTIFS(F:F, "♢♢", E:E, "All") + IF(E31="All", COUNTIFS(F:F, "♢♢", E:E, E2), 0) - IF(E31="All", COUNTIFS(F:F, "♢♢", E:E, "All"), 0)))/100, 
   IF(F31="♢♢♢", ((M5 * 100) / (COUNTIFS(F:F, "♢♢♢", E:E, E31) + COUNTIFS(F:F, "♢♢♢", E:E, "All") + IF(E31="All", COUNTIFS(F:F, "♢♢♢", E:E, E2), 0) - IF(E31="All", COUNTIFS(F:F, "♢♢♢", E:E, "All"), 0)))/100, 
   IF(F31="♢♢♢♢", ((M6 * 100) / (COUNTIFS(F:F, "♢♢♢♢", E:E, E31) + COUNTIFS(F:F, "♢♢♢♢", E:E, "All") + IF(E31="All", COUNTIFS(F:F, "♢♢♢♢", E:E, E2), 0) - IF(E31="All", COUNTIFS(F:F, "♢♢♢♢", E:E, "All"), 0)))/100, 
   IF(F31="☆", ((M7 * 100) / (COUNTIFS(F:F, "☆", E:E, E31) + COUNTIFS(F:F, "☆", E:E, "All") + IF(E31="All", COUNTIFS(F:F, "☆", E:E, E2), 0) - IF(E31="All", COUNTIFS(F:F, "☆", E:E, "All"), 0)))/100, 
   IF(F31="☆☆", ((M8 * 100) / (COUNTIFS(F:F, "☆☆", E:E, E31) + COUNTIFS(F:F, "☆☆", E:E, "All") + IF(E31="All", COUNTIFS(F:F, "☆☆", E:E, E2), 0) - IF(E31="All", COUNTIFS(F:F, "☆☆", E:E, "All"), 0)))/100, 
   IF(F31="☆☆☆", ((M9 * 100) / (COUNTIFS(F:F, "☆☆☆", E:E, E31) + COUNTIFS(F:F, "☆☆☆", E:E, "All") + IF(E31="All", COUNTIFS(F:F, "☆☆☆", E:E, E2), 0) - IF(E31="All", COUNTIFS(F:F, "☆☆☆", E:E, "All"), 0)))/100, 
   IF(F31="♛", ((M10 * 100) / (COUNTIFS(F:F, "♛", E:E, E31) + COUNTIFS(F:F, "♛", E:E, "All") + IF(E31="All", COUNTIFS(F:F, "♛", E:E, E2), 0) - IF(E31="All", COUNTIFS(F:F, "♛", E:E, "All"), 0)))/100, "")))))))
</f>
        <v/>
      </c>
      <c r="I31" s="281" t="str">
        <f>IF(F31="♢♢", ((N4 * 100) / (COUNTIFS(F:F, "♢♢", E:E, E31) + COUNTIFS(F:F, "♢♢", E:E, "All") + IF(E31="All", COUNTIFS(F:F, "♢♢", E:E, E2), 0) - IF(E31="All", COUNTIFS(F:F, "♢♢", E:E, "All"), 0)))/100, 
   IF(F31="♢♢♢", ((N5 * 100) / (COUNTIFS(F:F, "♢♢♢", E:E, E31) + COUNTIFS(F:F, "♢♢♢", E:E, "All") + IF(E31="All", COUNTIFS(F:F, "♢♢♢", E:E, E2), 0) - IF(E31="All", COUNTIFS(F:F, "♢♢♢", E:E, "All"), 0)))/100, 
   IF(F31="♢♢♢♢", ((N6 * 100) / (COUNTIFS(F:F, "♢♢♢♢", E:E, E31) + COUNTIFS(F:F, "♢♢♢♢", E:E, "All") + IF(E31="All", COUNTIFS(F:F, "♢♢♢♢", E:E, E2), 0) - IF(E31="All", COUNTIFS(F:F, "♢♢♢♢", E:E, "All"), 0)))/100, 
   IF(F31="☆", ((N7 * 100) / (COUNTIFS(F:F, "☆", E:E, E31) + COUNTIFS(F:F, "☆", E:E, "All") + IF(E31="All", COUNTIFS(F:F, "☆", E:E, E2), 0) - IF(E31="All", COUNTIFS(F:F, "☆", E:E, "All"), 0)))/100, 
   IF(F31="☆☆", ((N8 * 100) / (COUNTIFS(F:F, "☆☆", E:E, E31) + COUNTIFS(F:F, "☆☆", E:E, "All") + IF(E31="All", COUNTIFS(F:F, "☆☆", E:E, E2), 0) - IF(E31="All", COUNTIFS(F:F, "☆☆", E:E, "All"), 0)))/100, 
   IF(F31="☆☆☆", ((N9 * 100) / (COUNTIFS(F:F, "☆☆☆", E:E, E31) + COUNTIFS(F:F, "☆☆☆", E:E, "All") + IF(E31="All", COUNTIFS(F:F, "☆☆☆", E:E, E2), 0) - IF(E31="All", COUNTIFS(F:F, "☆☆☆", E:E, "All"), 0)))/100, 
   IF(F31="♛", ((N10 * 100) / (COUNTIFS(F:F, "♛", E:E, E31) + COUNTIFS(F:F, "♛", E:E, "All") + IF(E31="All", COUNTIFS(F:F, "♛", E:E, E2), 0) - IF(E31="All", COUNTIFS(F:F, "♛", E:E, "All"), 0)))/100, "")))))))
</f>
        <v/>
      </c>
      <c r="J31" s="282"/>
      <c r="K31" s="10"/>
      <c r="L31" s="10"/>
      <c r="M31" s="10"/>
      <c r="N31" s="195"/>
    </row>
    <row r="32">
      <c r="A32" s="275" t="b">
        <f t="shared" si="1"/>
        <v>0</v>
      </c>
      <c r="B32" s="276">
        <v>0.0</v>
      </c>
      <c r="C32" s="277" t="s">
        <v>721</v>
      </c>
      <c r="D32" s="277" t="s">
        <v>660</v>
      </c>
      <c r="E32" s="277" t="s">
        <v>34</v>
      </c>
      <c r="F32" s="277" t="s">
        <v>48</v>
      </c>
      <c r="G32" s="279" t="str">
        <f t="shared" si="2"/>
        <v/>
      </c>
      <c r="H32" s="280">
        <f>IF(F32="♢♢", ((M4 * 100) / (COUNTIFS(F:F, "♢♢", E:E, E32) + COUNTIFS(F:F, "♢♢", E:E, "All") + IF(E32="All", COUNTIFS(F:F, "♢♢", E:E, E2), 0) - IF(E32="All", COUNTIFS(F:F, "♢♢", E:E, "All"), 0)))/100, 
   IF(F32="♢♢♢", ((M5 * 100) / (COUNTIFS(F:F, "♢♢♢", E:E, E32) + COUNTIFS(F:F, "♢♢♢", E:E, "All") + IF(E32="All", COUNTIFS(F:F, "♢♢♢", E:E, E2), 0) - IF(E32="All", COUNTIFS(F:F, "♢♢♢", E:E, "All"), 0)))/100, 
   IF(F32="♢♢♢♢", ((M6 * 100) / (COUNTIFS(F:F, "♢♢♢♢", E:E, E32) + COUNTIFS(F:F, "♢♢♢♢", E:E, "All") + IF(E32="All", COUNTIFS(F:F, "♢♢♢♢", E:E, E2), 0) - IF(E32="All", COUNTIFS(F:F, "♢♢♢♢", E:E, "All"), 0)))/100, 
   IF(F32="☆", ((M7 * 100) / (COUNTIFS(F:F, "☆", E:E, E32) + COUNTIFS(F:F, "☆", E:E, "All") + IF(E32="All", COUNTIFS(F:F, "☆", E:E, E2), 0) - IF(E32="All", COUNTIFS(F:F, "☆", E:E, "All"), 0)))/100, 
   IF(F32="☆☆", ((M8 * 100) / (COUNTIFS(F:F, "☆☆", E:E, E32) + COUNTIFS(F:F, "☆☆", E:E, "All") + IF(E32="All", COUNTIFS(F:F, "☆☆", E:E, E2), 0) - IF(E32="All", COUNTIFS(F:F, "☆☆", E:E, "All"), 0)))/100, 
   IF(F32="☆☆☆", ((M9 * 100) / (COUNTIFS(F:F, "☆☆☆", E:E, E32) + COUNTIFS(F:F, "☆☆☆", E:E, "All") + IF(E32="All", COUNTIFS(F:F, "☆☆☆", E:E, E2), 0) - IF(E32="All", COUNTIFS(F:F, "☆☆☆", E:E, "All"), 0)))/100, 
   IF(F32="♛", ((M10 * 100) / (COUNTIFS(F:F, "♛", E:E, E32) + COUNTIFS(F:F, "♛", E:E, "All") + IF(E32="All", COUNTIFS(F:F, "♛", E:E, E2), 0) - IF(E32="All", COUNTIFS(F:F, "♛", E:E, "All"), 0)))/100, "")))))))
</f>
        <v>0.00625</v>
      </c>
      <c r="I32" s="281">
        <f>IF(F32="♢♢", ((N4 * 100) / (COUNTIFS(F:F, "♢♢", E:E, E32) + COUNTIFS(F:F, "♢♢", E:E, "All") + IF(E32="All", COUNTIFS(F:F, "♢♢", E:E, E2), 0) - IF(E32="All", COUNTIFS(F:F, "♢♢", E:E, "All"), 0)))/100, 
   IF(F32="♢♢♢", ((N5 * 100) / (COUNTIFS(F:F, "♢♢♢", E:E, E32) + COUNTIFS(F:F, "♢♢♢", E:E, "All") + IF(E32="All", COUNTIFS(F:F, "♢♢♢", E:E, E2), 0) - IF(E32="All", COUNTIFS(F:F, "♢♢♢", E:E, "All"), 0)))/100, 
   IF(F32="♢♢♢♢", ((N6 * 100) / (COUNTIFS(F:F, "♢♢♢♢", E:E, E32) + COUNTIFS(F:F, "♢♢♢♢", E:E, "All") + IF(E32="All", COUNTIFS(F:F, "♢♢♢♢", E:E, E2), 0) - IF(E32="All", COUNTIFS(F:F, "♢♢♢♢", E:E, "All"), 0)))/100, 
   IF(F32="☆", ((N7 * 100) / (COUNTIFS(F:F, "☆", E:E, E32) + COUNTIFS(F:F, "☆", E:E, "All") + IF(E32="All", COUNTIFS(F:F, "☆", E:E, E2), 0) - IF(E32="All", COUNTIFS(F:F, "☆", E:E, "All"), 0)))/100, 
   IF(F32="☆☆", ((N8 * 100) / (COUNTIFS(F:F, "☆☆", E:E, E32) + COUNTIFS(F:F, "☆☆", E:E, "All") + IF(E32="All", COUNTIFS(F:F, "☆☆", E:E, E2), 0) - IF(E32="All", COUNTIFS(F:F, "☆☆", E:E, "All"), 0)))/100, 
   IF(F32="☆☆☆", ((N9 * 100) / (COUNTIFS(F:F, "☆☆☆", E:E, E32) + COUNTIFS(F:F, "☆☆☆", E:E, "All") + IF(E32="All", COUNTIFS(F:F, "☆☆☆", E:E, E2), 0) - IF(E32="All", COUNTIFS(F:F, "☆☆☆", E:E, "All"), 0)))/100, 
   IF(F32="♛", ((N10 * 100) / (COUNTIFS(F:F, "♛", E:E, E32) + COUNTIFS(F:F, "♛", E:E, "All") + IF(E32="All", COUNTIFS(F:F, "♛", E:E, E2), 0) - IF(E32="All", COUNTIFS(F:F, "♛", E:E, "All"), 0)))/100, "")))))))
</f>
        <v>0.025</v>
      </c>
      <c r="J32" s="282"/>
      <c r="K32" s="319" t="s">
        <v>722</v>
      </c>
      <c r="N32" s="172"/>
    </row>
    <row r="33">
      <c r="A33" s="275" t="b">
        <f t="shared" si="1"/>
        <v>0</v>
      </c>
      <c r="B33" s="276">
        <v>0.0</v>
      </c>
      <c r="C33" s="277" t="s">
        <v>723</v>
      </c>
      <c r="D33" s="277" t="s">
        <v>724</v>
      </c>
      <c r="E33" s="277" t="s">
        <v>34</v>
      </c>
      <c r="F33" s="277" t="s">
        <v>51</v>
      </c>
      <c r="G33" s="279" t="str">
        <f t="shared" si="2"/>
        <v/>
      </c>
      <c r="H33" s="280">
        <f>IF(F33="♢♢", ((M4 * 100) / (COUNTIFS(F:F, "♢♢", E:E, E33) + COUNTIFS(F:F, "♢♢", E:E, "All") + IF(E33="All", COUNTIFS(F:F, "♢♢", E:E, E2), 0) - IF(E33="All", COUNTIFS(F:F, "♢♢", E:E, "All"), 0)))/100, 
   IF(F33="♢♢♢", ((M5 * 100) / (COUNTIFS(F:F, "♢♢♢", E:E, E33) + COUNTIFS(F:F, "♢♢♢", E:E, "All") + IF(E33="All", COUNTIFS(F:F, "♢♢♢", E:E, E2), 0) - IF(E33="All", COUNTIFS(F:F, "♢♢♢", E:E, "All"), 0)))/100, 
   IF(F33="♢♢♢♢", ((M6 * 100) / (COUNTIFS(F:F, "♢♢♢♢", E:E, E33) + COUNTIFS(F:F, "♢♢♢♢", E:E, "All") + IF(E33="All", COUNTIFS(F:F, "♢♢♢♢", E:E, E2), 0) - IF(E33="All", COUNTIFS(F:F, "♢♢♢♢", E:E, "All"), 0)))/100, 
   IF(F33="☆", ((M7 * 100) / (COUNTIFS(F:F, "☆", E:E, E33) + COUNTIFS(F:F, "☆", E:E, "All") + IF(E33="All", COUNTIFS(F:F, "☆", E:E, E2), 0) - IF(E33="All", COUNTIFS(F:F, "☆", E:E, "All"), 0)))/100, 
   IF(F33="☆☆", ((M8 * 100) / (COUNTIFS(F:F, "☆☆", E:E, E33) + COUNTIFS(F:F, "☆☆", E:E, "All") + IF(E33="All", COUNTIFS(F:F, "☆☆", E:E, E2), 0) - IF(E33="All", COUNTIFS(F:F, "☆☆", E:E, "All"), 0)))/100, 
   IF(F33="☆☆☆", ((M9 * 100) / (COUNTIFS(F:F, "☆☆☆", E:E, E33) + COUNTIFS(F:F, "☆☆☆", E:E, "All") + IF(E33="All", COUNTIFS(F:F, "☆☆☆", E:E, E2), 0) - IF(E33="All", COUNTIFS(F:F, "☆☆☆", E:E, "All"), 0)))/100, 
   IF(F33="♛", ((M10 * 100) / (COUNTIFS(F:F, "♛", E:E, E33) + COUNTIFS(F:F, "♛", E:E, "All") + IF(E33="All", COUNTIFS(F:F, "♛", E:E, E2), 0) - IF(E33="All", COUNTIFS(F:F, "♛", E:E, "All"), 0)))/100, "")))))))
</f>
        <v>0.003332</v>
      </c>
      <c r="I33" s="281">
        <f>IF(F33="♢♢", ((N4 * 100) / (COUNTIFS(F:F, "♢♢", E:E, E33) + COUNTIFS(F:F, "♢♢", E:E, "All") + IF(E33="All", COUNTIFS(F:F, "♢♢", E:E, E2), 0) - IF(E33="All", COUNTIFS(F:F, "♢♢", E:E, "All"), 0)))/100, 
   IF(F33="♢♢♢", ((N5 * 100) / (COUNTIFS(F:F, "♢♢♢", E:E, E33) + COUNTIFS(F:F, "♢♢♢", E:E, "All") + IF(E33="All", COUNTIFS(F:F, "♢♢♢", E:E, E2), 0) - IF(E33="All", COUNTIFS(F:F, "♢♢♢", E:E, "All"), 0)))/100, 
   IF(F33="♢♢♢♢", ((N6 * 100) / (COUNTIFS(F:F, "♢♢♢♢", E:E, E33) + COUNTIFS(F:F, "♢♢♢♢", E:E, "All") + IF(E33="All", COUNTIFS(F:F, "♢♢♢♢", E:E, E2), 0) - IF(E33="All", COUNTIFS(F:F, "♢♢♢♢", E:E, "All"), 0)))/100, 
   IF(F33="☆", ((N7 * 100) / (COUNTIFS(F:F, "☆", E:E, E33) + COUNTIFS(F:F, "☆", E:E, "All") + IF(E33="All", COUNTIFS(F:F, "☆", E:E, E2), 0) - IF(E33="All", COUNTIFS(F:F, "☆", E:E, "All"), 0)))/100, 
   IF(F33="☆☆", ((N8 * 100) / (COUNTIFS(F:F, "☆☆", E:E, E33) + COUNTIFS(F:F, "☆☆", E:E, "All") + IF(E33="All", COUNTIFS(F:F, "☆☆", E:E, E2), 0) - IF(E33="All", COUNTIFS(F:F, "☆☆", E:E, "All"), 0)))/100, 
   IF(F33="☆☆☆", ((N9 * 100) / (COUNTIFS(F:F, "☆☆☆", E:E, E33) + COUNTIFS(F:F, "☆☆☆", E:E, "All") + IF(E33="All", COUNTIFS(F:F, "☆☆☆", E:E, E2), 0) - IF(E33="All", COUNTIFS(F:F, "☆☆☆", E:E, "All"), 0)))/100, 
   IF(F33="♛", ((N10 * 100) / (COUNTIFS(F:F, "♛", E:E, E33) + COUNTIFS(F:F, "♛", E:E, "All") + IF(E33="All", COUNTIFS(F:F, "♛", E:E, E2), 0) - IF(E33="All", COUNTIFS(F:F, "♛", E:E, "All"), 0)))/100, "")))))))
</f>
        <v>0.013328</v>
      </c>
      <c r="J33" s="282"/>
      <c r="K33" s="320" t="s">
        <v>34</v>
      </c>
      <c r="L33" s="321">
        <f>1-((1-L29)^3*(1-M29)*(1-N29))</f>
        <v>1</v>
      </c>
      <c r="M33" s="322" t="s">
        <v>176</v>
      </c>
      <c r="N33" s="172"/>
    </row>
    <row r="34">
      <c r="A34" s="275" t="b">
        <f t="shared" si="1"/>
        <v>0</v>
      </c>
      <c r="B34" s="276">
        <v>0.0</v>
      </c>
      <c r="C34" s="277" t="s">
        <v>725</v>
      </c>
      <c r="D34" s="277" t="s">
        <v>726</v>
      </c>
      <c r="E34" s="277" t="s">
        <v>34</v>
      </c>
      <c r="F34" s="278" t="s">
        <v>46</v>
      </c>
      <c r="G34" s="279" t="str">
        <f t="shared" si="2"/>
        <v/>
      </c>
      <c r="H34" s="280">
        <f>IF(F34="♢♢", ((M4 * 100) / (COUNTIFS(F:F, "♢♢", E:E, E34) + COUNTIFS(F:F, "♢♢", E:E, "All") + IF(E34="All", COUNTIFS(F:F, "♢♢", E:E, E2), 0) - IF(E34="All", COUNTIFS(F:F, "♢♢", E:E, "All"), 0)))/100, 
   IF(F34="♢♢♢", ((M5 * 100) / (COUNTIFS(F:F, "♢♢♢", E:E, E34) + COUNTIFS(F:F, "♢♢♢", E:E, "All") + IF(E34="All", COUNTIFS(F:F, "♢♢♢", E:E, E2), 0) - IF(E34="All", COUNTIFS(F:F, "♢♢♢", E:E, "All"), 0)))/100, 
   IF(F34="♢♢♢♢", ((M6 * 100) / (COUNTIFS(F:F, "♢♢♢♢", E:E, E34) + COUNTIFS(F:F, "♢♢♢♢", E:E, "All") + IF(E34="All", COUNTIFS(F:F, "♢♢♢♢", E:E, E2), 0) - IF(E34="All", COUNTIFS(F:F, "♢♢♢♢", E:E, "All"), 0)))/100, 
   IF(F34="☆", ((M7 * 100) / (COUNTIFS(F:F, "☆", E:E, E34) + COUNTIFS(F:F, "☆", E:E, "All") + IF(E34="All", COUNTIFS(F:F, "☆", E:E, E2), 0) - IF(E34="All", COUNTIFS(F:F, "☆", E:E, "All"), 0)))/100, 
   IF(F34="☆☆", ((M8 * 100) / (COUNTIFS(F:F, "☆☆", E:E, E34) + COUNTIFS(F:F, "☆☆", E:E, "All") + IF(E34="All", COUNTIFS(F:F, "☆☆", E:E, E2), 0) - IF(E34="All", COUNTIFS(F:F, "☆☆", E:E, "All"), 0)))/100, 
   IF(F34="☆☆☆", ((M9 * 100) / (COUNTIFS(F:F, "☆☆☆", E:E, E34) + COUNTIFS(F:F, "☆☆☆", E:E, "All") + IF(E34="All", COUNTIFS(F:F, "☆☆☆", E:E, E2), 0) - IF(E34="All", COUNTIFS(F:F, "☆☆☆", E:E, "All"), 0)))/100, 
   IF(F34="♛", ((M10 * 100) / (COUNTIFS(F:F, "♛", E:E, E34) + COUNTIFS(F:F, "♛", E:E, "All") + IF(E34="All", COUNTIFS(F:F, "♛", E:E, E2), 0) - IF(E34="All", COUNTIFS(F:F, "♛", E:E, "All"), 0)))/100, "")))))))
</f>
        <v>0.03913043478</v>
      </c>
      <c r="I34" s="281">
        <f>IF(F34="♢♢", ((N4 * 100) / (COUNTIFS(F:F, "♢♢", E:E, E34) + COUNTIFS(F:F, "♢♢", E:E, "All") + IF(E34="All", COUNTIFS(F:F, "♢♢", E:E, E2), 0) - IF(E34="All", COUNTIFS(F:F, "♢♢", E:E, "All"), 0)))/100, 
   IF(F34="♢♢♢", ((N5 * 100) / (COUNTIFS(F:F, "♢♢♢", E:E, E34) + COUNTIFS(F:F, "♢♢♢", E:E, "All") + IF(E34="All", COUNTIFS(F:F, "♢♢♢", E:E, E2), 0) - IF(E34="All", COUNTIFS(F:F, "♢♢♢", E:E, "All"), 0)))/100, 
   IF(F34="♢♢♢♢", ((N6 * 100) / (COUNTIFS(F:F, "♢♢♢♢", E:E, E34) + COUNTIFS(F:F, "♢♢♢♢", E:E, "All") + IF(E34="All", COUNTIFS(F:F, "♢♢♢♢", E:E, E2), 0) - IF(E34="All", COUNTIFS(F:F, "♢♢♢♢", E:E, "All"), 0)))/100, 
   IF(F34="☆", ((N7 * 100) / (COUNTIFS(F:F, "☆", E:E, E34) + COUNTIFS(F:F, "☆", E:E, "All") + IF(E34="All", COUNTIFS(F:F, "☆", E:E, E2), 0) - IF(E34="All", COUNTIFS(F:F, "☆", E:E, "All"), 0)))/100, 
   IF(F34="☆☆", ((N8 * 100) / (COUNTIFS(F:F, "☆☆", E:E, E34) + COUNTIFS(F:F, "☆☆", E:E, "All") + IF(E34="All", COUNTIFS(F:F, "☆☆", E:E, E2), 0) - IF(E34="All", COUNTIFS(F:F, "☆☆", E:E, "All"), 0)))/100, 
   IF(F34="☆☆☆", ((N9 * 100) / (COUNTIFS(F:F, "☆☆☆", E:E, E34) + COUNTIFS(F:F, "☆☆☆", E:E, "All") + IF(E34="All", COUNTIFS(F:F, "☆☆☆", E:E, E2), 0) - IF(E34="All", COUNTIFS(F:F, "☆☆☆", E:E, "All"), 0)))/100, 
   IF(F34="♛", ((N10 * 100) / (COUNTIFS(F:F, "♛", E:E, E34) + COUNTIFS(F:F, "♛", E:E, "All") + IF(E34="All", COUNTIFS(F:F, "♛", E:E, E2), 0) - IF(E34="All", COUNTIFS(F:F, "♛", E:E, "All"), 0)))/100, "")))))))
</f>
        <v>0.02608695652</v>
      </c>
      <c r="J34" s="282"/>
      <c r="K34" s="299" t="s">
        <v>29</v>
      </c>
      <c r="L34" s="323">
        <f>'Genetic Apex'!L43</f>
        <v>0.00199936</v>
      </c>
      <c r="N34" s="172"/>
    </row>
    <row r="35">
      <c r="A35" s="275" t="b">
        <f t="shared" si="1"/>
        <v>0</v>
      </c>
      <c r="B35" s="276">
        <v>0.0</v>
      </c>
      <c r="C35" s="277" t="s">
        <v>727</v>
      </c>
      <c r="D35" s="277" t="s">
        <v>728</v>
      </c>
      <c r="E35" s="277" t="s">
        <v>34</v>
      </c>
      <c r="F35" s="278" t="s">
        <v>44</v>
      </c>
      <c r="G35" s="279">
        <f t="shared" si="2"/>
        <v>0.03125</v>
      </c>
      <c r="H35" s="280" t="str">
        <f>IF(F35="♢♢", ((M4 * 100) / (COUNTIFS(F:F, "♢♢", E:E, E35) + COUNTIFS(F:F, "♢♢", E:E, "All") + IF(E35="All", COUNTIFS(F:F, "♢♢", E:E, E2), 0) - IF(E35="All", COUNTIFS(F:F, "♢♢", E:E, "All"), 0)))/100, 
   IF(F35="♢♢♢", ((M5 * 100) / (COUNTIFS(F:F, "♢♢♢", E:E, E35) + COUNTIFS(F:F, "♢♢♢", E:E, "All") + IF(E35="All", COUNTIFS(F:F, "♢♢♢", E:E, E2), 0) - IF(E35="All", COUNTIFS(F:F, "♢♢♢", E:E, "All"), 0)))/100, 
   IF(F35="♢♢♢♢", ((M6 * 100) / (COUNTIFS(F:F, "♢♢♢♢", E:E, E35) + COUNTIFS(F:F, "♢♢♢♢", E:E, "All") + IF(E35="All", COUNTIFS(F:F, "♢♢♢♢", E:E, E2), 0) - IF(E35="All", COUNTIFS(F:F, "♢♢♢♢", E:E, "All"), 0)))/100, 
   IF(F35="☆", ((M7 * 100) / (COUNTIFS(F:F, "☆", E:E, E35) + COUNTIFS(F:F, "☆", E:E, "All") + IF(E35="All", COUNTIFS(F:F, "☆", E:E, E2), 0) - IF(E35="All", COUNTIFS(F:F, "☆", E:E, "All"), 0)))/100, 
   IF(F35="☆☆", ((M8 * 100) / (COUNTIFS(F:F, "☆☆", E:E, E35) + COUNTIFS(F:F, "☆☆", E:E, "All") + IF(E35="All", COUNTIFS(F:F, "☆☆", E:E, E2), 0) - IF(E35="All", COUNTIFS(F:F, "☆☆", E:E, "All"), 0)))/100, 
   IF(F35="☆☆☆", ((M9 * 100) / (COUNTIFS(F:F, "☆☆☆", E:E, E35) + COUNTIFS(F:F, "☆☆☆", E:E, "All") + IF(E35="All", COUNTIFS(F:F, "☆☆☆", E:E, E2), 0) - IF(E35="All", COUNTIFS(F:F, "☆☆☆", E:E, "All"), 0)))/100, 
   IF(F35="♛", ((M10 * 100) / (COUNTIFS(F:F, "♛", E:E, E35) + COUNTIFS(F:F, "♛", E:E, "All") + IF(E35="All", COUNTIFS(F:F, "♛", E:E, E2), 0) - IF(E35="All", COUNTIFS(F:F, "♛", E:E, "All"), 0)))/100, "")))))))
</f>
        <v/>
      </c>
      <c r="I35" s="281" t="str">
        <f>IF(F35="♢♢", ((N4 * 100) / (COUNTIFS(F:F, "♢♢", E:E, E35) + COUNTIFS(F:F, "♢♢", E:E, "All") + IF(E35="All", COUNTIFS(F:F, "♢♢", E:E, E2), 0) - IF(E35="All", COUNTIFS(F:F, "♢♢", E:E, "All"), 0)))/100, 
   IF(F35="♢♢♢", ((N5 * 100) / (COUNTIFS(F:F, "♢♢♢", E:E, E35) + COUNTIFS(F:F, "♢♢♢", E:E, "All") + IF(E35="All", COUNTIFS(F:F, "♢♢♢", E:E, E2), 0) - IF(E35="All", COUNTIFS(F:F, "♢♢♢", E:E, "All"), 0)))/100, 
   IF(F35="♢♢♢♢", ((N6 * 100) / (COUNTIFS(F:F, "♢♢♢♢", E:E, E35) + COUNTIFS(F:F, "♢♢♢♢", E:E, "All") + IF(E35="All", COUNTIFS(F:F, "♢♢♢♢", E:E, E2), 0) - IF(E35="All", COUNTIFS(F:F, "♢♢♢♢", E:E, "All"), 0)))/100, 
   IF(F35="☆", ((N7 * 100) / (COUNTIFS(F:F, "☆", E:E, E35) + COUNTIFS(F:F, "☆", E:E, "All") + IF(E35="All", COUNTIFS(F:F, "☆", E:E, E2), 0) - IF(E35="All", COUNTIFS(F:F, "☆", E:E, "All"), 0)))/100, 
   IF(F35="☆☆", ((N8 * 100) / (COUNTIFS(F:F, "☆☆", E:E, E35) + COUNTIFS(F:F, "☆☆", E:E, "All") + IF(E35="All", COUNTIFS(F:F, "☆☆", E:E, E2), 0) - IF(E35="All", COUNTIFS(F:F, "☆☆", E:E, "All"), 0)))/100, 
   IF(F35="☆☆☆", ((N9 * 100) / (COUNTIFS(F:F, "☆☆☆", E:E, E35) + COUNTIFS(F:F, "☆☆☆", E:E, "All") + IF(E35="All", COUNTIFS(F:F, "☆☆☆", E:E, E2), 0) - IF(E35="All", COUNTIFS(F:F, "☆☆☆", E:E, "All"), 0)))/100, 
   IF(F35="♛", ((N10 * 100) / (COUNTIFS(F:F, "♛", E:E, E35) + COUNTIFS(F:F, "♛", E:E, "All") + IF(E35="All", COUNTIFS(F:F, "♛", E:E, E2), 0) - IF(E35="All", COUNTIFS(F:F, "♛", E:E, "All"), 0)))/100, "")))))))
</f>
        <v/>
      </c>
      <c r="J35" s="282"/>
      <c r="K35" s="324" t="s">
        <v>31</v>
      </c>
      <c r="L35" s="325">
        <f>'Genetic Apex'!L44</f>
        <v>0.00199936</v>
      </c>
      <c r="M35" s="312" t="str">
        <f>IF(L33 = MAX(L33:L36), K33, IF(L34 = MAX(L33:L36), K34, IF(L35 = MAX(L33:L36), K35, K36)))</f>
        <v>A1a</v>
      </c>
      <c r="N35" s="172"/>
    </row>
    <row r="36">
      <c r="A36" s="275" t="b">
        <f t="shared" si="1"/>
        <v>0</v>
      </c>
      <c r="B36" s="276">
        <v>0.0</v>
      </c>
      <c r="C36" s="277" t="s">
        <v>729</v>
      </c>
      <c r="D36" s="277" t="s">
        <v>730</v>
      </c>
      <c r="E36" s="277" t="s">
        <v>34</v>
      </c>
      <c r="F36" s="277" t="s">
        <v>46</v>
      </c>
      <c r="G36" s="279" t="str">
        <f t="shared" si="2"/>
        <v/>
      </c>
      <c r="H36" s="280">
        <f>IF(F36="♢♢", ((M4 * 100) / (COUNTIFS(F:F, "♢♢", E:E, E36) + COUNTIFS(F:F, "♢♢", E:E, "All") + IF(E36="All", COUNTIFS(F:F, "♢♢", E:E, E2), 0) - IF(E36="All", COUNTIFS(F:F, "♢♢", E:E, "All"), 0)))/100, 
   IF(F36="♢♢♢", ((M5 * 100) / (COUNTIFS(F:F, "♢♢♢", E:E, E36) + COUNTIFS(F:F, "♢♢♢", E:E, "All") + IF(E36="All", COUNTIFS(F:F, "♢♢♢", E:E, E2), 0) - IF(E36="All", COUNTIFS(F:F, "♢♢♢", E:E, "All"), 0)))/100, 
   IF(F36="♢♢♢♢", ((M6 * 100) / (COUNTIFS(F:F, "♢♢♢♢", E:E, E36) + COUNTIFS(F:F, "♢♢♢♢", E:E, "All") + IF(E36="All", COUNTIFS(F:F, "♢♢♢♢", E:E, E2), 0) - IF(E36="All", COUNTIFS(F:F, "♢♢♢♢", E:E, "All"), 0)))/100, 
   IF(F36="☆", ((M7 * 100) / (COUNTIFS(F:F, "☆", E:E, E36) + COUNTIFS(F:F, "☆", E:E, "All") + IF(E36="All", COUNTIFS(F:F, "☆", E:E, E2), 0) - IF(E36="All", COUNTIFS(F:F, "☆", E:E, "All"), 0)))/100, 
   IF(F36="☆☆", ((M8 * 100) / (COUNTIFS(F:F, "☆☆", E:E, E36) + COUNTIFS(F:F, "☆☆", E:E, "All") + IF(E36="All", COUNTIFS(F:F, "☆☆", E:E, E2), 0) - IF(E36="All", COUNTIFS(F:F, "☆☆", E:E, "All"), 0)))/100, 
   IF(F36="☆☆☆", ((M9 * 100) / (COUNTIFS(F:F, "☆☆☆", E:E, E36) + COUNTIFS(F:F, "☆☆☆", E:E, "All") + IF(E36="All", COUNTIFS(F:F, "☆☆☆", E:E, E2), 0) - IF(E36="All", COUNTIFS(F:F, "☆☆☆", E:E, "All"), 0)))/100, 
   IF(F36="♛", ((M10 * 100) / (COUNTIFS(F:F, "♛", E:E, E36) + COUNTIFS(F:F, "♛", E:E, "All") + IF(E36="All", COUNTIFS(F:F, "♛", E:E, E2), 0) - IF(E36="All", COUNTIFS(F:F, "♛", E:E, "All"), 0)))/100, "")))))))
</f>
        <v>0.03913043478</v>
      </c>
      <c r="I36" s="281">
        <f>IF(F36="♢♢", ((N4 * 100) / (COUNTIFS(F:F, "♢♢", E:E, E36) + COUNTIFS(F:F, "♢♢", E:E, "All") + IF(E36="All", COUNTIFS(F:F, "♢♢", E:E, E2), 0) - IF(E36="All", COUNTIFS(F:F, "♢♢", E:E, "All"), 0)))/100, 
   IF(F36="♢♢♢", ((N5 * 100) / (COUNTIFS(F:F, "♢♢♢", E:E, E36) + COUNTIFS(F:F, "♢♢♢", E:E, "All") + IF(E36="All", COUNTIFS(F:F, "♢♢♢", E:E, E2), 0) - IF(E36="All", COUNTIFS(F:F, "♢♢♢", E:E, "All"), 0)))/100, 
   IF(F36="♢♢♢♢", ((N6 * 100) / (COUNTIFS(F:F, "♢♢♢♢", E:E, E36) + COUNTIFS(F:F, "♢♢♢♢", E:E, "All") + IF(E36="All", COUNTIFS(F:F, "♢♢♢♢", E:E, E2), 0) - IF(E36="All", COUNTIFS(F:F, "♢♢♢♢", E:E, "All"), 0)))/100, 
   IF(F36="☆", ((N7 * 100) / (COUNTIFS(F:F, "☆", E:E, E36) + COUNTIFS(F:F, "☆", E:E, "All") + IF(E36="All", COUNTIFS(F:F, "☆", E:E, E2), 0) - IF(E36="All", COUNTIFS(F:F, "☆", E:E, "All"), 0)))/100, 
   IF(F36="☆☆", ((N8 * 100) / (COUNTIFS(F:F, "☆☆", E:E, E36) + COUNTIFS(F:F, "☆☆", E:E, "All") + IF(E36="All", COUNTIFS(F:F, "☆☆", E:E, E2), 0) - IF(E36="All", COUNTIFS(F:F, "☆☆", E:E, "All"), 0)))/100, 
   IF(F36="☆☆☆", ((N9 * 100) / (COUNTIFS(F:F, "☆☆☆", E:E, E36) + COUNTIFS(F:F, "☆☆☆", E:E, "All") + IF(E36="All", COUNTIFS(F:F, "☆☆☆", E:E, E2), 0) - IF(E36="All", COUNTIFS(F:F, "☆☆☆", E:E, "All"), 0)))/100, 
   IF(F36="♛", ((N10 * 100) / (COUNTIFS(F:F, "♛", E:E, E36) + COUNTIFS(F:F, "♛", E:E, "All") + IF(E36="All", COUNTIFS(F:F, "♛", E:E, E2), 0) - IF(E36="All", COUNTIFS(F:F, "♛", E:E, "All"), 0)))/100, "")))))))
</f>
        <v>0.02608695652</v>
      </c>
      <c r="J36" s="282"/>
      <c r="K36" s="326" t="s">
        <v>32</v>
      </c>
      <c r="L36" s="327">
        <f>'Genetic Apex'!L45</f>
        <v>0.00199936</v>
      </c>
      <c r="M36" s="166"/>
      <c r="N36" s="213"/>
    </row>
    <row r="37">
      <c r="A37" s="275" t="b">
        <f t="shared" si="1"/>
        <v>0</v>
      </c>
      <c r="B37" s="276">
        <v>0.0</v>
      </c>
      <c r="C37" s="277" t="s">
        <v>731</v>
      </c>
      <c r="D37" s="328" t="s">
        <v>732</v>
      </c>
      <c r="E37" s="277" t="s">
        <v>34</v>
      </c>
      <c r="F37" s="278" t="s">
        <v>44</v>
      </c>
      <c r="G37" s="279">
        <f t="shared" si="2"/>
        <v>0.03125</v>
      </c>
      <c r="H37" s="280" t="str">
        <f>IF(F37="♢♢", ((M4 * 100) / (COUNTIFS(F:F, "♢♢", E:E, E37) + COUNTIFS(F:F, "♢♢", E:E, "All") + IF(E37="All", COUNTIFS(F:F, "♢♢", E:E, E2), 0) - IF(E37="All", COUNTIFS(F:F, "♢♢", E:E, "All"), 0)))/100, 
   IF(F37="♢♢♢", ((M5 * 100) / (COUNTIFS(F:F, "♢♢♢", E:E, E37) + COUNTIFS(F:F, "♢♢♢", E:E, "All") + IF(E37="All", COUNTIFS(F:F, "♢♢♢", E:E, E2), 0) - IF(E37="All", COUNTIFS(F:F, "♢♢♢", E:E, "All"), 0)))/100, 
   IF(F37="♢♢♢♢", ((M6 * 100) / (COUNTIFS(F:F, "♢♢♢♢", E:E, E37) + COUNTIFS(F:F, "♢♢♢♢", E:E, "All") + IF(E37="All", COUNTIFS(F:F, "♢♢♢♢", E:E, E2), 0) - IF(E37="All", COUNTIFS(F:F, "♢♢♢♢", E:E, "All"), 0)))/100, 
   IF(F37="☆", ((M7 * 100) / (COUNTIFS(F:F, "☆", E:E, E37) + COUNTIFS(F:F, "☆", E:E, "All") + IF(E37="All", COUNTIFS(F:F, "☆", E:E, E2), 0) - IF(E37="All", COUNTIFS(F:F, "☆", E:E, "All"), 0)))/100, 
   IF(F37="☆☆", ((M8 * 100) / (COUNTIFS(F:F, "☆☆", E:E, E37) + COUNTIFS(F:F, "☆☆", E:E, "All") + IF(E37="All", COUNTIFS(F:F, "☆☆", E:E, E2), 0) - IF(E37="All", COUNTIFS(F:F, "☆☆", E:E, "All"), 0)))/100, 
   IF(F37="☆☆☆", ((M9 * 100) / (COUNTIFS(F:F, "☆☆☆", E:E, E37) + COUNTIFS(F:F, "☆☆☆", E:E, "All") + IF(E37="All", COUNTIFS(F:F, "☆☆☆", E:E, E2), 0) - IF(E37="All", COUNTIFS(F:F, "☆☆☆", E:E, "All"), 0)))/100, 
   IF(F37="♛", ((M10 * 100) / (COUNTIFS(F:F, "♛", E:E, E37) + COUNTIFS(F:F, "♛", E:E, "All") + IF(E37="All", COUNTIFS(F:F, "♛", E:E, E2), 0) - IF(E37="All", COUNTIFS(F:F, "♛", E:E, "All"), 0)))/100, "")))))))
</f>
        <v/>
      </c>
      <c r="I37" s="281" t="str">
        <f>IF(F37="♢♢", ((N4 * 100) / (COUNTIFS(F:F, "♢♢", E:E, E37) + COUNTIFS(F:F, "♢♢", E:E, "All") + IF(E37="All", COUNTIFS(F:F, "♢♢", E:E, E2), 0) - IF(E37="All", COUNTIFS(F:F, "♢♢", E:E, "All"), 0)))/100, 
   IF(F37="♢♢♢", ((N5 * 100) / (COUNTIFS(F:F, "♢♢♢", E:E, E37) + COUNTIFS(F:F, "♢♢♢", E:E, "All") + IF(E37="All", COUNTIFS(F:F, "♢♢♢", E:E, E2), 0) - IF(E37="All", COUNTIFS(F:F, "♢♢♢", E:E, "All"), 0)))/100, 
   IF(F37="♢♢♢♢", ((N6 * 100) / (COUNTIFS(F:F, "♢♢♢♢", E:E, E37) + COUNTIFS(F:F, "♢♢♢♢", E:E, "All") + IF(E37="All", COUNTIFS(F:F, "♢♢♢♢", E:E, E2), 0) - IF(E37="All", COUNTIFS(F:F, "♢♢♢♢", E:E, "All"), 0)))/100, 
   IF(F37="☆", ((N7 * 100) / (COUNTIFS(F:F, "☆", E:E, E37) + COUNTIFS(F:F, "☆", E:E, "All") + IF(E37="All", COUNTIFS(F:F, "☆", E:E, E2), 0) - IF(E37="All", COUNTIFS(F:F, "☆", E:E, "All"), 0)))/100, 
   IF(F37="☆☆", ((N8 * 100) / (COUNTIFS(F:F, "☆☆", E:E, E37) + COUNTIFS(F:F, "☆☆", E:E, "All") + IF(E37="All", COUNTIFS(F:F, "☆☆", E:E, E2), 0) - IF(E37="All", COUNTIFS(F:F, "☆☆", E:E, "All"), 0)))/100, 
   IF(F37="☆☆☆", ((N9 * 100) / (COUNTIFS(F:F, "☆☆☆", E:E, E37) + COUNTIFS(F:F, "☆☆☆", E:E, "All") + IF(E37="All", COUNTIFS(F:F, "☆☆☆", E:E, E2), 0) - IF(E37="All", COUNTIFS(F:F, "☆☆☆", E:E, "All"), 0)))/100, 
   IF(F37="♛", ((N10 * 100) / (COUNTIFS(F:F, "♛", E:E, E37) + COUNTIFS(F:F, "♛", E:E, "All") + IF(E37="All", COUNTIFS(F:F, "♛", E:E, E2), 0) - IF(E37="All", COUNTIFS(F:F, "♛", E:E, "All"), 0)))/100, "")))))))
</f>
        <v/>
      </c>
      <c r="J37" s="282"/>
      <c r="K37" s="23"/>
      <c r="L37" s="23"/>
      <c r="M37" s="23"/>
      <c r="N37" s="23"/>
    </row>
    <row r="38">
      <c r="A38" s="275" t="b">
        <f t="shared" si="1"/>
        <v>0</v>
      </c>
      <c r="B38" s="276">
        <v>0.0</v>
      </c>
      <c r="C38" s="277" t="s">
        <v>733</v>
      </c>
      <c r="D38" s="277" t="s">
        <v>734</v>
      </c>
      <c r="E38" s="277" t="s">
        <v>34</v>
      </c>
      <c r="F38" s="277" t="s">
        <v>44</v>
      </c>
      <c r="G38" s="279">
        <f t="shared" si="2"/>
        <v>0.03125</v>
      </c>
      <c r="H38" s="280" t="str">
        <f>IF(F38="♢♢", ((M4 * 100) / (COUNTIFS(F:F, "♢♢", E:E, E38) + COUNTIFS(F:F, "♢♢", E:E, "All") + IF(E38="All", COUNTIFS(F:F, "♢♢", E:E, E2), 0) - IF(E38="All", COUNTIFS(F:F, "♢♢", E:E, "All"), 0)))/100, 
   IF(F38="♢♢♢", ((M5 * 100) / (COUNTIFS(F:F, "♢♢♢", E:E, E38) + COUNTIFS(F:F, "♢♢♢", E:E, "All") + IF(E38="All", COUNTIFS(F:F, "♢♢♢", E:E, E2), 0) - IF(E38="All", COUNTIFS(F:F, "♢♢♢", E:E, "All"), 0)))/100, 
   IF(F38="♢♢♢♢", ((M6 * 100) / (COUNTIFS(F:F, "♢♢♢♢", E:E, E38) + COUNTIFS(F:F, "♢♢♢♢", E:E, "All") + IF(E38="All", COUNTIFS(F:F, "♢♢♢♢", E:E, E2), 0) - IF(E38="All", COUNTIFS(F:F, "♢♢♢♢", E:E, "All"), 0)))/100, 
   IF(F38="☆", ((M7 * 100) / (COUNTIFS(F:F, "☆", E:E, E38) + COUNTIFS(F:F, "☆", E:E, "All") + IF(E38="All", COUNTIFS(F:F, "☆", E:E, E2), 0) - IF(E38="All", COUNTIFS(F:F, "☆", E:E, "All"), 0)))/100, 
   IF(F38="☆☆", ((M8 * 100) / (COUNTIFS(F:F, "☆☆", E:E, E38) + COUNTIFS(F:F, "☆☆", E:E, "All") + IF(E38="All", COUNTIFS(F:F, "☆☆", E:E, E2), 0) - IF(E38="All", COUNTIFS(F:F, "☆☆", E:E, "All"), 0)))/100, 
   IF(F38="☆☆☆", ((M9 * 100) / (COUNTIFS(F:F, "☆☆☆", E:E, E38) + COUNTIFS(F:F, "☆☆☆", E:E, "All") + IF(E38="All", COUNTIFS(F:F, "☆☆☆", E:E, E2), 0) - IF(E38="All", COUNTIFS(F:F, "☆☆☆", E:E, "All"), 0)))/100, 
   IF(F38="♛", ((M10 * 100) / (COUNTIFS(F:F, "♛", E:E, E38) + COUNTIFS(F:F, "♛", E:E, "All") + IF(E38="All", COUNTIFS(F:F, "♛", E:E, E2), 0) - IF(E38="All", COUNTIFS(F:F, "♛", E:E, "All"), 0)))/100, "")))))))
</f>
        <v/>
      </c>
      <c r="I38" s="281" t="str">
        <f>IF(F38="♢♢", ((N4 * 100) / (COUNTIFS(F:F, "♢♢", E:E, E38) + COUNTIFS(F:F, "♢♢", E:E, "All") + IF(E38="All", COUNTIFS(F:F, "♢♢", E:E, E2), 0) - IF(E38="All", COUNTIFS(F:F, "♢♢", E:E, "All"), 0)))/100, 
   IF(F38="♢♢♢", ((N5 * 100) / (COUNTIFS(F:F, "♢♢♢", E:E, E38) + COUNTIFS(F:F, "♢♢♢", E:E, "All") + IF(E38="All", COUNTIFS(F:F, "♢♢♢", E:E, E2), 0) - IF(E38="All", COUNTIFS(F:F, "♢♢♢", E:E, "All"), 0)))/100, 
   IF(F38="♢♢♢♢", ((N6 * 100) / (COUNTIFS(F:F, "♢♢♢♢", E:E, E38) + COUNTIFS(F:F, "♢♢♢♢", E:E, "All") + IF(E38="All", COUNTIFS(F:F, "♢♢♢♢", E:E, E2), 0) - IF(E38="All", COUNTIFS(F:F, "♢♢♢♢", E:E, "All"), 0)))/100, 
   IF(F38="☆", ((N7 * 100) / (COUNTIFS(F:F, "☆", E:E, E38) + COUNTIFS(F:F, "☆", E:E, "All") + IF(E38="All", COUNTIFS(F:F, "☆", E:E, E2), 0) - IF(E38="All", COUNTIFS(F:F, "☆", E:E, "All"), 0)))/100, 
   IF(F38="☆☆", ((N8 * 100) / (COUNTIFS(F:F, "☆☆", E:E, E38) + COUNTIFS(F:F, "☆☆", E:E, "All") + IF(E38="All", COUNTIFS(F:F, "☆☆", E:E, E2), 0) - IF(E38="All", COUNTIFS(F:F, "☆☆", E:E, "All"), 0)))/100, 
   IF(F38="☆☆☆", ((N9 * 100) / (COUNTIFS(F:F, "☆☆☆", E:E, E38) + COUNTIFS(F:F, "☆☆☆", E:E, "All") + IF(E38="All", COUNTIFS(F:F, "☆☆☆", E:E, E2), 0) - IF(E38="All", COUNTIFS(F:F, "☆☆☆", E:E, "All"), 0)))/100, 
   IF(F38="♛", ((N10 * 100) / (COUNTIFS(F:F, "♛", E:E, E38) + COUNTIFS(F:F, "♛", E:E, "All") + IF(E38="All", COUNTIFS(F:F, "♛", E:E, E2), 0) - IF(E38="All", COUNTIFS(F:F, "♛", E:E, "All"), 0)))/100, "")))))))
</f>
        <v/>
      </c>
      <c r="J38" s="282"/>
      <c r="K38" s="23"/>
      <c r="L38" s="23"/>
      <c r="M38" s="23"/>
      <c r="N38" s="23"/>
    </row>
    <row r="39">
      <c r="A39" s="275" t="b">
        <f t="shared" si="1"/>
        <v>0</v>
      </c>
      <c r="B39" s="276">
        <v>0.0</v>
      </c>
      <c r="C39" s="277" t="s">
        <v>735</v>
      </c>
      <c r="D39" s="277" t="s">
        <v>736</v>
      </c>
      <c r="E39" s="277" t="s">
        <v>34</v>
      </c>
      <c r="F39" s="277" t="s">
        <v>46</v>
      </c>
      <c r="G39" s="279" t="str">
        <f t="shared" si="2"/>
        <v/>
      </c>
      <c r="H39" s="280">
        <f>IF(F39="♢♢", ((M4 * 100) / (COUNTIFS(F:F, "♢♢", E:E, E39) + COUNTIFS(F:F, "♢♢", E:E, "All") + IF(E39="All", COUNTIFS(F:F, "♢♢", E:E, E2), 0) - IF(E39="All", COUNTIFS(F:F, "♢♢", E:E, "All"), 0)))/100, 
   IF(F39="♢♢♢", ((M5 * 100) / (COUNTIFS(F:F, "♢♢♢", E:E, E39) + COUNTIFS(F:F, "♢♢♢", E:E, "All") + IF(E39="All", COUNTIFS(F:F, "♢♢♢", E:E, E2), 0) - IF(E39="All", COUNTIFS(F:F, "♢♢♢", E:E, "All"), 0)))/100, 
   IF(F39="♢♢♢♢", ((M6 * 100) / (COUNTIFS(F:F, "♢♢♢♢", E:E, E39) + COUNTIFS(F:F, "♢♢♢♢", E:E, "All") + IF(E39="All", COUNTIFS(F:F, "♢♢♢♢", E:E, E2), 0) - IF(E39="All", COUNTIFS(F:F, "♢♢♢♢", E:E, "All"), 0)))/100, 
   IF(F39="☆", ((M7 * 100) / (COUNTIFS(F:F, "☆", E:E, E39) + COUNTIFS(F:F, "☆", E:E, "All") + IF(E39="All", COUNTIFS(F:F, "☆", E:E, E2), 0) - IF(E39="All", COUNTIFS(F:F, "☆", E:E, "All"), 0)))/100, 
   IF(F39="☆☆", ((M8 * 100) / (COUNTIFS(F:F, "☆☆", E:E, E39) + COUNTIFS(F:F, "☆☆", E:E, "All") + IF(E39="All", COUNTIFS(F:F, "☆☆", E:E, E2), 0) - IF(E39="All", COUNTIFS(F:F, "☆☆", E:E, "All"), 0)))/100, 
   IF(F39="☆☆☆", ((M9 * 100) / (COUNTIFS(F:F, "☆☆☆", E:E, E39) + COUNTIFS(F:F, "☆☆☆", E:E, "All") + IF(E39="All", COUNTIFS(F:F, "☆☆☆", E:E, E2), 0) - IF(E39="All", COUNTIFS(F:F, "☆☆☆", E:E, "All"), 0)))/100, 
   IF(F39="♛", ((M10 * 100) / (COUNTIFS(F:F, "♛", E:E, E39) + COUNTIFS(F:F, "♛", E:E, "All") + IF(E39="All", COUNTIFS(F:F, "♛", E:E, E2), 0) - IF(E39="All", COUNTIFS(F:F, "♛", E:E, "All"), 0)))/100, "")))))))
</f>
        <v>0.03913043478</v>
      </c>
      <c r="I39" s="281">
        <f>IF(F39="♢♢", ((N4 * 100) / (COUNTIFS(F:F, "♢♢", E:E, E39) + COUNTIFS(F:F, "♢♢", E:E, "All") + IF(E39="All", COUNTIFS(F:F, "♢♢", E:E, E2), 0) - IF(E39="All", COUNTIFS(F:F, "♢♢", E:E, "All"), 0)))/100, 
   IF(F39="♢♢♢", ((N5 * 100) / (COUNTIFS(F:F, "♢♢♢", E:E, E39) + COUNTIFS(F:F, "♢♢♢", E:E, "All") + IF(E39="All", COUNTIFS(F:F, "♢♢♢", E:E, E2), 0) - IF(E39="All", COUNTIFS(F:F, "♢♢♢", E:E, "All"), 0)))/100, 
   IF(F39="♢♢♢♢", ((N6 * 100) / (COUNTIFS(F:F, "♢♢♢♢", E:E, E39) + COUNTIFS(F:F, "♢♢♢♢", E:E, "All") + IF(E39="All", COUNTIFS(F:F, "♢♢♢♢", E:E, E2), 0) - IF(E39="All", COUNTIFS(F:F, "♢♢♢♢", E:E, "All"), 0)))/100, 
   IF(F39="☆", ((N7 * 100) / (COUNTIFS(F:F, "☆", E:E, E39) + COUNTIFS(F:F, "☆", E:E, "All") + IF(E39="All", COUNTIFS(F:F, "☆", E:E, E2), 0) - IF(E39="All", COUNTIFS(F:F, "☆", E:E, "All"), 0)))/100, 
   IF(F39="☆☆", ((N8 * 100) / (COUNTIFS(F:F, "☆☆", E:E, E39) + COUNTIFS(F:F, "☆☆", E:E, "All") + IF(E39="All", COUNTIFS(F:F, "☆☆", E:E, E2), 0) - IF(E39="All", COUNTIFS(F:F, "☆☆", E:E, "All"), 0)))/100, 
   IF(F39="☆☆☆", ((N9 * 100) / (COUNTIFS(F:F, "☆☆☆", E:E, E39) + COUNTIFS(F:F, "☆☆☆", E:E, "All") + IF(E39="All", COUNTIFS(F:F, "☆☆☆", E:E, E2), 0) - IF(E39="All", COUNTIFS(F:F, "☆☆☆", E:E, "All"), 0)))/100, 
   IF(F39="♛", ((N10 * 100) / (COUNTIFS(F:F, "♛", E:E, E39) + COUNTIFS(F:F, "♛", E:E, "All") + IF(E39="All", COUNTIFS(F:F, "♛", E:E, E2), 0) - IF(E39="All", COUNTIFS(F:F, "♛", E:E, "All"), 0)))/100, "")))))))
</f>
        <v>0.02608695652</v>
      </c>
      <c r="J39" s="282"/>
      <c r="K39" s="23"/>
      <c r="L39" s="23"/>
      <c r="M39" s="23"/>
      <c r="N39" s="23"/>
    </row>
    <row r="40">
      <c r="A40" s="275" t="b">
        <f t="shared" si="1"/>
        <v>0</v>
      </c>
      <c r="B40" s="276">
        <v>0.0</v>
      </c>
      <c r="C40" s="277" t="s">
        <v>737</v>
      </c>
      <c r="D40" s="277" t="s">
        <v>738</v>
      </c>
      <c r="E40" s="277" t="s">
        <v>34</v>
      </c>
      <c r="F40" s="278" t="s">
        <v>44</v>
      </c>
      <c r="G40" s="279">
        <f t="shared" si="2"/>
        <v>0.03125</v>
      </c>
      <c r="H40" s="280" t="str">
        <f>IF(F40="♢♢", ((M4 * 100) / (COUNTIFS(F:F, "♢♢", E:E, E40) + COUNTIFS(F:F, "♢♢", E:E, "All") + IF(E40="All", COUNTIFS(F:F, "♢♢", E:E, E2), 0) - IF(E40="All", COUNTIFS(F:F, "♢♢", E:E, "All"), 0)))/100, 
   IF(F40="♢♢♢", ((M5 * 100) / (COUNTIFS(F:F, "♢♢♢", E:E, E40) + COUNTIFS(F:F, "♢♢♢", E:E, "All") + IF(E40="All", COUNTIFS(F:F, "♢♢♢", E:E, E2), 0) - IF(E40="All", COUNTIFS(F:F, "♢♢♢", E:E, "All"), 0)))/100, 
   IF(F40="♢♢♢♢", ((M6 * 100) / (COUNTIFS(F:F, "♢♢♢♢", E:E, E40) + COUNTIFS(F:F, "♢♢♢♢", E:E, "All") + IF(E40="All", COUNTIFS(F:F, "♢♢♢♢", E:E, E2), 0) - IF(E40="All", COUNTIFS(F:F, "♢♢♢♢", E:E, "All"), 0)))/100, 
   IF(F40="☆", ((M7 * 100) / (COUNTIFS(F:F, "☆", E:E, E40) + COUNTIFS(F:F, "☆", E:E, "All") + IF(E40="All", COUNTIFS(F:F, "☆", E:E, E2), 0) - IF(E40="All", COUNTIFS(F:F, "☆", E:E, "All"), 0)))/100, 
   IF(F40="☆☆", ((M8 * 100) / (COUNTIFS(F:F, "☆☆", E:E, E40) + COUNTIFS(F:F, "☆☆", E:E, "All") + IF(E40="All", COUNTIFS(F:F, "☆☆", E:E, E2), 0) - IF(E40="All", COUNTIFS(F:F, "☆☆", E:E, "All"), 0)))/100, 
   IF(F40="☆☆☆", ((M9 * 100) / (COUNTIFS(F:F, "☆☆☆", E:E, E40) + COUNTIFS(F:F, "☆☆☆", E:E, "All") + IF(E40="All", COUNTIFS(F:F, "☆☆☆", E:E, E2), 0) - IF(E40="All", COUNTIFS(F:F, "☆☆☆", E:E, "All"), 0)))/100, 
   IF(F40="♛", ((M10 * 100) / (COUNTIFS(F:F, "♛", E:E, E40) + COUNTIFS(F:F, "♛", E:E, "All") + IF(E40="All", COUNTIFS(F:F, "♛", E:E, E2), 0) - IF(E40="All", COUNTIFS(F:F, "♛", E:E, "All"), 0)))/100, "")))))))
</f>
        <v/>
      </c>
      <c r="I40" s="281" t="str">
        <f>IF(F40="♢♢", ((N4 * 100) / (COUNTIFS(F:F, "♢♢", E:E, E40) + COUNTIFS(F:F, "♢♢", E:E, "All") + IF(E40="All", COUNTIFS(F:F, "♢♢", E:E, E2), 0) - IF(E40="All", COUNTIFS(F:F, "♢♢", E:E, "All"), 0)))/100, 
   IF(F40="♢♢♢", ((N5 * 100) / (COUNTIFS(F:F, "♢♢♢", E:E, E40) + COUNTIFS(F:F, "♢♢♢", E:E, "All") + IF(E40="All", COUNTIFS(F:F, "♢♢♢", E:E, E2), 0) - IF(E40="All", COUNTIFS(F:F, "♢♢♢", E:E, "All"), 0)))/100, 
   IF(F40="♢♢♢♢", ((N6 * 100) / (COUNTIFS(F:F, "♢♢♢♢", E:E, E40) + COUNTIFS(F:F, "♢♢♢♢", E:E, "All") + IF(E40="All", COUNTIFS(F:F, "♢♢♢♢", E:E, E2), 0) - IF(E40="All", COUNTIFS(F:F, "♢♢♢♢", E:E, "All"), 0)))/100, 
   IF(F40="☆", ((N7 * 100) / (COUNTIFS(F:F, "☆", E:E, E40) + COUNTIFS(F:F, "☆", E:E, "All") + IF(E40="All", COUNTIFS(F:F, "☆", E:E, E2), 0) - IF(E40="All", COUNTIFS(F:F, "☆", E:E, "All"), 0)))/100, 
   IF(F40="☆☆", ((N8 * 100) / (COUNTIFS(F:F, "☆☆", E:E, E40) + COUNTIFS(F:F, "☆☆", E:E, "All") + IF(E40="All", COUNTIFS(F:F, "☆☆", E:E, E2), 0) - IF(E40="All", COUNTIFS(F:F, "☆☆", E:E, "All"), 0)))/100, 
   IF(F40="☆☆☆", ((N9 * 100) / (COUNTIFS(F:F, "☆☆☆", E:E, E40) + COUNTIFS(F:F, "☆☆☆", E:E, "All") + IF(E40="All", COUNTIFS(F:F, "☆☆☆", E:E, E2), 0) - IF(E40="All", COUNTIFS(F:F, "☆☆☆", E:E, "All"), 0)))/100, 
   IF(F40="♛", ((N10 * 100) / (COUNTIFS(F:F, "♛", E:E, E40) + COUNTIFS(F:F, "♛", E:E, "All") + IF(E40="All", COUNTIFS(F:F, "♛", E:E, E2), 0) - IF(E40="All", COUNTIFS(F:F, "♛", E:E, "All"), 0)))/100, "")))))))
</f>
        <v/>
      </c>
      <c r="J40" s="282"/>
      <c r="K40" s="23"/>
      <c r="L40" s="23"/>
      <c r="M40" s="23"/>
      <c r="N40" s="23"/>
    </row>
    <row r="41">
      <c r="A41" s="275" t="b">
        <f t="shared" si="1"/>
        <v>0</v>
      </c>
      <c r="B41" s="276">
        <v>0.0</v>
      </c>
      <c r="C41" s="277" t="s">
        <v>739</v>
      </c>
      <c r="D41" s="277" t="s">
        <v>740</v>
      </c>
      <c r="E41" s="277" t="s">
        <v>34</v>
      </c>
      <c r="F41" s="277" t="s">
        <v>44</v>
      </c>
      <c r="G41" s="279">
        <f t="shared" si="2"/>
        <v>0.03125</v>
      </c>
      <c r="H41" s="280" t="str">
        <f>IF(F41="♢♢", ((M4 * 100) / (COUNTIFS(F:F, "♢♢", E:E, E41) + COUNTIFS(F:F, "♢♢", E:E, "All") + IF(E41="All", COUNTIFS(F:F, "♢♢", E:E, E2), 0) - IF(E41="All", COUNTIFS(F:F, "♢♢", E:E, "All"), 0)))/100, 
   IF(F41="♢♢♢", ((M5 * 100) / (COUNTIFS(F:F, "♢♢♢", E:E, E41) + COUNTIFS(F:F, "♢♢♢", E:E, "All") + IF(E41="All", COUNTIFS(F:F, "♢♢♢", E:E, E2), 0) - IF(E41="All", COUNTIFS(F:F, "♢♢♢", E:E, "All"), 0)))/100, 
   IF(F41="♢♢♢♢", ((M6 * 100) / (COUNTIFS(F:F, "♢♢♢♢", E:E, E41) + COUNTIFS(F:F, "♢♢♢♢", E:E, "All") + IF(E41="All", COUNTIFS(F:F, "♢♢♢♢", E:E, E2), 0) - IF(E41="All", COUNTIFS(F:F, "♢♢♢♢", E:E, "All"), 0)))/100, 
   IF(F41="☆", ((M7 * 100) / (COUNTIFS(F:F, "☆", E:E, E41) + COUNTIFS(F:F, "☆", E:E, "All") + IF(E41="All", COUNTIFS(F:F, "☆", E:E, E2), 0) - IF(E41="All", COUNTIFS(F:F, "☆", E:E, "All"), 0)))/100, 
   IF(F41="☆☆", ((M8 * 100) / (COUNTIFS(F:F, "☆☆", E:E, E41) + COUNTIFS(F:F, "☆☆", E:E, "All") + IF(E41="All", COUNTIFS(F:F, "☆☆", E:E, E2), 0) - IF(E41="All", COUNTIFS(F:F, "☆☆", E:E, "All"), 0)))/100, 
   IF(F41="☆☆☆", ((M9 * 100) / (COUNTIFS(F:F, "☆☆☆", E:E, E41) + COUNTIFS(F:F, "☆☆☆", E:E, "All") + IF(E41="All", COUNTIFS(F:F, "☆☆☆", E:E, E2), 0) - IF(E41="All", COUNTIFS(F:F, "☆☆☆", E:E, "All"), 0)))/100, 
   IF(F41="♛", ((M10 * 100) / (COUNTIFS(F:F, "♛", E:E, E41) + COUNTIFS(F:F, "♛", E:E, "All") + IF(E41="All", COUNTIFS(F:F, "♛", E:E, E2), 0) - IF(E41="All", COUNTIFS(F:F, "♛", E:E, "All"), 0)))/100, "")))))))
</f>
        <v/>
      </c>
      <c r="I41" s="281" t="str">
        <f>IF(F41="♢♢", ((N4 * 100) / (COUNTIFS(F:F, "♢♢", E:E, E41) + COUNTIFS(F:F, "♢♢", E:E, "All") + IF(E41="All", COUNTIFS(F:F, "♢♢", E:E, E2), 0) - IF(E41="All", COUNTIFS(F:F, "♢♢", E:E, "All"), 0)))/100, 
   IF(F41="♢♢♢", ((N5 * 100) / (COUNTIFS(F:F, "♢♢♢", E:E, E41) + COUNTIFS(F:F, "♢♢♢", E:E, "All") + IF(E41="All", COUNTIFS(F:F, "♢♢♢", E:E, E2), 0) - IF(E41="All", COUNTIFS(F:F, "♢♢♢", E:E, "All"), 0)))/100, 
   IF(F41="♢♢♢♢", ((N6 * 100) / (COUNTIFS(F:F, "♢♢♢♢", E:E, E41) + COUNTIFS(F:F, "♢♢♢♢", E:E, "All") + IF(E41="All", COUNTIFS(F:F, "♢♢♢♢", E:E, E2), 0) - IF(E41="All", COUNTIFS(F:F, "♢♢♢♢", E:E, "All"), 0)))/100, 
   IF(F41="☆", ((N7 * 100) / (COUNTIFS(F:F, "☆", E:E, E41) + COUNTIFS(F:F, "☆", E:E, "All") + IF(E41="All", COUNTIFS(F:F, "☆", E:E, E2), 0) - IF(E41="All", COUNTIFS(F:F, "☆", E:E, "All"), 0)))/100, 
   IF(F41="☆☆", ((N8 * 100) / (COUNTIFS(F:F, "☆☆", E:E, E41) + COUNTIFS(F:F, "☆☆", E:E, "All") + IF(E41="All", COUNTIFS(F:F, "☆☆", E:E, E2), 0) - IF(E41="All", COUNTIFS(F:F, "☆☆", E:E, "All"), 0)))/100, 
   IF(F41="☆☆☆", ((N9 * 100) / (COUNTIFS(F:F, "☆☆☆", E:E, E41) + COUNTIFS(F:F, "☆☆☆", E:E, "All") + IF(E41="All", COUNTIFS(F:F, "☆☆☆", E:E, E2), 0) - IF(E41="All", COUNTIFS(F:F, "☆☆☆", E:E, "All"), 0)))/100, 
   IF(F41="♛", ((N10 * 100) / (COUNTIFS(F:F, "♛", E:E, E41) + COUNTIFS(F:F, "♛", E:E, "All") + IF(E41="All", COUNTIFS(F:F, "♛", E:E, E2), 0) - IF(E41="All", COUNTIFS(F:F, "♛", E:E, "All"), 0)))/100, "")))))))
</f>
        <v/>
      </c>
      <c r="J41" s="282"/>
      <c r="K41" s="23"/>
      <c r="L41" s="23"/>
      <c r="M41" s="322"/>
      <c r="N41" s="23"/>
    </row>
    <row r="42">
      <c r="A42" s="275" t="b">
        <f t="shared" si="1"/>
        <v>0</v>
      </c>
      <c r="B42" s="276">
        <v>0.0</v>
      </c>
      <c r="C42" s="277" t="s">
        <v>741</v>
      </c>
      <c r="D42" s="277" t="s">
        <v>398</v>
      </c>
      <c r="E42" s="277" t="s">
        <v>34</v>
      </c>
      <c r="F42" s="277" t="s">
        <v>44</v>
      </c>
      <c r="G42" s="279">
        <f t="shared" si="2"/>
        <v>0.03125</v>
      </c>
      <c r="H42" s="280" t="str">
        <f>IF(F42="♢♢", ((M4 * 100) / (COUNTIFS(F:F, "♢♢", E:E, E42) + COUNTIFS(F:F, "♢♢", E:E, "All") + IF(E42="All", COUNTIFS(F:F, "♢♢", E:E, E2), 0) - IF(E42="All", COUNTIFS(F:F, "♢♢", E:E, "All"), 0)))/100, 
   IF(F42="♢♢♢", ((M5 * 100) / (COUNTIFS(F:F, "♢♢♢", E:E, E42) + COUNTIFS(F:F, "♢♢♢", E:E, "All") + IF(E42="All", COUNTIFS(F:F, "♢♢♢", E:E, E2), 0) - IF(E42="All", COUNTIFS(F:F, "♢♢♢", E:E, "All"), 0)))/100, 
   IF(F42="♢♢♢♢", ((M6 * 100) / (COUNTIFS(F:F, "♢♢♢♢", E:E, E42) + COUNTIFS(F:F, "♢♢♢♢", E:E, "All") + IF(E42="All", COUNTIFS(F:F, "♢♢♢♢", E:E, E2), 0) - IF(E42="All", COUNTIFS(F:F, "♢♢♢♢", E:E, "All"), 0)))/100, 
   IF(F42="☆", ((M7 * 100) / (COUNTIFS(F:F, "☆", E:E, E42) + COUNTIFS(F:F, "☆", E:E, "All") + IF(E42="All", COUNTIFS(F:F, "☆", E:E, E2), 0) - IF(E42="All", COUNTIFS(F:F, "☆", E:E, "All"), 0)))/100, 
   IF(F42="☆☆", ((M8 * 100) / (COUNTIFS(F:F, "☆☆", E:E, E42) + COUNTIFS(F:F, "☆☆", E:E, "All") + IF(E42="All", COUNTIFS(F:F, "☆☆", E:E, E2), 0) - IF(E42="All", COUNTIFS(F:F, "☆☆", E:E, "All"), 0)))/100, 
   IF(F42="☆☆☆", ((M9 * 100) / (COUNTIFS(F:F, "☆☆☆", E:E, E42) + COUNTIFS(F:F, "☆☆☆", E:E, "All") + IF(E42="All", COUNTIFS(F:F, "☆☆☆", E:E, E2), 0) - IF(E42="All", COUNTIFS(F:F, "☆☆☆", E:E, "All"), 0)))/100, 
   IF(F42="♛", ((M10 * 100) / (COUNTIFS(F:F, "♛", E:E, E42) + COUNTIFS(F:F, "♛", E:E, "All") + IF(E42="All", COUNTIFS(F:F, "♛", E:E, E2), 0) - IF(E42="All", COUNTIFS(F:F, "♛", E:E, "All"), 0)))/100, "")))))))
</f>
        <v/>
      </c>
      <c r="I42" s="281" t="str">
        <f>IF(F42="♢♢", ((N4 * 100) / (COUNTIFS(F:F, "♢♢", E:E, E42) + COUNTIFS(F:F, "♢♢", E:E, "All") + IF(E42="All", COUNTIFS(F:F, "♢♢", E:E, E2), 0) - IF(E42="All", COUNTIFS(F:F, "♢♢", E:E, "All"), 0)))/100, 
   IF(F42="♢♢♢", ((N5 * 100) / (COUNTIFS(F:F, "♢♢♢", E:E, E42) + COUNTIFS(F:F, "♢♢♢", E:E, "All") + IF(E42="All", COUNTIFS(F:F, "♢♢♢", E:E, E2), 0) - IF(E42="All", COUNTIFS(F:F, "♢♢♢", E:E, "All"), 0)))/100, 
   IF(F42="♢♢♢♢", ((N6 * 100) / (COUNTIFS(F:F, "♢♢♢♢", E:E, E42) + COUNTIFS(F:F, "♢♢♢♢", E:E, "All") + IF(E42="All", COUNTIFS(F:F, "♢♢♢♢", E:E, E2), 0) - IF(E42="All", COUNTIFS(F:F, "♢♢♢♢", E:E, "All"), 0)))/100, 
   IF(F42="☆", ((N7 * 100) / (COUNTIFS(F:F, "☆", E:E, E42) + COUNTIFS(F:F, "☆", E:E, "All") + IF(E42="All", COUNTIFS(F:F, "☆", E:E, E2), 0) - IF(E42="All", COUNTIFS(F:F, "☆", E:E, "All"), 0)))/100, 
   IF(F42="☆☆", ((N8 * 100) / (COUNTIFS(F:F, "☆☆", E:E, E42) + COUNTIFS(F:F, "☆☆", E:E, "All") + IF(E42="All", COUNTIFS(F:F, "☆☆", E:E, E2), 0) - IF(E42="All", COUNTIFS(F:F, "☆☆", E:E, "All"), 0)))/100, 
   IF(F42="☆☆☆", ((N9 * 100) / (COUNTIFS(F:F, "☆☆☆", E:E, E42) + COUNTIFS(F:F, "☆☆☆", E:E, "All") + IF(E42="All", COUNTIFS(F:F, "☆☆☆", E:E, E2), 0) - IF(E42="All", COUNTIFS(F:F, "☆☆☆", E:E, "All"), 0)))/100, 
   IF(F42="♛", ((N10 * 100) / (COUNTIFS(F:F, "♛", E:E, E42) + COUNTIFS(F:F, "♛", E:E, "All") + IF(E42="All", COUNTIFS(F:F, "♛", E:E, E2), 0) - IF(E42="All", COUNTIFS(F:F, "♛", E:E, "All"), 0)))/100, "")))))))
</f>
        <v/>
      </c>
      <c r="J42" s="282"/>
      <c r="K42" s="23"/>
      <c r="L42" s="23"/>
      <c r="M42" s="23"/>
      <c r="N42" s="23"/>
    </row>
    <row r="43">
      <c r="A43" s="275" t="b">
        <f t="shared" si="1"/>
        <v>0</v>
      </c>
      <c r="B43" s="276">
        <v>0.0</v>
      </c>
      <c r="C43" s="277" t="s">
        <v>742</v>
      </c>
      <c r="D43" s="277" t="s">
        <v>400</v>
      </c>
      <c r="E43" s="277" t="s">
        <v>34</v>
      </c>
      <c r="F43" s="277" t="s">
        <v>44</v>
      </c>
      <c r="G43" s="279">
        <f t="shared" si="2"/>
        <v>0.03125</v>
      </c>
      <c r="H43" s="280" t="str">
        <f>IF(F43="♢♢", ((M4 * 100) / (COUNTIFS(F:F, "♢♢", E:E, E43) + COUNTIFS(F:F, "♢♢", E:E, "All") + IF(E43="All", COUNTIFS(F:F, "♢♢", E:E, E2), 0) - IF(E43="All", COUNTIFS(F:F, "♢♢", E:E, "All"), 0)))/100, 
   IF(F43="♢♢♢", ((M5 * 100) / (COUNTIFS(F:F, "♢♢♢", E:E, E43) + COUNTIFS(F:F, "♢♢♢", E:E, "All") + IF(E43="All", COUNTIFS(F:F, "♢♢♢", E:E, E2), 0) - IF(E43="All", COUNTIFS(F:F, "♢♢♢", E:E, "All"), 0)))/100, 
   IF(F43="♢♢♢♢", ((M6 * 100) / (COUNTIFS(F:F, "♢♢♢♢", E:E, E43) + COUNTIFS(F:F, "♢♢♢♢", E:E, "All") + IF(E43="All", COUNTIFS(F:F, "♢♢♢♢", E:E, E2), 0) - IF(E43="All", COUNTIFS(F:F, "♢♢♢♢", E:E, "All"), 0)))/100, 
   IF(F43="☆", ((M7 * 100) / (COUNTIFS(F:F, "☆", E:E, E43) + COUNTIFS(F:F, "☆", E:E, "All") + IF(E43="All", COUNTIFS(F:F, "☆", E:E, E2), 0) - IF(E43="All", COUNTIFS(F:F, "☆", E:E, "All"), 0)))/100, 
   IF(F43="☆☆", ((M8 * 100) / (COUNTIFS(F:F, "☆☆", E:E, E43) + COUNTIFS(F:F, "☆☆", E:E, "All") + IF(E43="All", COUNTIFS(F:F, "☆☆", E:E, E2), 0) - IF(E43="All", COUNTIFS(F:F, "☆☆", E:E, "All"), 0)))/100, 
   IF(F43="☆☆☆", ((M9 * 100) / (COUNTIFS(F:F, "☆☆☆", E:E, E43) + COUNTIFS(F:F, "☆☆☆", E:E, "All") + IF(E43="All", COUNTIFS(F:F, "☆☆☆", E:E, E2), 0) - IF(E43="All", COUNTIFS(F:F, "☆☆☆", E:E, "All"), 0)))/100, 
   IF(F43="♛", ((M10 * 100) / (COUNTIFS(F:F, "♛", E:E, E43) + COUNTIFS(F:F, "♛", E:E, "All") + IF(E43="All", COUNTIFS(F:F, "♛", E:E, E2), 0) - IF(E43="All", COUNTIFS(F:F, "♛", E:E, "All"), 0)))/100, "")))))))
</f>
        <v/>
      </c>
      <c r="I43" s="281" t="str">
        <f>IF(F43="♢♢", ((N4 * 100) / (COUNTIFS(F:F, "♢♢", E:E, E43) + COUNTIFS(F:F, "♢♢", E:E, "All") + IF(E43="All", COUNTIFS(F:F, "♢♢", E:E, E2), 0) - IF(E43="All", COUNTIFS(F:F, "♢♢", E:E, "All"), 0)))/100, 
   IF(F43="♢♢♢", ((N5 * 100) / (COUNTIFS(F:F, "♢♢♢", E:E, E43) + COUNTIFS(F:F, "♢♢♢", E:E, "All") + IF(E43="All", COUNTIFS(F:F, "♢♢♢", E:E, E2), 0) - IF(E43="All", COUNTIFS(F:F, "♢♢♢", E:E, "All"), 0)))/100, 
   IF(F43="♢♢♢♢", ((N6 * 100) / (COUNTIFS(F:F, "♢♢♢♢", E:E, E43) + COUNTIFS(F:F, "♢♢♢♢", E:E, "All") + IF(E43="All", COUNTIFS(F:F, "♢♢♢♢", E:E, E2), 0) - IF(E43="All", COUNTIFS(F:F, "♢♢♢♢", E:E, "All"), 0)))/100, 
   IF(F43="☆", ((N7 * 100) / (COUNTIFS(F:F, "☆", E:E, E43) + COUNTIFS(F:F, "☆", E:E, "All") + IF(E43="All", COUNTIFS(F:F, "☆", E:E, E2), 0) - IF(E43="All", COUNTIFS(F:F, "☆", E:E, "All"), 0)))/100, 
   IF(F43="☆☆", ((N8 * 100) / (COUNTIFS(F:F, "☆☆", E:E, E43) + COUNTIFS(F:F, "☆☆", E:E, "All") + IF(E43="All", COUNTIFS(F:F, "☆☆", E:E, E2), 0) - IF(E43="All", COUNTIFS(F:F, "☆☆", E:E, "All"), 0)))/100, 
   IF(F43="☆☆☆", ((N9 * 100) / (COUNTIFS(F:F, "☆☆☆", E:E, E43) + COUNTIFS(F:F, "☆☆☆", E:E, "All") + IF(E43="All", COUNTIFS(F:F, "☆☆☆", E:E, E2), 0) - IF(E43="All", COUNTIFS(F:F, "☆☆☆", E:E, "All"), 0)))/100, 
   IF(F43="♛", ((N10 * 100) / (COUNTIFS(F:F, "♛", E:E, E43) + COUNTIFS(F:F, "♛", E:E, "All") + IF(E43="All", COUNTIFS(F:F, "♛", E:E, E2), 0) - IF(E43="All", COUNTIFS(F:F, "♛", E:E, "All"), 0)))/100, "")))))))
</f>
        <v/>
      </c>
      <c r="J43" s="282"/>
      <c r="K43" s="23"/>
      <c r="L43" s="23"/>
      <c r="M43" s="23"/>
      <c r="N43" s="23"/>
    </row>
    <row r="44">
      <c r="A44" s="275" t="b">
        <f t="shared" si="1"/>
        <v>0</v>
      </c>
      <c r="B44" s="276">
        <v>0.0</v>
      </c>
      <c r="C44" s="277" t="s">
        <v>743</v>
      </c>
      <c r="D44" s="277" t="s">
        <v>410</v>
      </c>
      <c r="E44" s="277" t="s">
        <v>34</v>
      </c>
      <c r="F44" s="277" t="s">
        <v>44</v>
      </c>
      <c r="G44" s="279">
        <f t="shared" si="2"/>
        <v>0.03125</v>
      </c>
      <c r="H44" s="280" t="str">
        <f>IF(F44="♢♢", ((M4 * 100) / (COUNTIFS(F:F, "♢♢", E:E, E44) + COUNTIFS(F:F, "♢♢", E:E, "All") + IF(E44="All", COUNTIFS(F:F, "♢♢", E:E, E2), 0) - IF(E44="All", COUNTIFS(F:F, "♢♢", E:E, "All"), 0)))/100, 
   IF(F44="♢♢♢", ((M5 * 100) / (COUNTIFS(F:F, "♢♢♢", E:E, E44) + COUNTIFS(F:F, "♢♢♢", E:E, "All") + IF(E44="All", COUNTIFS(F:F, "♢♢♢", E:E, E2), 0) - IF(E44="All", COUNTIFS(F:F, "♢♢♢", E:E, "All"), 0)))/100, 
   IF(F44="♢♢♢♢", ((M6 * 100) / (COUNTIFS(F:F, "♢♢♢♢", E:E, E44) + COUNTIFS(F:F, "♢♢♢♢", E:E, "All") + IF(E44="All", COUNTIFS(F:F, "♢♢♢♢", E:E, E2), 0) - IF(E44="All", COUNTIFS(F:F, "♢♢♢♢", E:E, "All"), 0)))/100, 
   IF(F44="☆", ((M7 * 100) / (COUNTIFS(F:F, "☆", E:E, E44) + COUNTIFS(F:F, "☆", E:E, "All") + IF(E44="All", COUNTIFS(F:F, "☆", E:E, E2), 0) - IF(E44="All", COUNTIFS(F:F, "☆", E:E, "All"), 0)))/100, 
   IF(F44="☆☆", ((M8 * 100) / (COUNTIFS(F:F, "☆☆", E:E, E44) + COUNTIFS(F:F, "☆☆", E:E, "All") + IF(E44="All", COUNTIFS(F:F, "☆☆", E:E, E2), 0) - IF(E44="All", COUNTIFS(F:F, "☆☆", E:E, "All"), 0)))/100, 
   IF(F44="☆☆☆", ((M9 * 100) / (COUNTIFS(F:F, "☆☆☆", E:E, E44) + COUNTIFS(F:F, "☆☆☆", E:E, "All") + IF(E44="All", COUNTIFS(F:F, "☆☆☆", E:E, E2), 0) - IF(E44="All", COUNTIFS(F:F, "☆☆☆", E:E, "All"), 0)))/100, 
   IF(F44="♛", ((M10 * 100) / (COUNTIFS(F:F, "♛", E:E, E44) + COUNTIFS(F:F, "♛", E:E, "All") + IF(E44="All", COUNTIFS(F:F, "♛", E:E, E2), 0) - IF(E44="All", COUNTIFS(F:F, "♛", E:E, "All"), 0)))/100, "")))))))
</f>
        <v/>
      </c>
      <c r="I44" s="281" t="str">
        <f>IF(F44="♢♢", ((N4 * 100) / (COUNTIFS(F:F, "♢♢", E:E, E44) + COUNTIFS(F:F, "♢♢", E:E, "All") + IF(E44="All", COUNTIFS(F:F, "♢♢", E:E, E2), 0) - IF(E44="All", COUNTIFS(F:F, "♢♢", E:E, "All"), 0)))/100, 
   IF(F44="♢♢♢", ((N5 * 100) / (COUNTIFS(F:F, "♢♢♢", E:E, E44) + COUNTIFS(F:F, "♢♢♢", E:E, "All") + IF(E44="All", COUNTIFS(F:F, "♢♢♢", E:E, E2), 0) - IF(E44="All", COUNTIFS(F:F, "♢♢♢", E:E, "All"), 0)))/100, 
   IF(F44="♢♢♢♢", ((N6 * 100) / (COUNTIFS(F:F, "♢♢♢♢", E:E, E44) + COUNTIFS(F:F, "♢♢♢♢", E:E, "All") + IF(E44="All", COUNTIFS(F:F, "♢♢♢♢", E:E, E2), 0) - IF(E44="All", COUNTIFS(F:F, "♢♢♢♢", E:E, "All"), 0)))/100, 
   IF(F44="☆", ((N7 * 100) / (COUNTIFS(F:F, "☆", E:E, E44) + COUNTIFS(F:F, "☆", E:E, "All") + IF(E44="All", COUNTIFS(F:F, "☆", E:E, E2), 0) - IF(E44="All", COUNTIFS(F:F, "☆", E:E, "All"), 0)))/100, 
   IF(F44="☆☆", ((N8 * 100) / (COUNTIFS(F:F, "☆☆", E:E, E44) + COUNTIFS(F:F, "☆☆", E:E, "All") + IF(E44="All", COUNTIFS(F:F, "☆☆", E:E, E2), 0) - IF(E44="All", COUNTIFS(F:F, "☆☆", E:E, "All"), 0)))/100, 
   IF(F44="☆☆☆", ((N9 * 100) / (COUNTIFS(F:F, "☆☆☆", E:E, E44) + COUNTIFS(F:F, "☆☆☆", E:E, "All") + IF(E44="All", COUNTIFS(F:F, "☆☆☆", E:E, E2), 0) - IF(E44="All", COUNTIFS(F:F, "☆☆☆", E:E, "All"), 0)))/100, 
   IF(F44="♛", ((N10 * 100) / (COUNTIFS(F:F, "♛", E:E, E44) + COUNTIFS(F:F, "♛", E:E, "All") + IF(E44="All", COUNTIFS(F:F, "♛", E:E, E2), 0) - IF(E44="All", COUNTIFS(F:F, "♛", E:E, "All"), 0)))/100, "")))))))
</f>
        <v/>
      </c>
      <c r="J44" s="282"/>
      <c r="K44" s="23"/>
      <c r="L44" s="23"/>
      <c r="M44" s="23"/>
      <c r="N44" s="23"/>
    </row>
    <row r="45">
      <c r="A45" s="275" t="b">
        <f t="shared" si="1"/>
        <v>0</v>
      </c>
      <c r="B45" s="276">
        <v>0.0</v>
      </c>
      <c r="C45" s="277" t="s">
        <v>744</v>
      </c>
      <c r="D45" s="277" t="s">
        <v>745</v>
      </c>
      <c r="E45" s="277" t="s">
        <v>34</v>
      </c>
      <c r="F45" s="277" t="s">
        <v>46</v>
      </c>
      <c r="G45" s="279" t="str">
        <f t="shared" si="2"/>
        <v/>
      </c>
      <c r="H45" s="280">
        <f>IF(F45="♢♢", ((M4 * 100) / (COUNTIFS(F:F, "♢♢", E:E, E45) + COUNTIFS(F:F, "♢♢", E:E, "All") + IF(E45="All", COUNTIFS(F:F, "♢♢", E:E, E2), 0) - IF(E45="All", COUNTIFS(F:F, "♢♢", E:E, "All"), 0)))/100, 
   IF(F45="♢♢♢", ((M5 * 100) / (COUNTIFS(F:F, "♢♢♢", E:E, E45) + COUNTIFS(F:F, "♢♢♢", E:E, "All") + IF(E45="All", COUNTIFS(F:F, "♢♢♢", E:E, E2), 0) - IF(E45="All", COUNTIFS(F:F, "♢♢♢", E:E, "All"), 0)))/100, 
   IF(F45="♢♢♢♢", ((M6 * 100) / (COUNTIFS(F:F, "♢♢♢♢", E:E, E45) + COUNTIFS(F:F, "♢♢♢♢", E:E, "All") + IF(E45="All", COUNTIFS(F:F, "♢♢♢♢", E:E, E2), 0) - IF(E45="All", COUNTIFS(F:F, "♢♢♢♢", E:E, "All"), 0)))/100, 
   IF(F45="☆", ((M7 * 100) / (COUNTIFS(F:F, "☆", E:E, E45) + COUNTIFS(F:F, "☆", E:E, "All") + IF(E45="All", COUNTIFS(F:F, "☆", E:E, E2), 0) - IF(E45="All", COUNTIFS(F:F, "☆", E:E, "All"), 0)))/100, 
   IF(F45="☆☆", ((M8 * 100) / (COUNTIFS(F:F, "☆☆", E:E, E45) + COUNTIFS(F:F, "☆☆", E:E, "All") + IF(E45="All", COUNTIFS(F:F, "☆☆", E:E, E2), 0) - IF(E45="All", COUNTIFS(F:F, "☆☆", E:E, "All"), 0)))/100, 
   IF(F45="☆☆☆", ((M9 * 100) / (COUNTIFS(F:F, "☆☆☆", E:E, E45) + COUNTIFS(F:F, "☆☆☆", E:E, "All") + IF(E45="All", COUNTIFS(F:F, "☆☆☆", E:E, E2), 0) - IF(E45="All", COUNTIFS(F:F, "☆☆☆", E:E, "All"), 0)))/100, 
   IF(F45="♛", ((M10 * 100) / (COUNTIFS(F:F, "♛", E:E, E45) + COUNTIFS(F:F, "♛", E:E, "All") + IF(E45="All", COUNTIFS(F:F, "♛", E:E, E2), 0) - IF(E45="All", COUNTIFS(F:F, "♛", E:E, "All"), 0)))/100, "")))))))
</f>
        <v>0.03913043478</v>
      </c>
      <c r="I45" s="281">
        <f>IF(F45="♢♢", ((N4 * 100) / (COUNTIFS(F:F, "♢♢", E:E, E45) + COUNTIFS(F:F, "♢♢", E:E, "All") + IF(E45="All", COUNTIFS(F:F, "♢♢", E:E, E2), 0) - IF(E45="All", COUNTIFS(F:F, "♢♢", E:E, "All"), 0)))/100, 
   IF(F45="♢♢♢", ((N5 * 100) / (COUNTIFS(F:F, "♢♢♢", E:E, E45) + COUNTIFS(F:F, "♢♢♢", E:E, "All") + IF(E45="All", COUNTIFS(F:F, "♢♢♢", E:E, E2), 0) - IF(E45="All", COUNTIFS(F:F, "♢♢♢", E:E, "All"), 0)))/100, 
   IF(F45="♢♢♢♢", ((N6 * 100) / (COUNTIFS(F:F, "♢♢♢♢", E:E, E45) + COUNTIFS(F:F, "♢♢♢♢", E:E, "All") + IF(E45="All", COUNTIFS(F:F, "♢♢♢♢", E:E, E2), 0) - IF(E45="All", COUNTIFS(F:F, "♢♢♢♢", E:E, "All"), 0)))/100, 
   IF(F45="☆", ((N7 * 100) / (COUNTIFS(F:F, "☆", E:E, E45) + COUNTIFS(F:F, "☆", E:E, "All") + IF(E45="All", COUNTIFS(F:F, "☆", E:E, E2), 0) - IF(E45="All", COUNTIFS(F:F, "☆", E:E, "All"), 0)))/100, 
   IF(F45="☆☆", ((N8 * 100) / (COUNTIFS(F:F, "☆☆", E:E, E45) + COUNTIFS(F:F, "☆☆", E:E, "All") + IF(E45="All", COUNTIFS(F:F, "☆☆", E:E, E2), 0) - IF(E45="All", COUNTIFS(F:F, "☆☆", E:E, "All"), 0)))/100, 
   IF(F45="☆☆☆", ((N9 * 100) / (COUNTIFS(F:F, "☆☆☆", E:E, E45) + COUNTIFS(F:F, "☆☆☆", E:E, "All") + IF(E45="All", COUNTIFS(F:F, "☆☆☆", E:E, E2), 0) - IF(E45="All", COUNTIFS(F:F, "☆☆☆", E:E, "All"), 0)))/100, 
   IF(F45="♛", ((N10 * 100) / (COUNTIFS(F:F, "♛", E:E, E45) + COUNTIFS(F:F, "♛", E:E, "All") + IF(E45="All", COUNTIFS(F:F, "♛", E:E, E2), 0) - IF(E45="All", COUNTIFS(F:F, "♛", E:E, "All"), 0)))/100, "")))))))
</f>
        <v>0.02608695652</v>
      </c>
      <c r="J45" s="282"/>
      <c r="K45" s="23"/>
      <c r="L45" s="23"/>
      <c r="M45" s="23"/>
      <c r="N45" s="23"/>
    </row>
    <row r="46">
      <c r="A46" s="275" t="b">
        <f t="shared" si="1"/>
        <v>0</v>
      </c>
      <c r="B46" s="276">
        <v>0.0</v>
      </c>
      <c r="C46" s="277" t="s">
        <v>746</v>
      </c>
      <c r="D46" s="277" t="s">
        <v>414</v>
      </c>
      <c r="E46" s="277" t="s">
        <v>34</v>
      </c>
      <c r="F46" s="278" t="s">
        <v>48</v>
      </c>
      <c r="G46" s="279" t="str">
        <f t="shared" si="2"/>
        <v/>
      </c>
      <c r="H46" s="280">
        <f>IF(F46="♢♢", ((M4 * 100) / (COUNTIFS(F:F, "♢♢", E:E, E46) + COUNTIFS(F:F, "♢♢", E:E, "All") + IF(E46="All", COUNTIFS(F:F, "♢♢", E:E, E2), 0) - IF(E46="All", COUNTIFS(F:F, "♢♢", E:E, "All"), 0)))/100, 
   IF(F46="♢♢♢", ((M5 * 100) / (COUNTIFS(F:F, "♢♢♢", E:E, E46) + COUNTIFS(F:F, "♢♢♢", E:E, "All") + IF(E46="All", COUNTIFS(F:F, "♢♢♢", E:E, E2), 0) - IF(E46="All", COUNTIFS(F:F, "♢♢♢", E:E, "All"), 0)))/100, 
   IF(F46="♢♢♢♢", ((M6 * 100) / (COUNTIFS(F:F, "♢♢♢♢", E:E, E46) + COUNTIFS(F:F, "♢♢♢♢", E:E, "All") + IF(E46="All", COUNTIFS(F:F, "♢♢♢♢", E:E, E2), 0) - IF(E46="All", COUNTIFS(F:F, "♢♢♢♢", E:E, "All"), 0)))/100, 
   IF(F46="☆", ((M7 * 100) / (COUNTIFS(F:F, "☆", E:E, E46) + COUNTIFS(F:F, "☆", E:E, "All") + IF(E46="All", COUNTIFS(F:F, "☆", E:E, E2), 0) - IF(E46="All", COUNTIFS(F:F, "☆", E:E, "All"), 0)))/100, 
   IF(F46="☆☆", ((M8 * 100) / (COUNTIFS(F:F, "☆☆", E:E, E46) + COUNTIFS(F:F, "☆☆", E:E, "All") + IF(E46="All", COUNTIFS(F:F, "☆☆", E:E, E2), 0) - IF(E46="All", COUNTIFS(F:F, "☆☆", E:E, "All"), 0)))/100, 
   IF(F46="☆☆☆", ((M9 * 100) / (COUNTIFS(F:F, "☆☆☆", E:E, E46) + COUNTIFS(F:F, "☆☆☆", E:E, "All") + IF(E46="All", COUNTIFS(F:F, "☆☆☆", E:E, E2), 0) - IF(E46="All", COUNTIFS(F:F, "☆☆☆", E:E, "All"), 0)))/100, 
   IF(F46="♛", ((M10 * 100) / (COUNTIFS(F:F, "♛", E:E, E46) + COUNTIFS(F:F, "♛", E:E, "All") + IF(E46="All", COUNTIFS(F:F, "♛", E:E, E2), 0) - IF(E46="All", COUNTIFS(F:F, "♛", E:E, "All"), 0)))/100, "")))))))
</f>
        <v>0.00625</v>
      </c>
      <c r="I46" s="281">
        <f>IF(F46="♢♢", ((N4 * 100) / (COUNTIFS(F:F, "♢♢", E:E, E46) + COUNTIFS(F:F, "♢♢", E:E, "All") + IF(E46="All", COUNTIFS(F:F, "♢♢", E:E, E2), 0) - IF(E46="All", COUNTIFS(F:F, "♢♢", E:E, "All"), 0)))/100, 
   IF(F46="♢♢♢", ((N5 * 100) / (COUNTIFS(F:F, "♢♢♢", E:E, E46) + COUNTIFS(F:F, "♢♢♢", E:E, "All") + IF(E46="All", COUNTIFS(F:F, "♢♢♢", E:E, E2), 0) - IF(E46="All", COUNTIFS(F:F, "♢♢♢", E:E, "All"), 0)))/100, 
   IF(F46="♢♢♢♢", ((N6 * 100) / (COUNTIFS(F:F, "♢♢♢♢", E:E, E46) + COUNTIFS(F:F, "♢♢♢♢", E:E, "All") + IF(E46="All", COUNTIFS(F:F, "♢♢♢♢", E:E, E2), 0) - IF(E46="All", COUNTIFS(F:F, "♢♢♢♢", E:E, "All"), 0)))/100, 
   IF(F46="☆", ((N7 * 100) / (COUNTIFS(F:F, "☆", E:E, E46) + COUNTIFS(F:F, "☆", E:E, "All") + IF(E46="All", COUNTIFS(F:F, "☆", E:E, E2), 0) - IF(E46="All", COUNTIFS(F:F, "☆", E:E, "All"), 0)))/100, 
   IF(F46="☆☆", ((N8 * 100) / (COUNTIFS(F:F, "☆☆", E:E, E46) + COUNTIFS(F:F, "☆☆", E:E, "All") + IF(E46="All", COUNTIFS(F:F, "☆☆", E:E, E2), 0) - IF(E46="All", COUNTIFS(F:F, "☆☆", E:E, "All"), 0)))/100, 
   IF(F46="☆☆☆", ((N9 * 100) / (COUNTIFS(F:F, "☆☆☆", E:E, E46) + COUNTIFS(F:F, "☆☆☆", E:E, "All") + IF(E46="All", COUNTIFS(F:F, "☆☆☆", E:E, E2), 0) - IF(E46="All", COUNTIFS(F:F, "☆☆☆", E:E, "All"), 0)))/100, 
   IF(F46="♛", ((N10 * 100) / (COUNTIFS(F:F, "♛", E:E, E46) + COUNTIFS(F:F, "♛", E:E, "All") + IF(E46="All", COUNTIFS(F:F, "♛", E:E, E2), 0) - IF(E46="All", COUNTIFS(F:F, "♛", E:E, "All"), 0)))/100, "")))))))
</f>
        <v>0.025</v>
      </c>
      <c r="J46" s="282"/>
      <c r="K46" s="23"/>
      <c r="L46" s="23"/>
      <c r="M46" s="23"/>
      <c r="N46" s="23"/>
    </row>
    <row r="47">
      <c r="A47" s="275" t="b">
        <f t="shared" si="1"/>
        <v>0</v>
      </c>
      <c r="B47" s="276">
        <v>0.0</v>
      </c>
      <c r="C47" s="277" t="s">
        <v>747</v>
      </c>
      <c r="D47" s="277" t="s">
        <v>748</v>
      </c>
      <c r="E47" s="277" t="s">
        <v>34</v>
      </c>
      <c r="F47" s="278" t="s">
        <v>51</v>
      </c>
      <c r="G47" s="279" t="str">
        <f t="shared" si="2"/>
        <v/>
      </c>
      <c r="H47" s="280">
        <f>IF(F47="♢♢", ((M4 * 100) / (COUNTIFS(F:F, "♢♢", E:E, E47) + COUNTIFS(F:F, "♢♢", E:E, "All") + IF(E47="All", COUNTIFS(F:F, "♢♢", E:E, E2), 0) - IF(E47="All", COUNTIFS(F:F, "♢♢", E:E, "All"), 0)))/100, 
   IF(F47="♢♢♢", ((M5 * 100) / (COUNTIFS(F:F, "♢♢♢", E:E, E47) + COUNTIFS(F:F, "♢♢♢", E:E, "All") + IF(E47="All", COUNTIFS(F:F, "♢♢♢", E:E, E2), 0) - IF(E47="All", COUNTIFS(F:F, "♢♢♢", E:E, "All"), 0)))/100, 
   IF(F47="♢♢♢♢", ((M6 * 100) / (COUNTIFS(F:F, "♢♢♢♢", E:E, E47) + COUNTIFS(F:F, "♢♢♢♢", E:E, "All") + IF(E47="All", COUNTIFS(F:F, "♢♢♢♢", E:E, E2), 0) - IF(E47="All", COUNTIFS(F:F, "♢♢♢♢", E:E, "All"), 0)))/100, 
   IF(F47="☆", ((M7 * 100) / (COUNTIFS(F:F, "☆", E:E, E47) + COUNTIFS(F:F, "☆", E:E, "All") + IF(E47="All", COUNTIFS(F:F, "☆", E:E, E2), 0) - IF(E47="All", COUNTIFS(F:F, "☆", E:E, "All"), 0)))/100, 
   IF(F47="☆☆", ((M8 * 100) / (COUNTIFS(F:F, "☆☆", E:E, E47) + COUNTIFS(F:F, "☆☆", E:E, "All") + IF(E47="All", COUNTIFS(F:F, "☆☆", E:E, E2), 0) - IF(E47="All", COUNTIFS(F:F, "☆☆", E:E, "All"), 0)))/100, 
   IF(F47="☆☆☆", ((M9 * 100) / (COUNTIFS(F:F, "☆☆☆", E:E, E47) + COUNTIFS(F:F, "☆☆☆", E:E, "All") + IF(E47="All", COUNTIFS(F:F, "☆☆☆", E:E, E2), 0) - IF(E47="All", COUNTIFS(F:F, "☆☆☆", E:E, "All"), 0)))/100, 
   IF(F47="♛", ((M10 * 100) / (COUNTIFS(F:F, "♛", E:E, E47) + COUNTIFS(F:F, "♛", E:E, "All") + IF(E47="All", COUNTIFS(F:F, "♛", E:E, E2), 0) - IF(E47="All", COUNTIFS(F:F, "♛", E:E, "All"), 0)))/100, "")))))))
</f>
        <v>0.003332</v>
      </c>
      <c r="I47" s="281">
        <f>IF(F47="♢♢", ((N4 * 100) / (COUNTIFS(F:F, "♢♢", E:E, E47) + COUNTIFS(F:F, "♢♢", E:E, "All") + IF(E47="All", COUNTIFS(F:F, "♢♢", E:E, E2), 0) - IF(E47="All", COUNTIFS(F:F, "♢♢", E:E, "All"), 0)))/100, 
   IF(F47="♢♢♢", ((N5 * 100) / (COUNTIFS(F:F, "♢♢♢", E:E, E47) + COUNTIFS(F:F, "♢♢♢", E:E, "All") + IF(E47="All", COUNTIFS(F:F, "♢♢♢", E:E, E2), 0) - IF(E47="All", COUNTIFS(F:F, "♢♢♢", E:E, "All"), 0)))/100, 
   IF(F47="♢♢♢♢", ((N6 * 100) / (COUNTIFS(F:F, "♢♢♢♢", E:E, E47) + COUNTIFS(F:F, "♢♢♢♢", E:E, "All") + IF(E47="All", COUNTIFS(F:F, "♢♢♢♢", E:E, E2), 0) - IF(E47="All", COUNTIFS(F:F, "♢♢♢♢", E:E, "All"), 0)))/100, 
   IF(F47="☆", ((N7 * 100) / (COUNTIFS(F:F, "☆", E:E, E47) + COUNTIFS(F:F, "☆", E:E, "All") + IF(E47="All", COUNTIFS(F:F, "☆", E:E, E2), 0) - IF(E47="All", COUNTIFS(F:F, "☆", E:E, "All"), 0)))/100, 
   IF(F47="☆☆", ((N8 * 100) / (COUNTIFS(F:F, "☆☆", E:E, E47) + COUNTIFS(F:F, "☆☆", E:E, "All") + IF(E47="All", COUNTIFS(F:F, "☆☆", E:E, E2), 0) - IF(E47="All", COUNTIFS(F:F, "☆☆", E:E, "All"), 0)))/100, 
   IF(F47="☆☆☆", ((N9 * 100) / (COUNTIFS(F:F, "☆☆☆", E:E, E47) + COUNTIFS(F:F, "☆☆☆", E:E, "All") + IF(E47="All", COUNTIFS(F:F, "☆☆☆", E:E, E2), 0) - IF(E47="All", COUNTIFS(F:F, "☆☆☆", E:E, "All"), 0)))/100, 
   IF(F47="♛", ((N10 * 100) / (COUNTIFS(F:F, "♛", E:E, E47) + COUNTIFS(F:F, "♛", E:E, "All") + IF(E47="All", COUNTIFS(F:F, "♛", E:E, E2), 0) - IF(E47="All", COUNTIFS(F:F, "♛", E:E, "All"), 0)))/100, "")))))))
</f>
        <v>0.013328</v>
      </c>
      <c r="J47" s="282"/>
      <c r="K47" s="23"/>
      <c r="L47" s="23"/>
      <c r="M47" s="23"/>
      <c r="N47" s="23"/>
    </row>
    <row r="48">
      <c r="A48" s="275" t="b">
        <f t="shared" si="1"/>
        <v>0</v>
      </c>
      <c r="B48" s="276">
        <v>0.0</v>
      </c>
      <c r="C48" s="277" t="s">
        <v>749</v>
      </c>
      <c r="D48" s="277" t="s">
        <v>750</v>
      </c>
      <c r="E48" s="277" t="s">
        <v>34</v>
      </c>
      <c r="F48" s="277" t="s">
        <v>48</v>
      </c>
      <c r="G48" s="279" t="str">
        <f t="shared" si="2"/>
        <v/>
      </c>
      <c r="H48" s="280">
        <f>IF(F48="♢♢", ((M4 * 100) / (COUNTIFS(F:F, "♢♢", E:E, E48) + COUNTIFS(F:F, "♢♢", E:E, "All") + IF(E48="All", COUNTIFS(F:F, "♢♢", E:E, E2), 0) - IF(E48="All", COUNTIFS(F:F, "♢♢", E:E, "All"), 0)))/100, 
   IF(F48="♢♢♢", ((M5 * 100) / (COUNTIFS(F:F, "♢♢♢", E:E, E48) + COUNTIFS(F:F, "♢♢♢", E:E, "All") + IF(E48="All", COUNTIFS(F:F, "♢♢♢", E:E, E2), 0) - IF(E48="All", COUNTIFS(F:F, "♢♢♢", E:E, "All"), 0)))/100, 
   IF(F48="♢♢♢♢", ((M6 * 100) / (COUNTIFS(F:F, "♢♢♢♢", E:E, E48) + COUNTIFS(F:F, "♢♢♢♢", E:E, "All") + IF(E48="All", COUNTIFS(F:F, "♢♢♢♢", E:E, E2), 0) - IF(E48="All", COUNTIFS(F:F, "♢♢♢♢", E:E, "All"), 0)))/100, 
   IF(F48="☆", ((M7 * 100) / (COUNTIFS(F:F, "☆", E:E, E48) + COUNTIFS(F:F, "☆", E:E, "All") + IF(E48="All", COUNTIFS(F:F, "☆", E:E, E2), 0) - IF(E48="All", COUNTIFS(F:F, "☆", E:E, "All"), 0)))/100, 
   IF(F48="☆☆", ((M8 * 100) / (COUNTIFS(F:F, "☆☆", E:E, E48) + COUNTIFS(F:F, "☆☆", E:E, "All") + IF(E48="All", COUNTIFS(F:F, "☆☆", E:E, E2), 0) - IF(E48="All", COUNTIFS(F:F, "☆☆", E:E, "All"), 0)))/100, 
   IF(F48="☆☆☆", ((M9 * 100) / (COUNTIFS(F:F, "☆☆☆", E:E, E48) + COUNTIFS(F:F, "☆☆☆", E:E, "All") + IF(E48="All", COUNTIFS(F:F, "☆☆☆", E:E, E2), 0) - IF(E48="All", COUNTIFS(F:F, "☆☆☆", E:E, "All"), 0)))/100, 
   IF(F48="♛", ((M10 * 100) / (COUNTIFS(F:F, "♛", E:E, E48) + COUNTIFS(F:F, "♛", E:E, "All") + IF(E48="All", COUNTIFS(F:F, "♛", E:E, E2), 0) - IF(E48="All", COUNTIFS(F:F, "♛", E:E, "All"), 0)))/100, "")))))))
</f>
        <v>0.00625</v>
      </c>
      <c r="I48" s="281">
        <f>IF(F48="♢♢", ((N4 * 100) / (COUNTIFS(F:F, "♢♢", E:E, E48) + COUNTIFS(F:F, "♢♢", E:E, "All") + IF(E48="All", COUNTIFS(F:F, "♢♢", E:E, E2), 0) - IF(E48="All", COUNTIFS(F:F, "♢♢", E:E, "All"), 0)))/100, 
   IF(F48="♢♢♢", ((N5 * 100) / (COUNTIFS(F:F, "♢♢♢", E:E, E48) + COUNTIFS(F:F, "♢♢♢", E:E, "All") + IF(E48="All", COUNTIFS(F:F, "♢♢♢", E:E, E2), 0) - IF(E48="All", COUNTIFS(F:F, "♢♢♢", E:E, "All"), 0)))/100, 
   IF(F48="♢♢♢♢", ((N6 * 100) / (COUNTIFS(F:F, "♢♢♢♢", E:E, E48) + COUNTIFS(F:F, "♢♢♢♢", E:E, "All") + IF(E48="All", COUNTIFS(F:F, "♢♢♢♢", E:E, E2), 0) - IF(E48="All", COUNTIFS(F:F, "♢♢♢♢", E:E, "All"), 0)))/100, 
   IF(F48="☆", ((N7 * 100) / (COUNTIFS(F:F, "☆", E:E, E48) + COUNTIFS(F:F, "☆", E:E, "All") + IF(E48="All", COUNTIFS(F:F, "☆", E:E, E2), 0) - IF(E48="All", COUNTIFS(F:F, "☆", E:E, "All"), 0)))/100, 
   IF(F48="☆☆", ((N8 * 100) / (COUNTIFS(F:F, "☆☆", E:E, E48) + COUNTIFS(F:F, "☆☆", E:E, "All") + IF(E48="All", COUNTIFS(F:F, "☆☆", E:E, E2), 0) - IF(E48="All", COUNTIFS(F:F, "☆☆", E:E, "All"), 0)))/100, 
   IF(F48="☆☆☆", ((N9 * 100) / (COUNTIFS(F:F, "☆☆☆", E:E, E48) + COUNTIFS(F:F, "☆☆☆", E:E, "All") + IF(E48="All", COUNTIFS(F:F, "☆☆☆", E:E, E2), 0) - IF(E48="All", COUNTIFS(F:F, "☆☆☆", E:E, "All"), 0)))/100, 
   IF(F48="♛", ((N10 * 100) / (COUNTIFS(F:F, "♛", E:E, E48) + COUNTIFS(F:F, "♛", E:E, "All") + IF(E48="All", COUNTIFS(F:F, "♛", E:E, E2), 0) - IF(E48="All", COUNTIFS(F:F, "♛", E:E, "All"), 0)))/100, "")))))))
</f>
        <v>0.025</v>
      </c>
      <c r="J48" s="282"/>
      <c r="K48" s="23"/>
      <c r="L48" s="23"/>
      <c r="M48" s="23"/>
      <c r="N48" s="23"/>
    </row>
    <row r="49">
      <c r="A49" s="275" t="b">
        <f t="shared" si="1"/>
        <v>0</v>
      </c>
      <c r="B49" s="276">
        <v>0.0</v>
      </c>
      <c r="C49" s="277" t="s">
        <v>751</v>
      </c>
      <c r="D49" s="277" t="s">
        <v>752</v>
      </c>
      <c r="E49" s="277" t="s">
        <v>34</v>
      </c>
      <c r="F49" s="278" t="s">
        <v>46</v>
      </c>
      <c r="G49" s="279" t="str">
        <f t="shared" si="2"/>
        <v/>
      </c>
      <c r="H49" s="280">
        <f>IF(F49="♢♢", ((M4 * 100) / (COUNTIFS(F:F, "♢♢", E:E, E49) + COUNTIFS(F:F, "♢♢", E:E, "All") + IF(E49="All", COUNTIFS(F:F, "♢♢", E:E, E2), 0) - IF(E49="All", COUNTIFS(F:F, "♢♢", E:E, "All"), 0)))/100, 
   IF(F49="♢♢♢", ((M5 * 100) / (COUNTIFS(F:F, "♢♢♢", E:E, E49) + COUNTIFS(F:F, "♢♢♢", E:E, "All") + IF(E49="All", COUNTIFS(F:F, "♢♢♢", E:E, E2), 0) - IF(E49="All", COUNTIFS(F:F, "♢♢♢", E:E, "All"), 0)))/100, 
   IF(F49="♢♢♢♢", ((M6 * 100) / (COUNTIFS(F:F, "♢♢♢♢", E:E, E49) + COUNTIFS(F:F, "♢♢♢♢", E:E, "All") + IF(E49="All", COUNTIFS(F:F, "♢♢♢♢", E:E, E2), 0) - IF(E49="All", COUNTIFS(F:F, "♢♢♢♢", E:E, "All"), 0)))/100, 
   IF(F49="☆", ((M7 * 100) / (COUNTIFS(F:F, "☆", E:E, E49) + COUNTIFS(F:F, "☆", E:E, "All") + IF(E49="All", COUNTIFS(F:F, "☆", E:E, E2), 0) - IF(E49="All", COUNTIFS(F:F, "☆", E:E, "All"), 0)))/100, 
   IF(F49="☆☆", ((M8 * 100) / (COUNTIFS(F:F, "☆☆", E:E, E49) + COUNTIFS(F:F, "☆☆", E:E, "All") + IF(E49="All", COUNTIFS(F:F, "☆☆", E:E, E2), 0) - IF(E49="All", COUNTIFS(F:F, "☆☆", E:E, "All"), 0)))/100, 
   IF(F49="☆☆☆", ((M9 * 100) / (COUNTIFS(F:F, "☆☆☆", E:E, E49) + COUNTIFS(F:F, "☆☆☆", E:E, "All") + IF(E49="All", COUNTIFS(F:F, "☆☆☆", E:E, E2), 0) - IF(E49="All", COUNTIFS(F:F, "☆☆☆", E:E, "All"), 0)))/100, 
   IF(F49="♛", ((M10 * 100) / (COUNTIFS(F:F, "♛", E:E, E49) + COUNTIFS(F:F, "♛", E:E, "All") + IF(E49="All", COUNTIFS(F:F, "♛", E:E, E2), 0) - IF(E49="All", COUNTIFS(F:F, "♛", E:E, "All"), 0)))/100, "")))))))
</f>
        <v>0.03913043478</v>
      </c>
      <c r="I49" s="281">
        <f>IF(F49="♢♢", ((N4 * 100) / (COUNTIFS(F:F, "♢♢", E:E, E49) + COUNTIFS(F:F, "♢♢", E:E, "All") + IF(E49="All", COUNTIFS(F:F, "♢♢", E:E, E2), 0) - IF(E49="All", COUNTIFS(F:F, "♢♢", E:E, "All"), 0)))/100, 
   IF(F49="♢♢♢", ((N5 * 100) / (COUNTIFS(F:F, "♢♢♢", E:E, E49) + COUNTIFS(F:F, "♢♢♢", E:E, "All") + IF(E49="All", COUNTIFS(F:F, "♢♢♢", E:E, E2), 0) - IF(E49="All", COUNTIFS(F:F, "♢♢♢", E:E, "All"), 0)))/100, 
   IF(F49="♢♢♢♢", ((N6 * 100) / (COUNTIFS(F:F, "♢♢♢♢", E:E, E49) + COUNTIFS(F:F, "♢♢♢♢", E:E, "All") + IF(E49="All", COUNTIFS(F:F, "♢♢♢♢", E:E, E2), 0) - IF(E49="All", COUNTIFS(F:F, "♢♢♢♢", E:E, "All"), 0)))/100, 
   IF(F49="☆", ((N7 * 100) / (COUNTIFS(F:F, "☆", E:E, E49) + COUNTIFS(F:F, "☆", E:E, "All") + IF(E49="All", COUNTIFS(F:F, "☆", E:E, E2), 0) - IF(E49="All", COUNTIFS(F:F, "☆", E:E, "All"), 0)))/100, 
   IF(F49="☆☆", ((N8 * 100) / (COUNTIFS(F:F, "☆☆", E:E, E49) + COUNTIFS(F:F, "☆☆", E:E, "All") + IF(E49="All", COUNTIFS(F:F, "☆☆", E:E, E2), 0) - IF(E49="All", COUNTIFS(F:F, "☆☆", E:E, "All"), 0)))/100, 
   IF(F49="☆☆☆", ((N9 * 100) / (COUNTIFS(F:F, "☆☆☆", E:E, E49) + COUNTIFS(F:F, "☆☆☆", E:E, "All") + IF(E49="All", COUNTIFS(F:F, "☆☆☆", E:E, E2), 0) - IF(E49="All", COUNTIFS(F:F, "☆☆☆", E:E, "All"), 0)))/100, 
   IF(F49="♛", ((N10 * 100) / (COUNTIFS(F:F, "♛", E:E, E49) + COUNTIFS(F:F, "♛", E:E, "All") + IF(E49="All", COUNTIFS(F:F, "♛", E:E, E2), 0) - IF(E49="All", COUNTIFS(F:F, "♛", E:E, "All"), 0)))/100, "")))))))
</f>
        <v>0.02608695652</v>
      </c>
      <c r="J49" s="282"/>
      <c r="K49" s="23"/>
      <c r="L49" s="23"/>
      <c r="M49" s="23"/>
      <c r="N49" s="23"/>
    </row>
    <row r="50">
      <c r="A50" s="275" t="b">
        <f t="shared" si="1"/>
        <v>0</v>
      </c>
      <c r="B50" s="276">
        <v>0.0</v>
      </c>
      <c r="C50" s="277" t="s">
        <v>753</v>
      </c>
      <c r="D50" s="277" t="s">
        <v>468</v>
      </c>
      <c r="E50" s="277" t="s">
        <v>34</v>
      </c>
      <c r="F50" s="278" t="s">
        <v>44</v>
      </c>
      <c r="G50" s="279">
        <f t="shared" si="2"/>
        <v>0.03125</v>
      </c>
      <c r="H50" s="280" t="str">
        <f>IF(F50="♢♢", ((M4 * 100) / (COUNTIFS(F:F, "♢♢", E:E, E50) + COUNTIFS(F:F, "♢♢", E:E, "All") + IF(E50="All", COUNTIFS(F:F, "♢♢", E:E, E2), 0) - IF(E50="All", COUNTIFS(F:F, "♢♢", E:E, "All"), 0)))/100, 
   IF(F50="♢♢♢", ((M5 * 100) / (COUNTIFS(F:F, "♢♢♢", E:E, E50) + COUNTIFS(F:F, "♢♢♢", E:E, "All") + IF(E50="All", COUNTIFS(F:F, "♢♢♢", E:E, E2), 0) - IF(E50="All", COUNTIFS(F:F, "♢♢♢", E:E, "All"), 0)))/100, 
   IF(F50="♢♢♢♢", ((M6 * 100) / (COUNTIFS(F:F, "♢♢♢♢", E:E, E50) + COUNTIFS(F:F, "♢♢♢♢", E:E, "All") + IF(E50="All", COUNTIFS(F:F, "♢♢♢♢", E:E, E2), 0) - IF(E50="All", COUNTIFS(F:F, "♢♢♢♢", E:E, "All"), 0)))/100, 
   IF(F50="☆", ((M7 * 100) / (COUNTIFS(F:F, "☆", E:E, E50) + COUNTIFS(F:F, "☆", E:E, "All") + IF(E50="All", COUNTIFS(F:F, "☆", E:E, E2), 0) - IF(E50="All", COUNTIFS(F:F, "☆", E:E, "All"), 0)))/100, 
   IF(F50="☆☆", ((M8 * 100) / (COUNTIFS(F:F, "☆☆", E:E, E50) + COUNTIFS(F:F, "☆☆", E:E, "All") + IF(E50="All", COUNTIFS(F:F, "☆☆", E:E, E2), 0) - IF(E50="All", COUNTIFS(F:F, "☆☆", E:E, "All"), 0)))/100, 
   IF(F50="☆☆☆", ((M9 * 100) / (COUNTIFS(F:F, "☆☆☆", E:E, E50) + COUNTIFS(F:F, "☆☆☆", E:E, "All") + IF(E50="All", COUNTIFS(F:F, "☆☆☆", E:E, E2), 0) - IF(E50="All", COUNTIFS(F:F, "☆☆☆", E:E, "All"), 0)))/100, 
   IF(F50="♛", ((M10 * 100) / (COUNTIFS(F:F, "♛", E:E, E50) + COUNTIFS(F:F, "♛", E:E, "All") + IF(E50="All", COUNTIFS(F:F, "♛", E:E, E2), 0) - IF(E50="All", COUNTIFS(F:F, "♛", E:E, "All"), 0)))/100, "")))))))
</f>
        <v/>
      </c>
      <c r="I50" s="281" t="str">
        <f>IF(F50="♢♢", ((N4 * 100) / (COUNTIFS(F:F, "♢♢", E:E, E50) + COUNTIFS(F:F, "♢♢", E:E, "All") + IF(E50="All", COUNTIFS(F:F, "♢♢", E:E, E2), 0) - IF(E50="All", COUNTIFS(F:F, "♢♢", E:E, "All"), 0)))/100, 
   IF(F50="♢♢♢", ((N5 * 100) / (COUNTIFS(F:F, "♢♢♢", E:E, E50) + COUNTIFS(F:F, "♢♢♢", E:E, "All") + IF(E50="All", COUNTIFS(F:F, "♢♢♢", E:E, E2), 0) - IF(E50="All", COUNTIFS(F:F, "♢♢♢", E:E, "All"), 0)))/100, 
   IF(F50="♢♢♢♢", ((N6 * 100) / (COUNTIFS(F:F, "♢♢♢♢", E:E, E50) + COUNTIFS(F:F, "♢♢♢♢", E:E, "All") + IF(E50="All", COUNTIFS(F:F, "♢♢♢♢", E:E, E2), 0) - IF(E50="All", COUNTIFS(F:F, "♢♢♢♢", E:E, "All"), 0)))/100, 
   IF(F50="☆", ((N7 * 100) / (COUNTIFS(F:F, "☆", E:E, E50) + COUNTIFS(F:F, "☆", E:E, "All") + IF(E50="All", COUNTIFS(F:F, "☆", E:E, E2), 0) - IF(E50="All", COUNTIFS(F:F, "☆", E:E, "All"), 0)))/100, 
   IF(F50="☆☆", ((N8 * 100) / (COUNTIFS(F:F, "☆☆", E:E, E50) + COUNTIFS(F:F, "☆☆", E:E, "All") + IF(E50="All", COUNTIFS(F:F, "☆☆", E:E, E2), 0) - IF(E50="All", COUNTIFS(F:F, "☆☆", E:E, "All"), 0)))/100, 
   IF(F50="☆☆☆", ((N9 * 100) / (COUNTIFS(F:F, "☆☆☆", E:E, E50) + COUNTIFS(F:F, "☆☆☆", E:E, "All") + IF(E50="All", COUNTIFS(F:F, "☆☆☆", E:E, E2), 0) - IF(E50="All", COUNTIFS(F:F, "☆☆☆", E:E, "All"), 0)))/100, 
   IF(F50="♛", ((N10 * 100) / (COUNTIFS(F:F, "♛", E:E, E50) + COUNTIFS(F:F, "♛", E:E, "All") + IF(E50="All", COUNTIFS(F:F, "♛", E:E, E2), 0) - IF(E50="All", COUNTIFS(F:F, "♛", E:E, "All"), 0)))/100, "")))))))
</f>
        <v/>
      </c>
      <c r="J50" s="282"/>
      <c r="K50" s="23"/>
      <c r="L50" s="23"/>
      <c r="M50" s="23"/>
      <c r="N50" s="23"/>
    </row>
    <row r="51">
      <c r="A51" s="275" t="b">
        <f t="shared" si="1"/>
        <v>0</v>
      </c>
      <c r="B51" s="276">
        <v>0.0</v>
      </c>
      <c r="C51" s="277" t="s">
        <v>754</v>
      </c>
      <c r="D51" s="277" t="s">
        <v>470</v>
      </c>
      <c r="E51" s="277" t="s">
        <v>34</v>
      </c>
      <c r="F51" s="278" t="s">
        <v>46</v>
      </c>
      <c r="G51" s="279" t="str">
        <f t="shared" si="2"/>
        <v/>
      </c>
      <c r="H51" s="280">
        <f>IF(F51="♢♢", ((M4 * 100) / (COUNTIFS(F:F, "♢♢", E:E, E51) + COUNTIFS(F:F, "♢♢", E:E, "All") + IF(E51="All", COUNTIFS(F:F, "♢♢", E:E, E2), 0) - IF(E51="All", COUNTIFS(F:F, "♢♢", E:E, "All"), 0)))/100, 
   IF(F51="♢♢♢", ((M5 * 100) / (COUNTIFS(F:F, "♢♢♢", E:E, E51) + COUNTIFS(F:F, "♢♢♢", E:E, "All") + IF(E51="All", COUNTIFS(F:F, "♢♢♢", E:E, E2), 0) - IF(E51="All", COUNTIFS(F:F, "♢♢♢", E:E, "All"), 0)))/100, 
   IF(F51="♢♢♢♢", ((M6 * 100) / (COUNTIFS(F:F, "♢♢♢♢", E:E, E51) + COUNTIFS(F:F, "♢♢♢♢", E:E, "All") + IF(E51="All", COUNTIFS(F:F, "♢♢♢♢", E:E, E2), 0) - IF(E51="All", COUNTIFS(F:F, "♢♢♢♢", E:E, "All"), 0)))/100, 
   IF(F51="☆", ((M7 * 100) / (COUNTIFS(F:F, "☆", E:E, E51) + COUNTIFS(F:F, "☆", E:E, "All") + IF(E51="All", COUNTIFS(F:F, "☆", E:E, E2), 0) - IF(E51="All", COUNTIFS(F:F, "☆", E:E, "All"), 0)))/100, 
   IF(F51="☆☆", ((M8 * 100) / (COUNTIFS(F:F, "☆☆", E:E, E51) + COUNTIFS(F:F, "☆☆", E:E, "All") + IF(E51="All", COUNTIFS(F:F, "☆☆", E:E, E2), 0) - IF(E51="All", COUNTIFS(F:F, "☆☆", E:E, "All"), 0)))/100, 
   IF(F51="☆☆☆", ((M9 * 100) / (COUNTIFS(F:F, "☆☆☆", E:E, E51) + COUNTIFS(F:F, "☆☆☆", E:E, "All") + IF(E51="All", COUNTIFS(F:F, "☆☆☆", E:E, E2), 0) - IF(E51="All", COUNTIFS(F:F, "☆☆☆", E:E, "All"), 0)))/100, 
   IF(F51="♛", ((M10 * 100) / (COUNTIFS(F:F, "♛", E:E, E51) + COUNTIFS(F:F, "♛", E:E, "All") + IF(E51="All", COUNTIFS(F:F, "♛", E:E, E2), 0) - IF(E51="All", COUNTIFS(F:F, "♛", E:E, "All"), 0)))/100, "")))))))
</f>
        <v>0.03913043478</v>
      </c>
      <c r="I51" s="281">
        <f>IF(F51="♢♢", ((N4 * 100) / (COUNTIFS(F:F, "♢♢", E:E, E51) + COUNTIFS(F:F, "♢♢", E:E, "All") + IF(E51="All", COUNTIFS(F:F, "♢♢", E:E, E2), 0) - IF(E51="All", COUNTIFS(F:F, "♢♢", E:E, "All"), 0)))/100, 
   IF(F51="♢♢♢", ((N5 * 100) / (COUNTIFS(F:F, "♢♢♢", E:E, E51) + COUNTIFS(F:F, "♢♢♢", E:E, "All") + IF(E51="All", COUNTIFS(F:F, "♢♢♢", E:E, E2), 0) - IF(E51="All", COUNTIFS(F:F, "♢♢♢", E:E, "All"), 0)))/100, 
   IF(F51="♢♢♢♢", ((N6 * 100) / (COUNTIFS(F:F, "♢♢♢♢", E:E, E51) + COUNTIFS(F:F, "♢♢♢♢", E:E, "All") + IF(E51="All", COUNTIFS(F:F, "♢♢♢♢", E:E, E2), 0) - IF(E51="All", COUNTIFS(F:F, "♢♢♢♢", E:E, "All"), 0)))/100, 
   IF(F51="☆", ((N7 * 100) / (COUNTIFS(F:F, "☆", E:E, E51) + COUNTIFS(F:F, "☆", E:E, "All") + IF(E51="All", COUNTIFS(F:F, "☆", E:E, E2), 0) - IF(E51="All", COUNTIFS(F:F, "☆", E:E, "All"), 0)))/100, 
   IF(F51="☆☆", ((N8 * 100) / (COUNTIFS(F:F, "☆☆", E:E, E51) + COUNTIFS(F:F, "☆☆", E:E, "All") + IF(E51="All", COUNTIFS(F:F, "☆☆", E:E, E2), 0) - IF(E51="All", COUNTIFS(F:F, "☆☆", E:E, "All"), 0)))/100, 
   IF(F51="☆☆☆", ((N9 * 100) / (COUNTIFS(F:F, "☆☆☆", E:E, E51) + COUNTIFS(F:F, "☆☆☆", E:E, "All") + IF(E51="All", COUNTIFS(F:F, "☆☆☆", E:E, E2), 0) - IF(E51="All", COUNTIFS(F:F, "☆☆☆", E:E, "All"), 0)))/100, 
   IF(F51="♛", ((N10 * 100) / (COUNTIFS(F:F, "♛", E:E, E51) + COUNTIFS(F:F, "♛", E:E, "All") + IF(E51="All", COUNTIFS(F:F, "♛", E:E, E2), 0) - IF(E51="All", COUNTIFS(F:F, "♛", E:E, "All"), 0)))/100, "")))))))
</f>
        <v>0.02608695652</v>
      </c>
      <c r="J51" s="282"/>
      <c r="K51" s="23"/>
      <c r="L51" s="23"/>
      <c r="M51" s="23"/>
      <c r="N51" s="23"/>
    </row>
    <row r="52">
      <c r="A52" s="275" t="b">
        <f t="shared" si="1"/>
        <v>0</v>
      </c>
      <c r="B52" s="276">
        <v>0.0</v>
      </c>
      <c r="C52" s="277" t="s">
        <v>755</v>
      </c>
      <c r="D52" s="277" t="s">
        <v>756</v>
      </c>
      <c r="E52" s="277" t="s">
        <v>34</v>
      </c>
      <c r="F52" s="277" t="s">
        <v>44</v>
      </c>
      <c r="G52" s="279">
        <f t="shared" si="2"/>
        <v>0.03125</v>
      </c>
      <c r="H52" s="280" t="str">
        <f>IF(F52="♢♢", ((M4 * 100) / (COUNTIFS(F:F, "♢♢", E:E, E52) + COUNTIFS(F:F, "♢♢", E:E, "All") + IF(E52="All", COUNTIFS(F:F, "♢♢", E:E, E2), 0) - IF(E52="All", COUNTIFS(F:F, "♢♢", E:E, "All"), 0)))/100, 
   IF(F52="♢♢♢", ((M5 * 100) / (COUNTIFS(F:F, "♢♢♢", E:E, E52) + COUNTIFS(F:F, "♢♢♢", E:E, "All") + IF(E52="All", COUNTIFS(F:F, "♢♢♢", E:E, E2), 0) - IF(E52="All", COUNTIFS(F:F, "♢♢♢", E:E, "All"), 0)))/100, 
   IF(F52="♢♢♢♢", ((M6 * 100) / (COUNTIFS(F:F, "♢♢♢♢", E:E, E52) + COUNTIFS(F:F, "♢♢♢♢", E:E, "All") + IF(E52="All", COUNTIFS(F:F, "♢♢♢♢", E:E, E2), 0) - IF(E52="All", COUNTIFS(F:F, "♢♢♢♢", E:E, "All"), 0)))/100, 
   IF(F52="☆", ((M7 * 100) / (COUNTIFS(F:F, "☆", E:E, E52) + COUNTIFS(F:F, "☆", E:E, "All") + IF(E52="All", COUNTIFS(F:F, "☆", E:E, E2), 0) - IF(E52="All", COUNTIFS(F:F, "☆", E:E, "All"), 0)))/100, 
   IF(F52="☆☆", ((M8 * 100) / (COUNTIFS(F:F, "☆☆", E:E, E52) + COUNTIFS(F:F, "☆☆", E:E, "All") + IF(E52="All", COUNTIFS(F:F, "☆☆", E:E, E2), 0) - IF(E52="All", COUNTIFS(F:F, "☆☆", E:E, "All"), 0)))/100, 
   IF(F52="☆☆☆", ((M9 * 100) / (COUNTIFS(F:F, "☆☆☆", E:E, E52) + COUNTIFS(F:F, "☆☆☆", E:E, "All") + IF(E52="All", COUNTIFS(F:F, "☆☆☆", E:E, E2), 0) - IF(E52="All", COUNTIFS(F:F, "☆☆☆", E:E, "All"), 0)))/100, 
   IF(F52="♛", ((M10 * 100) / (COUNTIFS(F:F, "♛", E:E, E52) + COUNTIFS(F:F, "♛", E:E, "All") + IF(E52="All", COUNTIFS(F:F, "♛", E:E, E2), 0) - IF(E52="All", COUNTIFS(F:F, "♛", E:E, "All"), 0)))/100, "")))))))
</f>
        <v/>
      </c>
      <c r="I52" s="281" t="str">
        <f>IF(F52="♢♢", ((N4 * 100) / (COUNTIFS(F:F, "♢♢", E:E, E52) + COUNTIFS(F:F, "♢♢", E:E, "All") + IF(E52="All", COUNTIFS(F:F, "♢♢", E:E, E2), 0) - IF(E52="All", COUNTIFS(F:F, "♢♢", E:E, "All"), 0)))/100, 
   IF(F52="♢♢♢", ((N5 * 100) / (COUNTIFS(F:F, "♢♢♢", E:E, E52) + COUNTIFS(F:F, "♢♢♢", E:E, "All") + IF(E52="All", COUNTIFS(F:F, "♢♢♢", E:E, E2), 0) - IF(E52="All", COUNTIFS(F:F, "♢♢♢", E:E, "All"), 0)))/100, 
   IF(F52="♢♢♢♢", ((N6 * 100) / (COUNTIFS(F:F, "♢♢♢♢", E:E, E52) + COUNTIFS(F:F, "♢♢♢♢", E:E, "All") + IF(E52="All", COUNTIFS(F:F, "♢♢♢♢", E:E, E2), 0) - IF(E52="All", COUNTIFS(F:F, "♢♢♢♢", E:E, "All"), 0)))/100, 
   IF(F52="☆", ((N7 * 100) / (COUNTIFS(F:F, "☆", E:E, E52) + COUNTIFS(F:F, "☆", E:E, "All") + IF(E52="All", COUNTIFS(F:F, "☆", E:E, E2), 0) - IF(E52="All", COUNTIFS(F:F, "☆", E:E, "All"), 0)))/100, 
   IF(F52="☆☆", ((N8 * 100) / (COUNTIFS(F:F, "☆☆", E:E, E52) + COUNTIFS(F:F, "☆☆", E:E, "All") + IF(E52="All", COUNTIFS(F:F, "☆☆", E:E, E2), 0) - IF(E52="All", COUNTIFS(F:F, "☆☆", E:E, "All"), 0)))/100, 
   IF(F52="☆☆☆", ((N9 * 100) / (COUNTIFS(F:F, "☆☆☆", E:E, E52) + COUNTIFS(F:F, "☆☆☆", E:E, "All") + IF(E52="All", COUNTIFS(F:F, "☆☆☆", E:E, E2), 0) - IF(E52="All", COUNTIFS(F:F, "☆☆☆", E:E, "All"), 0)))/100, 
   IF(F52="♛", ((N10 * 100) / (COUNTIFS(F:F, "♛", E:E, E52) + COUNTIFS(F:F, "♛", E:E, "All") + IF(E52="All", COUNTIFS(F:F, "♛", E:E, E2), 0) - IF(E52="All", COUNTIFS(F:F, "♛", E:E, "All"), 0)))/100, "")))))))
</f>
        <v/>
      </c>
      <c r="J52" s="282"/>
      <c r="K52" s="23"/>
      <c r="L52" s="23"/>
      <c r="M52" s="23"/>
      <c r="N52" s="23"/>
    </row>
    <row r="53">
      <c r="A53" s="275" t="b">
        <f t="shared" si="1"/>
        <v>0</v>
      </c>
      <c r="B53" s="276">
        <v>0.0</v>
      </c>
      <c r="C53" s="277" t="s">
        <v>757</v>
      </c>
      <c r="D53" s="277" t="s">
        <v>758</v>
      </c>
      <c r="E53" s="277" t="s">
        <v>34</v>
      </c>
      <c r="F53" s="278" t="s">
        <v>44</v>
      </c>
      <c r="G53" s="279">
        <f t="shared" si="2"/>
        <v>0.03125</v>
      </c>
      <c r="H53" s="280" t="str">
        <f>IF(F53="♢♢", ((M4 * 100) / (COUNTIFS(F:F, "♢♢", E:E, E53) + COUNTIFS(F:F, "♢♢", E:E, "All") + IF(E53="All", COUNTIFS(F:F, "♢♢", E:E, E2), 0) - IF(E53="All", COUNTIFS(F:F, "♢♢", E:E, "All"), 0)))/100, 
   IF(F53="♢♢♢", ((M5 * 100) / (COUNTIFS(F:F, "♢♢♢", E:E, E53) + COUNTIFS(F:F, "♢♢♢", E:E, "All") + IF(E53="All", COUNTIFS(F:F, "♢♢♢", E:E, E2), 0) - IF(E53="All", COUNTIFS(F:F, "♢♢♢", E:E, "All"), 0)))/100, 
   IF(F53="♢♢♢♢", ((M6 * 100) / (COUNTIFS(F:F, "♢♢♢♢", E:E, E53) + COUNTIFS(F:F, "♢♢♢♢", E:E, "All") + IF(E53="All", COUNTIFS(F:F, "♢♢♢♢", E:E, E2), 0) - IF(E53="All", COUNTIFS(F:F, "♢♢♢♢", E:E, "All"), 0)))/100, 
   IF(F53="☆", ((M7 * 100) / (COUNTIFS(F:F, "☆", E:E, E53) + COUNTIFS(F:F, "☆", E:E, "All") + IF(E53="All", COUNTIFS(F:F, "☆", E:E, E2), 0) - IF(E53="All", COUNTIFS(F:F, "☆", E:E, "All"), 0)))/100, 
   IF(F53="☆☆", ((M8 * 100) / (COUNTIFS(F:F, "☆☆", E:E, E53) + COUNTIFS(F:F, "☆☆", E:E, "All") + IF(E53="All", COUNTIFS(F:F, "☆☆", E:E, E2), 0) - IF(E53="All", COUNTIFS(F:F, "☆☆", E:E, "All"), 0)))/100, 
   IF(F53="☆☆☆", ((M9 * 100) / (COUNTIFS(F:F, "☆☆☆", E:E, E53) + COUNTIFS(F:F, "☆☆☆", E:E, "All") + IF(E53="All", COUNTIFS(F:F, "☆☆☆", E:E, E2), 0) - IF(E53="All", COUNTIFS(F:F, "☆☆☆", E:E, "All"), 0)))/100, 
   IF(F53="♛", ((M10 * 100) / (COUNTIFS(F:F, "♛", E:E, E53) + COUNTIFS(F:F, "♛", E:E, "All") + IF(E53="All", COUNTIFS(F:F, "♛", E:E, E2), 0) - IF(E53="All", COUNTIFS(F:F, "♛", E:E, "All"), 0)))/100, "")))))))
</f>
        <v/>
      </c>
      <c r="I53" s="281" t="str">
        <f>IF(F53="♢♢", ((N4 * 100) / (COUNTIFS(F:F, "♢♢", E:E, E53) + COUNTIFS(F:F, "♢♢", E:E, "All") + IF(E53="All", COUNTIFS(F:F, "♢♢", E:E, E2), 0) - IF(E53="All", COUNTIFS(F:F, "♢♢", E:E, "All"), 0)))/100, 
   IF(F53="♢♢♢", ((N5 * 100) / (COUNTIFS(F:F, "♢♢♢", E:E, E53) + COUNTIFS(F:F, "♢♢♢", E:E, "All") + IF(E53="All", COUNTIFS(F:F, "♢♢♢", E:E, E2), 0) - IF(E53="All", COUNTIFS(F:F, "♢♢♢", E:E, "All"), 0)))/100, 
   IF(F53="♢♢♢♢", ((N6 * 100) / (COUNTIFS(F:F, "♢♢♢♢", E:E, E53) + COUNTIFS(F:F, "♢♢♢♢", E:E, "All") + IF(E53="All", COUNTIFS(F:F, "♢♢♢♢", E:E, E2), 0) - IF(E53="All", COUNTIFS(F:F, "♢♢♢♢", E:E, "All"), 0)))/100, 
   IF(F53="☆", ((N7 * 100) / (COUNTIFS(F:F, "☆", E:E, E53) + COUNTIFS(F:F, "☆", E:E, "All") + IF(E53="All", COUNTIFS(F:F, "☆", E:E, E2), 0) - IF(E53="All", COUNTIFS(F:F, "☆", E:E, "All"), 0)))/100, 
   IF(F53="☆☆", ((N8 * 100) / (COUNTIFS(F:F, "☆☆", E:E, E53) + COUNTIFS(F:F, "☆☆", E:E, "All") + IF(E53="All", COUNTIFS(F:F, "☆☆", E:E, E2), 0) - IF(E53="All", COUNTIFS(F:F, "☆☆", E:E, "All"), 0)))/100, 
   IF(F53="☆☆☆", ((N9 * 100) / (COUNTIFS(F:F, "☆☆☆", E:E, E53) + COUNTIFS(F:F, "☆☆☆", E:E, "All") + IF(E53="All", COUNTIFS(F:F, "☆☆☆", E:E, E2), 0) - IF(E53="All", COUNTIFS(F:F, "☆☆☆", E:E, "All"), 0)))/100, 
   IF(F53="♛", ((N10 * 100) / (COUNTIFS(F:F, "♛", E:E, E53) + COUNTIFS(F:F, "♛", E:E, "All") + IF(E53="All", COUNTIFS(F:F, "♛", E:E, E2), 0) - IF(E53="All", COUNTIFS(F:F, "♛", E:E, "All"), 0)))/100, "")))))))
</f>
        <v/>
      </c>
      <c r="J53" s="282"/>
      <c r="K53" s="23"/>
      <c r="L53" s="23"/>
      <c r="M53" s="23"/>
      <c r="N53" s="23"/>
    </row>
    <row r="54">
      <c r="A54" s="275" t="b">
        <f t="shared" si="1"/>
        <v>0</v>
      </c>
      <c r="B54" s="276">
        <v>0.0</v>
      </c>
      <c r="C54" s="277" t="s">
        <v>759</v>
      </c>
      <c r="D54" s="277" t="s">
        <v>760</v>
      </c>
      <c r="E54" s="277" t="s">
        <v>34</v>
      </c>
      <c r="F54" s="277" t="s">
        <v>44</v>
      </c>
      <c r="G54" s="279">
        <f t="shared" si="2"/>
        <v>0.03125</v>
      </c>
      <c r="H54" s="280" t="str">
        <f>IF(F54="♢♢", ((M4 * 100) / (COUNTIFS(F:F, "♢♢", E:E, E54) + COUNTIFS(F:F, "♢♢", E:E, "All") + IF(E54="All", COUNTIFS(F:F, "♢♢", E:E, E2), 0) - IF(E54="All", COUNTIFS(F:F, "♢♢", E:E, "All"), 0)))/100, 
   IF(F54="♢♢♢", ((M5 * 100) / (COUNTIFS(F:F, "♢♢♢", E:E, E54) + COUNTIFS(F:F, "♢♢♢", E:E, "All") + IF(E54="All", COUNTIFS(F:F, "♢♢♢", E:E, E2), 0) - IF(E54="All", COUNTIFS(F:F, "♢♢♢", E:E, "All"), 0)))/100, 
   IF(F54="♢♢♢♢", ((M6 * 100) / (COUNTIFS(F:F, "♢♢♢♢", E:E, E54) + COUNTIFS(F:F, "♢♢♢♢", E:E, "All") + IF(E54="All", COUNTIFS(F:F, "♢♢♢♢", E:E, E2), 0) - IF(E54="All", COUNTIFS(F:F, "♢♢♢♢", E:E, "All"), 0)))/100, 
   IF(F54="☆", ((M7 * 100) / (COUNTIFS(F:F, "☆", E:E, E54) + COUNTIFS(F:F, "☆", E:E, "All") + IF(E54="All", COUNTIFS(F:F, "☆", E:E, E2), 0) - IF(E54="All", COUNTIFS(F:F, "☆", E:E, "All"), 0)))/100, 
   IF(F54="☆☆", ((M8 * 100) / (COUNTIFS(F:F, "☆☆", E:E, E54) + COUNTIFS(F:F, "☆☆", E:E, "All") + IF(E54="All", COUNTIFS(F:F, "☆☆", E:E, E2), 0) - IF(E54="All", COUNTIFS(F:F, "☆☆", E:E, "All"), 0)))/100, 
   IF(F54="☆☆☆", ((M9 * 100) / (COUNTIFS(F:F, "☆☆☆", E:E, E54) + COUNTIFS(F:F, "☆☆☆", E:E, "All") + IF(E54="All", COUNTIFS(F:F, "☆☆☆", E:E, E2), 0) - IF(E54="All", COUNTIFS(F:F, "☆☆☆", E:E, "All"), 0)))/100, 
   IF(F54="♛", ((M10 * 100) / (COUNTIFS(F:F, "♛", E:E, E54) + COUNTIFS(F:F, "♛", E:E, "All") + IF(E54="All", COUNTIFS(F:F, "♛", E:E, E2), 0) - IF(E54="All", COUNTIFS(F:F, "♛", E:E, "All"), 0)))/100, "")))))))
</f>
        <v/>
      </c>
      <c r="I54" s="281" t="str">
        <f>IF(F54="♢♢", ((N4 * 100) / (COUNTIFS(F:F, "♢♢", E:E, E54) + COUNTIFS(F:F, "♢♢", E:E, "All") + IF(E54="All", COUNTIFS(F:F, "♢♢", E:E, E2), 0) - IF(E54="All", COUNTIFS(F:F, "♢♢", E:E, "All"), 0)))/100, 
   IF(F54="♢♢♢", ((N5 * 100) / (COUNTIFS(F:F, "♢♢♢", E:E, E54) + COUNTIFS(F:F, "♢♢♢", E:E, "All") + IF(E54="All", COUNTIFS(F:F, "♢♢♢", E:E, E2), 0) - IF(E54="All", COUNTIFS(F:F, "♢♢♢", E:E, "All"), 0)))/100, 
   IF(F54="♢♢♢♢", ((N6 * 100) / (COUNTIFS(F:F, "♢♢♢♢", E:E, E54) + COUNTIFS(F:F, "♢♢♢♢", E:E, "All") + IF(E54="All", COUNTIFS(F:F, "♢♢♢♢", E:E, E2), 0) - IF(E54="All", COUNTIFS(F:F, "♢♢♢♢", E:E, "All"), 0)))/100, 
   IF(F54="☆", ((N7 * 100) / (COUNTIFS(F:F, "☆", E:E, E54) + COUNTIFS(F:F, "☆", E:E, "All") + IF(E54="All", COUNTIFS(F:F, "☆", E:E, E2), 0) - IF(E54="All", COUNTIFS(F:F, "☆", E:E, "All"), 0)))/100, 
   IF(F54="☆☆", ((N8 * 100) / (COUNTIFS(F:F, "☆☆", E:E, E54) + COUNTIFS(F:F, "☆☆", E:E, "All") + IF(E54="All", COUNTIFS(F:F, "☆☆", E:E, E2), 0) - IF(E54="All", COUNTIFS(F:F, "☆☆", E:E, "All"), 0)))/100, 
   IF(F54="☆☆☆", ((N9 * 100) / (COUNTIFS(F:F, "☆☆☆", E:E, E54) + COUNTIFS(F:F, "☆☆☆", E:E, "All") + IF(E54="All", COUNTIFS(F:F, "☆☆☆", E:E, E2), 0) - IF(E54="All", COUNTIFS(F:F, "☆☆☆", E:E, "All"), 0)))/100, 
   IF(F54="♛", ((N10 * 100) / (COUNTIFS(F:F, "♛", E:E, E54) + COUNTIFS(F:F, "♛", E:E, "All") + IF(E54="All", COUNTIFS(F:F, "♛", E:E, E2), 0) - IF(E54="All", COUNTIFS(F:F, "♛", E:E, "All"), 0)))/100, "")))))))
</f>
        <v/>
      </c>
      <c r="J54" s="282"/>
      <c r="K54" s="23"/>
      <c r="L54" s="23"/>
      <c r="M54" s="23"/>
      <c r="N54" s="23"/>
    </row>
    <row r="55">
      <c r="A55" s="275" t="b">
        <f t="shared" si="1"/>
        <v>0</v>
      </c>
      <c r="B55" s="276">
        <v>0.0</v>
      </c>
      <c r="C55" s="277" t="s">
        <v>761</v>
      </c>
      <c r="D55" s="277" t="s">
        <v>762</v>
      </c>
      <c r="E55" s="277" t="s">
        <v>34</v>
      </c>
      <c r="F55" s="278" t="s">
        <v>44</v>
      </c>
      <c r="G55" s="279">
        <f t="shared" si="2"/>
        <v>0.03125</v>
      </c>
      <c r="H55" s="280" t="str">
        <f>IF(F55="♢♢", ((M4 * 100) / (COUNTIFS(F:F, "♢♢", E:E, E55) + COUNTIFS(F:F, "♢♢", E:E, "All") + IF(E55="All", COUNTIFS(F:F, "♢♢", E:E, E2), 0) - IF(E55="All", COUNTIFS(F:F, "♢♢", E:E, "All"), 0)))/100, 
   IF(F55="♢♢♢", ((M5 * 100) / (COUNTIFS(F:F, "♢♢♢", E:E, E55) + COUNTIFS(F:F, "♢♢♢", E:E, "All") + IF(E55="All", COUNTIFS(F:F, "♢♢♢", E:E, E2), 0) - IF(E55="All", COUNTIFS(F:F, "♢♢♢", E:E, "All"), 0)))/100, 
   IF(F55="♢♢♢♢", ((M6 * 100) / (COUNTIFS(F:F, "♢♢♢♢", E:E, E55) + COUNTIFS(F:F, "♢♢♢♢", E:E, "All") + IF(E55="All", COUNTIFS(F:F, "♢♢♢♢", E:E, E2), 0) - IF(E55="All", COUNTIFS(F:F, "♢♢♢♢", E:E, "All"), 0)))/100, 
   IF(F55="☆", ((M7 * 100) / (COUNTIFS(F:F, "☆", E:E, E55) + COUNTIFS(F:F, "☆", E:E, "All") + IF(E55="All", COUNTIFS(F:F, "☆", E:E, E2), 0) - IF(E55="All", COUNTIFS(F:F, "☆", E:E, "All"), 0)))/100, 
   IF(F55="☆☆", ((M8 * 100) / (COUNTIFS(F:F, "☆☆", E:E, E55) + COUNTIFS(F:F, "☆☆", E:E, "All") + IF(E55="All", COUNTIFS(F:F, "☆☆", E:E, E2), 0) - IF(E55="All", COUNTIFS(F:F, "☆☆", E:E, "All"), 0)))/100, 
   IF(F55="☆☆☆", ((M9 * 100) / (COUNTIFS(F:F, "☆☆☆", E:E, E55) + COUNTIFS(F:F, "☆☆☆", E:E, "All") + IF(E55="All", COUNTIFS(F:F, "☆☆☆", E:E, E2), 0) - IF(E55="All", COUNTIFS(F:F, "☆☆☆", E:E, "All"), 0)))/100, 
   IF(F55="♛", ((M10 * 100) / (COUNTIFS(F:F, "♛", E:E, E55) + COUNTIFS(F:F, "♛", E:E, "All") + IF(E55="All", COUNTIFS(F:F, "♛", E:E, E2), 0) - IF(E55="All", COUNTIFS(F:F, "♛", E:E, "All"), 0)))/100, "")))))))
</f>
        <v/>
      </c>
      <c r="I55" s="281" t="str">
        <f>IF(F55="♢♢", ((N4 * 100) / (COUNTIFS(F:F, "♢♢", E:E, E55) + COUNTIFS(F:F, "♢♢", E:E, "All") + IF(E55="All", COUNTIFS(F:F, "♢♢", E:E, E2), 0) - IF(E55="All", COUNTIFS(F:F, "♢♢", E:E, "All"), 0)))/100, 
   IF(F55="♢♢♢", ((N5 * 100) / (COUNTIFS(F:F, "♢♢♢", E:E, E55) + COUNTIFS(F:F, "♢♢♢", E:E, "All") + IF(E55="All", COUNTIFS(F:F, "♢♢♢", E:E, E2), 0) - IF(E55="All", COUNTIFS(F:F, "♢♢♢", E:E, "All"), 0)))/100, 
   IF(F55="♢♢♢♢", ((N6 * 100) / (COUNTIFS(F:F, "♢♢♢♢", E:E, E55) + COUNTIFS(F:F, "♢♢♢♢", E:E, "All") + IF(E55="All", COUNTIFS(F:F, "♢♢♢♢", E:E, E2), 0) - IF(E55="All", COUNTIFS(F:F, "♢♢♢♢", E:E, "All"), 0)))/100, 
   IF(F55="☆", ((N7 * 100) / (COUNTIFS(F:F, "☆", E:E, E55) + COUNTIFS(F:F, "☆", E:E, "All") + IF(E55="All", COUNTIFS(F:F, "☆", E:E, E2), 0) - IF(E55="All", COUNTIFS(F:F, "☆", E:E, "All"), 0)))/100, 
   IF(F55="☆☆", ((N8 * 100) / (COUNTIFS(F:F, "☆☆", E:E, E55) + COUNTIFS(F:F, "☆☆", E:E, "All") + IF(E55="All", COUNTIFS(F:F, "☆☆", E:E, E2), 0) - IF(E55="All", COUNTIFS(F:F, "☆☆", E:E, "All"), 0)))/100, 
   IF(F55="☆☆☆", ((N9 * 100) / (COUNTIFS(F:F, "☆☆☆", E:E, E55) + COUNTIFS(F:F, "☆☆☆", E:E, "All") + IF(E55="All", COUNTIFS(F:F, "☆☆☆", E:E, E2), 0) - IF(E55="All", COUNTIFS(F:F, "☆☆☆", E:E, "All"), 0)))/100, 
   IF(F55="♛", ((N10 * 100) / (COUNTIFS(F:F, "♛", E:E, E55) + COUNTIFS(F:F, "♛", E:E, "All") + IF(E55="All", COUNTIFS(F:F, "♛", E:E, E2), 0) - IF(E55="All", COUNTIFS(F:F, "♛", E:E, "All"), 0)))/100, "")))))))
</f>
        <v/>
      </c>
      <c r="J55" s="282"/>
      <c r="K55" s="23"/>
      <c r="L55" s="23"/>
      <c r="M55" s="23"/>
      <c r="N55" s="23"/>
    </row>
    <row r="56">
      <c r="A56" s="275" t="b">
        <f t="shared" si="1"/>
        <v>0</v>
      </c>
      <c r="B56" s="276">
        <v>0.0</v>
      </c>
      <c r="C56" s="277" t="s">
        <v>763</v>
      </c>
      <c r="D56" s="277" t="s">
        <v>764</v>
      </c>
      <c r="E56" s="277" t="s">
        <v>34</v>
      </c>
      <c r="F56" s="278" t="s">
        <v>46</v>
      </c>
      <c r="G56" s="279" t="str">
        <f t="shared" si="2"/>
        <v/>
      </c>
      <c r="H56" s="280">
        <f>IF(F56="♢♢", ((M4 * 100) / (COUNTIFS(F:F, "♢♢", E:E, E56) + COUNTIFS(F:F, "♢♢", E:E, "All") + IF(E56="All", COUNTIFS(F:F, "♢♢", E:E, E2), 0) - IF(E56="All", COUNTIFS(F:F, "♢♢", E:E, "All"), 0)))/100, 
   IF(F56="♢♢♢", ((M5 * 100) / (COUNTIFS(F:F, "♢♢♢", E:E, E56) + COUNTIFS(F:F, "♢♢♢", E:E, "All") + IF(E56="All", COUNTIFS(F:F, "♢♢♢", E:E, E2), 0) - IF(E56="All", COUNTIFS(F:F, "♢♢♢", E:E, "All"), 0)))/100, 
   IF(F56="♢♢♢♢", ((M6 * 100) / (COUNTIFS(F:F, "♢♢♢♢", E:E, E56) + COUNTIFS(F:F, "♢♢♢♢", E:E, "All") + IF(E56="All", COUNTIFS(F:F, "♢♢♢♢", E:E, E2), 0) - IF(E56="All", COUNTIFS(F:F, "♢♢♢♢", E:E, "All"), 0)))/100, 
   IF(F56="☆", ((M7 * 100) / (COUNTIFS(F:F, "☆", E:E, E56) + COUNTIFS(F:F, "☆", E:E, "All") + IF(E56="All", COUNTIFS(F:F, "☆", E:E, E2), 0) - IF(E56="All", COUNTIFS(F:F, "☆", E:E, "All"), 0)))/100, 
   IF(F56="☆☆", ((M8 * 100) / (COUNTIFS(F:F, "☆☆", E:E, E56) + COUNTIFS(F:F, "☆☆", E:E, "All") + IF(E56="All", COUNTIFS(F:F, "☆☆", E:E, E2), 0) - IF(E56="All", COUNTIFS(F:F, "☆☆", E:E, "All"), 0)))/100, 
   IF(F56="☆☆☆", ((M9 * 100) / (COUNTIFS(F:F, "☆☆☆", E:E, E56) + COUNTIFS(F:F, "☆☆☆", E:E, "All") + IF(E56="All", COUNTIFS(F:F, "☆☆☆", E:E, E2), 0) - IF(E56="All", COUNTIFS(F:F, "☆☆☆", E:E, "All"), 0)))/100, 
   IF(F56="♛", ((M10 * 100) / (COUNTIFS(F:F, "♛", E:E, E56) + COUNTIFS(F:F, "♛", E:E, "All") + IF(E56="All", COUNTIFS(F:F, "♛", E:E, E2), 0) - IF(E56="All", COUNTIFS(F:F, "♛", E:E, "All"), 0)))/100, "")))))))
</f>
        <v>0.03913043478</v>
      </c>
      <c r="I56" s="281">
        <f>IF(F56="♢♢", ((N4 * 100) / (COUNTIFS(F:F, "♢♢", E:E, E56) + COUNTIFS(F:F, "♢♢", E:E, "All") + IF(E56="All", COUNTIFS(F:F, "♢♢", E:E, E2), 0) - IF(E56="All", COUNTIFS(F:F, "♢♢", E:E, "All"), 0)))/100, 
   IF(F56="♢♢♢", ((N5 * 100) / (COUNTIFS(F:F, "♢♢♢", E:E, E56) + COUNTIFS(F:F, "♢♢♢", E:E, "All") + IF(E56="All", COUNTIFS(F:F, "♢♢♢", E:E, E2), 0) - IF(E56="All", COUNTIFS(F:F, "♢♢♢", E:E, "All"), 0)))/100, 
   IF(F56="♢♢♢♢", ((N6 * 100) / (COUNTIFS(F:F, "♢♢♢♢", E:E, E56) + COUNTIFS(F:F, "♢♢♢♢", E:E, "All") + IF(E56="All", COUNTIFS(F:F, "♢♢♢♢", E:E, E2), 0) - IF(E56="All", COUNTIFS(F:F, "♢♢♢♢", E:E, "All"), 0)))/100, 
   IF(F56="☆", ((N7 * 100) / (COUNTIFS(F:F, "☆", E:E, E56) + COUNTIFS(F:F, "☆", E:E, "All") + IF(E56="All", COUNTIFS(F:F, "☆", E:E, E2), 0) - IF(E56="All", COUNTIFS(F:F, "☆", E:E, "All"), 0)))/100, 
   IF(F56="☆☆", ((N8 * 100) / (COUNTIFS(F:F, "☆☆", E:E, E56) + COUNTIFS(F:F, "☆☆", E:E, "All") + IF(E56="All", COUNTIFS(F:F, "☆☆", E:E, E2), 0) - IF(E56="All", COUNTIFS(F:F, "☆☆", E:E, "All"), 0)))/100, 
   IF(F56="☆☆☆", ((N9 * 100) / (COUNTIFS(F:F, "☆☆☆", E:E, E56) + COUNTIFS(F:F, "☆☆☆", E:E, "All") + IF(E56="All", COUNTIFS(F:F, "☆☆☆", E:E, E2), 0) - IF(E56="All", COUNTIFS(F:F, "☆☆☆", E:E, "All"), 0)))/100, 
   IF(F56="♛", ((N10 * 100) / (COUNTIFS(F:F, "♛", E:E, E56) + COUNTIFS(F:F, "♛", E:E, "All") + IF(E56="All", COUNTIFS(F:F, "♛", E:E, E2), 0) - IF(E56="All", COUNTIFS(F:F, "♛", E:E, "All"), 0)))/100, "")))))))
</f>
        <v>0.02608695652</v>
      </c>
      <c r="J56" s="282"/>
      <c r="K56" s="23"/>
      <c r="L56" s="23"/>
      <c r="M56" s="23"/>
      <c r="N56" s="23"/>
    </row>
    <row r="57">
      <c r="A57" s="275" t="b">
        <f t="shared" si="1"/>
        <v>0</v>
      </c>
      <c r="B57" s="276">
        <v>0.0</v>
      </c>
      <c r="C57" s="277" t="s">
        <v>765</v>
      </c>
      <c r="D57" s="277" t="s">
        <v>766</v>
      </c>
      <c r="E57" s="277" t="s">
        <v>34</v>
      </c>
      <c r="F57" s="277" t="s">
        <v>46</v>
      </c>
      <c r="G57" s="279" t="str">
        <f t="shared" si="2"/>
        <v/>
      </c>
      <c r="H57" s="280">
        <f>IF(F57="♢♢", ((M4 * 100) / (COUNTIFS(F:F, "♢♢", E:E, E57) + COUNTIFS(F:F, "♢♢", E:E, "All") + IF(E57="All", COUNTIFS(F:F, "♢♢", E:E, E2), 0) - IF(E57="All", COUNTIFS(F:F, "♢♢", E:E, "All"), 0)))/100, 
   IF(F57="♢♢♢", ((M5 * 100) / (COUNTIFS(F:F, "♢♢♢", E:E, E57) + COUNTIFS(F:F, "♢♢♢", E:E, "All") + IF(E57="All", COUNTIFS(F:F, "♢♢♢", E:E, E2), 0) - IF(E57="All", COUNTIFS(F:F, "♢♢♢", E:E, "All"), 0)))/100, 
   IF(F57="♢♢♢♢", ((M6 * 100) / (COUNTIFS(F:F, "♢♢♢♢", E:E, E57) + COUNTIFS(F:F, "♢♢♢♢", E:E, "All") + IF(E57="All", COUNTIFS(F:F, "♢♢♢♢", E:E, E2), 0) - IF(E57="All", COUNTIFS(F:F, "♢♢♢♢", E:E, "All"), 0)))/100, 
   IF(F57="☆", ((M7 * 100) / (COUNTIFS(F:F, "☆", E:E, E57) + COUNTIFS(F:F, "☆", E:E, "All") + IF(E57="All", COUNTIFS(F:F, "☆", E:E, E2), 0) - IF(E57="All", COUNTIFS(F:F, "☆", E:E, "All"), 0)))/100, 
   IF(F57="☆☆", ((M8 * 100) / (COUNTIFS(F:F, "☆☆", E:E, E57) + COUNTIFS(F:F, "☆☆", E:E, "All") + IF(E57="All", COUNTIFS(F:F, "☆☆", E:E, E2), 0) - IF(E57="All", COUNTIFS(F:F, "☆☆", E:E, "All"), 0)))/100, 
   IF(F57="☆☆☆", ((M9 * 100) / (COUNTIFS(F:F, "☆☆☆", E:E, E57) + COUNTIFS(F:F, "☆☆☆", E:E, "All") + IF(E57="All", COUNTIFS(F:F, "☆☆☆", E:E, E2), 0) - IF(E57="All", COUNTIFS(F:F, "☆☆☆", E:E, "All"), 0)))/100, 
   IF(F57="♛", ((M10 * 100) / (COUNTIFS(F:F, "♛", E:E, E57) + COUNTIFS(F:F, "♛", E:E, "All") + IF(E57="All", COUNTIFS(F:F, "♛", E:E, E2), 0) - IF(E57="All", COUNTIFS(F:F, "♛", E:E, "All"), 0)))/100, "")))))))
</f>
        <v>0.03913043478</v>
      </c>
      <c r="I57" s="281">
        <f>IF(F57="♢♢", ((N4 * 100) / (COUNTIFS(F:F, "♢♢", E:E, E57) + COUNTIFS(F:F, "♢♢", E:E, "All") + IF(E57="All", COUNTIFS(F:F, "♢♢", E:E, E2), 0) - IF(E57="All", COUNTIFS(F:F, "♢♢", E:E, "All"), 0)))/100, 
   IF(F57="♢♢♢", ((N5 * 100) / (COUNTIFS(F:F, "♢♢♢", E:E, E57) + COUNTIFS(F:F, "♢♢♢", E:E, "All") + IF(E57="All", COUNTIFS(F:F, "♢♢♢", E:E, E2), 0) - IF(E57="All", COUNTIFS(F:F, "♢♢♢", E:E, "All"), 0)))/100, 
   IF(F57="♢♢♢♢", ((N6 * 100) / (COUNTIFS(F:F, "♢♢♢♢", E:E, E57) + COUNTIFS(F:F, "♢♢♢♢", E:E, "All") + IF(E57="All", COUNTIFS(F:F, "♢♢♢♢", E:E, E2), 0) - IF(E57="All", COUNTIFS(F:F, "♢♢♢♢", E:E, "All"), 0)))/100, 
   IF(F57="☆", ((N7 * 100) / (COUNTIFS(F:F, "☆", E:E, E57) + COUNTIFS(F:F, "☆", E:E, "All") + IF(E57="All", COUNTIFS(F:F, "☆", E:E, E2), 0) - IF(E57="All", COUNTIFS(F:F, "☆", E:E, "All"), 0)))/100, 
   IF(F57="☆☆", ((N8 * 100) / (COUNTIFS(F:F, "☆☆", E:E, E57) + COUNTIFS(F:F, "☆☆", E:E, "All") + IF(E57="All", COUNTIFS(F:F, "☆☆", E:E, E2), 0) - IF(E57="All", COUNTIFS(F:F, "☆☆", E:E, "All"), 0)))/100, 
   IF(F57="☆☆☆", ((N9 * 100) / (COUNTIFS(F:F, "☆☆☆", E:E, E57) + COUNTIFS(F:F, "☆☆☆", E:E, "All") + IF(E57="All", COUNTIFS(F:F, "☆☆☆", E:E, E2), 0) - IF(E57="All", COUNTIFS(F:F, "☆☆☆", E:E, "All"), 0)))/100, 
   IF(F57="♛", ((N10 * 100) / (COUNTIFS(F:F, "♛", E:E, E57) + COUNTIFS(F:F, "♛", E:E, "All") + IF(E57="All", COUNTIFS(F:F, "♛", E:E, E2), 0) - IF(E57="All", COUNTIFS(F:F, "♛", E:E, "All"), 0)))/100, "")))))))
</f>
        <v>0.02608695652</v>
      </c>
      <c r="J57" s="282"/>
      <c r="K57" s="23"/>
      <c r="L57" s="23"/>
      <c r="M57" s="23"/>
      <c r="N57" s="23"/>
    </row>
    <row r="58">
      <c r="A58" s="275" t="b">
        <f t="shared" si="1"/>
        <v>0</v>
      </c>
      <c r="B58" s="276">
        <v>0.0</v>
      </c>
      <c r="C58" s="277" t="s">
        <v>767</v>
      </c>
      <c r="D58" s="277" t="s">
        <v>488</v>
      </c>
      <c r="E58" s="277" t="s">
        <v>34</v>
      </c>
      <c r="F58" s="277" t="s">
        <v>44</v>
      </c>
      <c r="G58" s="279">
        <f t="shared" si="2"/>
        <v>0.03125</v>
      </c>
      <c r="H58" s="280" t="str">
        <f>IF(F58="♢♢", ((M4 * 100) / (COUNTIFS(F:F, "♢♢", E:E, E58) + COUNTIFS(F:F, "♢♢", E:E, "All") + IF(E58="All", COUNTIFS(F:F, "♢♢", E:E, E2), 0) - IF(E58="All", COUNTIFS(F:F, "♢♢", E:E, "All"), 0)))/100, 
   IF(F58="♢♢♢", ((M5 * 100) / (COUNTIFS(F:F, "♢♢♢", E:E, E58) + COUNTIFS(F:F, "♢♢♢", E:E, "All") + IF(E58="All", COUNTIFS(F:F, "♢♢♢", E:E, E2), 0) - IF(E58="All", COUNTIFS(F:F, "♢♢♢", E:E, "All"), 0)))/100, 
   IF(F58="♢♢♢♢", ((M6 * 100) / (COUNTIFS(F:F, "♢♢♢♢", E:E, E58) + COUNTIFS(F:F, "♢♢♢♢", E:E, "All") + IF(E58="All", COUNTIFS(F:F, "♢♢♢♢", E:E, E2), 0) - IF(E58="All", COUNTIFS(F:F, "♢♢♢♢", E:E, "All"), 0)))/100, 
   IF(F58="☆", ((M7 * 100) / (COUNTIFS(F:F, "☆", E:E, E58) + COUNTIFS(F:F, "☆", E:E, "All") + IF(E58="All", COUNTIFS(F:F, "☆", E:E, E2), 0) - IF(E58="All", COUNTIFS(F:F, "☆", E:E, "All"), 0)))/100, 
   IF(F58="☆☆", ((M8 * 100) / (COUNTIFS(F:F, "☆☆", E:E, E58) + COUNTIFS(F:F, "☆☆", E:E, "All") + IF(E58="All", COUNTIFS(F:F, "☆☆", E:E, E2), 0) - IF(E58="All", COUNTIFS(F:F, "☆☆", E:E, "All"), 0)))/100, 
   IF(F58="☆☆☆", ((M9 * 100) / (COUNTIFS(F:F, "☆☆☆", E:E, E58) + COUNTIFS(F:F, "☆☆☆", E:E, "All") + IF(E58="All", COUNTIFS(F:F, "☆☆☆", E:E, E2), 0) - IF(E58="All", COUNTIFS(F:F, "☆☆☆", E:E, "All"), 0)))/100, 
   IF(F58="♛", ((M10 * 100) / (COUNTIFS(F:F, "♛", E:E, E58) + COUNTIFS(F:F, "♛", E:E, "All") + IF(E58="All", COUNTIFS(F:F, "♛", E:E, E2), 0) - IF(E58="All", COUNTIFS(F:F, "♛", E:E, "All"), 0)))/100, "")))))))
</f>
        <v/>
      </c>
      <c r="I58" s="281" t="str">
        <f>IF(F58="♢♢", ((N4 * 100) / (COUNTIFS(F:F, "♢♢", E:E, E58) + COUNTIFS(F:F, "♢♢", E:E, "All") + IF(E58="All", COUNTIFS(F:F, "♢♢", E:E, E2), 0) - IF(E58="All", COUNTIFS(F:F, "♢♢", E:E, "All"), 0)))/100, 
   IF(F58="♢♢♢", ((N5 * 100) / (COUNTIFS(F:F, "♢♢♢", E:E, E58) + COUNTIFS(F:F, "♢♢♢", E:E, "All") + IF(E58="All", COUNTIFS(F:F, "♢♢♢", E:E, E2), 0) - IF(E58="All", COUNTIFS(F:F, "♢♢♢", E:E, "All"), 0)))/100, 
   IF(F58="♢♢♢♢", ((N6 * 100) / (COUNTIFS(F:F, "♢♢♢♢", E:E, E58) + COUNTIFS(F:F, "♢♢♢♢", E:E, "All") + IF(E58="All", COUNTIFS(F:F, "♢♢♢♢", E:E, E2), 0) - IF(E58="All", COUNTIFS(F:F, "♢♢♢♢", E:E, "All"), 0)))/100, 
   IF(F58="☆", ((N7 * 100) / (COUNTIFS(F:F, "☆", E:E, E58) + COUNTIFS(F:F, "☆", E:E, "All") + IF(E58="All", COUNTIFS(F:F, "☆", E:E, E2), 0) - IF(E58="All", COUNTIFS(F:F, "☆", E:E, "All"), 0)))/100, 
   IF(F58="☆☆", ((N8 * 100) / (COUNTIFS(F:F, "☆☆", E:E, E58) + COUNTIFS(F:F, "☆☆", E:E, "All") + IF(E58="All", COUNTIFS(F:F, "☆☆", E:E, E2), 0) - IF(E58="All", COUNTIFS(F:F, "☆☆", E:E, "All"), 0)))/100, 
   IF(F58="☆☆☆", ((N9 * 100) / (COUNTIFS(F:F, "☆☆☆", E:E, E58) + COUNTIFS(F:F, "☆☆☆", E:E, "All") + IF(E58="All", COUNTIFS(F:F, "☆☆☆", E:E, E2), 0) - IF(E58="All", COUNTIFS(F:F, "☆☆☆", E:E, "All"), 0)))/100, 
   IF(F58="♛", ((N10 * 100) / (COUNTIFS(F:F, "♛", E:E, E58) + COUNTIFS(F:F, "♛", E:E, "All") + IF(E58="All", COUNTIFS(F:F, "♛", E:E, E2), 0) - IF(E58="All", COUNTIFS(F:F, "♛", E:E, "All"), 0)))/100, "")))))))
</f>
        <v/>
      </c>
      <c r="J58" s="282"/>
      <c r="K58" s="23"/>
      <c r="L58" s="23"/>
      <c r="M58" s="23"/>
      <c r="N58" s="23"/>
    </row>
    <row r="59">
      <c r="A59" s="275" t="b">
        <f t="shared" si="1"/>
        <v>0</v>
      </c>
      <c r="B59" s="276">
        <v>0.0</v>
      </c>
      <c r="C59" s="277" t="s">
        <v>768</v>
      </c>
      <c r="D59" s="277" t="s">
        <v>490</v>
      </c>
      <c r="E59" s="277" t="s">
        <v>34</v>
      </c>
      <c r="F59" s="277" t="s">
        <v>44</v>
      </c>
      <c r="G59" s="279">
        <f t="shared" si="2"/>
        <v>0.03125</v>
      </c>
      <c r="H59" s="280" t="str">
        <f>IF(F59="♢♢", ((M4 * 100) / (COUNTIFS(F:F, "♢♢", E:E, E59) + COUNTIFS(F:F, "♢♢", E:E, "All") + IF(E59="All", COUNTIFS(F:F, "♢♢", E:E, E2), 0) - IF(E59="All", COUNTIFS(F:F, "♢♢", E:E, "All"), 0)))/100, 
   IF(F59="♢♢♢", ((M5 * 100) / (COUNTIFS(F:F, "♢♢♢", E:E, E59) + COUNTIFS(F:F, "♢♢♢", E:E, "All") + IF(E59="All", COUNTIFS(F:F, "♢♢♢", E:E, E2), 0) - IF(E59="All", COUNTIFS(F:F, "♢♢♢", E:E, "All"), 0)))/100, 
   IF(F59="♢♢♢♢", ((M6 * 100) / (COUNTIFS(F:F, "♢♢♢♢", E:E, E59) + COUNTIFS(F:F, "♢♢♢♢", E:E, "All") + IF(E59="All", COUNTIFS(F:F, "♢♢♢♢", E:E, E2), 0) - IF(E59="All", COUNTIFS(F:F, "♢♢♢♢", E:E, "All"), 0)))/100, 
   IF(F59="☆", ((M7 * 100) / (COUNTIFS(F:F, "☆", E:E, E59) + COUNTIFS(F:F, "☆", E:E, "All") + IF(E59="All", COUNTIFS(F:F, "☆", E:E, E2), 0) - IF(E59="All", COUNTIFS(F:F, "☆", E:E, "All"), 0)))/100, 
   IF(F59="☆☆", ((M8 * 100) / (COUNTIFS(F:F, "☆☆", E:E, E59) + COUNTIFS(F:F, "☆☆", E:E, "All") + IF(E59="All", COUNTIFS(F:F, "☆☆", E:E, E2), 0) - IF(E59="All", COUNTIFS(F:F, "☆☆", E:E, "All"), 0)))/100, 
   IF(F59="☆☆☆", ((M9 * 100) / (COUNTIFS(F:F, "☆☆☆", E:E, E59) + COUNTIFS(F:F, "☆☆☆", E:E, "All") + IF(E59="All", COUNTIFS(F:F, "☆☆☆", E:E, E2), 0) - IF(E59="All", COUNTIFS(F:F, "☆☆☆", E:E, "All"), 0)))/100, 
   IF(F59="♛", ((M10 * 100) / (COUNTIFS(F:F, "♛", E:E, E59) + COUNTIFS(F:F, "♛", E:E, "All") + IF(E59="All", COUNTIFS(F:F, "♛", E:E, E2), 0) - IF(E59="All", COUNTIFS(F:F, "♛", E:E, "All"), 0)))/100, "")))))))
</f>
        <v/>
      </c>
      <c r="I59" s="281" t="str">
        <f>IF(F59="♢♢", ((N4 * 100) / (COUNTIFS(F:F, "♢♢", E:E, E59) + COUNTIFS(F:F, "♢♢", E:E, "All") + IF(E59="All", COUNTIFS(F:F, "♢♢", E:E, E2), 0) - IF(E59="All", COUNTIFS(F:F, "♢♢", E:E, "All"), 0)))/100, 
   IF(F59="♢♢♢", ((N5 * 100) / (COUNTIFS(F:F, "♢♢♢", E:E, E59) + COUNTIFS(F:F, "♢♢♢", E:E, "All") + IF(E59="All", COUNTIFS(F:F, "♢♢♢", E:E, E2), 0) - IF(E59="All", COUNTIFS(F:F, "♢♢♢", E:E, "All"), 0)))/100, 
   IF(F59="♢♢♢♢", ((N6 * 100) / (COUNTIFS(F:F, "♢♢♢♢", E:E, E59) + COUNTIFS(F:F, "♢♢♢♢", E:E, "All") + IF(E59="All", COUNTIFS(F:F, "♢♢♢♢", E:E, E2), 0) - IF(E59="All", COUNTIFS(F:F, "♢♢♢♢", E:E, "All"), 0)))/100, 
   IF(F59="☆", ((N7 * 100) / (COUNTIFS(F:F, "☆", E:E, E59) + COUNTIFS(F:F, "☆", E:E, "All") + IF(E59="All", COUNTIFS(F:F, "☆", E:E, E2), 0) - IF(E59="All", COUNTIFS(F:F, "☆", E:E, "All"), 0)))/100, 
   IF(F59="☆☆", ((N8 * 100) / (COUNTIFS(F:F, "☆☆", E:E, E59) + COUNTIFS(F:F, "☆☆", E:E, "All") + IF(E59="All", COUNTIFS(F:F, "☆☆", E:E, E2), 0) - IF(E59="All", COUNTIFS(F:F, "☆☆", E:E, "All"), 0)))/100, 
   IF(F59="☆☆☆", ((N9 * 100) / (COUNTIFS(F:F, "☆☆☆", E:E, E59) + COUNTIFS(F:F, "☆☆☆", E:E, "All") + IF(E59="All", COUNTIFS(F:F, "☆☆☆", E:E, E2), 0) - IF(E59="All", COUNTIFS(F:F, "☆☆☆", E:E, "All"), 0)))/100, 
   IF(F59="♛", ((N10 * 100) / (COUNTIFS(F:F, "♛", E:E, E59) + COUNTIFS(F:F, "♛", E:E, "All") + IF(E59="All", COUNTIFS(F:F, "♛", E:E, E2), 0) - IF(E59="All", COUNTIFS(F:F, "♛", E:E, "All"), 0)))/100, "")))))))
</f>
        <v/>
      </c>
      <c r="J59" s="282"/>
      <c r="K59" s="23"/>
      <c r="L59" s="23"/>
      <c r="M59" s="23"/>
      <c r="N59" s="23"/>
    </row>
    <row r="60">
      <c r="A60" s="275" t="b">
        <f t="shared" si="1"/>
        <v>0</v>
      </c>
      <c r="B60" s="276">
        <v>0.0</v>
      </c>
      <c r="C60" s="277" t="s">
        <v>769</v>
      </c>
      <c r="D60" s="277" t="s">
        <v>770</v>
      </c>
      <c r="E60" s="277" t="s">
        <v>34</v>
      </c>
      <c r="F60" s="277" t="s">
        <v>51</v>
      </c>
      <c r="G60" s="279" t="str">
        <f t="shared" si="2"/>
        <v/>
      </c>
      <c r="H60" s="280">
        <f>IF(F60="♢♢", ((M4 * 100) / (COUNTIFS(F:F, "♢♢", E:E, E60) + COUNTIFS(F:F, "♢♢", E:E, "All") + IF(E60="All", COUNTIFS(F:F, "♢♢", E:E, E2), 0) - IF(E60="All", COUNTIFS(F:F, "♢♢", E:E, "All"), 0)))/100, 
   IF(F60="♢♢♢", ((M5 * 100) / (COUNTIFS(F:F, "♢♢♢", E:E, E60) + COUNTIFS(F:F, "♢♢♢", E:E, "All") + IF(E60="All", COUNTIFS(F:F, "♢♢♢", E:E, E2), 0) - IF(E60="All", COUNTIFS(F:F, "♢♢♢", E:E, "All"), 0)))/100, 
   IF(F60="♢♢♢♢", ((M6 * 100) / (COUNTIFS(F:F, "♢♢♢♢", E:E, E60) + COUNTIFS(F:F, "♢♢♢♢", E:E, "All") + IF(E60="All", COUNTIFS(F:F, "♢♢♢♢", E:E, E2), 0) - IF(E60="All", COUNTIFS(F:F, "♢♢♢♢", E:E, "All"), 0)))/100, 
   IF(F60="☆", ((M7 * 100) / (COUNTIFS(F:F, "☆", E:E, E60) + COUNTIFS(F:F, "☆", E:E, "All") + IF(E60="All", COUNTIFS(F:F, "☆", E:E, E2), 0) - IF(E60="All", COUNTIFS(F:F, "☆", E:E, "All"), 0)))/100, 
   IF(F60="☆☆", ((M8 * 100) / (COUNTIFS(F:F, "☆☆", E:E, E60) + COUNTIFS(F:F, "☆☆", E:E, "All") + IF(E60="All", COUNTIFS(F:F, "☆☆", E:E, E2), 0) - IF(E60="All", COUNTIFS(F:F, "☆☆", E:E, "All"), 0)))/100, 
   IF(F60="☆☆☆", ((M9 * 100) / (COUNTIFS(F:F, "☆☆☆", E:E, E60) + COUNTIFS(F:F, "☆☆☆", E:E, "All") + IF(E60="All", COUNTIFS(F:F, "☆☆☆", E:E, E2), 0) - IF(E60="All", COUNTIFS(F:F, "☆☆☆", E:E, "All"), 0)))/100, 
   IF(F60="♛", ((M10 * 100) / (COUNTIFS(F:F, "♛", E:E, E60) + COUNTIFS(F:F, "♛", E:E, "All") + IF(E60="All", COUNTIFS(F:F, "♛", E:E, E2), 0) - IF(E60="All", COUNTIFS(F:F, "♛", E:E, "All"), 0)))/100, "")))))))
</f>
        <v>0.003332</v>
      </c>
      <c r="I60" s="281">
        <f>IF(F60="♢♢", ((N4 * 100) / (COUNTIFS(F:F, "♢♢", E:E, E60) + COUNTIFS(F:F, "♢♢", E:E, "All") + IF(E60="All", COUNTIFS(F:F, "♢♢", E:E, E2), 0) - IF(E60="All", COUNTIFS(F:F, "♢♢", E:E, "All"), 0)))/100, 
   IF(F60="♢♢♢", ((N5 * 100) / (COUNTIFS(F:F, "♢♢♢", E:E, E60) + COUNTIFS(F:F, "♢♢♢", E:E, "All") + IF(E60="All", COUNTIFS(F:F, "♢♢♢", E:E, E2), 0) - IF(E60="All", COUNTIFS(F:F, "♢♢♢", E:E, "All"), 0)))/100, 
   IF(F60="♢♢♢♢", ((N6 * 100) / (COUNTIFS(F:F, "♢♢♢♢", E:E, E60) + COUNTIFS(F:F, "♢♢♢♢", E:E, "All") + IF(E60="All", COUNTIFS(F:F, "♢♢♢♢", E:E, E2), 0) - IF(E60="All", COUNTIFS(F:F, "♢♢♢♢", E:E, "All"), 0)))/100, 
   IF(F60="☆", ((N7 * 100) / (COUNTIFS(F:F, "☆", E:E, E60) + COUNTIFS(F:F, "☆", E:E, "All") + IF(E60="All", COUNTIFS(F:F, "☆", E:E, E2), 0) - IF(E60="All", COUNTIFS(F:F, "☆", E:E, "All"), 0)))/100, 
   IF(F60="☆☆", ((N8 * 100) / (COUNTIFS(F:F, "☆☆", E:E, E60) + COUNTIFS(F:F, "☆☆", E:E, "All") + IF(E60="All", COUNTIFS(F:F, "☆☆", E:E, E2), 0) - IF(E60="All", COUNTIFS(F:F, "☆☆", E:E, "All"), 0)))/100, 
   IF(F60="☆☆☆", ((N9 * 100) / (COUNTIFS(F:F, "☆☆☆", E:E, E60) + COUNTIFS(F:F, "☆☆☆", E:E, "All") + IF(E60="All", COUNTIFS(F:F, "☆☆☆", E:E, E2), 0) - IF(E60="All", COUNTIFS(F:F, "☆☆☆", E:E, "All"), 0)))/100, 
   IF(F60="♛", ((N10 * 100) / (COUNTIFS(F:F, "♛", E:E, E60) + COUNTIFS(F:F, "♛", E:E, "All") + IF(E60="All", COUNTIFS(F:F, "♛", E:E, E2), 0) - IF(E60="All", COUNTIFS(F:F, "♛", E:E, "All"), 0)))/100, "")))))))
</f>
        <v>0.013328</v>
      </c>
      <c r="J60" s="282"/>
      <c r="K60" s="23"/>
      <c r="L60" s="23"/>
      <c r="M60" s="23"/>
      <c r="N60" s="23"/>
    </row>
    <row r="61">
      <c r="A61" s="275" t="b">
        <f t="shared" si="1"/>
        <v>0</v>
      </c>
      <c r="B61" s="276">
        <v>0.0</v>
      </c>
      <c r="C61" s="277" t="s">
        <v>771</v>
      </c>
      <c r="D61" s="277" t="s">
        <v>524</v>
      </c>
      <c r="E61" s="277" t="s">
        <v>34</v>
      </c>
      <c r="F61" s="278" t="s">
        <v>48</v>
      </c>
      <c r="G61" s="279" t="str">
        <f t="shared" si="2"/>
        <v/>
      </c>
      <c r="H61" s="280">
        <f>IF(F61="♢♢", ((M4 * 100) / (COUNTIFS(F:F, "♢♢", E:E, E61) + COUNTIFS(F:F, "♢♢", E:E, "All") + IF(E61="All", COUNTIFS(F:F, "♢♢", E:E, E2), 0) - IF(E61="All", COUNTIFS(F:F, "♢♢", E:E, "All"), 0)))/100, 
   IF(F61="♢♢♢", ((M5 * 100) / (COUNTIFS(F:F, "♢♢♢", E:E, E61) + COUNTIFS(F:F, "♢♢♢", E:E, "All") + IF(E61="All", COUNTIFS(F:F, "♢♢♢", E:E, E2), 0) - IF(E61="All", COUNTIFS(F:F, "♢♢♢", E:E, "All"), 0)))/100, 
   IF(F61="♢♢♢♢", ((M6 * 100) / (COUNTIFS(F:F, "♢♢♢♢", E:E, E61) + COUNTIFS(F:F, "♢♢♢♢", E:E, "All") + IF(E61="All", COUNTIFS(F:F, "♢♢♢♢", E:E, E2), 0) - IF(E61="All", COUNTIFS(F:F, "♢♢♢♢", E:E, "All"), 0)))/100, 
   IF(F61="☆", ((M7 * 100) / (COUNTIFS(F:F, "☆", E:E, E61) + COUNTIFS(F:F, "☆", E:E, "All") + IF(E61="All", COUNTIFS(F:F, "☆", E:E, E2), 0) - IF(E61="All", COUNTIFS(F:F, "☆", E:E, "All"), 0)))/100, 
   IF(F61="☆☆", ((M8 * 100) / (COUNTIFS(F:F, "☆☆", E:E, E61) + COUNTIFS(F:F, "☆☆", E:E, "All") + IF(E61="All", COUNTIFS(F:F, "☆☆", E:E, E2), 0) - IF(E61="All", COUNTIFS(F:F, "☆☆", E:E, "All"), 0)))/100, 
   IF(F61="☆☆☆", ((M9 * 100) / (COUNTIFS(F:F, "☆☆☆", E:E, E61) + COUNTIFS(F:F, "☆☆☆", E:E, "All") + IF(E61="All", COUNTIFS(F:F, "☆☆☆", E:E, E2), 0) - IF(E61="All", COUNTIFS(F:F, "☆☆☆", E:E, "All"), 0)))/100, 
   IF(F61="♛", ((M10 * 100) / (COUNTIFS(F:F, "♛", E:E, E61) + COUNTIFS(F:F, "♛", E:E, "All") + IF(E61="All", COUNTIFS(F:F, "♛", E:E, E2), 0) - IF(E61="All", COUNTIFS(F:F, "♛", E:E, "All"), 0)))/100, "")))))))
</f>
        <v>0.00625</v>
      </c>
      <c r="I61" s="281">
        <f>IF(F61="♢♢", ((N4 * 100) / (COUNTIFS(F:F, "♢♢", E:E, E61) + COUNTIFS(F:F, "♢♢", E:E, "All") + IF(E61="All", COUNTIFS(F:F, "♢♢", E:E, E2), 0) - IF(E61="All", COUNTIFS(F:F, "♢♢", E:E, "All"), 0)))/100, 
   IF(F61="♢♢♢", ((N5 * 100) / (COUNTIFS(F:F, "♢♢♢", E:E, E61) + COUNTIFS(F:F, "♢♢♢", E:E, "All") + IF(E61="All", COUNTIFS(F:F, "♢♢♢", E:E, E2), 0) - IF(E61="All", COUNTIFS(F:F, "♢♢♢", E:E, "All"), 0)))/100, 
   IF(F61="♢♢♢♢", ((N6 * 100) / (COUNTIFS(F:F, "♢♢♢♢", E:E, E61) + COUNTIFS(F:F, "♢♢♢♢", E:E, "All") + IF(E61="All", COUNTIFS(F:F, "♢♢♢♢", E:E, E2), 0) - IF(E61="All", COUNTIFS(F:F, "♢♢♢♢", E:E, "All"), 0)))/100, 
   IF(F61="☆", ((N7 * 100) / (COUNTIFS(F:F, "☆", E:E, E61) + COUNTIFS(F:F, "☆", E:E, "All") + IF(E61="All", COUNTIFS(F:F, "☆", E:E, E2), 0) - IF(E61="All", COUNTIFS(F:F, "☆", E:E, "All"), 0)))/100, 
   IF(F61="☆☆", ((N8 * 100) / (COUNTIFS(F:F, "☆☆", E:E, E61) + COUNTIFS(F:F, "☆☆", E:E, "All") + IF(E61="All", COUNTIFS(F:F, "☆☆", E:E, E2), 0) - IF(E61="All", COUNTIFS(F:F, "☆☆", E:E, "All"), 0)))/100, 
   IF(F61="☆☆☆", ((N9 * 100) / (COUNTIFS(F:F, "☆☆☆", E:E, E61) + COUNTIFS(F:F, "☆☆☆", E:E, "All") + IF(E61="All", COUNTIFS(F:F, "☆☆☆", E:E, E2), 0) - IF(E61="All", COUNTIFS(F:F, "☆☆☆", E:E, "All"), 0)))/100, 
   IF(F61="♛", ((N10 * 100) / (COUNTIFS(F:F, "♛", E:E, E61) + COUNTIFS(F:F, "♛", E:E, "All") + IF(E61="All", COUNTIFS(F:F, "♛", E:E, E2), 0) - IF(E61="All", COUNTIFS(F:F, "♛", E:E, "All"), 0)))/100, "")))))))
</f>
        <v>0.025</v>
      </c>
      <c r="J61" s="282"/>
      <c r="K61" s="23"/>
      <c r="L61" s="23"/>
      <c r="M61" s="23"/>
      <c r="N61" s="23"/>
    </row>
    <row r="62">
      <c r="A62" s="275" t="b">
        <f t="shared" si="1"/>
        <v>0</v>
      </c>
      <c r="B62" s="276">
        <v>0.0</v>
      </c>
      <c r="C62" s="277" t="s">
        <v>772</v>
      </c>
      <c r="D62" s="277" t="s">
        <v>528</v>
      </c>
      <c r="E62" s="277" t="s">
        <v>34</v>
      </c>
      <c r="F62" s="277" t="s">
        <v>44</v>
      </c>
      <c r="G62" s="279">
        <f t="shared" si="2"/>
        <v>0.03125</v>
      </c>
      <c r="H62" s="280" t="str">
        <f>IF(F62="♢♢", ((M4 * 100) / (COUNTIFS(F:F, "♢♢", E:E, E62) + COUNTIFS(F:F, "♢♢", E:E, "All") + IF(E62="All", COUNTIFS(F:F, "♢♢", E:E, E2), 0) - IF(E62="All", COUNTIFS(F:F, "♢♢", E:E, "All"), 0)))/100, 
   IF(F62="♢♢♢", ((M5 * 100) / (COUNTIFS(F:F, "♢♢♢", E:E, E62) + COUNTIFS(F:F, "♢♢♢", E:E, "All") + IF(E62="All", COUNTIFS(F:F, "♢♢♢", E:E, E2), 0) - IF(E62="All", COUNTIFS(F:F, "♢♢♢", E:E, "All"), 0)))/100, 
   IF(F62="♢♢♢♢", ((M6 * 100) / (COUNTIFS(F:F, "♢♢♢♢", E:E, E62) + COUNTIFS(F:F, "♢♢♢♢", E:E, "All") + IF(E62="All", COUNTIFS(F:F, "♢♢♢♢", E:E, E2), 0) - IF(E62="All", COUNTIFS(F:F, "♢♢♢♢", E:E, "All"), 0)))/100, 
   IF(F62="☆", ((M7 * 100) / (COUNTIFS(F:F, "☆", E:E, E62) + COUNTIFS(F:F, "☆", E:E, "All") + IF(E62="All", COUNTIFS(F:F, "☆", E:E, E2), 0) - IF(E62="All", COUNTIFS(F:F, "☆", E:E, "All"), 0)))/100, 
   IF(F62="☆☆", ((M8 * 100) / (COUNTIFS(F:F, "☆☆", E:E, E62) + COUNTIFS(F:F, "☆☆", E:E, "All") + IF(E62="All", COUNTIFS(F:F, "☆☆", E:E, E2), 0) - IF(E62="All", COUNTIFS(F:F, "☆☆", E:E, "All"), 0)))/100, 
   IF(F62="☆☆☆", ((M9 * 100) / (COUNTIFS(F:F, "☆☆☆", E:E, E62) + COUNTIFS(F:F, "☆☆☆", E:E, "All") + IF(E62="All", COUNTIFS(F:F, "☆☆☆", E:E, E2), 0) - IF(E62="All", COUNTIFS(F:F, "☆☆☆", E:E, "All"), 0)))/100, 
   IF(F62="♛", ((M10 * 100) / (COUNTIFS(F:F, "♛", E:E, E62) + COUNTIFS(F:F, "♛", E:E, "All") + IF(E62="All", COUNTIFS(F:F, "♛", E:E, E2), 0) - IF(E62="All", COUNTIFS(F:F, "♛", E:E, "All"), 0)))/100, "")))))))
</f>
        <v/>
      </c>
      <c r="I62" s="281" t="str">
        <f>IF(F62="♢♢", ((N4 * 100) / (COUNTIFS(F:F, "♢♢", E:E, E62) + COUNTIFS(F:F, "♢♢", E:E, "All") + IF(E62="All", COUNTIFS(F:F, "♢♢", E:E, E2), 0) - IF(E62="All", COUNTIFS(F:F, "♢♢", E:E, "All"), 0)))/100, 
   IF(F62="♢♢♢", ((N5 * 100) / (COUNTIFS(F:F, "♢♢♢", E:E, E62) + COUNTIFS(F:F, "♢♢♢", E:E, "All") + IF(E62="All", COUNTIFS(F:F, "♢♢♢", E:E, E2), 0) - IF(E62="All", COUNTIFS(F:F, "♢♢♢", E:E, "All"), 0)))/100, 
   IF(F62="♢♢♢♢", ((N6 * 100) / (COUNTIFS(F:F, "♢♢♢♢", E:E, E62) + COUNTIFS(F:F, "♢♢♢♢", E:E, "All") + IF(E62="All", COUNTIFS(F:F, "♢♢♢♢", E:E, E2), 0) - IF(E62="All", COUNTIFS(F:F, "♢♢♢♢", E:E, "All"), 0)))/100, 
   IF(F62="☆", ((N7 * 100) / (COUNTIFS(F:F, "☆", E:E, E62) + COUNTIFS(F:F, "☆", E:E, "All") + IF(E62="All", COUNTIFS(F:F, "☆", E:E, E2), 0) - IF(E62="All", COUNTIFS(F:F, "☆", E:E, "All"), 0)))/100, 
   IF(F62="☆☆", ((N8 * 100) / (COUNTIFS(F:F, "☆☆", E:E, E62) + COUNTIFS(F:F, "☆☆", E:E, "All") + IF(E62="All", COUNTIFS(F:F, "☆☆", E:E, E2), 0) - IF(E62="All", COUNTIFS(F:F, "☆☆", E:E, "All"), 0)))/100, 
   IF(F62="☆☆☆", ((N9 * 100) / (COUNTIFS(F:F, "☆☆☆", E:E, E62) + COUNTIFS(F:F, "☆☆☆", E:E, "All") + IF(E62="All", COUNTIFS(F:F, "☆☆☆", E:E, E2), 0) - IF(E62="All", COUNTIFS(F:F, "☆☆☆", E:E, "All"), 0)))/100, 
   IF(F62="♛", ((N10 * 100) / (COUNTIFS(F:F, "♛", E:E, E62) + COUNTIFS(F:F, "♛", E:E, "All") + IF(E62="All", COUNTIFS(F:F, "♛", E:E, E2), 0) - IF(E62="All", COUNTIFS(F:F, "♛", E:E, "All"), 0)))/100, "")))))))
</f>
        <v/>
      </c>
      <c r="J62" s="282"/>
      <c r="K62" s="23"/>
      <c r="L62" s="23"/>
      <c r="M62" s="23"/>
      <c r="N62" s="23"/>
    </row>
    <row r="63">
      <c r="A63" s="275" t="b">
        <f t="shared" si="1"/>
        <v>0</v>
      </c>
      <c r="B63" s="276">
        <v>0.0</v>
      </c>
      <c r="C63" s="277" t="s">
        <v>773</v>
      </c>
      <c r="D63" s="277" t="s">
        <v>774</v>
      </c>
      <c r="E63" s="277" t="s">
        <v>34</v>
      </c>
      <c r="F63" s="277" t="s">
        <v>44</v>
      </c>
      <c r="G63" s="279">
        <f t="shared" si="2"/>
        <v>0.03125</v>
      </c>
      <c r="H63" s="280" t="str">
        <f>IF(F63="♢♢", ((M4 * 100) / (COUNTIFS(F:F, "♢♢", E:E, E63) + COUNTIFS(F:F, "♢♢", E:E, "All") + IF(E63="All", COUNTIFS(F:F, "♢♢", E:E, E2), 0) - IF(E63="All", COUNTIFS(F:F, "♢♢", E:E, "All"), 0)))/100, 
   IF(F63="♢♢♢", ((M5 * 100) / (COUNTIFS(F:F, "♢♢♢", E:E, E63) + COUNTIFS(F:F, "♢♢♢", E:E, "All") + IF(E63="All", COUNTIFS(F:F, "♢♢♢", E:E, E2), 0) - IF(E63="All", COUNTIFS(F:F, "♢♢♢", E:E, "All"), 0)))/100, 
   IF(F63="♢♢♢♢", ((M6 * 100) / (COUNTIFS(F:F, "♢♢♢♢", E:E, E63) + COUNTIFS(F:F, "♢♢♢♢", E:E, "All") + IF(E63="All", COUNTIFS(F:F, "♢♢♢♢", E:E, E2), 0) - IF(E63="All", COUNTIFS(F:F, "♢♢♢♢", E:E, "All"), 0)))/100, 
   IF(F63="☆", ((M7 * 100) / (COUNTIFS(F:F, "☆", E:E, E63) + COUNTIFS(F:F, "☆", E:E, "All") + IF(E63="All", COUNTIFS(F:F, "☆", E:E, E2), 0) - IF(E63="All", COUNTIFS(F:F, "☆", E:E, "All"), 0)))/100, 
   IF(F63="☆☆", ((M8 * 100) / (COUNTIFS(F:F, "☆☆", E:E, E63) + COUNTIFS(F:F, "☆☆", E:E, "All") + IF(E63="All", COUNTIFS(F:F, "☆☆", E:E, E2), 0) - IF(E63="All", COUNTIFS(F:F, "☆☆", E:E, "All"), 0)))/100, 
   IF(F63="☆☆☆", ((M9 * 100) / (COUNTIFS(F:F, "☆☆☆", E:E, E63) + COUNTIFS(F:F, "☆☆☆", E:E, "All") + IF(E63="All", COUNTIFS(F:F, "☆☆☆", E:E, E2), 0) - IF(E63="All", COUNTIFS(F:F, "☆☆☆", E:E, "All"), 0)))/100, 
   IF(F63="♛", ((M10 * 100) / (COUNTIFS(F:F, "♛", E:E, E63) + COUNTIFS(F:F, "♛", E:E, "All") + IF(E63="All", COUNTIFS(F:F, "♛", E:E, E2), 0) - IF(E63="All", COUNTIFS(F:F, "♛", E:E, "All"), 0)))/100, "")))))))
</f>
        <v/>
      </c>
      <c r="I63" s="281" t="str">
        <f>IF(F63="♢♢", ((N4 * 100) / (COUNTIFS(F:F, "♢♢", E:E, E63) + COUNTIFS(F:F, "♢♢", E:E, "All") + IF(E63="All", COUNTIFS(F:F, "♢♢", E:E, E2), 0) - IF(E63="All", COUNTIFS(F:F, "♢♢", E:E, "All"), 0)))/100, 
   IF(F63="♢♢♢", ((N5 * 100) / (COUNTIFS(F:F, "♢♢♢", E:E, E63) + COUNTIFS(F:F, "♢♢♢", E:E, "All") + IF(E63="All", COUNTIFS(F:F, "♢♢♢", E:E, E2), 0) - IF(E63="All", COUNTIFS(F:F, "♢♢♢", E:E, "All"), 0)))/100, 
   IF(F63="♢♢♢♢", ((N6 * 100) / (COUNTIFS(F:F, "♢♢♢♢", E:E, E63) + COUNTIFS(F:F, "♢♢♢♢", E:E, "All") + IF(E63="All", COUNTIFS(F:F, "♢♢♢♢", E:E, E2), 0) - IF(E63="All", COUNTIFS(F:F, "♢♢♢♢", E:E, "All"), 0)))/100, 
   IF(F63="☆", ((N7 * 100) / (COUNTIFS(F:F, "☆", E:E, E63) + COUNTIFS(F:F, "☆", E:E, "All") + IF(E63="All", COUNTIFS(F:F, "☆", E:E, E2), 0) - IF(E63="All", COUNTIFS(F:F, "☆", E:E, "All"), 0)))/100, 
   IF(F63="☆☆", ((N8 * 100) / (COUNTIFS(F:F, "☆☆", E:E, E63) + COUNTIFS(F:F, "☆☆", E:E, "All") + IF(E63="All", COUNTIFS(F:F, "☆☆", E:E, E2), 0) - IF(E63="All", COUNTIFS(F:F, "☆☆", E:E, "All"), 0)))/100, 
   IF(F63="☆☆☆", ((N9 * 100) / (COUNTIFS(F:F, "☆☆☆", E:E, E63) + COUNTIFS(F:F, "☆☆☆", E:E, "All") + IF(E63="All", COUNTIFS(F:F, "☆☆☆", E:E, E2), 0) - IF(E63="All", COUNTIFS(F:F, "☆☆☆", E:E, "All"), 0)))/100, 
   IF(F63="♛", ((N10 * 100) / (COUNTIFS(F:F, "♛", E:E, E63) + COUNTIFS(F:F, "♛", E:E, "All") + IF(E63="All", COUNTIFS(F:F, "♛", E:E, E2), 0) - IF(E63="All", COUNTIFS(F:F, "♛", E:E, "All"), 0)))/100, "")))))))
</f>
        <v/>
      </c>
      <c r="J63" s="282"/>
      <c r="K63" s="23"/>
      <c r="L63" s="23"/>
      <c r="M63" s="23"/>
      <c r="N63" s="23"/>
    </row>
    <row r="64">
      <c r="A64" s="275" t="b">
        <f t="shared" si="1"/>
        <v>0</v>
      </c>
      <c r="B64" s="276">
        <v>0.0</v>
      </c>
      <c r="C64" s="277" t="s">
        <v>775</v>
      </c>
      <c r="D64" s="277" t="s">
        <v>550</v>
      </c>
      <c r="E64" s="277" t="s">
        <v>34</v>
      </c>
      <c r="F64" s="277" t="s">
        <v>44</v>
      </c>
      <c r="G64" s="279">
        <f t="shared" si="2"/>
        <v>0.03125</v>
      </c>
      <c r="H64" s="280" t="str">
        <f>IF(F64="♢♢", ((M4 * 100) / (COUNTIFS(F:F, "♢♢", E:E, E64) + COUNTIFS(F:F, "♢♢", E:E, "All") + IF(E64="All", COUNTIFS(F:F, "♢♢", E:E, E2), 0) - IF(E64="All", COUNTIFS(F:F, "♢♢", E:E, "All"), 0)))/100, 
   IF(F64="♢♢♢", ((M5 * 100) / (COUNTIFS(F:F, "♢♢♢", E:E, E64) + COUNTIFS(F:F, "♢♢♢", E:E, "All") + IF(E64="All", COUNTIFS(F:F, "♢♢♢", E:E, E2), 0) - IF(E64="All", COUNTIFS(F:F, "♢♢♢", E:E, "All"), 0)))/100, 
   IF(F64="♢♢♢♢", ((M6 * 100) / (COUNTIFS(F:F, "♢♢♢♢", E:E, E64) + COUNTIFS(F:F, "♢♢♢♢", E:E, "All") + IF(E64="All", COUNTIFS(F:F, "♢♢♢♢", E:E, E2), 0) - IF(E64="All", COUNTIFS(F:F, "♢♢♢♢", E:E, "All"), 0)))/100, 
   IF(F64="☆", ((M7 * 100) / (COUNTIFS(F:F, "☆", E:E, E64) + COUNTIFS(F:F, "☆", E:E, "All") + IF(E64="All", COUNTIFS(F:F, "☆", E:E, E2), 0) - IF(E64="All", COUNTIFS(F:F, "☆", E:E, "All"), 0)))/100, 
   IF(F64="☆☆", ((M8 * 100) / (COUNTIFS(F:F, "☆☆", E:E, E64) + COUNTIFS(F:F, "☆☆", E:E, "All") + IF(E64="All", COUNTIFS(F:F, "☆☆", E:E, E2), 0) - IF(E64="All", COUNTIFS(F:F, "☆☆", E:E, "All"), 0)))/100, 
   IF(F64="☆☆☆", ((M9 * 100) / (COUNTIFS(F:F, "☆☆☆", E:E, E64) + COUNTIFS(F:F, "☆☆☆", E:E, "All") + IF(E64="All", COUNTIFS(F:F, "☆☆☆", E:E, E2), 0) - IF(E64="All", COUNTIFS(F:F, "☆☆☆", E:E, "All"), 0)))/100, 
   IF(F64="♛", ((M10 * 100) / (COUNTIFS(F:F, "♛", E:E, E64) + COUNTIFS(F:F, "♛", E:E, "All") + IF(E64="All", COUNTIFS(F:F, "♛", E:E, E2), 0) - IF(E64="All", COUNTIFS(F:F, "♛", E:E, "All"), 0)))/100, "")))))))
</f>
        <v/>
      </c>
      <c r="I64" s="281" t="str">
        <f>IF(F64="♢♢", ((N4 * 100) / (COUNTIFS(F:F, "♢♢", E:E, E64) + COUNTIFS(F:F, "♢♢", E:E, "All") + IF(E64="All", COUNTIFS(F:F, "♢♢", E:E, E2), 0) - IF(E64="All", COUNTIFS(F:F, "♢♢", E:E, "All"), 0)))/100, 
   IF(F64="♢♢♢", ((N5 * 100) / (COUNTIFS(F:F, "♢♢♢", E:E, E64) + COUNTIFS(F:F, "♢♢♢", E:E, "All") + IF(E64="All", COUNTIFS(F:F, "♢♢♢", E:E, E2), 0) - IF(E64="All", COUNTIFS(F:F, "♢♢♢", E:E, "All"), 0)))/100, 
   IF(F64="♢♢♢♢", ((N6 * 100) / (COUNTIFS(F:F, "♢♢♢♢", E:E, E64) + COUNTIFS(F:F, "♢♢♢♢", E:E, "All") + IF(E64="All", COUNTIFS(F:F, "♢♢♢♢", E:E, E2), 0) - IF(E64="All", COUNTIFS(F:F, "♢♢♢♢", E:E, "All"), 0)))/100, 
   IF(F64="☆", ((N7 * 100) / (COUNTIFS(F:F, "☆", E:E, E64) + COUNTIFS(F:F, "☆", E:E, "All") + IF(E64="All", COUNTIFS(F:F, "☆", E:E, E2), 0) - IF(E64="All", COUNTIFS(F:F, "☆", E:E, "All"), 0)))/100, 
   IF(F64="☆☆", ((N8 * 100) / (COUNTIFS(F:F, "☆☆", E:E, E64) + COUNTIFS(F:F, "☆☆", E:E, "All") + IF(E64="All", COUNTIFS(F:F, "☆☆", E:E, E2), 0) - IF(E64="All", COUNTIFS(F:F, "☆☆", E:E, "All"), 0)))/100, 
   IF(F64="☆☆☆", ((N9 * 100) / (COUNTIFS(F:F, "☆☆☆", E:E, E64) + COUNTIFS(F:F, "☆☆☆", E:E, "All") + IF(E64="All", COUNTIFS(F:F, "☆☆☆", E:E, E2), 0) - IF(E64="All", COUNTIFS(F:F, "☆☆☆", E:E, "All"), 0)))/100, 
   IF(F64="♛", ((N10 * 100) / (COUNTIFS(F:F, "♛", E:E, E64) + COUNTIFS(F:F, "♛", E:E, "All") + IF(E64="All", COUNTIFS(F:F, "♛", E:E, E2), 0) - IF(E64="All", COUNTIFS(F:F, "♛", E:E, "All"), 0)))/100, "")))))))
</f>
        <v/>
      </c>
      <c r="J64" s="282"/>
      <c r="K64" s="23"/>
      <c r="L64" s="23"/>
      <c r="M64" s="23"/>
      <c r="N64" s="23"/>
    </row>
    <row r="65">
      <c r="A65" s="275" t="b">
        <f t="shared" si="1"/>
        <v>0</v>
      </c>
      <c r="B65" s="276">
        <v>0.0</v>
      </c>
      <c r="C65" s="277" t="s">
        <v>776</v>
      </c>
      <c r="D65" s="277" t="s">
        <v>777</v>
      </c>
      <c r="E65" s="277" t="s">
        <v>34</v>
      </c>
      <c r="F65" s="277" t="s">
        <v>46</v>
      </c>
      <c r="G65" s="279" t="str">
        <f t="shared" si="2"/>
        <v/>
      </c>
      <c r="H65" s="280">
        <f>IF(F65="♢♢", ((M4 * 100) / (COUNTIFS(F:F, "♢♢", E:E, E65) + COUNTIFS(F:F, "♢♢", E:E, "All") + IF(E65="All", COUNTIFS(F:F, "♢♢", E:E, E2), 0) - IF(E65="All", COUNTIFS(F:F, "♢♢", E:E, "All"), 0)))/100, 
   IF(F65="♢♢♢", ((M5 * 100) / (COUNTIFS(F:F, "♢♢♢", E:E, E65) + COUNTIFS(F:F, "♢♢♢", E:E, "All") + IF(E65="All", COUNTIFS(F:F, "♢♢♢", E:E, E2), 0) - IF(E65="All", COUNTIFS(F:F, "♢♢♢", E:E, "All"), 0)))/100, 
   IF(F65="♢♢♢♢", ((M6 * 100) / (COUNTIFS(F:F, "♢♢♢♢", E:E, E65) + COUNTIFS(F:F, "♢♢♢♢", E:E, "All") + IF(E65="All", COUNTIFS(F:F, "♢♢♢♢", E:E, E2), 0) - IF(E65="All", COUNTIFS(F:F, "♢♢♢♢", E:E, "All"), 0)))/100, 
   IF(F65="☆", ((M7 * 100) / (COUNTIFS(F:F, "☆", E:E, E65) + COUNTIFS(F:F, "☆", E:E, "All") + IF(E65="All", COUNTIFS(F:F, "☆", E:E, E2), 0) - IF(E65="All", COUNTIFS(F:F, "☆", E:E, "All"), 0)))/100, 
   IF(F65="☆☆", ((M8 * 100) / (COUNTIFS(F:F, "☆☆", E:E, E65) + COUNTIFS(F:F, "☆☆", E:E, "All") + IF(E65="All", COUNTIFS(F:F, "☆☆", E:E, E2), 0) - IF(E65="All", COUNTIFS(F:F, "☆☆", E:E, "All"), 0)))/100, 
   IF(F65="☆☆☆", ((M9 * 100) / (COUNTIFS(F:F, "☆☆☆", E:E, E65) + COUNTIFS(F:F, "☆☆☆", E:E, "All") + IF(E65="All", COUNTIFS(F:F, "☆☆☆", E:E, E2), 0) - IF(E65="All", COUNTIFS(F:F, "☆☆☆", E:E, "All"), 0)))/100, 
   IF(F65="♛", ((M10 * 100) / (COUNTIFS(F:F, "♛", E:E, E65) + COUNTIFS(F:F, "♛", E:E, "All") + IF(E65="All", COUNTIFS(F:F, "♛", E:E, E2), 0) - IF(E65="All", COUNTIFS(F:F, "♛", E:E, "All"), 0)))/100, "")))))))
</f>
        <v>0.03913043478</v>
      </c>
      <c r="I65" s="281">
        <f>IF(F65="♢♢", ((N4 * 100) / (COUNTIFS(F:F, "♢♢", E:E, E65) + COUNTIFS(F:F, "♢♢", E:E, "All") + IF(E65="All", COUNTIFS(F:F, "♢♢", E:E, E2), 0) - IF(E65="All", COUNTIFS(F:F, "♢♢", E:E, "All"), 0)))/100, 
   IF(F65="♢♢♢", ((N5 * 100) / (COUNTIFS(F:F, "♢♢♢", E:E, E65) + COUNTIFS(F:F, "♢♢♢", E:E, "All") + IF(E65="All", COUNTIFS(F:F, "♢♢♢", E:E, E2), 0) - IF(E65="All", COUNTIFS(F:F, "♢♢♢", E:E, "All"), 0)))/100, 
   IF(F65="♢♢♢♢", ((N6 * 100) / (COUNTIFS(F:F, "♢♢♢♢", E:E, E65) + COUNTIFS(F:F, "♢♢♢♢", E:E, "All") + IF(E65="All", COUNTIFS(F:F, "♢♢♢♢", E:E, E2), 0) - IF(E65="All", COUNTIFS(F:F, "♢♢♢♢", E:E, "All"), 0)))/100, 
   IF(F65="☆", ((N7 * 100) / (COUNTIFS(F:F, "☆", E:E, E65) + COUNTIFS(F:F, "☆", E:E, "All") + IF(E65="All", COUNTIFS(F:F, "☆", E:E, E2), 0) - IF(E65="All", COUNTIFS(F:F, "☆", E:E, "All"), 0)))/100, 
   IF(F65="☆☆", ((N8 * 100) / (COUNTIFS(F:F, "☆☆", E:E, E65) + COUNTIFS(F:F, "☆☆", E:E, "All") + IF(E65="All", COUNTIFS(F:F, "☆☆", E:E, E2), 0) - IF(E65="All", COUNTIFS(F:F, "☆☆", E:E, "All"), 0)))/100, 
   IF(F65="☆☆☆", ((N9 * 100) / (COUNTIFS(F:F, "☆☆☆", E:E, E65) + COUNTIFS(F:F, "☆☆☆", E:E, "All") + IF(E65="All", COUNTIFS(F:F, "☆☆☆", E:E, E2), 0) - IF(E65="All", COUNTIFS(F:F, "☆☆☆", E:E, "All"), 0)))/100, 
   IF(F65="♛", ((N10 * 100) / (COUNTIFS(F:F, "♛", E:E, E65) + COUNTIFS(F:F, "♛", E:E, "All") + IF(E65="All", COUNTIFS(F:F, "♛", E:E, E2), 0) - IF(E65="All", COUNTIFS(F:F, "♛", E:E, "All"), 0)))/100, "")))))))
</f>
        <v>0.02608695652</v>
      </c>
      <c r="J65" s="282"/>
      <c r="K65" s="23"/>
      <c r="L65" s="23"/>
      <c r="M65" s="23"/>
      <c r="N65" s="23"/>
    </row>
    <row r="66">
      <c r="A66" s="275" t="b">
        <f t="shared" si="1"/>
        <v>0</v>
      </c>
      <c r="B66" s="276">
        <v>0.0</v>
      </c>
      <c r="C66" s="277" t="s">
        <v>778</v>
      </c>
      <c r="D66" s="277" t="s">
        <v>779</v>
      </c>
      <c r="E66" s="277" t="s">
        <v>34</v>
      </c>
      <c r="F66" s="277" t="s">
        <v>46</v>
      </c>
      <c r="G66" s="279" t="str">
        <f t="shared" si="2"/>
        <v/>
      </c>
      <c r="H66" s="280">
        <f>IF(F66="♢♢", ((M4 * 100) / (COUNTIFS(F:F, "♢♢", E:E, E66) + COUNTIFS(F:F, "♢♢", E:E, "All") + IF(E66="All", COUNTIFS(F:F, "♢♢", E:E, E2), 0) - IF(E66="All", COUNTIFS(F:F, "♢♢", E:E, "All"), 0)))/100, 
   IF(F66="♢♢♢", ((M5 * 100) / (COUNTIFS(F:F, "♢♢♢", E:E, E66) + COUNTIFS(F:F, "♢♢♢", E:E, "All") + IF(E66="All", COUNTIFS(F:F, "♢♢♢", E:E, E2), 0) - IF(E66="All", COUNTIFS(F:F, "♢♢♢", E:E, "All"), 0)))/100, 
   IF(F66="♢♢♢♢", ((M6 * 100) / (COUNTIFS(F:F, "♢♢♢♢", E:E, E66) + COUNTIFS(F:F, "♢♢♢♢", E:E, "All") + IF(E66="All", COUNTIFS(F:F, "♢♢♢♢", E:E, E2), 0) - IF(E66="All", COUNTIFS(F:F, "♢♢♢♢", E:E, "All"), 0)))/100, 
   IF(F66="☆", ((M7 * 100) / (COUNTIFS(F:F, "☆", E:E, E66) + COUNTIFS(F:F, "☆", E:E, "All") + IF(E66="All", COUNTIFS(F:F, "☆", E:E, E2), 0) - IF(E66="All", COUNTIFS(F:F, "☆", E:E, "All"), 0)))/100, 
   IF(F66="☆☆", ((M8 * 100) / (COUNTIFS(F:F, "☆☆", E:E, E66) + COUNTIFS(F:F, "☆☆", E:E, "All") + IF(E66="All", COUNTIFS(F:F, "☆☆", E:E, E2), 0) - IF(E66="All", COUNTIFS(F:F, "☆☆", E:E, "All"), 0)))/100, 
   IF(F66="☆☆☆", ((M9 * 100) / (COUNTIFS(F:F, "☆☆☆", E:E, E66) + COUNTIFS(F:F, "☆☆☆", E:E, "All") + IF(E66="All", COUNTIFS(F:F, "☆☆☆", E:E, E2), 0) - IF(E66="All", COUNTIFS(F:F, "☆☆☆", E:E, "All"), 0)))/100, 
   IF(F66="♛", ((M10 * 100) / (COUNTIFS(F:F, "♛", E:E, E66) + COUNTIFS(F:F, "♛", E:E, "All") + IF(E66="All", COUNTIFS(F:F, "♛", E:E, E2), 0) - IF(E66="All", COUNTIFS(F:F, "♛", E:E, "All"), 0)))/100, "")))))))
</f>
        <v>0.03913043478</v>
      </c>
      <c r="I66" s="281">
        <f>IF(F66="♢♢", ((N4 * 100) / (COUNTIFS(F:F, "♢♢", E:E, E66) + COUNTIFS(F:F, "♢♢", E:E, "All") + IF(E66="All", COUNTIFS(F:F, "♢♢", E:E, E2), 0) - IF(E66="All", COUNTIFS(F:F, "♢♢", E:E, "All"), 0)))/100, 
   IF(F66="♢♢♢", ((N5 * 100) / (COUNTIFS(F:F, "♢♢♢", E:E, E66) + COUNTIFS(F:F, "♢♢♢", E:E, "All") + IF(E66="All", COUNTIFS(F:F, "♢♢♢", E:E, E2), 0) - IF(E66="All", COUNTIFS(F:F, "♢♢♢", E:E, "All"), 0)))/100, 
   IF(F66="♢♢♢♢", ((N6 * 100) / (COUNTIFS(F:F, "♢♢♢♢", E:E, E66) + COUNTIFS(F:F, "♢♢♢♢", E:E, "All") + IF(E66="All", COUNTIFS(F:F, "♢♢♢♢", E:E, E2), 0) - IF(E66="All", COUNTIFS(F:F, "♢♢♢♢", E:E, "All"), 0)))/100, 
   IF(F66="☆", ((N7 * 100) / (COUNTIFS(F:F, "☆", E:E, E66) + COUNTIFS(F:F, "☆", E:E, "All") + IF(E66="All", COUNTIFS(F:F, "☆", E:E, E2), 0) - IF(E66="All", COUNTIFS(F:F, "☆", E:E, "All"), 0)))/100, 
   IF(F66="☆☆", ((N8 * 100) / (COUNTIFS(F:F, "☆☆", E:E, E66) + COUNTIFS(F:F, "☆☆", E:E, "All") + IF(E66="All", COUNTIFS(F:F, "☆☆", E:E, E2), 0) - IF(E66="All", COUNTIFS(F:F, "☆☆", E:E, "All"), 0)))/100, 
   IF(F66="☆☆☆", ((N9 * 100) / (COUNTIFS(F:F, "☆☆☆", E:E, E66) + COUNTIFS(F:F, "☆☆☆", E:E, "All") + IF(E66="All", COUNTIFS(F:F, "☆☆☆", E:E, E2), 0) - IF(E66="All", COUNTIFS(F:F, "☆☆☆", E:E, "All"), 0)))/100, 
   IF(F66="♛", ((N10 * 100) / (COUNTIFS(F:F, "♛", E:E, E66) + COUNTIFS(F:F, "♛", E:E, "All") + IF(E66="All", COUNTIFS(F:F, "♛", E:E, E2), 0) - IF(E66="All", COUNTIFS(F:F, "♛", E:E, "All"), 0)))/100, "")))))))
</f>
        <v>0.02608695652</v>
      </c>
      <c r="J66" s="282"/>
      <c r="K66" s="23"/>
      <c r="L66" s="23"/>
      <c r="M66" s="23"/>
      <c r="N66" s="23"/>
    </row>
    <row r="67">
      <c r="A67" s="275" t="b">
        <f t="shared" si="1"/>
        <v>0</v>
      </c>
      <c r="B67" s="276">
        <v>0.0</v>
      </c>
      <c r="C67" s="277" t="s">
        <v>780</v>
      </c>
      <c r="D67" s="277" t="s">
        <v>781</v>
      </c>
      <c r="E67" s="277" t="s">
        <v>34</v>
      </c>
      <c r="F67" s="277" t="s">
        <v>46</v>
      </c>
      <c r="G67" s="279" t="str">
        <f t="shared" si="2"/>
        <v/>
      </c>
      <c r="H67" s="280">
        <f>IF(F67="♢♢", ((M4 * 100) / (COUNTIFS(F:F, "♢♢", E:E, E67) + COUNTIFS(F:F, "♢♢", E:E, "All") + IF(E67="All", COUNTIFS(F:F, "♢♢", E:E, E2), 0) - IF(E67="All", COUNTIFS(F:F, "♢♢", E:E, "All"), 0)))/100, 
   IF(F67="♢♢♢", ((M5 * 100) / (COUNTIFS(F:F, "♢♢♢", E:E, E67) + COUNTIFS(F:F, "♢♢♢", E:E, "All") + IF(E67="All", COUNTIFS(F:F, "♢♢♢", E:E, E2), 0) - IF(E67="All", COUNTIFS(F:F, "♢♢♢", E:E, "All"), 0)))/100, 
   IF(F67="♢♢♢♢", ((M6 * 100) / (COUNTIFS(F:F, "♢♢♢♢", E:E, E67) + COUNTIFS(F:F, "♢♢♢♢", E:E, "All") + IF(E67="All", COUNTIFS(F:F, "♢♢♢♢", E:E, E2), 0) - IF(E67="All", COUNTIFS(F:F, "♢♢♢♢", E:E, "All"), 0)))/100, 
   IF(F67="☆", ((M7 * 100) / (COUNTIFS(F:F, "☆", E:E, E67) + COUNTIFS(F:F, "☆", E:E, "All") + IF(E67="All", COUNTIFS(F:F, "☆", E:E, E2), 0) - IF(E67="All", COUNTIFS(F:F, "☆", E:E, "All"), 0)))/100, 
   IF(F67="☆☆", ((M8 * 100) / (COUNTIFS(F:F, "☆☆", E:E, E67) + COUNTIFS(F:F, "☆☆", E:E, "All") + IF(E67="All", COUNTIFS(F:F, "☆☆", E:E, E2), 0) - IF(E67="All", COUNTIFS(F:F, "☆☆", E:E, "All"), 0)))/100, 
   IF(F67="☆☆☆", ((M9 * 100) / (COUNTIFS(F:F, "☆☆☆", E:E, E67) + COUNTIFS(F:F, "☆☆☆", E:E, "All") + IF(E67="All", COUNTIFS(F:F, "☆☆☆", E:E, E2), 0) - IF(E67="All", COUNTIFS(F:F, "☆☆☆", E:E, "All"), 0)))/100, 
   IF(F67="♛", ((M10 * 100) / (COUNTIFS(F:F, "♛", E:E, E67) + COUNTIFS(F:F, "♛", E:E, "All") + IF(E67="All", COUNTIFS(F:F, "♛", E:E, E2), 0) - IF(E67="All", COUNTIFS(F:F, "♛", E:E, "All"), 0)))/100, "")))))))
</f>
        <v>0.03913043478</v>
      </c>
      <c r="I67" s="281">
        <f>IF(F67="♢♢", ((N4 * 100) / (COUNTIFS(F:F, "♢♢", E:E, E67) + COUNTIFS(F:F, "♢♢", E:E, "All") + IF(E67="All", COUNTIFS(F:F, "♢♢", E:E, E2), 0) - IF(E67="All", COUNTIFS(F:F, "♢♢", E:E, "All"), 0)))/100, 
   IF(F67="♢♢♢", ((N5 * 100) / (COUNTIFS(F:F, "♢♢♢", E:E, E67) + COUNTIFS(F:F, "♢♢♢", E:E, "All") + IF(E67="All", COUNTIFS(F:F, "♢♢♢", E:E, E2), 0) - IF(E67="All", COUNTIFS(F:F, "♢♢♢", E:E, "All"), 0)))/100, 
   IF(F67="♢♢♢♢", ((N6 * 100) / (COUNTIFS(F:F, "♢♢♢♢", E:E, E67) + COUNTIFS(F:F, "♢♢♢♢", E:E, "All") + IF(E67="All", COUNTIFS(F:F, "♢♢♢♢", E:E, E2), 0) - IF(E67="All", COUNTIFS(F:F, "♢♢♢♢", E:E, "All"), 0)))/100, 
   IF(F67="☆", ((N7 * 100) / (COUNTIFS(F:F, "☆", E:E, E67) + COUNTIFS(F:F, "☆", E:E, "All") + IF(E67="All", COUNTIFS(F:F, "☆", E:E, E2), 0) - IF(E67="All", COUNTIFS(F:F, "☆", E:E, "All"), 0)))/100, 
   IF(F67="☆☆", ((N8 * 100) / (COUNTIFS(F:F, "☆☆", E:E, E67) + COUNTIFS(F:F, "☆☆", E:E, "All") + IF(E67="All", COUNTIFS(F:F, "☆☆", E:E, E2), 0) - IF(E67="All", COUNTIFS(F:F, "☆☆", E:E, "All"), 0)))/100, 
   IF(F67="☆☆☆", ((N9 * 100) / (COUNTIFS(F:F, "☆☆☆", E:E, E67) + COUNTIFS(F:F, "☆☆☆", E:E, "All") + IF(E67="All", COUNTIFS(F:F, "☆☆☆", E:E, E2), 0) - IF(E67="All", COUNTIFS(F:F, "☆☆☆", E:E, "All"), 0)))/100, 
   IF(F67="♛", ((N10 * 100) / (COUNTIFS(F:F, "♛", E:E, E67) + COUNTIFS(F:F, "♛", E:E, "All") + IF(E67="All", COUNTIFS(F:F, "♛", E:E, E2), 0) - IF(E67="All", COUNTIFS(F:F, "♛", E:E, "All"), 0)))/100, "")))))))
</f>
        <v>0.02608695652</v>
      </c>
      <c r="J67" s="282"/>
      <c r="K67" s="23"/>
      <c r="L67" s="23"/>
      <c r="M67" s="23"/>
      <c r="N67" s="23"/>
    </row>
    <row r="68">
      <c r="A68" s="275" t="b">
        <f t="shared" si="1"/>
        <v>0</v>
      </c>
      <c r="B68" s="276">
        <v>0.0</v>
      </c>
      <c r="C68" s="277" t="s">
        <v>782</v>
      </c>
      <c r="D68" s="277" t="s">
        <v>783</v>
      </c>
      <c r="E68" s="277" t="s">
        <v>34</v>
      </c>
      <c r="F68" s="277" t="s">
        <v>46</v>
      </c>
      <c r="G68" s="279" t="str">
        <f t="shared" si="2"/>
        <v/>
      </c>
      <c r="H68" s="280">
        <f>IF(F68="♢♢", ((M4 * 100) / (COUNTIFS(F:F, "♢♢", E:E, E68) + COUNTIFS(F:F, "♢♢", E:E, "All") + IF(E68="All", COUNTIFS(F:F, "♢♢", E:E, E2), 0) - IF(E68="All", COUNTIFS(F:F, "♢♢", E:E, "All"), 0)))/100, 
   IF(F68="♢♢♢", ((M5 * 100) / (COUNTIFS(F:F, "♢♢♢", E:E, E68) + COUNTIFS(F:F, "♢♢♢", E:E, "All") + IF(E68="All", COUNTIFS(F:F, "♢♢♢", E:E, E2), 0) - IF(E68="All", COUNTIFS(F:F, "♢♢♢", E:E, "All"), 0)))/100, 
   IF(F68="♢♢♢♢", ((M6 * 100) / (COUNTIFS(F:F, "♢♢♢♢", E:E, E68) + COUNTIFS(F:F, "♢♢♢♢", E:E, "All") + IF(E68="All", COUNTIFS(F:F, "♢♢♢♢", E:E, E2), 0) - IF(E68="All", COUNTIFS(F:F, "♢♢♢♢", E:E, "All"), 0)))/100, 
   IF(F68="☆", ((M7 * 100) / (COUNTIFS(F:F, "☆", E:E, E68) + COUNTIFS(F:F, "☆", E:E, "All") + IF(E68="All", COUNTIFS(F:F, "☆", E:E, E2), 0) - IF(E68="All", COUNTIFS(F:F, "☆", E:E, "All"), 0)))/100, 
   IF(F68="☆☆", ((M8 * 100) / (COUNTIFS(F:F, "☆☆", E:E, E68) + COUNTIFS(F:F, "☆☆", E:E, "All") + IF(E68="All", COUNTIFS(F:F, "☆☆", E:E, E2), 0) - IF(E68="All", COUNTIFS(F:F, "☆☆", E:E, "All"), 0)))/100, 
   IF(F68="☆☆☆", ((M9 * 100) / (COUNTIFS(F:F, "☆☆☆", E:E, E68) + COUNTIFS(F:F, "☆☆☆", E:E, "All") + IF(E68="All", COUNTIFS(F:F, "☆☆☆", E:E, E2), 0) - IF(E68="All", COUNTIFS(F:F, "☆☆☆", E:E, "All"), 0)))/100, 
   IF(F68="♛", ((M10 * 100) / (COUNTIFS(F:F, "♛", E:E, E68) + COUNTIFS(F:F, "♛", E:E, "All") + IF(E68="All", COUNTIFS(F:F, "♛", E:E, E2), 0) - IF(E68="All", COUNTIFS(F:F, "♛", E:E, "All"), 0)))/100, "")))))))
</f>
        <v>0.03913043478</v>
      </c>
      <c r="I68" s="281">
        <f>IF(F68="♢♢", ((N4 * 100) / (COUNTIFS(F:F, "♢♢", E:E, E68) + COUNTIFS(F:F, "♢♢", E:E, "All") + IF(E68="All", COUNTIFS(F:F, "♢♢", E:E, E2), 0) - IF(E68="All", COUNTIFS(F:F, "♢♢", E:E, "All"), 0)))/100, 
   IF(F68="♢♢♢", ((N5 * 100) / (COUNTIFS(F:F, "♢♢♢", E:E, E68) + COUNTIFS(F:F, "♢♢♢", E:E, "All") + IF(E68="All", COUNTIFS(F:F, "♢♢♢", E:E, E2), 0) - IF(E68="All", COUNTIFS(F:F, "♢♢♢", E:E, "All"), 0)))/100, 
   IF(F68="♢♢♢♢", ((N6 * 100) / (COUNTIFS(F:F, "♢♢♢♢", E:E, E68) + COUNTIFS(F:F, "♢♢♢♢", E:E, "All") + IF(E68="All", COUNTIFS(F:F, "♢♢♢♢", E:E, E2), 0) - IF(E68="All", COUNTIFS(F:F, "♢♢♢♢", E:E, "All"), 0)))/100, 
   IF(F68="☆", ((N7 * 100) / (COUNTIFS(F:F, "☆", E:E, E68) + COUNTIFS(F:F, "☆", E:E, "All") + IF(E68="All", COUNTIFS(F:F, "☆", E:E, E2), 0) - IF(E68="All", COUNTIFS(F:F, "☆", E:E, "All"), 0)))/100, 
   IF(F68="☆☆", ((N8 * 100) / (COUNTIFS(F:F, "☆☆", E:E, E68) + COUNTIFS(F:F, "☆☆", E:E, "All") + IF(E68="All", COUNTIFS(F:F, "☆☆", E:E, E2), 0) - IF(E68="All", COUNTIFS(F:F, "☆☆", E:E, "All"), 0)))/100, 
   IF(F68="☆☆☆", ((N9 * 100) / (COUNTIFS(F:F, "☆☆☆", E:E, E68) + COUNTIFS(F:F, "☆☆☆", E:E, "All") + IF(E68="All", COUNTIFS(F:F, "☆☆☆", E:E, E2), 0) - IF(E68="All", COUNTIFS(F:F, "☆☆☆", E:E, "All"), 0)))/100, 
   IF(F68="♛", ((N10 * 100) / (COUNTIFS(F:F, "♛", E:E, E68) + COUNTIFS(F:F, "♛", E:E, "All") + IF(E68="All", COUNTIFS(F:F, "♛", E:E, E2), 0) - IF(E68="All", COUNTIFS(F:F, "♛", E:E, "All"), 0)))/100, "")))))))
</f>
        <v>0.02608695652</v>
      </c>
      <c r="J68" s="282"/>
      <c r="K68" s="23"/>
      <c r="L68" s="23"/>
      <c r="M68" s="23"/>
      <c r="N68" s="23"/>
    </row>
    <row r="69">
      <c r="A69" s="275" t="b">
        <f t="shared" si="1"/>
        <v>0</v>
      </c>
      <c r="B69" s="276">
        <v>0.0</v>
      </c>
      <c r="C69" s="277" t="s">
        <v>784</v>
      </c>
      <c r="D69" s="277" t="s">
        <v>785</v>
      </c>
      <c r="E69" s="277" t="s">
        <v>34</v>
      </c>
      <c r="F69" s="277" t="s">
        <v>46</v>
      </c>
      <c r="G69" s="279" t="str">
        <f t="shared" si="2"/>
        <v/>
      </c>
      <c r="H69" s="280">
        <f>IF(F69="♢♢", ((M4 * 100) / (COUNTIFS(F:F, "♢♢", E:E, E69) + COUNTIFS(F:F, "♢♢", E:E, "All") + IF(E69="All", COUNTIFS(F:F, "♢♢", E:E, E2), 0) - IF(E69="All", COUNTIFS(F:F, "♢♢", E:E, "All"), 0)))/100, 
   IF(F69="♢♢♢", ((M5 * 100) / (COUNTIFS(F:F, "♢♢♢", E:E, E69) + COUNTIFS(F:F, "♢♢♢", E:E, "All") + IF(E69="All", COUNTIFS(F:F, "♢♢♢", E:E, E2), 0) - IF(E69="All", COUNTIFS(F:F, "♢♢♢", E:E, "All"), 0)))/100, 
   IF(F69="♢♢♢♢", ((M6 * 100) / (COUNTIFS(F:F, "♢♢♢♢", E:E, E69) + COUNTIFS(F:F, "♢♢♢♢", E:E, "All") + IF(E69="All", COUNTIFS(F:F, "♢♢♢♢", E:E, E2), 0) - IF(E69="All", COUNTIFS(F:F, "♢♢♢♢", E:E, "All"), 0)))/100, 
   IF(F69="☆", ((M7 * 100) / (COUNTIFS(F:F, "☆", E:E, E69) + COUNTIFS(F:F, "☆", E:E, "All") + IF(E69="All", COUNTIFS(F:F, "☆", E:E, E2), 0) - IF(E69="All", COUNTIFS(F:F, "☆", E:E, "All"), 0)))/100, 
   IF(F69="☆☆", ((M8 * 100) / (COUNTIFS(F:F, "☆☆", E:E, E69) + COUNTIFS(F:F, "☆☆", E:E, "All") + IF(E69="All", COUNTIFS(F:F, "☆☆", E:E, E2), 0) - IF(E69="All", COUNTIFS(F:F, "☆☆", E:E, "All"), 0)))/100, 
   IF(F69="☆☆☆", ((M9 * 100) / (COUNTIFS(F:F, "☆☆☆", E:E, E69) + COUNTIFS(F:F, "☆☆☆", E:E, "All") + IF(E69="All", COUNTIFS(F:F, "☆☆☆", E:E, E2), 0) - IF(E69="All", COUNTIFS(F:F, "☆☆☆", E:E, "All"), 0)))/100, 
   IF(F69="♛", ((M10 * 100) / (COUNTIFS(F:F, "♛", E:E, E69) + COUNTIFS(F:F, "♛", E:E, "All") + IF(E69="All", COUNTIFS(F:F, "♛", E:E, E2), 0) - IF(E69="All", COUNTIFS(F:F, "♛", E:E, "All"), 0)))/100, "")))))))
</f>
        <v>0.03913043478</v>
      </c>
      <c r="I69" s="281">
        <f>IF(F69="♢♢", ((N4 * 100) / (COUNTIFS(F:F, "♢♢", E:E, E69) + COUNTIFS(F:F, "♢♢", E:E, "All") + IF(E69="All", COUNTIFS(F:F, "♢♢", E:E, E2), 0) - IF(E69="All", COUNTIFS(F:F, "♢♢", E:E, "All"), 0)))/100, 
   IF(F69="♢♢♢", ((N5 * 100) / (COUNTIFS(F:F, "♢♢♢", E:E, E69) + COUNTIFS(F:F, "♢♢♢", E:E, "All") + IF(E69="All", COUNTIFS(F:F, "♢♢♢", E:E, E2), 0) - IF(E69="All", COUNTIFS(F:F, "♢♢♢", E:E, "All"), 0)))/100, 
   IF(F69="♢♢♢♢", ((N6 * 100) / (COUNTIFS(F:F, "♢♢♢♢", E:E, E69) + COUNTIFS(F:F, "♢♢♢♢", E:E, "All") + IF(E69="All", COUNTIFS(F:F, "♢♢♢♢", E:E, E2), 0) - IF(E69="All", COUNTIFS(F:F, "♢♢♢♢", E:E, "All"), 0)))/100, 
   IF(F69="☆", ((N7 * 100) / (COUNTIFS(F:F, "☆", E:E, E69) + COUNTIFS(F:F, "☆", E:E, "All") + IF(E69="All", COUNTIFS(F:F, "☆", E:E, E2), 0) - IF(E69="All", COUNTIFS(F:F, "☆", E:E, "All"), 0)))/100, 
   IF(F69="☆☆", ((N8 * 100) / (COUNTIFS(F:F, "☆☆", E:E, E69) + COUNTIFS(F:F, "☆☆", E:E, "All") + IF(E69="All", COUNTIFS(F:F, "☆☆", E:E, E2), 0) - IF(E69="All", COUNTIFS(F:F, "☆☆", E:E, "All"), 0)))/100, 
   IF(F69="☆☆☆", ((N9 * 100) / (COUNTIFS(F:F, "☆☆☆", E:E, E69) + COUNTIFS(F:F, "☆☆☆", E:E, "All") + IF(E69="All", COUNTIFS(F:F, "☆☆☆", E:E, E2), 0) - IF(E69="All", COUNTIFS(F:F, "☆☆☆", E:E, "All"), 0)))/100, 
   IF(F69="♛", ((N10 * 100) / (COUNTIFS(F:F, "♛", E:E, E69) + COUNTIFS(F:F, "♛", E:E, "All") + IF(E69="All", COUNTIFS(F:F, "♛", E:E, E2), 0) - IF(E69="All", COUNTIFS(F:F, "♛", E:E, "All"), 0)))/100, "")))))))
</f>
        <v>0.02608695652</v>
      </c>
      <c r="J69" s="282"/>
      <c r="K69" s="23"/>
      <c r="L69" s="23"/>
      <c r="M69" s="23"/>
      <c r="N69" s="23"/>
    </row>
    <row r="70">
      <c r="A70" s="275" t="b">
        <f t="shared" si="1"/>
        <v>0</v>
      </c>
      <c r="B70" s="276">
        <v>0.0</v>
      </c>
      <c r="C70" s="277" t="s">
        <v>786</v>
      </c>
      <c r="D70" s="277" t="s">
        <v>126</v>
      </c>
      <c r="E70" s="277" t="s">
        <v>34</v>
      </c>
      <c r="F70" s="277" t="s">
        <v>45</v>
      </c>
      <c r="G70" s="279" t="str">
        <f t="shared" si="2"/>
        <v/>
      </c>
      <c r="H70" s="280">
        <f>IF(F70="♢♢", ((M4 * 100) / (COUNTIFS(F:F, "♢♢", E:E, E70) + COUNTIFS(F:F, "♢♢", E:E, "All") + IF(E70="All", COUNTIFS(F:F, "♢♢", E:E, E2), 0) - IF(E70="All", COUNTIFS(F:F, "♢♢", E:E, "All"), 0)))/100, 
   IF(F70="♢♢♢", ((M5 * 100) / (COUNTIFS(F:F, "♢♢♢", E:E, E70) + COUNTIFS(F:F, "♢♢♢", E:E, "All") + IF(E70="All", COUNTIFS(F:F, "♢♢♢", E:E, E2), 0) - IF(E70="All", COUNTIFS(F:F, "♢♢♢", E:E, "All"), 0)))/100, 
   IF(F70="♢♢♢♢", ((M6 * 100) / (COUNTIFS(F:F, "♢♢♢♢", E:E, E70) + COUNTIFS(F:F, "♢♢♢♢", E:E, "All") + IF(E70="All", COUNTIFS(F:F, "♢♢♢♢", E:E, E2), 0) - IF(E70="All", COUNTIFS(F:F, "♢♢♢♢", E:E, "All"), 0)))/100, 
   IF(F70="☆", ((M7 * 100) / (COUNTIFS(F:F, "☆", E:E, E70) + COUNTIFS(F:F, "☆", E:E, "All") + IF(E70="All", COUNTIFS(F:F, "☆", E:E, E2), 0) - IF(E70="All", COUNTIFS(F:F, "☆", E:E, "All"), 0)))/100, 
   IF(F70="☆☆", ((M8 * 100) / (COUNTIFS(F:F, "☆☆", E:E, E70) + COUNTIFS(F:F, "☆☆", E:E, "All") + IF(E70="All", COUNTIFS(F:F, "☆☆", E:E, E2), 0) - IF(E70="All", COUNTIFS(F:F, "☆☆", E:E, "All"), 0)))/100, 
   IF(F70="☆☆☆", ((M9 * 100) / (COUNTIFS(F:F, "☆☆☆", E:E, E70) + COUNTIFS(F:F, "☆☆☆", E:E, "All") + IF(E70="All", COUNTIFS(F:F, "☆☆☆", E:E, E2), 0) - IF(E70="All", COUNTIFS(F:F, "☆☆☆", E:E, "All"), 0)))/100, 
   IF(F70="♛", ((M10 * 100) / (COUNTIFS(F:F, "♛", E:E, E70) + COUNTIFS(F:F, "♛", E:E, "All") + IF(E70="All", COUNTIFS(F:F, "♛", E:E, E2), 0) - IF(E70="All", COUNTIFS(F:F, "♛", E:E, "All"), 0)))/100, "")))))))
</f>
        <v>0.004286666667</v>
      </c>
      <c r="I70" s="281">
        <f>IF(F70="♢♢", ((N4 * 100) / (COUNTIFS(F:F, "♢♢", E:E, E70) + COUNTIFS(F:F, "♢♢", E:E, "All") + IF(E70="All", COUNTIFS(F:F, "♢♢", E:E, E2), 0) - IF(E70="All", COUNTIFS(F:F, "♢♢", E:E, "All"), 0)))/100, 
   IF(F70="♢♢♢", ((N5 * 100) / (COUNTIFS(F:F, "♢♢♢", E:E, E70) + COUNTIFS(F:F, "♢♢♢", E:E, "All") + IF(E70="All", COUNTIFS(F:F, "♢♢♢", E:E, E2), 0) - IF(E70="All", COUNTIFS(F:F, "♢♢♢", E:E, "All"), 0)))/100, 
   IF(F70="♢♢♢♢", ((N6 * 100) / (COUNTIFS(F:F, "♢♢♢♢", E:E, E70) + COUNTIFS(F:F, "♢♢♢♢", E:E, "All") + IF(E70="All", COUNTIFS(F:F, "♢♢♢♢", E:E, E2), 0) - IF(E70="All", COUNTIFS(F:F, "♢♢♢♢", E:E, "All"), 0)))/100, 
   IF(F70="☆", ((N7 * 100) / (COUNTIFS(F:F, "☆", E:E, E70) + COUNTIFS(F:F, "☆", E:E, "All") + IF(E70="All", COUNTIFS(F:F, "☆", E:E, E2), 0) - IF(E70="All", COUNTIFS(F:F, "☆", E:E, "All"), 0)))/100, 
   IF(F70="☆☆", ((N8 * 100) / (COUNTIFS(F:F, "☆☆", E:E, E70) + COUNTIFS(F:F, "☆☆", E:E, "All") + IF(E70="All", COUNTIFS(F:F, "☆☆", E:E, E2), 0) - IF(E70="All", COUNTIFS(F:F, "☆☆", E:E, "All"), 0)))/100, 
   IF(F70="☆☆☆", ((N9 * 100) / (COUNTIFS(F:F, "☆☆☆", E:E, E70) + COUNTIFS(F:F, "☆☆☆", E:E, "All") + IF(E70="All", COUNTIFS(F:F, "☆☆☆", E:E, E2), 0) - IF(E70="All", COUNTIFS(F:F, "☆☆☆", E:E, "All"), 0)))/100, 
   IF(F70="♛", ((N10 * 100) / (COUNTIFS(F:F, "♛", E:E, E70) + COUNTIFS(F:F, "♛", E:E, "All") + IF(E70="All", COUNTIFS(F:F, "♛", E:E, E2), 0) - IF(E70="All", COUNTIFS(F:F, "♛", E:E, "All"), 0)))/100, "")))))))
</f>
        <v>0.01714666667</v>
      </c>
      <c r="J70" s="282"/>
      <c r="K70" s="23"/>
      <c r="L70" s="23"/>
      <c r="M70" s="23"/>
      <c r="N70" s="23"/>
    </row>
    <row r="71">
      <c r="A71" s="275" t="b">
        <f t="shared" si="1"/>
        <v>0</v>
      </c>
      <c r="B71" s="276">
        <v>0.0</v>
      </c>
      <c r="C71" s="277" t="s">
        <v>787</v>
      </c>
      <c r="D71" s="277" t="s">
        <v>681</v>
      </c>
      <c r="E71" s="277" t="s">
        <v>34</v>
      </c>
      <c r="F71" s="277" t="s">
        <v>45</v>
      </c>
      <c r="G71" s="279" t="str">
        <f t="shared" si="2"/>
        <v/>
      </c>
      <c r="H71" s="280">
        <f>IF(F71="♢♢", ((M4 * 100) / (COUNTIFS(F:F, "♢♢", E:E, E71) + COUNTIFS(F:F, "♢♢", E:E, "All") + IF(E71="All", COUNTIFS(F:F, "♢♢", E:E, E2), 0) - IF(E71="All", COUNTIFS(F:F, "♢♢", E:E, "All"), 0)))/100, 
   IF(F71="♢♢♢", ((M5 * 100) / (COUNTIFS(F:F, "♢♢♢", E:E, E71) + COUNTIFS(F:F, "♢♢♢", E:E, "All") + IF(E71="All", COUNTIFS(F:F, "♢♢♢", E:E, E2), 0) - IF(E71="All", COUNTIFS(F:F, "♢♢♢", E:E, "All"), 0)))/100, 
   IF(F71="♢♢♢♢", ((M6 * 100) / (COUNTIFS(F:F, "♢♢♢♢", E:E, E71) + COUNTIFS(F:F, "♢♢♢♢", E:E, "All") + IF(E71="All", COUNTIFS(F:F, "♢♢♢♢", E:E, E2), 0) - IF(E71="All", COUNTIFS(F:F, "♢♢♢♢", E:E, "All"), 0)))/100, 
   IF(F71="☆", ((M7 * 100) / (COUNTIFS(F:F, "☆", E:E, E71) + COUNTIFS(F:F, "☆", E:E, "All") + IF(E71="All", COUNTIFS(F:F, "☆", E:E, E2), 0) - IF(E71="All", COUNTIFS(F:F, "☆", E:E, "All"), 0)))/100, 
   IF(F71="☆☆", ((M8 * 100) / (COUNTIFS(F:F, "☆☆", E:E, E71) + COUNTIFS(F:F, "☆☆", E:E, "All") + IF(E71="All", COUNTIFS(F:F, "☆☆", E:E, E2), 0) - IF(E71="All", COUNTIFS(F:F, "☆☆", E:E, "All"), 0)))/100, 
   IF(F71="☆☆☆", ((M9 * 100) / (COUNTIFS(F:F, "☆☆☆", E:E, E71) + COUNTIFS(F:F, "☆☆☆", E:E, "All") + IF(E71="All", COUNTIFS(F:F, "☆☆☆", E:E, E2), 0) - IF(E71="All", COUNTIFS(F:F, "☆☆☆", E:E, "All"), 0)))/100, 
   IF(F71="♛", ((M10 * 100) / (COUNTIFS(F:F, "♛", E:E, E71) + COUNTIFS(F:F, "♛", E:E, "All") + IF(E71="All", COUNTIFS(F:F, "♛", E:E, E2), 0) - IF(E71="All", COUNTIFS(F:F, "♛", E:E, "All"), 0)))/100, "")))))))
</f>
        <v>0.004286666667</v>
      </c>
      <c r="I71" s="281">
        <f>IF(F71="♢♢", ((N4 * 100) / (COUNTIFS(F:F, "♢♢", E:E, E71) + COUNTIFS(F:F, "♢♢", E:E, "All") + IF(E71="All", COUNTIFS(F:F, "♢♢", E:E, E2), 0) - IF(E71="All", COUNTIFS(F:F, "♢♢", E:E, "All"), 0)))/100, 
   IF(F71="♢♢♢", ((N5 * 100) / (COUNTIFS(F:F, "♢♢♢", E:E, E71) + COUNTIFS(F:F, "♢♢♢", E:E, "All") + IF(E71="All", COUNTIFS(F:F, "♢♢♢", E:E, E2), 0) - IF(E71="All", COUNTIFS(F:F, "♢♢♢", E:E, "All"), 0)))/100, 
   IF(F71="♢♢♢♢", ((N6 * 100) / (COUNTIFS(F:F, "♢♢♢♢", E:E, E71) + COUNTIFS(F:F, "♢♢♢♢", E:E, "All") + IF(E71="All", COUNTIFS(F:F, "♢♢♢♢", E:E, E2), 0) - IF(E71="All", COUNTIFS(F:F, "♢♢♢♢", E:E, "All"), 0)))/100, 
   IF(F71="☆", ((N7 * 100) / (COUNTIFS(F:F, "☆", E:E, E71) + COUNTIFS(F:F, "☆", E:E, "All") + IF(E71="All", COUNTIFS(F:F, "☆", E:E, E2), 0) - IF(E71="All", COUNTIFS(F:F, "☆", E:E, "All"), 0)))/100, 
   IF(F71="☆☆", ((N8 * 100) / (COUNTIFS(F:F, "☆☆", E:E, E71) + COUNTIFS(F:F, "☆☆", E:E, "All") + IF(E71="All", COUNTIFS(F:F, "☆☆", E:E, E2), 0) - IF(E71="All", COUNTIFS(F:F, "☆☆", E:E, "All"), 0)))/100, 
   IF(F71="☆☆☆", ((N9 * 100) / (COUNTIFS(F:F, "☆☆☆", E:E, E71) + COUNTIFS(F:F, "☆☆☆", E:E, "All") + IF(E71="All", COUNTIFS(F:F, "☆☆☆", E:E, E2), 0) - IF(E71="All", COUNTIFS(F:F, "☆☆☆", E:E, "All"), 0)))/100, 
   IF(F71="♛", ((N10 * 100) / (COUNTIFS(F:F, "♛", E:E, E71) + COUNTIFS(F:F, "♛", E:E, "All") + IF(E71="All", COUNTIFS(F:F, "♛", E:E, E2), 0) - IF(E71="All", COUNTIFS(F:F, "♛", E:E, "All"), 0)))/100, "")))))))
</f>
        <v>0.01714666667</v>
      </c>
      <c r="J71" s="282"/>
      <c r="K71" s="23"/>
      <c r="L71" s="23"/>
      <c r="M71" s="23"/>
      <c r="N71" s="23"/>
    </row>
    <row r="72">
      <c r="A72" s="275" t="b">
        <f t="shared" si="1"/>
        <v>0</v>
      </c>
      <c r="B72" s="276">
        <v>0.0</v>
      </c>
      <c r="C72" s="277" t="s">
        <v>788</v>
      </c>
      <c r="D72" s="277" t="s">
        <v>195</v>
      </c>
      <c r="E72" s="277" t="s">
        <v>34</v>
      </c>
      <c r="F72" s="277" t="s">
        <v>45</v>
      </c>
      <c r="G72" s="279" t="str">
        <f t="shared" si="2"/>
        <v/>
      </c>
      <c r="H72" s="280">
        <f>IF(F72="♢♢", ((M4 * 100) / (COUNTIFS(F:F, "♢♢", E:E, E72) + COUNTIFS(F:F, "♢♢", E:E, "All") + IF(E72="All", COUNTIFS(F:F, "♢♢", E:E, E2), 0) - IF(E72="All", COUNTIFS(F:F, "♢♢", E:E, "All"), 0)))/100, 
   IF(F72="♢♢♢", ((M5 * 100) / (COUNTIFS(F:F, "♢♢♢", E:E, E72) + COUNTIFS(F:F, "♢♢♢", E:E, "All") + IF(E72="All", COUNTIFS(F:F, "♢♢♢", E:E, E2), 0) - IF(E72="All", COUNTIFS(F:F, "♢♢♢", E:E, "All"), 0)))/100, 
   IF(F72="♢♢♢♢", ((M6 * 100) / (COUNTIFS(F:F, "♢♢♢♢", E:E, E72) + COUNTIFS(F:F, "♢♢♢♢", E:E, "All") + IF(E72="All", COUNTIFS(F:F, "♢♢♢♢", E:E, E2), 0) - IF(E72="All", COUNTIFS(F:F, "♢♢♢♢", E:E, "All"), 0)))/100, 
   IF(F72="☆", ((M7 * 100) / (COUNTIFS(F:F, "☆", E:E, E72) + COUNTIFS(F:F, "☆", E:E, "All") + IF(E72="All", COUNTIFS(F:F, "☆", E:E, E2), 0) - IF(E72="All", COUNTIFS(F:F, "☆", E:E, "All"), 0)))/100, 
   IF(F72="☆☆", ((M8 * 100) / (COUNTIFS(F:F, "☆☆", E:E, E72) + COUNTIFS(F:F, "☆☆", E:E, "All") + IF(E72="All", COUNTIFS(F:F, "☆☆", E:E, E2), 0) - IF(E72="All", COUNTIFS(F:F, "☆☆", E:E, "All"), 0)))/100, 
   IF(F72="☆☆☆", ((M9 * 100) / (COUNTIFS(F:F, "☆☆☆", E:E, E72) + COUNTIFS(F:F, "☆☆☆", E:E, "All") + IF(E72="All", COUNTIFS(F:F, "☆☆☆", E:E, E2), 0) - IF(E72="All", COUNTIFS(F:F, "☆☆☆", E:E, "All"), 0)))/100, 
   IF(F72="♛", ((M10 * 100) / (COUNTIFS(F:F, "♛", E:E, E72) + COUNTIFS(F:F, "♛", E:E, "All") + IF(E72="All", COUNTIFS(F:F, "♛", E:E, E2), 0) - IF(E72="All", COUNTIFS(F:F, "♛", E:E, "All"), 0)))/100, "")))))))
</f>
        <v>0.004286666667</v>
      </c>
      <c r="I72" s="281">
        <f>IF(F72="♢♢", ((N4 * 100) / (COUNTIFS(F:F, "♢♢", E:E, E72) + COUNTIFS(F:F, "♢♢", E:E, "All") + IF(E72="All", COUNTIFS(F:F, "♢♢", E:E, E2), 0) - IF(E72="All", COUNTIFS(F:F, "♢♢", E:E, "All"), 0)))/100, 
   IF(F72="♢♢♢", ((N5 * 100) / (COUNTIFS(F:F, "♢♢♢", E:E, E72) + COUNTIFS(F:F, "♢♢♢", E:E, "All") + IF(E72="All", COUNTIFS(F:F, "♢♢♢", E:E, E2), 0) - IF(E72="All", COUNTIFS(F:F, "♢♢♢", E:E, "All"), 0)))/100, 
   IF(F72="♢♢♢♢", ((N6 * 100) / (COUNTIFS(F:F, "♢♢♢♢", E:E, E72) + COUNTIFS(F:F, "♢♢♢♢", E:E, "All") + IF(E72="All", COUNTIFS(F:F, "♢♢♢♢", E:E, E2), 0) - IF(E72="All", COUNTIFS(F:F, "♢♢♢♢", E:E, "All"), 0)))/100, 
   IF(F72="☆", ((N7 * 100) / (COUNTIFS(F:F, "☆", E:E, E72) + COUNTIFS(F:F, "☆", E:E, "All") + IF(E72="All", COUNTIFS(F:F, "☆", E:E, E2), 0) - IF(E72="All", COUNTIFS(F:F, "☆", E:E, "All"), 0)))/100, 
   IF(F72="☆☆", ((N8 * 100) / (COUNTIFS(F:F, "☆☆", E:E, E72) + COUNTIFS(F:F, "☆☆", E:E, "All") + IF(E72="All", COUNTIFS(F:F, "☆☆", E:E, E2), 0) - IF(E72="All", COUNTIFS(F:F, "☆☆", E:E, "All"), 0)))/100, 
   IF(F72="☆☆☆", ((N9 * 100) / (COUNTIFS(F:F, "☆☆☆", E:E, E72) + COUNTIFS(F:F, "☆☆☆", E:E, "All") + IF(E72="All", COUNTIFS(F:F, "☆☆☆", E:E, E2), 0) - IF(E72="All", COUNTIFS(F:F, "☆☆☆", E:E, "All"), 0)))/100, 
   IF(F72="♛", ((N10 * 100) / (COUNTIFS(F:F, "♛", E:E, E72) + COUNTIFS(F:F, "♛", E:E, "All") + IF(E72="All", COUNTIFS(F:F, "♛", E:E, E2), 0) - IF(E72="All", COUNTIFS(F:F, "♛", E:E, "All"), 0)))/100, "")))))))
</f>
        <v>0.01714666667</v>
      </c>
      <c r="J72" s="282"/>
      <c r="K72" s="23"/>
      <c r="L72" s="23"/>
      <c r="M72" s="23"/>
      <c r="N72" s="23"/>
    </row>
    <row r="73">
      <c r="A73" s="275" t="b">
        <f t="shared" si="1"/>
        <v>0</v>
      </c>
      <c r="B73" s="276">
        <v>0.0</v>
      </c>
      <c r="C73" s="277" t="s">
        <v>789</v>
      </c>
      <c r="D73" s="277" t="s">
        <v>267</v>
      </c>
      <c r="E73" s="277" t="s">
        <v>34</v>
      </c>
      <c r="F73" s="277" t="s">
        <v>45</v>
      </c>
      <c r="G73" s="279" t="str">
        <f t="shared" si="2"/>
        <v/>
      </c>
      <c r="H73" s="280">
        <f>IF(F73="♢♢", ((M4 * 100) / (COUNTIFS(F:F, "♢♢", E:E, E73) + COUNTIFS(F:F, "♢♢", E:E, "All") + IF(E73="All", COUNTIFS(F:F, "♢♢", E:E, E2), 0) - IF(E73="All", COUNTIFS(F:F, "♢♢", E:E, "All"), 0)))/100, 
   IF(F73="♢♢♢", ((M5 * 100) / (COUNTIFS(F:F, "♢♢♢", E:E, E73) + COUNTIFS(F:F, "♢♢♢", E:E, "All") + IF(E73="All", COUNTIFS(F:F, "♢♢♢", E:E, E2), 0) - IF(E73="All", COUNTIFS(F:F, "♢♢♢", E:E, "All"), 0)))/100, 
   IF(F73="♢♢♢♢", ((M6 * 100) / (COUNTIFS(F:F, "♢♢♢♢", E:E, E73) + COUNTIFS(F:F, "♢♢♢♢", E:E, "All") + IF(E73="All", COUNTIFS(F:F, "♢♢♢♢", E:E, E2), 0) - IF(E73="All", COUNTIFS(F:F, "♢♢♢♢", E:E, "All"), 0)))/100, 
   IF(F73="☆", ((M7 * 100) / (COUNTIFS(F:F, "☆", E:E, E73) + COUNTIFS(F:F, "☆", E:E, "All") + IF(E73="All", COUNTIFS(F:F, "☆", E:E, E2), 0) - IF(E73="All", COUNTIFS(F:F, "☆", E:E, "All"), 0)))/100, 
   IF(F73="☆☆", ((M8 * 100) / (COUNTIFS(F:F, "☆☆", E:E, E73) + COUNTIFS(F:F, "☆☆", E:E, "All") + IF(E73="All", COUNTIFS(F:F, "☆☆", E:E, E2), 0) - IF(E73="All", COUNTIFS(F:F, "☆☆", E:E, "All"), 0)))/100, 
   IF(F73="☆☆☆", ((M9 * 100) / (COUNTIFS(F:F, "☆☆☆", E:E, E73) + COUNTIFS(F:F, "☆☆☆", E:E, "All") + IF(E73="All", COUNTIFS(F:F, "☆☆☆", E:E, E2), 0) - IF(E73="All", COUNTIFS(F:F, "☆☆☆", E:E, "All"), 0)))/100, 
   IF(F73="♛", ((M10 * 100) / (COUNTIFS(F:F, "♛", E:E, E73) + COUNTIFS(F:F, "♛", E:E, "All") + IF(E73="All", COUNTIFS(F:F, "♛", E:E, E2), 0) - IF(E73="All", COUNTIFS(F:F, "♛", E:E, "All"), 0)))/100, "")))))))
</f>
        <v>0.004286666667</v>
      </c>
      <c r="I73" s="281">
        <f>IF(F73="♢♢", ((N4 * 100) / (COUNTIFS(F:F, "♢♢", E:E, E73) + COUNTIFS(F:F, "♢♢", E:E, "All") + IF(E73="All", COUNTIFS(F:F, "♢♢", E:E, E2), 0) - IF(E73="All", COUNTIFS(F:F, "♢♢", E:E, "All"), 0)))/100, 
   IF(F73="♢♢♢", ((N5 * 100) / (COUNTIFS(F:F, "♢♢♢", E:E, E73) + COUNTIFS(F:F, "♢♢♢", E:E, "All") + IF(E73="All", COUNTIFS(F:F, "♢♢♢", E:E, E2), 0) - IF(E73="All", COUNTIFS(F:F, "♢♢♢", E:E, "All"), 0)))/100, 
   IF(F73="♢♢♢♢", ((N6 * 100) / (COUNTIFS(F:F, "♢♢♢♢", E:E, E73) + COUNTIFS(F:F, "♢♢♢♢", E:E, "All") + IF(E73="All", COUNTIFS(F:F, "♢♢♢♢", E:E, E2), 0) - IF(E73="All", COUNTIFS(F:F, "♢♢♢♢", E:E, "All"), 0)))/100, 
   IF(F73="☆", ((N7 * 100) / (COUNTIFS(F:F, "☆", E:E, E73) + COUNTIFS(F:F, "☆", E:E, "All") + IF(E73="All", COUNTIFS(F:F, "☆", E:E, E2), 0) - IF(E73="All", COUNTIFS(F:F, "☆", E:E, "All"), 0)))/100, 
   IF(F73="☆☆", ((N8 * 100) / (COUNTIFS(F:F, "☆☆", E:E, E73) + COUNTIFS(F:F, "☆☆", E:E, "All") + IF(E73="All", COUNTIFS(F:F, "☆☆", E:E, E2), 0) - IF(E73="All", COUNTIFS(F:F, "☆☆", E:E, "All"), 0)))/100, 
   IF(F73="☆☆☆", ((N9 * 100) / (COUNTIFS(F:F, "☆☆☆", E:E, E73) + COUNTIFS(F:F, "☆☆☆", E:E, "All") + IF(E73="All", COUNTIFS(F:F, "☆☆☆", E:E, E2), 0) - IF(E73="All", COUNTIFS(F:F, "☆☆☆", E:E, "All"), 0)))/100, 
   IF(F73="♛", ((N10 * 100) / (COUNTIFS(F:F, "♛", E:E, E73) + COUNTIFS(F:F, "♛", E:E, "All") + IF(E73="All", COUNTIFS(F:F, "♛", E:E, E2), 0) - IF(E73="All", COUNTIFS(F:F, "♛", E:E, "All"), 0)))/100, "")))))))
</f>
        <v>0.01714666667</v>
      </c>
      <c r="J73" s="282"/>
      <c r="K73" s="23"/>
      <c r="L73" s="23"/>
      <c r="M73" s="23"/>
      <c r="N73" s="23"/>
    </row>
    <row r="74">
      <c r="A74" s="275" t="b">
        <f t="shared" si="1"/>
        <v>0</v>
      </c>
      <c r="B74" s="276">
        <v>0.0</v>
      </c>
      <c r="C74" s="277" t="s">
        <v>790</v>
      </c>
      <c r="D74" s="277" t="s">
        <v>720</v>
      </c>
      <c r="E74" s="277" t="s">
        <v>34</v>
      </c>
      <c r="F74" s="277" t="s">
        <v>45</v>
      </c>
      <c r="G74" s="279" t="str">
        <f t="shared" si="2"/>
        <v/>
      </c>
      <c r="H74" s="280">
        <f>IF(F74="♢♢", ((M4 * 100) / (COUNTIFS(F:F, "♢♢", E:E, E74) + COUNTIFS(F:F, "♢♢", E:E, "All") + IF(E74="All", COUNTIFS(F:F, "♢♢", E:E, E2), 0) - IF(E74="All", COUNTIFS(F:F, "♢♢", E:E, "All"), 0)))/100, 
   IF(F74="♢♢♢", ((M5 * 100) / (COUNTIFS(F:F, "♢♢♢", E:E, E74) + COUNTIFS(F:F, "♢♢♢", E:E, "All") + IF(E74="All", COUNTIFS(F:F, "♢♢♢", E:E, E2), 0) - IF(E74="All", COUNTIFS(F:F, "♢♢♢", E:E, "All"), 0)))/100, 
   IF(F74="♢♢♢♢", ((M6 * 100) / (COUNTIFS(F:F, "♢♢♢♢", E:E, E74) + COUNTIFS(F:F, "♢♢♢♢", E:E, "All") + IF(E74="All", COUNTIFS(F:F, "♢♢♢♢", E:E, E2), 0) - IF(E74="All", COUNTIFS(F:F, "♢♢♢♢", E:E, "All"), 0)))/100, 
   IF(F74="☆", ((M7 * 100) / (COUNTIFS(F:F, "☆", E:E, E74) + COUNTIFS(F:F, "☆", E:E, "All") + IF(E74="All", COUNTIFS(F:F, "☆", E:E, E2), 0) - IF(E74="All", COUNTIFS(F:F, "☆", E:E, "All"), 0)))/100, 
   IF(F74="☆☆", ((M8 * 100) / (COUNTIFS(F:F, "☆☆", E:E, E74) + COUNTIFS(F:F, "☆☆", E:E, "All") + IF(E74="All", COUNTIFS(F:F, "☆☆", E:E, E2), 0) - IF(E74="All", COUNTIFS(F:F, "☆☆", E:E, "All"), 0)))/100, 
   IF(F74="☆☆☆", ((M9 * 100) / (COUNTIFS(F:F, "☆☆☆", E:E, E74) + COUNTIFS(F:F, "☆☆☆", E:E, "All") + IF(E74="All", COUNTIFS(F:F, "☆☆☆", E:E, E2), 0) - IF(E74="All", COUNTIFS(F:F, "☆☆☆", E:E, "All"), 0)))/100, 
   IF(F74="♛", ((M10 * 100) / (COUNTIFS(F:F, "♛", E:E, E74) + COUNTIFS(F:F, "♛", E:E, "All") + IF(E74="All", COUNTIFS(F:F, "♛", E:E, E2), 0) - IF(E74="All", COUNTIFS(F:F, "♛", E:E, "All"), 0)))/100, "")))))))
</f>
        <v>0.004286666667</v>
      </c>
      <c r="I74" s="281">
        <f>IF(F74="♢♢", ((N4 * 100) / (COUNTIFS(F:F, "♢♢", E:E, E74) + COUNTIFS(F:F, "♢♢", E:E, "All") + IF(E74="All", COUNTIFS(F:F, "♢♢", E:E, E2), 0) - IF(E74="All", COUNTIFS(F:F, "♢♢", E:E, "All"), 0)))/100, 
   IF(F74="♢♢♢", ((N5 * 100) / (COUNTIFS(F:F, "♢♢♢", E:E, E74) + COUNTIFS(F:F, "♢♢♢", E:E, "All") + IF(E74="All", COUNTIFS(F:F, "♢♢♢", E:E, E2), 0) - IF(E74="All", COUNTIFS(F:F, "♢♢♢", E:E, "All"), 0)))/100, 
   IF(F74="♢♢♢♢", ((N6 * 100) / (COUNTIFS(F:F, "♢♢♢♢", E:E, E74) + COUNTIFS(F:F, "♢♢♢♢", E:E, "All") + IF(E74="All", COUNTIFS(F:F, "♢♢♢♢", E:E, E2), 0) - IF(E74="All", COUNTIFS(F:F, "♢♢♢♢", E:E, "All"), 0)))/100, 
   IF(F74="☆", ((N7 * 100) / (COUNTIFS(F:F, "☆", E:E, E74) + COUNTIFS(F:F, "☆", E:E, "All") + IF(E74="All", COUNTIFS(F:F, "☆", E:E, E2), 0) - IF(E74="All", COUNTIFS(F:F, "☆", E:E, "All"), 0)))/100, 
   IF(F74="☆☆", ((N8 * 100) / (COUNTIFS(F:F, "☆☆", E:E, E74) + COUNTIFS(F:F, "☆☆", E:E, "All") + IF(E74="All", COUNTIFS(F:F, "☆☆", E:E, E2), 0) - IF(E74="All", COUNTIFS(F:F, "☆☆", E:E, "All"), 0)))/100, 
   IF(F74="☆☆☆", ((N9 * 100) / (COUNTIFS(F:F, "☆☆☆", E:E, E74) + COUNTIFS(F:F, "☆☆☆", E:E, "All") + IF(E74="All", COUNTIFS(F:F, "☆☆☆", E:E, E2), 0) - IF(E74="All", COUNTIFS(F:F, "☆☆☆", E:E, "All"), 0)))/100, 
   IF(F74="♛", ((N10 * 100) / (COUNTIFS(F:F, "♛", E:E, E74) + COUNTIFS(F:F, "♛", E:E, "All") + IF(E74="All", COUNTIFS(F:F, "♛", E:E, E2), 0) - IF(E74="All", COUNTIFS(F:F, "♛", E:E, "All"), 0)))/100, "")))))))
</f>
        <v>0.01714666667</v>
      </c>
      <c r="J74" s="282"/>
      <c r="K74" s="23"/>
      <c r="L74" s="23"/>
      <c r="M74" s="23"/>
      <c r="N74" s="23"/>
    </row>
    <row r="75">
      <c r="A75" s="275" t="b">
        <f t="shared" si="1"/>
        <v>0</v>
      </c>
      <c r="B75" s="276">
        <v>0.0</v>
      </c>
      <c r="C75" s="277" t="s">
        <v>791</v>
      </c>
      <c r="D75" s="277" t="s">
        <v>750</v>
      </c>
      <c r="E75" s="277" t="s">
        <v>34</v>
      </c>
      <c r="F75" s="277" t="s">
        <v>45</v>
      </c>
      <c r="G75" s="279" t="str">
        <f t="shared" si="2"/>
        <v/>
      </c>
      <c r="H75" s="280">
        <f>IF(F75="♢♢", ((M4 * 100) / (COUNTIFS(F:F, "♢♢", E:E, E75) + COUNTIFS(F:F, "♢♢", E:E, "All") + IF(E75="All", COUNTIFS(F:F, "♢♢", E:E, E2), 0) - IF(E75="All", COUNTIFS(F:F, "♢♢", E:E, "All"), 0)))/100, 
   IF(F75="♢♢♢", ((M5 * 100) / (COUNTIFS(F:F, "♢♢♢", E:E, E75) + COUNTIFS(F:F, "♢♢♢", E:E, "All") + IF(E75="All", COUNTIFS(F:F, "♢♢♢", E:E, E2), 0) - IF(E75="All", COUNTIFS(F:F, "♢♢♢", E:E, "All"), 0)))/100, 
   IF(F75="♢♢♢♢", ((M6 * 100) / (COUNTIFS(F:F, "♢♢♢♢", E:E, E75) + COUNTIFS(F:F, "♢♢♢♢", E:E, "All") + IF(E75="All", COUNTIFS(F:F, "♢♢♢♢", E:E, E2), 0) - IF(E75="All", COUNTIFS(F:F, "♢♢♢♢", E:E, "All"), 0)))/100, 
   IF(F75="☆", ((M7 * 100) / (COUNTIFS(F:F, "☆", E:E, E75) + COUNTIFS(F:F, "☆", E:E, "All") + IF(E75="All", COUNTIFS(F:F, "☆", E:E, E2), 0) - IF(E75="All", COUNTIFS(F:F, "☆", E:E, "All"), 0)))/100, 
   IF(F75="☆☆", ((M8 * 100) / (COUNTIFS(F:F, "☆☆", E:E, E75) + COUNTIFS(F:F, "☆☆", E:E, "All") + IF(E75="All", COUNTIFS(F:F, "☆☆", E:E, E2), 0) - IF(E75="All", COUNTIFS(F:F, "☆☆", E:E, "All"), 0)))/100, 
   IF(F75="☆☆☆", ((M9 * 100) / (COUNTIFS(F:F, "☆☆☆", E:E, E75) + COUNTIFS(F:F, "☆☆☆", E:E, "All") + IF(E75="All", COUNTIFS(F:F, "☆☆☆", E:E, E2), 0) - IF(E75="All", COUNTIFS(F:F, "☆☆☆", E:E, "All"), 0)))/100, 
   IF(F75="♛", ((M10 * 100) / (COUNTIFS(F:F, "♛", E:E, E75) + COUNTIFS(F:F, "♛", E:E, "All") + IF(E75="All", COUNTIFS(F:F, "♛", E:E, E2), 0) - IF(E75="All", COUNTIFS(F:F, "♛", E:E, "All"), 0)))/100, "")))))))
</f>
        <v>0.004286666667</v>
      </c>
      <c r="I75" s="281">
        <f>IF(F75="♢♢", ((N4 * 100) / (COUNTIFS(F:F, "♢♢", E:E, E75) + COUNTIFS(F:F, "♢♢", E:E, "All") + IF(E75="All", COUNTIFS(F:F, "♢♢", E:E, E2), 0) - IF(E75="All", COUNTIFS(F:F, "♢♢", E:E, "All"), 0)))/100, 
   IF(F75="♢♢♢", ((N5 * 100) / (COUNTIFS(F:F, "♢♢♢", E:E, E75) + COUNTIFS(F:F, "♢♢♢", E:E, "All") + IF(E75="All", COUNTIFS(F:F, "♢♢♢", E:E, E2), 0) - IF(E75="All", COUNTIFS(F:F, "♢♢♢", E:E, "All"), 0)))/100, 
   IF(F75="♢♢♢♢", ((N6 * 100) / (COUNTIFS(F:F, "♢♢♢♢", E:E, E75) + COUNTIFS(F:F, "♢♢♢♢", E:E, "All") + IF(E75="All", COUNTIFS(F:F, "♢♢♢♢", E:E, E2), 0) - IF(E75="All", COUNTIFS(F:F, "♢♢♢♢", E:E, "All"), 0)))/100, 
   IF(F75="☆", ((N7 * 100) / (COUNTIFS(F:F, "☆", E:E, E75) + COUNTIFS(F:F, "☆", E:E, "All") + IF(E75="All", COUNTIFS(F:F, "☆", E:E, E2), 0) - IF(E75="All", COUNTIFS(F:F, "☆", E:E, "All"), 0)))/100, 
   IF(F75="☆☆", ((N8 * 100) / (COUNTIFS(F:F, "☆☆", E:E, E75) + COUNTIFS(F:F, "☆☆", E:E, "All") + IF(E75="All", COUNTIFS(F:F, "☆☆", E:E, E2), 0) - IF(E75="All", COUNTIFS(F:F, "☆☆", E:E, "All"), 0)))/100, 
   IF(F75="☆☆☆", ((N9 * 100) / (COUNTIFS(F:F, "☆☆☆", E:E, E75) + COUNTIFS(F:F, "☆☆☆", E:E, "All") + IF(E75="All", COUNTIFS(F:F, "☆☆☆", E:E, E2), 0) - IF(E75="All", COUNTIFS(F:F, "☆☆☆", E:E, "All"), 0)))/100, 
   IF(F75="♛", ((N10 * 100) / (COUNTIFS(F:F, "♛", E:E, E75) + COUNTIFS(F:F, "♛", E:E, "All") + IF(E75="All", COUNTIFS(F:F, "♛", E:E, E2), 0) - IF(E75="All", COUNTIFS(F:F, "♛", E:E, "All"), 0)))/100, "")))))))
</f>
        <v>0.01714666667</v>
      </c>
      <c r="J75" s="282"/>
      <c r="K75" s="329" t="s">
        <v>594</v>
      </c>
      <c r="L75" s="251"/>
      <c r="M75" s="251"/>
      <c r="N75" s="252"/>
    </row>
    <row r="76">
      <c r="A76" s="275" t="b">
        <f t="shared" si="1"/>
        <v>0</v>
      </c>
      <c r="B76" s="276">
        <v>0.0</v>
      </c>
      <c r="C76" s="277" t="s">
        <v>792</v>
      </c>
      <c r="D76" s="277" t="s">
        <v>675</v>
      </c>
      <c r="E76" s="277" t="s">
        <v>34</v>
      </c>
      <c r="F76" s="277" t="s">
        <v>47</v>
      </c>
      <c r="G76" s="279" t="str">
        <f t="shared" si="2"/>
        <v/>
      </c>
      <c r="H76" s="280">
        <f>IF(F76="♢♢", ((M4 * 100) / (COUNTIFS(F:F, "♢♢", E:E, E76) + COUNTIFS(F:F, "♢♢", E:E, "All") + IF(E76="All", COUNTIFS(F:F, "♢♢", E:E, E2), 0) - IF(E76="All", COUNTIFS(F:F, "♢♢", E:E, "All"), 0)))/100, 
   IF(F76="♢♢♢", ((M5 * 100) / (COUNTIFS(F:F, "♢♢♢", E:E, E76) + COUNTIFS(F:F, "♢♢♢", E:E, "All") + IF(E76="All", COUNTIFS(F:F, "♢♢♢", E:E, E2), 0) - IF(E76="All", COUNTIFS(F:F, "♢♢♢", E:E, "All"), 0)))/100, 
   IF(F76="♢♢♢♢", ((M6 * 100) / (COUNTIFS(F:F, "♢♢♢♢", E:E, E76) + COUNTIFS(F:F, "♢♢♢♢", E:E, "All") + IF(E76="All", COUNTIFS(F:F, "♢♢♢♢", E:E, E2), 0) - IF(E76="All", COUNTIFS(F:F, "♢♢♢♢", E:E, "All"), 0)))/100, 
   IF(F76="☆", ((M7 * 100) / (COUNTIFS(F:F, "☆", E:E, E76) + COUNTIFS(F:F, "☆", E:E, "All") + IF(E76="All", COUNTIFS(F:F, "☆", E:E, E2), 0) - IF(E76="All", COUNTIFS(F:F, "☆", E:E, "All"), 0)))/100, 
   IF(F76="☆☆", ((M8 * 100) / (COUNTIFS(F:F, "☆☆", E:E, E76) + COUNTIFS(F:F, "☆☆", E:E, "All") + IF(E76="All", COUNTIFS(F:F, "☆☆", E:E, E2), 0) - IF(E76="All", COUNTIFS(F:F, "☆☆", E:E, "All"), 0)))/100, 
   IF(F76="☆☆☆", ((M9 * 100) / (COUNTIFS(F:F, "☆☆☆", E:E, E76) + COUNTIFS(F:F, "☆☆☆", E:E, "All") + IF(E76="All", COUNTIFS(F:F, "☆☆☆", E:E, E2), 0) - IF(E76="All", COUNTIFS(F:F, "☆☆☆", E:E, "All"), 0)))/100, 
   IF(F76="♛", ((M10 * 100) / (COUNTIFS(F:F, "♛", E:E, E76) + COUNTIFS(F:F, "♛", E:E, "All") + IF(E76="All", COUNTIFS(F:F, "♛", E:E, E2), 0) - IF(E76="All", COUNTIFS(F:F, "♛", E:E, "All"), 0)))/100, "")))))))
</f>
        <v>0.0005</v>
      </c>
      <c r="I76" s="281">
        <f>IF(F76="♢♢", ((N4 * 100) / (COUNTIFS(F:F, "♢♢", E:E, E76) + COUNTIFS(F:F, "♢♢", E:E, "All") + IF(E76="All", COUNTIFS(F:F, "♢♢", E:E, E2), 0) - IF(E76="All", COUNTIFS(F:F, "♢♢", E:E, "All"), 0)))/100, 
   IF(F76="♢♢♢", ((N5 * 100) / (COUNTIFS(F:F, "♢♢♢", E:E, E76) + COUNTIFS(F:F, "♢♢♢", E:E, "All") + IF(E76="All", COUNTIFS(F:F, "♢♢♢", E:E, E2), 0) - IF(E76="All", COUNTIFS(F:F, "♢♢♢", E:E, "All"), 0)))/100, 
   IF(F76="♢♢♢♢", ((N6 * 100) / (COUNTIFS(F:F, "♢♢♢♢", E:E, E76) + COUNTIFS(F:F, "♢♢♢♢", E:E, "All") + IF(E76="All", COUNTIFS(F:F, "♢♢♢♢", E:E, E2), 0) - IF(E76="All", COUNTIFS(F:F, "♢♢♢♢", E:E, "All"), 0)))/100, 
   IF(F76="☆", ((N7 * 100) / (COUNTIFS(F:F, "☆", E:E, E76) + COUNTIFS(F:F, "☆", E:E, "All") + IF(E76="All", COUNTIFS(F:F, "☆", E:E, E2), 0) - IF(E76="All", COUNTIFS(F:F, "☆", E:E, "All"), 0)))/100, 
   IF(F76="☆☆", ((N8 * 100) / (COUNTIFS(F:F, "☆☆", E:E, E76) + COUNTIFS(F:F, "☆☆", E:E, "All") + IF(E76="All", COUNTIFS(F:F, "☆☆", E:E, E2), 0) - IF(E76="All", COUNTIFS(F:F, "☆☆", E:E, "All"), 0)))/100, 
   IF(F76="☆☆☆", ((N9 * 100) / (COUNTIFS(F:F, "☆☆☆", E:E, E76) + COUNTIFS(F:F, "☆☆☆", E:E, "All") + IF(E76="All", COUNTIFS(F:F, "☆☆☆", E:E, E2), 0) - IF(E76="All", COUNTIFS(F:F, "☆☆☆", E:E, "All"), 0)))/100, 
   IF(F76="♛", ((N10 * 100) / (COUNTIFS(F:F, "♛", E:E, E76) + COUNTIFS(F:F, "♛", E:E, "All") + IF(E76="All", COUNTIFS(F:F, "♛", E:E, E2), 0) - IF(E76="All", COUNTIFS(F:F, "♛", E:E, "All"), 0)))/100, "")))))))
</f>
        <v>0.002</v>
      </c>
      <c r="J76" s="282"/>
      <c r="K76" s="253"/>
      <c r="L76" s="254"/>
      <c r="M76" s="254"/>
      <c r="N76" s="255"/>
    </row>
    <row r="77">
      <c r="A77" s="275" t="b">
        <f t="shared" si="1"/>
        <v>0</v>
      </c>
      <c r="B77" s="276">
        <v>0.0</v>
      </c>
      <c r="C77" s="277" t="s">
        <v>793</v>
      </c>
      <c r="D77" s="277" t="s">
        <v>699</v>
      </c>
      <c r="E77" s="277" t="s">
        <v>34</v>
      </c>
      <c r="F77" s="277" t="s">
        <v>47</v>
      </c>
      <c r="G77" s="279" t="str">
        <f t="shared" si="2"/>
        <v/>
      </c>
      <c r="H77" s="280">
        <f>IF(F77="♢♢", ((M4 * 100) / (COUNTIFS(F:F, "♢♢", E:E, E77) + COUNTIFS(F:F, "♢♢", E:E, "All") + IF(E77="All", COUNTIFS(F:F, "♢♢", E:E, E2), 0) - IF(E77="All", COUNTIFS(F:F, "♢♢", E:E, "All"), 0)))/100, 
   IF(F77="♢♢♢", ((M5 * 100) / (COUNTIFS(F:F, "♢♢♢", E:E, E77) + COUNTIFS(F:F, "♢♢♢", E:E, "All") + IF(E77="All", COUNTIFS(F:F, "♢♢♢", E:E, E2), 0) - IF(E77="All", COUNTIFS(F:F, "♢♢♢", E:E, "All"), 0)))/100, 
   IF(F77="♢♢♢♢", ((M6 * 100) / (COUNTIFS(F:F, "♢♢♢♢", E:E, E77) + COUNTIFS(F:F, "♢♢♢♢", E:E, "All") + IF(E77="All", COUNTIFS(F:F, "♢♢♢♢", E:E, E2), 0) - IF(E77="All", COUNTIFS(F:F, "♢♢♢♢", E:E, "All"), 0)))/100, 
   IF(F77="☆", ((M7 * 100) / (COUNTIFS(F:F, "☆", E:E, E77) + COUNTIFS(F:F, "☆", E:E, "All") + IF(E77="All", COUNTIFS(F:F, "☆", E:E, E2), 0) - IF(E77="All", COUNTIFS(F:F, "☆", E:E, "All"), 0)))/100, 
   IF(F77="☆☆", ((M8 * 100) / (COUNTIFS(F:F, "☆☆", E:E, E77) + COUNTIFS(F:F, "☆☆", E:E, "All") + IF(E77="All", COUNTIFS(F:F, "☆☆", E:E, E2), 0) - IF(E77="All", COUNTIFS(F:F, "☆☆", E:E, "All"), 0)))/100, 
   IF(F77="☆☆☆", ((M9 * 100) / (COUNTIFS(F:F, "☆☆☆", E:E, E77) + COUNTIFS(F:F, "☆☆☆", E:E, "All") + IF(E77="All", COUNTIFS(F:F, "☆☆☆", E:E, E2), 0) - IF(E77="All", COUNTIFS(F:F, "☆☆☆", E:E, "All"), 0)))/100, 
   IF(F77="♛", ((M10 * 100) / (COUNTIFS(F:F, "♛", E:E, E77) + COUNTIFS(F:F, "♛", E:E, "All") + IF(E77="All", COUNTIFS(F:F, "♛", E:E, E2), 0) - IF(E77="All", COUNTIFS(F:F, "♛", E:E, "All"), 0)))/100, "")))))))
</f>
        <v>0.0005</v>
      </c>
      <c r="I77" s="281">
        <f>IF(F77="♢♢", ((N4 * 100) / (COUNTIFS(F:F, "♢♢", E:E, E77) + COUNTIFS(F:F, "♢♢", E:E, "All") + IF(E77="All", COUNTIFS(F:F, "♢♢", E:E, E2), 0) - IF(E77="All", COUNTIFS(F:F, "♢♢", E:E, "All"), 0)))/100, 
   IF(F77="♢♢♢", ((N5 * 100) / (COUNTIFS(F:F, "♢♢♢", E:E, E77) + COUNTIFS(F:F, "♢♢♢", E:E, "All") + IF(E77="All", COUNTIFS(F:F, "♢♢♢", E:E, E2), 0) - IF(E77="All", COUNTIFS(F:F, "♢♢♢", E:E, "All"), 0)))/100, 
   IF(F77="♢♢♢♢", ((N6 * 100) / (COUNTIFS(F:F, "♢♢♢♢", E:E, E77) + COUNTIFS(F:F, "♢♢♢♢", E:E, "All") + IF(E77="All", COUNTIFS(F:F, "♢♢♢♢", E:E, E2), 0) - IF(E77="All", COUNTIFS(F:F, "♢♢♢♢", E:E, "All"), 0)))/100, 
   IF(F77="☆", ((N7 * 100) / (COUNTIFS(F:F, "☆", E:E, E77) + COUNTIFS(F:F, "☆", E:E, "All") + IF(E77="All", COUNTIFS(F:F, "☆", E:E, E2), 0) - IF(E77="All", COUNTIFS(F:F, "☆", E:E, "All"), 0)))/100, 
   IF(F77="☆☆", ((N8 * 100) / (COUNTIFS(F:F, "☆☆", E:E, E77) + COUNTIFS(F:F, "☆☆", E:E, "All") + IF(E77="All", COUNTIFS(F:F, "☆☆", E:E, E2), 0) - IF(E77="All", COUNTIFS(F:F, "☆☆", E:E, "All"), 0)))/100, 
   IF(F77="☆☆☆", ((N9 * 100) / (COUNTIFS(F:F, "☆☆☆", E:E, E77) + COUNTIFS(F:F, "☆☆☆", E:E, "All") + IF(E77="All", COUNTIFS(F:F, "☆☆☆", E:E, E2), 0) - IF(E77="All", COUNTIFS(F:F, "☆☆☆", E:E, "All"), 0)))/100, 
   IF(F77="♛", ((N10 * 100) / (COUNTIFS(F:F, "♛", E:E, E77) + COUNTIFS(F:F, "♛", E:E, "All") + IF(E77="All", COUNTIFS(F:F, "♛", E:E, E2), 0) - IF(E77="All", COUNTIFS(F:F, "♛", E:E, "All"), 0)))/100, "")))))))
</f>
        <v>0.002</v>
      </c>
      <c r="J77" s="282"/>
      <c r="K77" s="330"/>
      <c r="L77" s="23"/>
      <c r="M77" s="23"/>
      <c r="N77" s="297"/>
    </row>
    <row r="78">
      <c r="A78" s="275" t="b">
        <f t="shared" si="1"/>
        <v>0</v>
      </c>
      <c r="B78" s="276">
        <v>0.0</v>
      </c>
      <c r="C78" s="277" t="s">
        <v>794</v>
      </c>
      <c r="D78" s="277" t="s">
        <v>724</v>
      </c>
      <c r="E78" s="277" t="s">
        <v>34</v>
      </c>
      <c r="F78" s="277" t="s">
        <v>47</v>
      </c>
      <c r="G78" s="279" t="str">
        <f t="shared" si="2"/>
        <v/>
      </c>
      <c r="H78" s="280">
        <f>IF(F78="♢♢", ((M4 * 100) / (COUNTIFS(F:F, "♢♢", E:E, E78) + COUNTIFS(F:F, "♢♢", E:E, "All") + IF(E78="All", COUNTIFS(F:F, "♢♢", E:E, E2), 0) - IF(E78="All", COUNTIFS(F:F, "♢♢", E:E, "All"), 0)))/100, 
   IF(F78="♢♢♢", ((M5 * 100) / (COUNTIFS(F:F, "♢♢♢", E:E, E78) + COUNTIFS(F:F, "♢♢♢", E:E, "All") + IF(E78="All", COUNTIFS(F:F, "♢♢♢", E:E, E2), 0) - IF(E78="All", COUNTIFS(F:F, "♢♢♢", E:E, "All"), 0)))/100, 
   IF(F78="♢♢♢♢", ((M6 * 100) / (COUNTIFS(F:F, "♢♢♢♢", E:E, E78) + COUNTIFS(F:F, "♢♢♢♢", E:E, "All") + IF(E78="All", COUNTIFS(F:F, "♢♢♢♢", E:E, E2), 0) - IF(E78="All", COUNTIFS(F:F, "♢♢♢♢", E:E, "All"), 0)))/100, 
   IF(F78="☆", ((M7 * 100) / (COUNTIFS(F:F, "☆", E:E, E78) + COUNTIFS(F:F, "☆", E:E, "All") + IF(E78="All", COUNTIFS(F:F, "☆", E:E, E2), 0) - IF(E78="All", COUNTIFS(F:F, "☆", E:E, "All"), 0)))/100, 
   IF(F78="☆☆", ((M8 * 100) / (COUNTIFS(F:F, "☆☆", E:E, E78) + COUNTIFS(F:F, "☆☆", E:E, "All") + IF(E78="All", COUNTIFS(F:F, "☆☆", E:E, E2), 0) - IF(E78="All", COUNTIFS(F:F, "☆☆", E:E, "All"), 0)))/100, 
   IF(F78="☆☆☆", ((M9 * 100) / (COUNTIFS(F:F, "☆☆☆", E:E, E78) + COUNTIFS(F:F, "☆☆☆", E:E, "All") + IF(E78="All", COUNTIFS(F:F, "☆☆☆", E:E, E2), 0) - IF(E78="All", COUNTIFS(F:F, "☆☆☆", E:E, "All"), 0)))/100, 
   IF(F78="♛", ((M10 * 100) / (COUNTIFS(F:F, "♛", E:E, E78) + COUNTIFS(F:F, "♛", E:E, "All") + IF(E78="All", COUNTIFS(F:F, "♛", E:E, E2), 0) - IF(E78="All", COUNTIFS(F:F, "♛", E:E, "All"), 0)))/100, "")))))))
</f>
        <v>0.0005</v>
      </c>
      <c r="I78" s="281">
        <f>IF(F78="♢♢", ((N4 * 100) / (COUNTIFS(F:F, "♢♢", E:E, E78) + COUNTIFS(F:F, "♢♢", E:E, "All") + IF(E78="All", COUNTIFS(F:F, "♢♢", E:E, E2), 0) - IF(E78="All", COUNTIFS(F:F, "♢♢", E:E, "All"), 0)))/100, 
   IF(F78="♢♢♢", ((N5 * 100) / (COUNTIFS(F:F, "♢♢♢", E:E, E78) + COUNTIFS(F:F, "♢♢♢", E:E, "All") + IF(E78="All", COUNTIFS(F:F, "♢♢♢", E:E, E2), 0) - IF(E78="All", COUNTIFS(F:F, "♢♢♢", E:E, "All"), 0)))/100, 
   IF(F78="♢♢♢♢", ((N6 * 100) / (COUNTIFS(F:F, "♢♢♢♢", E:E, E78) + COUNTIFS(F:F, "♢♢♢♢", E:E, "All") + IF(E78="All", COUNTIFS(F:F, "♢♢♢♢", E:E, E2), 0) - IF(E78="All", COUNTIFS(F:F, "♢♢♢♢", E:E, "All"), 0)))/100, 
   IF(F78="☆", ((N7 * 100) / (COUNTIFS(F:F, "☆", E:E, E78) + COUNTIFS(F:F, "☆", E:E, "All") + IF(E78="All", COUNTIFS(F:F, "☆", E:E, E2), 0) - IF(E78="All", COUNTIFS(F:F, "☆", E:E, "All"), 0)))/100, 
   IF(F78="☆☆", ((N8 * 100) / (COUNTIFS(F:F, "☆☆", E:E, E78) + COUNTIFS(F:F, "☆☆", E:E, "All") + IF(E78="All", COUNTIFS(F:F, "☆☆", E:E, E2), 0) - IF(E78="All", COUNTIFS(F:F, "☆☆", E:E, "All"), 0)))/100, 
   IF(F78="☆☆☆", ((N9 * 100) / (COUNTIFS(F:F, "☆☆☆", E:E, E78) + COUNTIFS(F:F, "☆☆☆", E:E, "All") + IF(E78="All", COUNTIFS(F:F, "☆☆☆", E:E, E2), 0) - IF(E78="All", COUNTIFS(F:F, "☆☆☆", E:E, "All"), 0)))/100, 
   IF(F78="♛", ((N10 * 100) / (COUNTIFS(F:F, "♛", E:E, E78) + COUNTIFS(F:F, "♛", E:E, "All") + IF(E78="All", COUNTIFS(F:F, "♛", E:E, E2), 0) - IF(E78="All", COUNTIFS(F:F, "♛", E:E, "All"), 0)))/100, "")))))))
</f>
        <v>0.002</v>
      </c>
      <c r="J78" s="282"/>
      <c r="K78" s="330"/>
      <c r="L78" s="23"/>
      <c r="M78" s="23"/>
      <c r="N78" s="297"/>
    </row>
    <row r="79">
      <c r="A79" s="275" t="b">
        <f t="shared" si="1"/>
        <v>0</v>
      </c>
      <c r="B79" s="276">
        <v>0.0</v>
      </c>
      <c r="C79" s="277" t="s">
        <v>795</v>
      </c>
      <c r="D79" s="277" t="s">
        <v>748</v>
      </c>
      <c r="E79" s="277" t="s">
        <v>34</v>
      </c>
      <c r="F79" s="277" t="s">
        <v>47</v>
      </c>
      <c r="G79" s="279" t="str">
        <f t="shared" si="2"/>
        <v/>
      </c>
      <c r="H79" s="280">
        <f>IF(F79="♢♢", ((M4 * 100) / (COUNTIFS(F:F, "♢♢", E:E, E79) + COUNTIFS(F:F, "♢♢", E:E, "All") + IF(E79="All", COUNTIFS(F:F, "♢♢", E:E, E2), 0) - IF(E79="All", COUNTIFS(F:F, "♢♢", E:E, "All"), 0)))/100, 
   IF(F79="♢♢♢", ((M5 * 100) / (COUNTIFS(F:F, "♢♢♢", E:E, E79) + COUNTIFS(F:F, "♢♢♢", E:E, "All") + IF(E79="All", COUNTIFS(F:F, "♢♢♢", E:E, E2), 0) - IF(E79="All", COUNTIFS(F:F, "♢♢♢", E:E, "All"), 0)))/100, 
   IF(F79="♢♢♢♢", ((M6 * 100) / (COUNTIFS(F:F, "♢♢♢♢", E:E, E79) + COUNTIFS(F:F, "♢♢♢♢", E:E, "All") + IF(E79="All", COUNTIFS(F:F, "♢♢♢♢", E:E, E2), 0) - IF(E79="All", COUNTIFS(F:F, "♢♢♢♢", E:E, "All"), 0)))/100, 
   IF(F79="☆", ((M7 * 100) / (COUNTIFS(F:F, "☆", E:E, E79) + COUNTIFS(F:F, "☆", E:E, "All") + IF(E79="All", COUNTIFS(F:F, "☆", E:E, E2), 0) - IF(E79="All", COUNTIFS(F:F, "☆", E:E, "All"), 0)))/100, 
   IF(F79="☆☆", ((M8 * 100) / (COUNTIFS(F:F, "☆☆", E:E, E79) + COUNTIFS(F:F, "☆☆", E:E, "All") + IF(E79="All", COUNTIFS(F:F, "☆☆", E:E, E2), 0) - IF(E79="All", COUNTIFS(F:F, "☆☆", E:E, "All"), 0)))/100, 
   IF(F79="☆☆☆", ((M9 * 100) / (COUNTIFS(F:F, "☆☆☆", E:E, E79) + COUNTIFS(F:F, "☆☆☆", E:E, "All") + IF(E79="All", COUNTIFS(F:F, "☆☆☆", E:E, E2), 0) - IF(E79="All", COUNTIFS(F:F, "☆☆☆", E:E, "All"), 0)))/100, 
   IF(F79="♛", ((M10 * 100) / (COUNTIFS(F:F, "♛", E:E, E79) + COUNTIFS(F:F, "♛", E:E, "All") + IF(E79="All", COUNTIFS(F:F, "♛", E:E, E2), 0) - IF(E79="All", COUNTIFS(F:F, "♛", E:E, "All"), 0)))/100, "")))))))
</f>
        <v>0.0005</v>
      </c>
      <c r="I79" s="281">
        <f>IF(F79="♢♢", ((N4 * 100) / (COUNTIFS(F:F, "♢♢", E:E, E79) + COUNTIFS(F:F, "♢♢", E:E, "All") + IF(E79="All", COUNTIFS(F:F, "♢♢", E:E, E2), 0) - IF(E79="All", COUNTIFS(F:F, "♢♢", E:E, "All"), 0)))/100, 
   IF(F79="♢♢♢", ((N5 * 100) / (COUNTIFS(F:F, "♢♢♢", E:E, E79) + COUNTIFS(F:F, "♢♢♢", E:E, "All") + IF(E79="All", COUNTIFS(F:F, "♢♢♢", E:E, E2), 0) - IF(E79="All", COUNTIFS(F:F, "♢♢♢", E:E, "All"), 0)))/100, 
   IF(F79="♢♢♢♢", ((N6 * 100) / (COUNTIFS(F:F, "♢♢♢♢", E:E, E79) + COUNTIFS(F:F, "♢♢♢♢", E:E, "All") + IF(E79="All", COUNTIFS(F:F, "♢♢♢♢", E:E, E2), 0) - IF(E79="All", COUNTIFS(F:F, "♢♢♢♢", E:E, "All"), 0)))/100, 
   IF(F79="☆", ((N7 * 100) / (COUNTIFS(F:F, "☆", E:E, E79) + COUNTIFS(F:F, "☆", E:E, "All") + IF(E79="All", COUNTIFS(F:F, "☆", E:E, E2), 0) - IF(E79="All", COUNTIFS(F:F, "☆", E:E, "All"), 0)))/100, 
   IF(F79="☆☆", ((N8 * 100) / (COUNTIFS(F:F, "☆☆", E:E, E79) + COUNTIFS(F:F, "☆☆", E:E, "All") + IF(E79="All", COUNTIFS(F:F, "☆☆", E:E, E2), 0) - IF(E79="All", COUNTIFS(F:F, "☆☆", E:E, "All"), 0)))/100, 
   IF(F79="☆☆☆", ((N9 * 100) / (COUNTIFS(F:F, "☆☆☆", E:E, E79) + COUNTIFS(F:F, "☆☆☆", E:E, "All") + IF(E79="All", COUNTIFS(F:F, "☆☆☆", E:E, E2), 0) - IF(E79="All", COUNTIFS(F:F, "☆☆☆", E:E, "All"), 0)))/100, 
   IF(F79="♛", ((N10 * 100) / (COUNTIFS(F:F, "♛", E:E, E79) + COUNTIFS(F:F, "♛", E:E, "All") + IF(E79="All", COUNTIFS(F:F, "♛", E:E, E2), 0) - IF(E79="All", COUNTIFS(F:F, "♛", E:E, "All"), 0)))/100, "")))))))
</f>
        <v>0.002</v>
      </c>
      <c r="J79" s="282"/>
      <c r="K79" s="330"/>
      <c r="L79" s="23"/>
      <c r="M79" s="331" t="s">
        <v>600</v>
      </c>
      <c r="N79" s="252"/>
    </row>
    <row r="80">
      <c r="A80" s="275" t="b">
        <f t="shared" si="1"/>
        <v>0</v>
      </c>
      <c r="B80" s="276">
        <v>0.0</v>
      </c>
      <c r="C80" s="277" t="s">
        <v>796</v>
      </c>
      <c r="D80" s="277" t="s">
        <v>770</v>
      </c>
      <c r="E80" s="277" t="s">
        <v>34</v>
      </c>
      <c r="F80" s="277" t="s">
        <v>47</v>
      </c>
      <c r="G80" s="279" t="str">
        <f t="shared" si="2"/>
        <v/>
      </c>
      <c r="H80" s="280">
        <f>IF(F80="♢♢", ((M4 * 100) / (COUNTIFS(F:F, "♢♢", E:E, E80) + COUNTIFS(F:F, "♢♢", E:E, "All") + IF(E80="All", COUNTIFS(F:F, "♢♢", E:E, E2), 0) - IF(E80="All", COUNTIFS(F:F, "♢♢", E:E, "All"), 0)))/100, 
   IF(F80="♢♢♢", ((M5 * 100) / (COUNTIFS(F:F, "♢♢♢", E:E, E80) + COUNTIFS(F:F, "♢♢♢", E:E, "All") + IF(E80="All", COUNTIFS(F:F, "♢♢♢", E:E, E2), 0) - IF(E80="All", COUNTIFS(F:F, "♢♢♢", E:E, "All"), 0)))/100, 
   IF(F80="♢♢♢♢", ((M6 * 100) / (COUNTIFS(F:F, "♢♢♢♢", E:E, E80) + COUNTIFS(F:F, "♢♢♢♢", E:E, "All") + IF(E80="All", COUNTIFS(F:F, "♢♢♢♢", E:E, E2), 0) - IF(E80="All", COUNTIFS(F:F, "♢♢♢♢", E:E, "All"), 0)))/100, 
   IF(F80="☆", ((M7 * 100) / (COUNTIFS(F:F, "☆", E:E, E80) + COUNTIFS(F:F, "☆", E:E, "All") + IF(E80="All", COUNTIFS(F:F, "☆", E:E, E2), 0) - IF(E80="All", COUNTIFS(F:F, "☆", E:E, "All"), 0)))/100, 
   IF(F80="☆☆", ((M8 * 100) / (COUNTIFS(F:F, "☆☆", E:E, E80) + COUNTIFS(F:F, "☆☆", E:E, "All") + IF(E80="All", COUNTIFS(F:F, "☆☆", E:E, E2), 0) - IF(E80="All", COUNTIFS(F:F, "☆☆", E:E, "All"), 0)))/100, 
   IF(F80="☆☆☆", ((M9 * 100) / (COUNTIFS(F:F, "☆☆☆", E:E, E80) + COUNTIFS(F:F, "☆☆☆", E:E, "All") + IF(E80="All", COUNTIFS(F:F, "☆☆☆", E:E, E2), 0) - IF(E80="All", COUNTIFS(F:F, "☆☆☆", E:E, "All"), 0)))/100, 
   IF(F80="♛", ((M10 * 100) / (COUNTIFS(F:F, "♛", E:E, E80) + COUNTIFS(F:F, "♛", E:E, "All") + IF(E80="All", COUNTIFS(F:F, "♛", E:E, E2), 0) - IF(E80="All", COUNTIFS(F:F, "♛", E:E, "All"), 0)))/100, "")))))))
</f>
        <v>0.0005</v>
      </c>
      <c r="I80" s="281">
        <f>IF(F80="♢♢", ((N4 * 100) / (COUNTIFS(F:F, "♢♢", E:E, E80) + COUNTIFS(F:F, "♢♢", E:E, "All") + IF(E80="All", COUNTIFS(F:F, "♢♢", E:E, E2), 0) - IF(E80="All", COUNTIFS(F:F, "♢♢", E:E, "All"), 0)))/100, 
   IF(F80="♢♢♢", ((N5 * 100) / (COUNTIFS(F:F, "♢♢♢", E:E, E80) + COUNTIFS(F:F, "♢♢♢", E:E, "All") + IF(E80="All", COUNTIFS(F:F, "♢♢♢", E:E, E2), 0) - IF(E80="All", COUNTIFS(F:F, "♢♢♢", E:E, "All"), 0)))/100, 
   IF(F80="♢♢♢♢", ((N6 * 100) / (COUNTIFS(F:F, "♢♢♢♢", E:E, E80) + COUNTIFS(F:F, "♢♢♢♢", E:E, "All") + IF(E80="All", COUNTIFS(F:F, "♢♢♢♢", E:E, E2), 0) - IF(E80="All", COUNTIFS(F:F, "♢♢♢♢", E:E, "All"), 0)))/100, 
   IF(F80="☆", ((N7 * 100) / (COUNTIFS(F:F, "☆", E:E, E80) + COUNTIFS(F:F, "☆", E:E, "All") + IF(E80="All", COUNTIFS(F:F, "☆", E:E, E2), 0) - IF(E80="All", COUNTIFS(F:F, "☆", E:E, "All"), 0)))/100, 
   IF(F80="☆☆", ((N8 * 100) / (COUNTIFS(F:F, "☆☆", E:E, E80) + COUNTIFS(F:F, "☆☆", E:E, "All") + IF(E80="All", COUNTIFS(F:F, "☆☆", E:E, E2), 0) - IF(E80="All", COUNTIFS(F:F, "☆☆", E:E, "All"), 0)))/100, 
   IF(F80="☆☆☆", ((N9 * 100) / (COUNTIFS(F:F, "☆☆☆", E:E, E80) + COUNTIFS(F:F, "☆☆☆", E:E, "All") + IF(E80="All", COUNTIFS(F:F, "☆☆☆", E:E, E2), 0) - IF(E80="All", COUNTIFS(F:F, "☆☆☆", E:E, "All"), 0)))/100, 
   IF(F80="♛", ((N10 * 100) / (COUNTIFS(F:F, "♛", E:E, E80) + COUNTIFS(F:F, "♛", E:E, "All") + IF(E80="All", COUNTIFS(F:F, "♛", E:E, E2), 0) - IF(E80="All", COUNTIFS(F:F, "♛", E:E, "All"), 0)))/100, "")))))))
</f>
        <v>0.002</v>
      </c>
      <c r="J80" s="282"/>
      <c r="K80" s="330"/>
      <c r="L80" s="23"/>
      <c r="M80" s="330" t="s">
        <v>44</v>
      </c>
      <c r="N80" s="332">
        <f>COUNTIFS(F:F, "♢", E:E, "A1a")</f>
        <v>32</v>
      </c>
    </row>
    <row r="81">
      <c r="A81" s="275" t="b">
        <f t="shared" si="1"/>
        <v>0</v>
      </c>
      <c r="B81" s="276">
        <v>0.0</v>
      </c>
      <c r="C81" s="277" t="s">
        <v>797</v>
      </c>
      <c r="D81" s="277" t="s">
        <v>781</v>
      </c>
      <c r="E81" s="277" t="s">
        <v>34</v>
      </c>
      <c r="F81" s="277" t="s">
        <v>47</v>
      </c>
      <c r="G81" s="279" t="str">
        <f t="shared" si="2"/>
        <v/>
      </c>
      <c r="H81" s="280">
        <f>IF(F81="♢♢", ((M4 * 100) / (COUNTIFS(F:F, "♢♢", E:E, E81) + COUNTIFS(F:F, "♢♢", E:E, "All") + IF(E81="All", COUNTIFS(F:F, "♢♢", E:E, E2), 0) - IF(E81="All", COUNTIFS(F:F, "♢♢", E:E, "All"), 0)))/100, 
   IF(F81="♢♢♢", ((M5 * 100) / (COUNTIFS(F:F, "♢♢♢", E:E, E81) + COUNTIFS(F:F, "♢♢♢", E:E, "All") + IF(E81="All", COUNTIFS(F:F, "♢♢♢", E:E, E2), 0) - IF(E81="All", COUNTIFS(F:F, "♢♢♢", E:E, "All"), 0)))/100, 
   IF(F81="♢♢♢♢", ((M6 * 100) / (COUNTIFS(F:F, "♢♢♢♢", E:E, E81) + COUNTIFS(F:F, "♢♢♢♢", E:E, "All") + IF(E81="All", COUNTIFS(F:F, "♢♢♢♢", E:E, E2), 0) - IF(E81="All", COUNTIFS(F:F, "♢♢♢♢", E:E, "All"), 0)))/100, 
   IF(F81="☆", ((M7 * 100) / (COUNTIFS(F:F, "☆", E:E, E81) + COUNTIFS(F:F, "☆", E:E, "All") + IF(E81="All", COUNTIFS(F:F, "☆", E:E, E2), 0) - IF(E81="All", COUNTIFS(F:F, "☆", E:E, "All"), 0)))/100, 
   IF(F81="☆☆", ((M8 * 100) / (COUNTIFS(F:F, "☆☆", E:E, E81) + COUNTIFS(F:F, "☆☆", E:E, "All") + IF(E81="All", COUNTIFS(F:F, "☆☆", E:E, E2), 0) - IF(E81="All", COUNTIFS(F:F, "☆☆", E:E, "All"), 0)))/100, 
   IF(F81="☆☆☆", ((M9 * 100) / (COUNTIFS(F:F, "☆☆☆", E:E, E81) + COUNTIFS(F:F, "☆☆☆", E:E, "All") + IF(E81="All", COUNTIFS(F:F, "☆☆☆", E:E, E2), 0) - IF(E81="All", COUNTIFS(F:F, "☆☆☆", E:E, "All"), 0)))/100, 
   IF(F81="♛", ((M10 * 100) / (COUNTIFS(F:F, "♛", E:E, E81) + COUNTIFS(F:F, "♛", E:E, "All") + IF(E81="All", COUNTIFS(F:F, "♛", E:E, E2), 0) - IF(E81="All", COUNTIFS(F:F, "♛", E:E, "All"), 0)))/100, "")))))))
</f>
        <v>0.0005</v>
      </c>
      <c r="I81" s="281">
        <f>IF(F81="♢♢", ((N4 * 100) / (COUNTIFS(F:F, "♢♢", E:E, E81) + COUNTIFS(F:F, "♢♢", E:E, "All") + IF(E81="All", COUNTIFS(F:F, "♢♢", E:E, E2), 0) - IF(E81="All", COUNTIFS(F:F, "♢♢", E:E, "All"), 0)))/100, 
   IF(F81="♢♢♢", ((N5 * 100) / (COUNTIFS(F:F, "♢♢♢", E:E, E81) + COUNTIFS(F:F, "♢♢♢", E:E, "All") + IF(E81="All", COUNTIFS(F:F, "♢♢♢", E:E, E2), 0) - IF(E81="All", COUNTIFS(F:F, "♢♢♢", E:E, "All"), 0)))/100, 
   IF(F81="♢♢♢♢", ((N6 * 100) / (COUNTIFS(F:F, "♢♢♢♢", E:E, E81) + COUNTIFS(F:F, "♢♢♢♢", E:E, "All") + IF(E81="All", COUNTIFS(F:F, "♢♢♢♢", E:E, E2), 0) - IF(E81="All", COUNTIFS(F:F, "♢♢♢♢", E:E, "All"), 0)))/100, 
   IF(F81="☆", ((N7 * 100) / (COUNTIFS(F:F, "☆", E:E, E81) + COUNTIFS(F:F, "☆", E:E, "All") + IF(E81="All", COUNTIFS(F:F, "☆", E:E, E2), 0) - IF(E81="All", COUNTIFS(F:F, "☆", E:E, "All"), 0)))/100, 
   IF(F81="☆☆", ((N8 * 100) / (COUNTIFS(F:F, "☆☆", E:E, E81) + COUNTIFS(F:F, "☆☆", E:E, "All") + IF(E81="All", COUNTIFS(F:F, "☆☆", E:E, E2), 0) - IF(E81="All", COUNTIFS(F:F, "☆☆", E:E, "All"), 0)))/100, 
   IF(F81="☆☆☆", ((N9 * 100) / (COUNTIFS(F:F, "☆☆☆", E:E, E81) + COUNTIFS(F:F, "☆☆☆", E:E, "All") + IF(E81="All", COUNTIFS(F:F, "☆☆☆", E:E, E2), 0) - IF(E81="All", COUNTIFS(F:F, "☆☆☆", E:E, "All"), 0)))/100, 
   IF(F81="♛", ((N10 * 100) / (COUNTIFS(F:F, "♛", E:E, E81) + COUNTIFS(F:F, "♛", E:E, "All") + IF(E81="All", COUNTIFS(F:F, "♛", E:E, E2), 0) - IF(E81="All", COUNTIFS(F:F, "♛", E:E, "All"), 0)))/100, "")))))))
</f>
        <v>0.002</v>
      </c>
      <c r="J81" s="282"/>
      <c r="K81" s="330"/>
      <c r="L81" s="23"/>
      <c r="M81" s="330" t="s">
        <v>46</v>
      </c>
      <c r="N81" s="332">
        <f>COUNTIFS(F:F, "♢♢", E:E, "A1a")</f>
        <v>23</v>
      </c>
    </row>
    <row r="82">
      <c r="A82" s="275" t="b">
        <f t="shared" si="1"/>
        <v>0</v>
      </c>
      <c r="B82" s="276">
        <v>0.0</v>
      </c>
      <c r="C82" s="277" t="s">
        <v>798</v>
      </c>
      <c r="D82" s="277" t="s">
        <v>783</v>
      </c>
      <c r="E82" s="277" t="s">
        <v>34</v>
      </c>
      <c r="F82" s="277" t="s">
        <v>47</v>
      </c>
      <c r="G82" s="279" t="str">
        <f t="shared" si="2"/>
        <v/>
      </c>
      <c r="H82" s="280">
        <f>IF(F82="♢♢", ((M4 * 100) / (COUNTIFS(F:F, "♢♢", E:E, E82) + COUNTIFS(F:F, "♢♢", E:E, "All") + IF(E82="All", COUNTIFS(F:F, "♢♢", E:E, E2), 0) - IF(E82="All", COUNTIFS(F:F, "♢♢", E:E, "All"), 0)))/100, 
   IF(F82="♢♢♢", ((M5 * 100) / (COUNTIFS(F:F, "♢♢♢", E:E, E82) + COUNTIFS(F:F, "♢♢♢", E:E, "All") + IF(E82="All", COUNTIFS(F:F, "♢♢♢", E:E, E2), 0) - IF(E82="All", COUNTIFS(F:F, "♢♢♢", E:E, "All"), 0)))/100, 
   IF(F82="♢♢♢♢", ((M6 * 100) / (COUNTIFS(F:F, "♢♢♢♢", E:E, E82) + COUNTIFS(F:F, "♢♢♢♢", E:E, "All") + IF(E82="All", COUNTIFS(F:F, "♢♢♢♢", E:E, E2), 0) - IF(E82="All", COUNTIFS(F:F, "♢♢♢♢", E:E, "All"), 0)))/100, 
   IF(F82="☆", ((M7 * 100) / (COUNTIFS(F:F, "☆", E:E, E82) + COUNTIFS(F:F, "☆", E:E, "All") + IF(E82="All", COUNTIFS(F:F, "☆", E:E, E2), 0) - IF(E82="All", COUNTIFS(F:F, "☆", E:E, "All"), 0)))/100, 
   IF(F82="☆☆", ((M8 * 100) / (COUNTIFS(F:F, "☆☆", E:E, E82) + COUNTIFS(F:F, "☆☆", E:E, "All") + IF(E82="All", COUNTIFS(F:F, "☆☆", E:E, E2), 0) - IF(E82="All", COUNTIFS(F:F, "☆☆", E:E, "All"), 0)))/100, 
   IF(F82="☆☆☆", ((M9 * 100) / (COUNTIFS(F:F, "☆☆☆", E:E, E82) + COUNTIFS(F:F, "☆☆☆", E:E, "All") + IF(E82="All", COUNTIFS(F:F, "☆☆☆", E:E, E2), 0) - IF(E82="All", COUNTIFS(F:F, "☆☆☆", E:E, "All"), 0)))/100, 
   IF(F82="♛", ((M10 * 100) / (COUNTIFS(F:F, "♛", E:E, E82) + COUNTIFS(F:F, "♛", E:E, "All") + IF(E82="All", COUNTIFS(F:F, "♛", E:E, E2), 0) - IF(E82="All", COUNTIFS(F:F, "♛", E:E, "All"), 0)))/100, "")))))))
</f>
        <v>0.0005</v>
      </c>
      <c r="I82" s="281">
        <f>IF(F82="♢♢", ((N4 * 100) / (COUNTIFS(F:F, "♢♢", E:E, E82) + COUNTIFS(F:F, "♢♢", E:E, "All") + IF(E82="All", COUNTIFS(F:F, "♢♢", E:E, E2), 0) - IF(E82="All", COUNTIFS(F:F, "♢♢", E:E, "All"), 0)))/100, 
   IF(F82="♢♢♢", ((N5 * 100) / (COUNTIFS(F:F, "♢♢♢", E:E, E82) + COUNTIFS(F:F, "♢♢♢", E:E, "All") + IF(E82="All", COUNTIFS(F:F, "♢♢♢", E:E, E2), 0) - IF(E82="All", COUNTIFS(F:F, "♢♢♢", E:E, "All"), 0)))/100, 
   IF(F82="♢♢♢♢", ((N6 * 100) / (COUNTIFS(F:F, "♢♢♢♢", E:E, E82) + COUNTIFS(F:F, "♢♢♢♢", E:E, "All") + IF(E82="All", COUNTIFS(F:F, "♢♢♢♢", E:E, E2), 0) - IF(E82="All", COUNTIFS(F:F, "♢♢♢♢", E:E, "All"), 0)))/100, 
   IF(F82="☆", ((N7 * 100) / (COUNTIFS(F:F, "☆", E:E, E82) + COUNTIFS(F:F, "☆", E:E, "All") + IF(E82="All", COUNTIFS(F:F, "☆", E:E, E2), 0) - IF(E82="All", COUNTIFS(F:F, "☆", E:E, "All"), 0)))/100, 
   IF(F82="☆☆", ((N8 * 100) / (COUNTIFS(F:F, "☆☆", E:E, E82) + COUNTIFS(F:F, "☆☆", E:E, "All") + IF(E82="All", COUNTIFS(F:F, "☆☆", E:E, E2), 0) - IF(E82="All", COUNTIFS(F:F, "☆☆", E:E, "All"), 0)))/100, 
   IF(F82="☆☆☆", ((N9 * 100) / (COUNTIFS(F:F, "☆☆☆", E:E, E82) + COUNTIFS(F:F, "☆☆☆", E:E, "All") + IF(E82="All", COUNTIFS(F:F, "☆☆☆", E:E, E2), 0) - IF(E82="All", COUNTIFS(F:F, "☆☆☆", E:E, "All"), 0)))/100, 
   IF(F82="♛", ((N10 * 100) / (COUNTIFS(F:F, "♛", E:E, E82) + COUNTIFS(F:F, "♛", E:E, "All") + IF(E82="All", COUNTIFS(F:F, "♛", E:E, E2), 0) - IF(E82="All", COUNTIFS(F:F, "♛", E:E, "All"), 0)))/100, "")))))))
</f>
        <v>0.002</v>
      </c>
      <c r="J82" s="282"/>
      <c r="K82" s="330"/>
      <c r="L82" s="23"/>
      <c r="M82" s="330" t="s">
        <v>48</v>
      </c>
      <c r="N82" s="332">
        <f>COUNTIFS(F:F, "♢♢♢", E:E, "A1a")</f>
        <v>8</v>
      </c>
    </row>
    <row r="83">
      <c r="A83" s="275" t="b">
        <f t="shared" si="1"/>
        <v>0</v>
      </c>
      <c r="B83" s="276">
        <v>0.0</v>
      </c>
      <c r="C83" s="277" t="s">
        <v>799</v>
      </c>
      <c r="D83" s="277" t="s">
        <v>785</v>
      </c>
      <c r="E83" s="277" t="s">
        <v>34</v>
      </c>
      <c r="F83" s="277" t="s">
        <v>47</v>
      </c>
      <c r="G83" s="279" t="str">
        <f t="shared" si="2"/>
        <v/>
      </c>
      <c r="H83" s="280">
        <f>IF(F83="♢♢", ((M4 * 100) / (COUNTIFS(F:F, "♢♢", E:E, E83) + COUNTIFS(F:F, "♢♢", E:E, "All") + IF(E83="All", COUNTIFS(F:F, "♢♢", E:E, E2), 0) - IF(E83="All", COUNTIFS(F:F, "♢♢", E:E, "All"), 0)))/100, 
   IF(F83="♢♢♢", ((M5 * 100) / (COUNTIFS(F:F, "♢♢♢", E:E, E83) + COUNTIFS(F:F, "♢♢♢", E:E, "All") + IF(E83="All", COUNTIFS(F:F, "♢♢♢", E:E, E2), 0) - IF(E83="All", COUNTIFS(F:F, "♢♢♢", E:E, "All"), 0)))/100, 
   IF(F83="♢♢♢♢", ((M6 * 100) / (COUNTIFS(F:F, "♢♢♢♢", E:E, E83) + COUNTIFS(F:F, "♢♢♢♢", E:E, "All") + IF(E83="All", COUNTIFS(F:F, "♢♢♢♢", E:E, E2), 0) - IF(E83="All", COUNTIFS(F:F, "♢♢♢♢", E:E, "All"), 0)))/100, 
   IF(F83="☆", ((M7 * 100) / (COUNTIFS(F:F, "☆", E:E, E83) + COUNTIFS(F:F, "☆", E:E, "All") + IF(E83="All", COUNTIFS(F:F, "☆", E:E, E2), 0) - IF(E83="All", COUNTIFS(F:F, "☆", E:E, "All"), 0)))/100, 
   IF(F83="☆☆", ((M8 * 100) / (COUNTIFS(F:F, "☆☆", E:E, E83) + COUNTIFS(F:F, "☆☆", E:E, "All") + IF(E83="All", COUNTIFS(F:F, "☆☆", E:E, E2), 0) - IF(E83="All", COUNTIFS(F:F, "☆☆", E:E, "All"), 0)))/100, 
   IF(F83="☆☆☆", ((M9 * 100) / (COUNTIFS(F:F, "☆☆☆", E:E, E83) + COUNTIFS(F:F, "☆☆☆", E:E, "All") + IF(E83="All", COUNTIFS(F:F, "☆☆☆", E:E, E2), 0) - IF(E83="All", COUNTIFS(F:F, "☆☆☆", E:E, "All"), 0)))/100, 
   IF(F83="♛", ((M10 * 100) / (COUNTIFS(F:F, "♛", E:E, E83) + COUNTIFS(F:F, "♛", E:E, "All") + IF(E83="All", COUNTIFS(F:F, "♛", E:E, E2), 0) - IF(E83="All", COUNTIFS(F:F, "♛", E:E, "All"), 0)))/100, "")))))))
</f>
        <v>0.0005</v>
      </c>
      <c r="I83" s="281">
        <f>IF(F83="♢♢", ((N4 * 100) / (COUNTIFS(F:F, "♢♢", E:E, E83) + COUNTIFS(F:F, "♢♢", E:E, "All") + IF(E83="All", COUNTIFS(F:F, "♢♢", E:E, E2), 0) - IF(E83="All", COUNTIFS(F:F, "♢♢", E:E, "All"), 0)))/100, 
   IF(F83="♢♢♢", ((N5 * 100) / (COUNTIFS(F:F, "♢♢♢", E:E, E83) + COUNTIFS(F:F, "♢♢♢", E:E, "All") + IF(E83="All", COUNTIFS(F:F, "♢♢♢", E:E, E2), 0) - IF(E83="All", COUNTIFS(F:F, "♢♢♢", E:E, "All"), 0)))/100, 
   IF(F83="♢♢♢♢", ((N6 * 100) / (COUNTIFS(F:F, "♢♢♢♢", E:E, E83) + COUNTIFS(F:F, "♢♢♢♢", E:E, "All") + IF(E83="All", COUNTIFS(F:F, "♢♢♢♢", E:E, E2), 0) - IF(E83="All", COUNTIFS(F:F, "♢♢♢♢", E:E, "All"), 0)))/100, 
   IF(F83="☆", ((N7 * 100) / (COUNTIFS(F:F, "☆", E:E, E83) + COUNTIFS(F:F, "☆", E:E, "All") + IF(E83="All", COUNTIFS(F:F, "☆", E:E, E2), 0) - IF(E83="All", COUNTIFS(F:F, "☆", E:E, "All"), 0)))/100, 
   IF(F83="☆☆", ((N8 * 100) / (COUNTIFS(F:F, "☆☆", E:E, E83) + COUNTIFS(F:F, "☆☆", E:E, "All") + IF(E83="All", COUNTIFS(F:F, "☆☆", E:E, E2), 0) - IF(E83="All", COUNTIFS(F:F, "☆☆", E:E, "All"), 0)))/100, 
   IF(F83="☆☆☆", ((N9 * 100) / (COUNTIFS(F:F, "☆☆☆", E:E, E83) + COUNTIFS(F:F, "☆☆☆", E:E, "All") + IF(E83="All", COUNTIFS(F:F, "☆☆☆", E:E, E2), 0) - IF(E83="All", COUNTIFS(F:F, "☆☆☆", E:E, "All"), 0)))/100, 
   IF(F83="♛", ((N10 * 100) / (COUNTIFS(F:F, "♛", E:E, E83) + COUNTIFS(F:F, "♛", E:E, "All") + IF(E83="All", COUNTIFS(F:F, "♛", E:E, E2), 0) - IF(E83="All", COUNTIFS(F:F, "♛", E:E, "All"), 0)))/100, "")))))))
</f>
        <v>0.002</v>
      </c>
      <c r="J83" s="282"/>
      <c r="K83" s="330"/>
      <c r="L83" s="23"/>
      <c r="M83" s="330" t="s">
        <v>51</v>
      </c>
      <c r="N83" s="332">
        <f>COUNTIFS(F:F, "♢♢♢♢", E:E, "A1a")</f>
        <v>5</v>
      </c>
    </row>
    <row r="84">
      <c r="A84" s="275" t="b">
        <f t="shared" si="1"/>
        <v>0</v>
      </c>
      <c r="B84" s="276">
        <v>0.0</v>
      </c>
      <c r="C84" s="277" t="s">
        <v>800</v>
      </c>
      <c r="D84" s="277" t="s">
        <v>724</v>
      </c>
      <c r="E84" s="277" t="s">
        <v>34</v>
      </c>
      <c r="F84" s="277" t="s">
        <v>47</v>
      </c>
      <c r="G84" s="279" t="str">
        <f t="shared" si="2"/>
        <v/>
      </c>
      <c r="H84" s="280">
        <f>IF(F84="♢♢", ((M4 * 100) / (COUNTIFS(F:F, "♢♢", E:E, E84) + COUNTIFS(F:F, "♢♢", E:E, "All") + IF(E84="All", COUNTIFS(F:F, "♢♢", E:E, E2), 0) - IF(E84="All", COUNTIFS(F:F, "♢♢", E:E, "All"), 0)))/100, 
   IF(F84="♢♢♢", ((M5 * 100) / (COUNTIFS(F:F, "♢♢♢", E:E, E84) + COUNTIFS(F:F, "♢♢♢", E:E, "All") + IF(E84="All", COUNTIFS(F:F, "♢♢♢", E:E, E2), 0) - IF(E84="All", COUNTIFS(F:F, "♢♢♢", E:E, "All"), 0)))/100, 
   IF(F84="♢♢♢♢", ((M6 * 100) / (COUNTIFS(F:F, "♢♢♢♢", E:E, E84) + COUNTIFS(F:F, "♢♢♢♢", E:E, "All") + IF(E84="All", COUNTIFS(F:F, "♢♢♢♢", E:E, E2), 0) - IF(E84="All", COUNTIFS(F:F, "♢♢♢♢", E:E, "All"), 0)))/100, 
   IF(F84="☆", ((M7 * 100) / (COUNTIFS(F:F, "☆", E:E, E84) + COUNTIFS(F:F, "☆", E:E, "All") + IF(E84="All", COUNTIFS(F:F, "☆", E:E, E2), 0) - IF(E84="All", COUNTIFS(F:F, "☆", E:E, "All"), 0)))/100, 
   IF(F84="☆☆", ((M8 * 100) / (COUNTIFS(F:F, "☆☆", E:E, E84) + COUNTIFS(F:F, "☆☆", E:E, "All") + IF(E84="All", COUNTIFS(F:F, "☆☆", E:E, E2), 0) - IF(E84="All", COUNTIFS(F:F, "☆☆", E:E, "All"), 0)))/100, 
   IF(F84="☆☆☆", ((M9 * 100) / (COUNTIFS(F:F, "☆☆☆", E:E, E84) + COUNTIFS(F:F, "☆☆☆", E:E, "All") + IF(E84="All", COUNTIFS(F:F, "☆☆☆", E:E, E2), 0) - IF(E84="All", COUNTIFS(F:F, "☆☆☆", E:E, "All"), 0)))/100, 
   IF(F84="♛", ((M10 * 100) / (COUNTIFS(F:F, "♛", E:E, E84) + COUNTIFS(F:F, "♛", E:E, "All") + IF(E84="All", COUNTIFS(F:F, "♛", E:E, E2), 0) - IF(E84="All", COUNTIFS(F:F, "♛", E:E, "All"), 0)))/100, "")))))))
</f>
        <v>0.0005</v>
      </c>
      <c r="I84" s="281">
        <f>IF(F84="♢♢", ((N4 * 100) / (COUNTIFS(F:F, "♢♢", E:E, E84) + COUNTIFS(F:F, "♢♢", E:E, "All") + IF(E84="All", COUNTIFS(F:F, "♢♢", E:E, E2), 0) - IF(E84="All", COUNTIFS(F:F, "♢♢", E:E, "All"), 0)))/100, 
   IF(F84="♢♢♢", ((N5 * 100) / (COUNTIFS(F:F, "♢♢♢", E:E, E84) + COUNTIFS(F:F, "♢♢♢", E:E, "All") + IF(E84="All", COUNTIFS(F:F, "♢♢♢", E:E, E2), 0) - IF(E84="All", COUNTIFS(F:F, "♢♢♢", E:E, "All"), 0)))/100, 
   IF(F84="♢♢♢♢", ((N6 * 100) / (COUNTIFS(F:F, "♢♢♢♢", E:E, E84) + COUNTIFS(F:F, "♢♢♢♢", E:E, "All") + IF(E84="All", COUNTIFS(F:F, "♢♢♢♢", E:E, E2), 0) - IF(E84="All", COUNTIFS(F:F, "♢♢♢♢", E:E, "All"), 0)))/100, 
   IF(F84="☆", ((N7 * 100) / (COUNTIFS(F:F, "☆", E:E, E84) + COUNTIFS(F:F, "☆", E:E, "All") + IF(E84="All", COUNTIFS(F:F, "☆", E:E, E2), 0) - IF(E84="All", COUNTIFS(F:F, "☆", E:E, "All"), 0)))/100, 
   IF(F84="☆☆", ((N8 * 100) / (COUNTIFS(F:F, "☆☆", E:E, E84) + COUNTIFS(F:F, "☆☆", E:E, "All") + IF(E84="All", COUNTIFS(F:F, "☆☆", E:E, E2), 0) - IF(E84="All", COUNTIFS(F:F, "☆☆", E:E, "All"), 0)))/100, 
   IF(F84="☆☆☆", ((N9 * 100) / (COUNTIFS(F:F, "☆☆☆", E:E, E84) + COUNTIFS(F:F, "☆☆☆", E:E, "All") + IF(E84="All", COUNTIFS(F:F, "☆☆☆", E:E, E2), 0) - IF(E84="All", COUNTIFS(F:F, "☆☆☆", E:E, "All"), 0)))/100, 
   IF(F84="♛", ((N10 * 100) / (COUNTIFS(F:F, "♛", E:E, E84) + COUNTIFS(F:F, "♛", E:E, "All") + IF(E84="All", COUNTIFS(F:F, "♛", E:E, E2), 0) - IF(E84="All", COUNTIFS(F:F, "♛", E:E, "All"), 0)))/100, "")))))))
</f>
        <v>0.002</v>
      </c>
      <c r="J84" s="282"/>
      <c r="K84" s="331" t="s">
        <v>641</v>
      </c>
      <c r="L84" s="252"/>
      <c r="M84" s="330" t="s">
        <v>45</v>
      </c>
      <c r="N84" s="332">
        <f>COUNTIFS(F:F, "☆", E:E, "A1a")</f>
        <v>6</v>
      </c>
    </row>
    <row r="85">
      <c r="A85" s="275" t="b">
        <f t="shared" si="1"/>
        <v>0</v>
      </c>
      <c r="B85" s="276">
        <v>0.0</v>
      </c>
      <c r="C85" s="277" t="s">
        <v>801</v>
      </c>
      <c r="D85" s="277" t="s">
        <v>748</v>
      </c>
      <c r="E85" s="277" t="s">
        <v>34</v>
      </c>
      <c r="F85" s="277" t="s">
        <v>47</v>
      </c>
      <c r="G85" s="279" t="str">
        <f t="shared" si="2"/>
        <v/>
      </c>
      <c r="H85" s="280">
        <f>IF(F85="♢♢", ((M4 * 100) / (COUNTIFS(F:F, "♢♢", E:E, E85) + COUNTIFS(F:F, "♢♢", E:E, "All") + IF(E85="All", COUNTIFS(F:F, "♢♢", E:E, E2), 0) - IF(E85="All", COUNTIFS(F:F, "♢♢", E:E, "All"), 0)))/100, 
   IF(F85="♢♢♢", ((M5 * 100) / (COUNTIFS(F:F, "♢♢♢", E:E, E85) + COUNTIFS(F:F, "♢♢♢", E:E, "All") + IF(E85="All", COUNTIFS(F:F, "♢♢♢", E:E, E2), 0) - IF(E85="All", COUNTIFS(F:F, "♢♢♢", E:E, "All"), 0)))/100, 
   IF(F85="♢♢♢♢", ((M6 * 100) / (COUNTIFS(F:F, "♢♢♢♢", E:E, E85) + COUNTIFS(F:F, "♢♢♢♢", E:E, "All") + IF(E85="All", COUNTIFS(F:F, "♢♢♢♢", E:E, E2), 0) - IF(E85="All", COUNTIFS(F:F, "♢♢♢♢", E:E, "All"), 0)))/100, 
   IF(F85="☆", ((M7 * 100) / (COUNTIFS(F:F, "☆", E:E, E85) + COUNTIFS(F:F, "☆", E:E, "All") + IF(E85="All", COUNTIFS(F:F, "☆", E:E, E2), 0) - IF(E85="All", COUNTIFS(F:F, "☆", E:E, "All"), 0)))/100, 
   IF(F85="☆☆", ((M8 * 100) / (COUNTIFS(F:F, "☆☆", E:E, E85) + COUNTIFS(F:F, "☆☆", E:E, "All") + IF(E85="All", COUNTIFS(F:F, "☆☆", E:E, E2), 0) - IF(E85="All", COUNTIFS(F:F, "☆☆", E:E, "All"), 0)))/100, 
   IF(F85="☆☆☆", ((M9 * 100) / (COUNTIFS(F:F, "☆☆☆", E:E, E85) + COUNTIFS(F:F, "☆☆☆", E:E, "All") + IF(E85="All", COUNTIFS(F:F, "☆☆☆", E:E, E2), 0) - IF(E85="All", COUNTIFS(F:F, "☆☆☆", E:E, "All"), 0)))/100, 
   IF(F85="♛", ((M10 * 100) / (COUNTIFS(F:F, "♛", E:E, E85) + COUNTIFS(F:F, "♛", E:E, "All") + IF(E85="All", COUNTIFS(F:F, "♛", E:E, E2), 0) - IF(E85="All", COUNTIFS(F:F, "♛", E:E, "All"), 0)))/100, "")))))))
</f>
        <v>0.0005</v>
      </c>
      <c r="I85" s="281">
        <f>IF(F85="♢♢", ((N4 * 100) / (COUNTIFS(F:F, "♢♢", E:E, E85) + COUNTIFS(F:F, "♢♢", E:E, "All") + IF(E85="All", COUNTIFS(F:F, "♢♢", E:E, E2), 0) - IF(E85="All", COUNTIFS(F:F, "♢♢", E:E, "All"), 0)))/100, 
   IF(F85="♢♢♢", ((N5 * 100) / (COUNTIFS(F:F, "♢♢♢", E:E, E85) + COUNTIFS(F:F, "♢♢♢", E:E, "All") + IF(E85="All", COUNTIFS(F:F, "♢♢♢", E:E, E2), 0) - IF(E85="All", COUNTIFS(F:F, "♢♢♢", E:E, "All"), 0)))/100, 
   IF(F85="♢♢♢♢", ((N6 * 100) / (COUNTIFS(F:F, "♢♢♢♢", E:E, E85) + COUNTIFS(F:F, "♢♢♢♢", E:E, "All") + IF(E85="All", COUNTIFS(F:F, "♢♢♢♢", E:E, E2), 0) - IF(E85="All", COUNTIFS(F:F, "♢♢♢♢", E:E, "All"), 0)))/100, 
   IF(F85="☆", ((N7 * 100) / (COUNTIFS(F:F, "☆", E:E, E85) + COUNTIFS(F:F, "☆", E:E, "All") + IF(E85="All", COUNTIFS(F:F, "☆", E:E, E2), 0) - IF(E85="All", COUNTIFS(F:F, "☆", E:E, "All"), 0)))/100, 
   IF(F85="☆☆", ((N8 * 100) / (COUNTIFS(F:F, "☆☆", E:E, E85) + COUNTIFS(F:F, "☆☆", E:E, "All") + IF(E85="All", COUNTIFS(F:F, "☆☆", E:E, E2), 0) - IF(E85="All", COUNTIFS(F:F, "☆☆", E:E, "All"), 0)))/100, 
   IF(F85="☆☆☆", ((N9 * 100) / (COUNTIFS(F:F, "☆☆☆", E:E, E85) + COUNTIFS(F:F, "☆☆☆", E:E, "All") + IF(E85="All", COUNTIFS(F:F, "☆☆☆", E:E, E2), 0) - IF(E85="All", COUNTIFS(F:F, "☆☆☆", E:E, "All"), 0)))/100, 
   IF(F85="♛", ((N10 * 100) / (COUNTIFS(F:F, "♛", E:E, E85) + COUNTIFS(F:F, "♛", E:E, "All") + IF(E85="All", COUNTIFS(F:F, "♛", E:E, E2), 0) - IF(E85="All", COUNTIFS(F:F, "♛", E:E, "All"), 0)))/100, "")))))))
</f>
        <v>0.002</v>
      </c>
      <c r="J85" s="282"/>
      <c r="K85" s="333">
        <v>45660.0</v>
      </c>
      <c r="L85" s="334">
        <f>SUMIFS(G:G, E:E, "A1a") + SUMIFS(G:G, E:E, "All")</f>
        <v>1</v>
      </c>
      <c r="M85" s="330" t="s">
        <v>47</v>
      </c>
      <c r="N85" s="332">
        <f>COUNTIFS(F:F, "☆☆", E:E, "A1a")</f>
        <v>10</v>
      </c>
    </row>
    <row r="86">
      <c r="A86" s="275" t="b">
        <f t="shared" si="1"/>
        <v>0</v>
      </c>
      <c r="B86" s="276">
        <v>0.0</v>
      </c>
      <c r="C86" s="277" t="s">
        <v>802</v>
      </c>
      <c r="D86" s="277" t="s">
        <v>675</v>
      </c>
      <c r="E86" s="277" t="s">
        <v>34</v>
      </c>
      <c r="F86" s="277" t="s">
        <v>49</v>
      </c>
      <c r="G86" s="279" t="str">
        <f t="shared" si="2"/>
        <v/>
      </c>
      <c r="H86" s="280">
        <f>IF(F86="♢♢", ((M4 * 100) / (COUNTIFS(F:F, "♢♢", E:E, E86) + COUNTIFS(F:F, "♢♢", E:E, "All") + IF(E86="All", COUNTIFS(F:F, "♢♢", E:E, E2), 0) - IF(E86="All", COUNTIFS(F:F, "♢♢", E:E, "All"), 0)))/100, 
   IF(F86="♢♢♢", ((M5 * 100) / (COUNTIFS(F:F, "♢♢♢", E:E, E86) + COUNTIFS(F:F, "♢♢♢", E:E, "All") + IF(E86="All", COUNTIFS(F:F, "♢♢♢", E:E, E2), 0) - IF(E86="All", COUNTIFS(F:F, "♢♢♢", E:E, "All"), 0)))/100, 
   IF(F86="♢♢♢♢", ((M6 * 100) / (COUNTIFS(F:F, "♢♢♢♢", E:E, E86) + COUNTIFS(F:F, "♢♢♢♢", E:E, "All") + IF(E86="All", COUNTIFS(F:F, "♢♢♢♢", E:E, E2), 0) - IF(E86="All", COUNTIFS(F:F, "♢♢♢♢", E:E, "All"), 0)))/100, 
   IF(F86="☆", ((M7 * 100) / (COUNTIFS(F:F, "☆", E:E, E86) + COUNTIFS(F:F, "☆", E:E, "All") + IF(E86="All", COUNTIFS(F:F, "☆", E:E, E2), 0) - IF(E86="All", COUNTIFS(F:F, "☆", E:E, "All"), 0)))/100, 
   IF(F86="☆☆", ((M8 * 100) / (COUNTIFS(F:F, "☆☆", E:E, E86) + COUNTIFS(F:F, "☆☆", E:E, "All") + IF(E86="All", COUNTIFS(F:F, "☆☆", E:E, E2), 0) - IF(E86="All", COUNTIFS(F:F, "☆☆", E:E, "All"), 0)))/100, 
   IF(F86="☆☆☆", ((M9 * 100) / (COUNTIFS(F:F, "☆☆☆", E:E, E86) + COUNTIFS(F:F, "☆☆☆", E:E, "All") + IF(E86="All", COUNTIFS(F:F, "☆☆☆", E:E, E2), 0) - IF(E86="All", COUNTIFS(F:F, "☆☆☆", E:E, "All"), 0)))/100, 
   IF(F86="♛", ((M10 * 100) / (COUNTIFS(F:F, "♛", E:E, E86) + COUNTIFS(F:F, "♛", E:E, "All") + IF(E86="All", COUNTIFS(F:F, "♛", E:E, E2), 0) - IF(E86="All", COUNTIFS(F:F, "♛", E:E, "All"), 0)))/100, "")))))))
</f>
        <v>0.00222</v>
      </c>
      <c r="I86" s="281">
        <f>IF(F86="♢♢", ((N4 * 100) / (COUNTIFS(F:F, "♢♢", E:E, E86) + COUNTIFS(F:F, "♢♢", E:E, "All") + IF(E86="All", COUNTIFS(F:F, "♢♢", E:E, E2), 0) - IF(E86="All", COUNTIFS(F:F, "♢♢", E:E, "All"), 0)))/100, 
   IF(F86="♢♢♢", ((N5 * 100) / (COUNTIFS(F:F, "♢♢♢", E:E, E86) + COUNTIFS(F:F, "♢♢♢", E:E, "All") + IF(E86="All", COUNTIFS(F:F, "♢♢♢", E:E, E2), 0) - IF(E86="All", COUNTIFS(F:F, "♢♢♢", E:E, "All"), 0)))/100, 
   IF(F86="♢♢♢♢", ((N6 * 100) / (COUNTIFS(F:F, "♢♢♢♢", E:E, E86) + COUNTIFS(F:F, "♢♢♢♢", E:E, "All") + IF(E86="All", COUNTIFS(F:F, "♢♢♢♢", E:E, E2), 0) - IF(E86="All", COUNTIFS(F:F, "♢♢♢♢", E:E, "All"), 0)))/100, 
   IF(F86="☆", ((N7 * 100) / (COUNTIFS(F:F, "☆", E:E, E86) + COUNTIFS(F:F, "☆", E:E, "All") + IF(E86="All", COUNTIFS(F:F, "☆", E:E, E2), 0) - IF(E86="All", COUNTIFS(F:F, "☆", E:E, "All"), 0)))/100, 
   IF(F86="☆☆", ((N8 * 100) / (COUNTIFS(F:F, "☆☆", E:E, E86) + COUNTIFS(F:F, "☆☆", E:E, "All") + IF(E86="All", COUNTIFS(F:F, "☆☆", E:E, E2), 0) - IF(E86="All", COUNTIFS(F:F, "☆☆", E:E, "All"), 0)))/100, 
   IF(F86="☆☆☆", ((N9 * 100) / (COUNTIFS(F:F, "☆☆☆", E:E, E86) + COUNTIFS(F:F, "☆☆☆", E:E, "All") + IF(E86="All", COUNTIFS(F:F, "☆☆☆", E:E, E2), 0) - IF(E86="All", COUNTIFS(F:F, "☆☆☆", E:E, "All"), 0)))/100, 
   IF(F86="♛", ((N10 * 100) / (COUNTIFS(F:F, "♛", E:E, E86) + COUNTIFS(F:F, "♛", E:E, "All") + IF(E86="All", COUNTIFS(F:F, "♛", E:E, E2), 0) - IF(E86="All", COUNTIFS(F:F, "♛", E:E, "All"), 0)))/100, "")))))))
</f>
        <v>0.00888</v>
      </c>
      <c r="J86" s="282"/>
      <c r="K86" s="330">
        <v>4.0</v>
      </c>
      <c r="L86" s="334">
        <f>SUMIFS(H:H, E:E, "A1a") + SUMIFS(H:H, E:E, "All")</f>
        <v>1</v>
      </c>
      <c r="M86" s="330" t="s">
        <v>49</v>
      </c>
      <c r="N86" s="332">
        <f>COUNTIFS(F:F, "☆☆☆", E:E, "A1a")</f>
        <v>1</v>
      </c>
    </row>
    <row r="87">
      <c r="A87" s="275" t="b">
        <f t="shared" si="1"/>
        <v>0</v>
      </c>
      <c r="B87" s="276">
        <v>0.0</v>
      </c>
      <c r="C87" s="335" t="s">
        <v>803</v>
      </c>
      <c r="D87" s="335" t="s">
        <v>724</v>
      </c>
      <c r="E87" s="335" t="s">
        <v>34</v>
      </c>
      <c r="F87" s="335" t="s">
        <v>52</v>
      </c>
      <c r="G87" s="336" t="str">
        <f t="shared" si="2"/>
        <v/>
      </c>
      <c r="H87" s="337">
        <f>IF(F87="♢♢", ((M4 * 100) / (COUNTIFS(F:F, "♢♢", E:E, E87) + COUNTIFS(F:F, "♢♢", E:E, "All") + IF(E87="All", COUNTIFS(F:F, "♢♢", E:E, E2), 0) - IF(E87="All", COUNTIFS(F:F, "♢♢", E:E, "All"), 0)))/100, 
   IF(F87="♢♢♢", ((M5 * 100) / (COUNTIFS(F:F, "♢♢♢", E:E, E87) + COUNTIFS(F:F, "♢♢♢", E:E, "All") + IF(E87="All", COUNTIFS(F:F, "♢♢♢", E:E, E2), 0) - IF(E87="All", COUNTIFS(F:F, "♢♢♢", E:E, "All"), 0)))/100, 
   IF(F87="♢♢♢♢", ((M6 * 100) / (COUNTIFS(F:F, "♢♢♢♢", E:E, E87) + COUNTIFS(F:F, "♢♢♢♢", E:E, "All") + IF(E87="All", COUNTIFS(F:F, "♢♢♢♢", E:E, E2), 0) - IF(E87="All", COUNTIFS(F:F, "♢♢♢♢", E:E, "All"), 0)))/100, 
   IF(F87="☆", ((M7 * 100) / (COUNTIFS(F:F, "☆", E:E, E87) + COUNTIFS(F:F, "☆", E:E, "All") + IF(E87="All", COUNTIFS(F:F, "☆", E:E, E2), 0) - IF(E87="All", COUNTIFS(F:F, "☆", E:E, "All"), 0)))/100, 
   IF(F87="☆☆", ((M8 * 100) / (COUNTIFS(F:F, "☆☆", E:E, E87) + COUNTIFS(F:F, "☆☆", E:E, "All") + IF(E87="All", COUNTIFS(F:F, "☆☆", E:E, E2), 0) - IF(E87="All", COUNTIFS(F:F, "☆☆", E:E, "All"), 0)))/100, 
   IF(F87="☆☆☆", ((M9 * 100) / (COUNTIFS(F:F, "☆☆☆", E:E, E87) + COUNTIFS(F:F, "☆☆☆", E:E, "All") + IF(E87="All", COUNTIFS(F:F, "☆☆☆", E:E, E2), 0) - IF(E87="All", COUNTIFS(F:F, "☆☆☆", E:E, "All"), 0)))/100, 
   IF(F87="♛", ((M10 * 100) / (COUNTIFS(F:F, "♛", E:E, E87) + COUNTIFS(F:F, "♛", E:E, "All") + IF(E87="All", COUNTIFS(F:F, "♛", E:E, E2), 0) - IF(E87="All", COUNTIFS(F:F, "♛", E:E, "All"), 0)))/100, "")))))))
</f>
        <v>0.0004</v>
      </c>
      <c r="I87" s="338">
        <f>IF(F87="♢♢", ((N4 * 100) / (COUNTIFS(F:F, "♢♢", E:E, E87) + COUNTIFS(F:F, "♢♢", E:E, "All") + IF(E87="All", COUNTIFS(F:F, "♢♢", E:E, E2), 0) - IF(E87="All", COUNTIFS(F:F, "♢♢", E:E, "All"), 0)))/100, 
   IF(F87="♢♢♢", ((N5 * 100) / (COUNTIFS(F:F, "♢♢♢", E:E, E87) + COUNTIFS(F:F, "♢♢♢", E:E, "All") + IF(E87="All", COUNTIFS(F:F, "♢♢♢", E:E, E2), 0) - IF(E87="All", COUNTIFS(F:F, "♢♢♢", E:E, "All"), 0)))/100, 
   IF(F87="♢♢♢♢", ((N6 * 100) / (COUNTIFS(F:F, "♢♢♢♢", E:E, E87) + COUNTIFS(F:F, "♢♢♢♢", E:E, "All") + IF(E87="All", COUNTIFS(F:F, "♢♢♢♢", E:E, E2), 0) - IF(E87="All", COUNTIFS(F:F, "♢♢♢♢", E:E, "All"), 0)))/100, 
   IF(F87="☆", ((N7 * 100) / (COUNTIFS(F:F, "☆", E:E, E87) + COUNTIFS(F:F, "☆", E:E, "All") + IF(E87="All", COUNTIFS(F:F, "☆", E:E, E2), 0) - IF(E87="All", COUNTIFS(F:F, "☆", E:E, "All"), 0)))/100, 
   IF(F87="☆☆", ((N8 * 100) / (COUNTIFS(F:F, "☆☆", E:E, E87) + COUNTIFS(F:F, "☆☆", E:E, "All") + IF(E87="All", COUNTIFS(F:F, "☆☆", E:E, E2), 0) - IF(E87="All", COUNTIFS(F:F, "☆☆", E:E, "All"), 0)))/100, 
   IF(F87="☆☆☆", ((N9 * 100) / (COUNTIFS(F:F, "☆☆☆", E:E, E87) + COUNTIFS(F:F, "☆☆☆", E:E, "All") + IF(E87="All", COUNTIFS(F:F, "☆☆☆", E:E, E2), 0) - IF(E87="All", COUNTIFS(F:F, "☆☆☆", E:E, "All"), 0)))/100, 
   IF(F87="♛", ((N10 * 100) / (COUNTIFS(F:F, "♛", E:E, E87) + COUNTIFS(F:F, "♛", E:E, "All") + IF(E87="All", COUNTIFS(F:F, "♛", E:E, E2), 0) - IF(E87="All", COUNTIFS(F:F, "♛", E:E, "All"), 0)))/100, "")))))))
</f>
        <v>0.0016</v>
      </c>
      <c r="J87" s="339"/>
      <c r="K87" s="340">
        <v>5.0</v>
      </c>
      <c r="L87" s="341">
        <f>SUMIFS(I:I, E:E, "A1a") + SUMIFS(I:I, E:E, "All")</f>
        <v>1</v>
      </c>
      <c r="M87" s="340" t="s">
        <v>52</v>
      </c>
      <c r="N87" s="342">
        <f>COUNTIFS(F:F, "♛", E:E, "A1a")</f>
        <v>1</v>
      </c>
    </row>
    <row r="88">
      <c r="A88" s="275"/>
      <c r="B88" s="343">
        <f>SUM(B2:B87)</f>
        <v>0</v>
      </c>
      <c r="C88" s="277"/>
      <c r="D88" s="277"/>
      <c r="E88" s="277"/>
      <c r="F88" s="277"/>
      <c r="G88" s="279"/>
      <c r="H88" s="280"/>
      <c r="I88" s="279"/>
      <c r="J88" s="344"/>
      <c r="K88" s="23"/>
      <c r="L88" s="23"/>
      <c r="M88" s="23"/>
      <c r="N88" s="23"/>
    </row>
  </sheetData>
  <autoFilter ref="$A$1:$F$87"/>
  <mergeCells count="16">
    <mergeCell ref="L30:L31"/>
    <mergeCell ref="M30:M31"/>
    <mergeCell ref="N30:N31"/>
    <mergeCell ref="K32:N32"/>
    <mergeCell ref="M33:N34"/>
    <mergeCell ref="M35:N36"/>
    <mergeCell ref="K75:N76"/>
    <mergeCell ref="M79:N79"/>
    <mergeCell ref="K84:L84"/>
    <mergeCell ref="K11:N12"/>
    <mergeCell ref="K16:N17"/>
    <mergeCell ref="K22:N22"/>
    <mergeCell ref="K25:K26"/>
    <mergeCell ref="L25:N26"/>
    <mergeCell ref="K27:N27"/>
    <mergeCell ref="K30:K31"/>
  </mergeCells>
  <conditionalFormatting sqref="K29:N29 K33:L38">
    <cfRule type="expression" dxfId="4" priority="1">
      <formula>$K29="A1-Mewtwo"</formula>
    </cfRule>
  </conditionalFormatting>
  <conditionalFormatting sqref="K29:N29 K33:L38">
    <cfRule type="expression" dxfId="5" priority="2">
      <formula>$K29="A1-Pikachu"</formula>
    </cfRule>
  </conditionalFormatting>
  <conditionalFormatting sqref="K29:N29 K33:L38">
    <cfRule type="expression" dxfId="6" priority="3">
      <formula>$K29="A1-Charizard"</formula>
    </cfRule>
  </conditionalFormatting>
  <conditionalFormatting sqref="K29:N29 K33:L38">
    <cfRule type="expression" dxfId="10" priority="4">
      <formula>$K29="A1"</formula>
    </cfRule>
  </conditionalFormatting>
  <conditionalFormatting sqref="L30:N31 M35:N37">
    <cfRule type="containsText" dxfId="4" priority="5" operator="containsText" text="Mewtwo">
      <formula>NOT(ISERROR(SEARCH(("Mewtwo"),(L30))))</formula>
    </cfRule>
  </conditionalFormatting>
  <conditionalFormatting sqref="L30:N31 M35:N37">
    <cfRule type="containsText" dxfId="5" priority="6" operator="containsText" text="Pikachu">
      <formula>NOT(ISERROR(SEARCH(("Pikachu"),(L30))))</formula>
    </cfRule>
  </conditionalFormatting>
  <conditionalFormatting sqref="L30:N31 M35:N37">
    <cfRule type="containsText" dxfId="6" priority="7" operator="containsText" text="Charizard">
      <formula>NOT(ISERROR(SEARCH(("Charizard"),(L30))))</formula>
    </cfRule>
  </conditionalFormatting>
  <conditionalFormatting sqref="B2:I88">
    <cfRule type="expression" dxfId="7" priority="8">
      <formula>$E2="A1a"</formula>
    </cfRule>
  </conditionalFormatting>
  <conditionalFormatting sqref="K15:N15 K24:N24 K29:N29">
    <cfRule type="expression" dxfId="13" priority="9">
      <formula>$K15="A1a"</formula>
    </cfRule>
  </conditionalFormatting>
  <conditionalFormatting sqref="L25:N26">
    <cfRule type="containsText" dxfId="13" priority="10" operator="containsText" text="A1a">
      <formula>NOT(ISERROR(SEARCH(("A1a"),(L25))))</formula>
    </cfRule>
  </conditionalFormatting>
  <conditionalFormatting sqref="M35:N36">
    <cfRule type="cellIs" dxfId="7" priority="11" operator="equal">
      <formula>"A1a"</formula>
    </cfRule>
  </conditionalFormatting>
  <conditionalFormatting sqref="L30:N31 M35:N37">
    <cfRule type="containsText" dxfId="7" priority="12" operator="containsText" text="A1a">
      <formula>NOT(ISERROR(SEARCH(("A1a"),(L30))))</formula>
    </cfRule>
  </conditionalFormatting>
  <conditionalFormatting sqref="A1:A88">
    <cfRule type="containsText" dxfId="11" priority="13" operator="containsText" text="TRUE">
      <formula>NOT(ISERROR(SEARCH(("TRUE"),(A1))))</formula>
    </cfRule>
  </conditionalFormatting>
  <conditionalFormatting sqref="A1:A88">
    <cfRule type="containsText" dxfId="12" priority="14" operator="containsText" text="false">
      <formula>NOT(ISERROR(SEARCH(("false"),(A1))))</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4.5"/>
    <col customWidth="1" min="3" max="3" width="7.13"/>
    <col customWidth="1" min="4" max="4" width="17.25"/>
    <col customWidth="1" min="15" max="15" width="3.88"/>
    <col customWidth="1" min="16" max="16" width="47.0"/>
  </cols>
  <sheetData>
    <row r="1">
      <c r="A1" s="274"/>
      <c r="B1" s="274" t="s">
        <v>62</v>
      </c>
      <c r="C1" s="274" t="s">
        <v>63</v>
      </c>
      <c r="D1" s="274" t="s">
        <v>64</v>
      </c>
      <c r="E1" s="274" t="s">
        <v>65</v>
      </c>
      <c r="F1" s="274" t="s">
        <v>66</v>
      </c>
      <c r="G1" s="345" t="s">
        <v>67</v>
      </c>
      <c r="H1" s="345" t="s">
        <v>68</v>
      </c>
      <c r="I1" s="345" t="s">
        <v>69</v>
      </c>
      <c r="J1" s="274" t="s">
        <v>3</v>
      </c>
      <c r="K1" s="23"/>
      <c r="L1" s="23"/>
      <c r="M1" s="23"/>
      <c r="N1" s="23"/>
      <c r="O1" s="125"/>
      <c r="P1" s="125"/>
    </row>
    <row r="2">
      <c r="A2" s="275" t="b">
        <f t="shared" ref="A2:A208" si="1">B2&gt;0</f>
        <v>0</v>
      </c>
      <c r="B2" s="276">
        <v>0.0</v>
      </c>
      <c r="C2" s="277" t="s">
        <v>804</v>
      </c>
      <c r="D2" s="294" t="s">
        <v>99</v>
      </c>
      <c r="E2" s="346" t="s">
        <v>805</v>
      </c>
      <c r="F2" s="278" t="s">
        <v>44</v>
      </c>
      <c r="G2" s="347" t="str">
        <f t="shared" ref="G2:G206" si="2">IF(F2="♢", IFS(E2=$K$15, $L$3/(COUNTIFS(F:F, "♢", E:E, $K$15) + COUNTIFS(F:F, "♢", E:E, $K$17)), E2=$K$16, $L$3/(COUNTIFS(F:F, "♢", E:E, $K$16) + COUNTIFS(F:F, "♢", E:E, $K$17)), E2=$K$17, "x"), "")</f>
        <v>x</v>
      </c>
      <c r="H2" s="347" t="str">
        <f t="shared" ref="H2:H208" si="3">IFS(F2="♢", "",
F2="♢♢", IFS(E2=$K$15, $M$4/(COUNTIFS(F:F, "♢♢", E:E, $K$15) + COUNTIFS(F:F, "♢♢", E:E, $K$17)), E2=$K$16, $M$4/(COUNTIFS(F:F, "♢♢", E:E, $K$16) + COUNTIFS(F:F, "♢♢", E:E, $K$17)), E2=$K$17, "x"),
F2="♢♢♢", IFS(E2=$K$15, $M$5/(COUNTIFS(F:F, "♢♢♢", E:E, $K$15) + COUNTIFS(F:F, "♢♢♢", E:E, $K$17)), E2=$K$16, $M$5/(COUNTIFS(F:F, "♢♢♢", E:E, $K$16) + COUNTIFS(F:F, "♢♢♢", E:E, $K$17)), E2=$K$17, $M$5/(COUNTIFS(F:F, "♢♢♢", E:E, $K$15) + COUNTIFS(F:F, "♢♢♢", E:E, $K$17))),
F2="♢♢♢♢", IFS(E2=$K$15, $M$6/(COUNTIFS(F:F, "♢♢♢♢", E:E, $K$15) + COUNTIFS(F:F, "♢♢♢♢", E:E, $K$17)), E2=$K$16, $M$6/(COUNTIFS(F:F, "♢♢♢♢", E:E, $K$16) + COUNTIFS(F:F, "♢♢♢♢", E:E, $K$17)), E2=$K$17, $M$6/(COUNTIFS(F:F, "♢♢♢♢", E:E, $K$15) + COUNTIFS(F:F, "♢♢♢♢", E:E, $K$17))),
F2="☆", IFS(E2=$K$15, $M$7/(COUNTIFS(F:F, "☆", E:E, $K$15) + COUNTIFS(F:F, "☆", E:E, $K$17)), E2=$K$16, $M$7/(COUNTIFS(F:F, "☆", E:E, $K$16) + COUNTIFS(F:F, "☆", E:E, $K$17)), E2=$K$17, $M$7/(COUNTIFS(F:F, "☆", E:E, $K$15) + COUNTIFS(F:F, "☆", E:E, $K$17))),
F2="☆☆", IFS(E2=$K$15, $M$8/(COUNTIFS(F:F, "☆☆", E:E, $K$15) + COUNTIFS(F:F, "☆☆", E:E, $K$17)), E2=$K$16, $M$8/(COUNTIFS(F:F, "☆☆", E:E, $K$16) + COUNTIFS(F:F, "☆☆", E:E, $K$17)), E2=$K$17, $M$8/(COUNTIFS(F:F, "☆☆", E:E, $K$15) + COUNTIFS(F:F, "☆☆", E:E, $K$17))),
F2="☆☆☆", IFS(E2=$K$15, $M$9/(COUNTIFS(F:F, "☆☆☆", E:E, $K$15) + COUNTIFS(F:F, "☆☆☆", E:E, $K$17)), E2=$K$16, $M$9/(COUNTIFS(F:F, "☆☆☆", E:E, $K$16) + COUNTIFS(F:F, "☆☆☆", E:E, $K$17)), E2=$K$17, $M$9/(COUNTIFS(F:F, "☆☆☆", E:E, $K$15) + COUNTIFS(F:F, "☆☆☆", E:E, $K$17))),
F2="♛", IFS(E2=$K$15, $M$10/(COUNTIFS(F:F, "♛", E:E, $K$15) + COUNTIFS(F:F, "♛", E:E, $K$17)), E2=$K$16, $M$10/(COUNTIFS(F:F, "♛", E:E, $K$16) + COUNTIFS(F:F, "♛", E:E, $K$17)), E2=$K$17, $M$10/(COUNTIFS(F:F, "♛", E:E, $K$15) + COUNTIFS(F:F, "♛", E:E, $K$17)))
)</f>
        <v/>
      </c>
      <c r="I2" s="348" t="str">
        <f t="shared" ref="I2:I208" si="4">IFS(F2="♢", "",
F2="♢♢", IFS(E2=$K$15, $N$4/(COUNTIFS(F:F, "♢♢", E:E, $K$15) + COUNTIFS(F:F, "♢♢", E:E, $K$17)), E2=$K$16, $N$4/(COUNTIFS(F:F, "♢♢", E:E, $K$16) + COUNTIFS(F:F, "♢♢", E:E, $K$17)), E2=$K$17, "x"),
F2="♢♢♢", IFS(E2=$K$15, $N$5/(COUNTIFS(F:F, "♢♢♢", E:E, $K$15) + COUNTIFS(F:F, "♢♢♢", E:E, $K$17)), E2=$K$16, $N$5/(COUNTIFS(F:F, "♢♢♢", E:E, $K$16) + COUNTIFS(F:F, "♢♢♢", E:E, $K$17)), E2=$K$17, $N$5/(COUNTIFS(F:F, "♢♢♢", E:E, $K$15) + COUNTIFS(F:F, "♢♢♢", E:E, $K$17))),
F2="♢♢♢♢", IFS(E2=$K$15, $N$6/(COUNTIFS(F:F, "♢♢♢♢", E:E, $K$15) + COUNTIFS(F:F, "♢♢♢♢", E:E, $K$17)), E2=$K$16, $N$6/(COUNTIFS(F:F, "♢♢♢♢", E:E, $K$16) + COUNTIFS(F:F, "♢♢♢♢", E:E, $K$17)), E2=$K$17, $N$6/(COUNTIFS(F:F, "♢♢♢♢", E:E, $K$15) + COUNTIFS(F:F, "♢♢♢♢", E:E, $K$17))),
F2="☆", IFS(E2=$K$15, $N$7/(COUNTIFS(F:F, "☆", E:E, $K$15) + COUNTIFS(F:F, "☆", E:E, $K$17)), E2=$K$16, $N$7/(COUNTIFS(F:F, "☆", E:E, $K$16) + COUNTIFS(F:F, "☆", E:E, $K$17)), E2=$K$17, $N$7/(COUNTIFS(F:F, "☆", E:E, $K$15) + COUNTIFS(F:F, "☆", E:E, $K$17))),
F2="☆☆", IFS(E2=$K$15, $N$8/(COUNTIFS(F:F, "☆☆", E:E, $K$15) + COUNTIFS(F:F, "☆☆", E:E, $K$17)), E2=$K$16, $N$8/(COUNTIFS(F:F, "☆☆", E:E, $K$16) + COUNTIFS(F:F, "☆☆", E:E, $K$17)), E2=$K$17, $N$8/(COUNTIFS(F:F, "☆☆", E:E, $K$15) + COUNTIFS(F:F, "☆☆", E:E, $K$17))),
F2="☆☆☆", IFS(E2=$K$15, $N$9/(COUNTIFS(F:F, "☆☆☆", E:E, $K$15) + COUNTIFS(F:F, "☆☆☆", E:E, $K$17)), E2=$K$16, $N$9/(COUNTIFS(F:F, "☆☆☆", E:E, $K$16) + COUNTIFS(F:F, "☆☆☆", E:E, $K$17)), E2=$K$17, $N$9/(COUNTIFS(F:F, "☆☆☆", E:E, $K$15) + COUNTIFS(F:F, "☆☆☆", E:E, $K$17))),
F2="♛", IFS(E2=$K$15, $N$10/(COUNTIFS(F:F, "♛", E:E, $K$15) + COUNTIFS(F:F, "♛", E:E, $K$17)), E2=$K$16, $N$10/(COUNTIFS(F:F, "♛", E:E, $K$16) + COUNTIFS(F:F, "♛", E:E, $K$17)), E2=$K$17, $N$10/(COUNTIFS(F:F, "♛", E:E, $K$15) + COUNTIFS(F:F, "♛", E:E, $K$17)))
)</f>
        <v/>
      </c>
      <c r="J2" s="282"/>
      <c r="K2" s="283" t="s">
        <v>73</v>
      </c>
      <c r="L2" s="284">
        <v>45294.0</v>
      </c>
      <c r="M2" s="285">
        <v>4.0</v>
      </c>
      <c r="N2" s="286">
        <v>5.0</v>
      </c>
      <c r="O2" s="125"/>
      <c r="P2" s="125"/>
    </row>
    <row r="3">
      <c r="A3" s="275" t="b">
        <f t="shared" si="1"/>
        <v>0</v>
      </c>
      <c r="B3" s="276">
        <v>0.0</v>
      </c>
      <c r="C3" s="277" t="s">
        <v>806</v>
      </c>
      <c r="D3" s="294" t="s">
        <v>102</v>
      </c>
      <c r="E3" s="349" t="s">
        <v>805</v>
      </c>
      <c r="F3" s="349" t="s">
        <v>44</v>
      </c>
      <c r="G3" s="347" t="str">
        <f t="shared" si="2"/>
        <v>x</v>
      </c>
      <c r="H3" s="347" t="str">
        <f t="shared" si="3"/>
        <v/>
      </c>
      <c r="I3" s="348" t="str">
        <f t="shared" si="4"/>
        <v/>
      </c>
      <c r="J3" s="282"/>
      <c r="K3" s="278" t="s">
        <v>44</v>
      </c>
      <c r="L3" s="287">
        <v>1.0</v>
      </c>
      <c r="M3" s="347">
        <v>0.0</v>
      </c>
      <c r="N3" s="350">
        <v>0.0</v>
      </c>
      <c r="O3" s="125"/>
      <c r="P3" s="125"/>
    </row>
    <row r="4">
      <c r="A4" s="275" t="b">
        <f t="shared" si="1"/>
        <v>0</v>
      </c>
      <c r="B4" s="276">
        <v>0.0</v>
      </c>
      <c r="C4" s="277" t="s">
        <v>807</v>
      </c>
      <c r="D4" s="294" t="s">
        <v>808</v>
      </c>
      <c r="E4" s="349" t="s">
        <v>805</v>
      </c>
      <c r="F4" s="349" t="s">
        <v>46</v>
      </c>
      <c r="G4" s="347" t="str">
        <f t="shared" si="2"/>
        <v/>
      </c>
      <c r="H4" s="347" t="str">
        <f t="shared" si="3"/>
        <v>x</v>
      </c>
      <c r="I4" s="348" t="str">
        <f t="shared" si="4"/>
        <v>x</v>
      </c>
      <c r="J4" s="282"/>
      <c r="K4" s="278" t="s">
        <v>46</v>
      </c>
      <c r="L4" s="347">
        <v>0.0</v>
      </c>
      <c r="M4" s="287">
        <v>0.9</v>
      </c>
      <c r="N4" s="288">
        <v>0.6</v>
      </c>
      <c r="O4" s="125"/>
      <c r="P4" s="125"/>
    </row>
    <row r="5">
      <c r="A5" s="275" t="b">
        <f t="shared" si="1"/>
        <v>0</v>
      </c>
      <c r="B5" s="276">
        <v>0.0</v>
      </c>
      <c r="C5" s="277" t="s">
        <v>809</v>
      </c>
      <c r="D5" s="294" t="s">
        <v>130</v>
      </c>
      <c r="E5" s="349" t="s">
        <v>36</v>
      </c>
      <c r="F5" s="349" t="s">
        <v>44</v>
      </c>
      <c r="G5" s="347">
        <f t="shared" si="2"/>
        <v>0.02173913043</v>
      </c>
      <c r="H5" s="347" t="str">
        <f t="shared" si="3"/>
        <v/>
      </c>
      <c r="I5" s="348" t="str">
        <f t="shared" si="4"/>
        <v/>
      </c>
      <c r="J5" s="282"/>
      <c r="K5" s="278" t="s">
        <v>48</v>
      </c>
      <c r="L5" s="347">
        <v>0.0</v>
      </c>
      <c r="M5" s="287">
        <v>0.05</v>
      </c>
      <c r="N5" s="288">
        <v>0.2</v>
      </c>
      <c r="O5" s="125"/>
      <c r="P5" s="125"/>
    </row>
    <row r="6">
      <c r="A6" s="275" t="b">
        <f t="shared" si="1"/>
        <v>0</v>
      </c>
      <c r="B6" s="276">
        <v>0.0</v>
      </c>
      <c r="C6" s="277" t="s">
        <v>810</v>
      </c>
      <c r="D6" s="294" t="s">
        <v>811</v>
      </c>
      <c r="E6" s="349" t="s">
        <v>36</v>
      </c>
      <c r="F6" s="349" t="s">
        <v>46</v>
      </c>
      <c r="G6" s="347" t="str">
        <f t="shared" si="2"/>
        <v/>
      </c>
      <c r="H6" s="347">
        <f t="shared" si="3"/>
        <v>0.02647058824</v>
      </c>
      <c r="I6" s="348">
        <f t="shared" si="4"/>
        <v>0.01764705882</v>
      </c>
      <c r="J6" s="282"/>
      <c r="K6" s="278" t="s">
        <v>51</v>
      </c>
      <c r="L6" s="347">
        <v>0.0</v>
      </c>
      <c r="M6" s="287">
        <v>0.01666</v>
      </c>
      <c r="N6" s="288">
        <v>0.06664</v>
      </c>
      <c r="O6" s="125"/>
      <c r="P6" s="125"/>
    </row>
    <row r="7">
      <c r="A7" s="275" t="b">
        <f t="shared" si="1"/>
        <v>0</v>
      </c>
      <c r="B7" s="276">
        <v>0.0</v>
      </c>
      <c r="C7" s="277" t="s">
        <v>812</v>
      </c>
      <c r="D7" s="294" t="s">
        <v>813</v>
      </c>
      <c r="E7" s="349" t="s">
        <v>36</v>
      </c>
      <c r="F7" s="349" t="s">
        <v>44</v>
      </c>
      <c r="G7" s="347">
        <f t="shared" si="2"/>
        <v>0.02173913043</v>
      </c>
      <c r="H7" s="347" t="str">
        <f t="shared" si="3"/>
        <v/>
      </c>
      <c r="I7" s="348" t="str">
        <f t="shared" si="4"/>
        <v/>
      </c>
      <c r="J7" s="282"/>
      <c r="K7" s="278" t="s">
        <v>45</v>
      </c>
      <c r="L7" s="347">
        <v>0.0</v>
      </c>
      <c r="M7" s="287">
        <v>0.02572</v>
      </c>
      <c r="N7" s="288">
        <v>0.10288</v>
      </c>
      <c r="O7" s="125"/>
      <c r="P7" s="125"/>
    </row>
    <row r="8">
      <c r="A8" s="275" t="b">
        <f t="shared" si="1"/>
        <v>0</v>
      </c>
      <c r="B8" s="276">
        <v>0.0</v>
      </c>
      <c r="C8" s="277" t="s">
        <v>814</v>
      </c>
      <c r="D8" s="294" t="s">
        <v>815</v>
      </c>
      <c r="E8" s="349" t="s">
        <v>36</v>
      </c>
      <c r="F8" s="349" t="s">
        <v>51</v>
      </c>
      <c r="G8" s="347" t="str">
        <f t="shared" si="2"/>
        <v/>
      </c>
      <c r="H8" s="347">
        <f t="shared" si="3"/>
        <v>0.003332</v>
      </c>
      <c r="I8" s="348">
        <f t="shared" si="4"/>
        <v>0.013328</v>
      </c>
      <c r="J8" s="282"/>
      <c r="K8" s="278" t="s">
        <v>47</v>
      </c>
      <c r="L8" s="347">
        <v>0.0</v>
      </c>
      <c r="M8" s="287">
        <v>0.005</v>
      </c>
      <c r="N8" s="288">
        <v>0.02</v>
      </c>
      <c r="O8" s="125"/>
      <c r="P8" s="125"/>
    </row>
    <row r="9">
      <c r="A9" s="275" t="b">
        <f t="shared" si="1"/>
        <v>0</v>
      </c>
      <c r="B9" s="276">
        <v>0.0</v>
      </c>
      <c r="C9" s="277" t="s">
        <v>816</v>
      </c>
      <c r="D9" s="294" t="s">
        <v>817</v>
      </c>
      <c r="E9" s="349" t="s">
        <v>805</v>
      </c>
      <c r="F9" s="349" t="s">
        <v>44</v>
      </c>
      <c r="G9" s="347" t="str">
        <f t="shared" si="2"/>
        <v>x</v>
      </c>
      <c r="H9" s="347" t="str">
        <f t="shared" si="3"/>
        <v/>
      </c>
      <c r="I9" s="348" t="str">
        <f t="shared" si="4"/>
        <v/>
      </c>
      <c r="J9" s="282"/>
      <c r="K9" s="278" t="s">
        <v>49</v>
      </c>
      <c r="L9" s="347">
        <v>0.0</v>
      </c>
      <c r="M9" s="287">
        <v>0.00222</v>
      </c>
      <c r="N9" s="288">
        <v>0.00888</v>
      </c>
      <c r="O9" s="125"/>
      <c r="P9" s="125"/>
    </row>
    <row r="10">
      <c r="A10" s="275" t="b">
        <f t="shared" si="1"/>
        <v>0</v>
      </c>
      <c r="B10" s="276">
        <v>0.0</v>
      </c>
      <c r="C10" s="277" t="s">
        <v>818</v>
      </c>
      <c r="D10" s="294" t="s">
        <v>819</v>
      </c>
      <c r="E10" s="349" t="s">
        <v>805</v>
      </c>
      <c r="F10" s="349" t="s">
        <v>46</v>
      </c>
      <c r="G10" s="347" t="str">
        <f t="shared" si="2"/>
        <v/>
      </c>
      <c r="H10" s="347" t="str">
        <f t="shared" si="3"/>
        <v>x</v>
      </c>
      <c r="I10" s="348" t="str">
        <f t="shared" si="4"/>
        <v>x</v>
      </c>
      <c r="J10" s="282"/>
      <c r="K10" s="345" t="s">
        <v>52</v>
      </c>
      <c r="L10" s="351">
        <v>0.0</v>
      </c>
      <c r="M10" s="290">
        <v>4.0E-4</v>
      </c>
      <c r="N10" s="291">
        <v>0.0016</v>
      </c>
      <c r="O10" s="125"/>
      <c r="P10" s="125"/>
    </row>
    <row r="11">
      <c r="A11" s="275" t="b">
        <f t="shared" si="1"/>
        <v>0</v>
      </c>
      <c r="B11" s="276">
        <v>0.0</v>
      </c>
      <c r="C11" s="277" t="s">
        <v>820</v>
      </c>
      <c r="D11" s="294" t="s">
        <v>821</v>
      </c>
      <c r="E11" s="349" t="s">
        <v>38</v>
      </c>
      <c r="F11" s="349" t="s">
        <v>44</v>
      </c>
      <c r="G11" s="347">
        <f t="shared" si="2"/>
        <v>0.02272727273</v>
      </c>
      <c r="H11" s="347" t="str">
        <f t="shared" si="3"/>
        <v/>
      </c>
      <c r="I11" s="348" t="str">
        <f t="shared" si="4"/>
        <v/>
      </c>
      <c r="J11" s="282"/>
      <c r="K11" s="292" t="s">
        <v>19</v>
      </c>
      <c r="N11" s="145"/>
      <c r="O11" s="125"/>
      <c r="P11" s="125"/>
    </row>
    <row r="12">
      <c r="A12" s="275" t="b">
        <f t="shared" si="1"/>
        <v>0</v>
      </c>
      <c r="B12" s="276">
        <v>0.0</v>
      </c>
      <c r="C12" s="277" t="s">
        <v>822</v>
      </c>
      <c r="D12" s="294" t="s">
        <v>823</v>
      </c>
      <c r="E12" s="349" t="s">
        <v>38</v>
      </c>
      <c r="F12" s="349" t="s">
        <v>46</v>
      </c>
      <c r="G12" s="347" t="str">
        <f t="shared" si="2"/>
        <v/>
      </c>
      <c r="H12" s="347">
        <f t="shared" si="3"/>
        <v>0.025</v>
      </c>
      <c r="I12" s="348">
        <f t="shared" si="4"/>
        <v>0.01666666667</v>
      </c>
      <c r="J12" s="282"/>
      <c r="N12" s="145"/>
      <c r="O12" s="125"/>
      <c r="P12" s="125"/>
    </row>
    <row r="13">
      <c r="A13" s="275" t="b">
        <f t="shared" si="1"/>
        <v>0</v>
      </c>
      <c r="B13" s="276">
        <v>0.0</v>
      </c>
      <c r="C13" s="277" t="s">
        <v>824</v>
      </c>
      <c r="D13" s="294" t="s">
        <v>825</v>
      </c>
      <c r="E13" s="349" t="s">
        <v>38</v>
      </c>
      <c r="F13" s="349" t="s">
        <v>48</v>
      </c>
      <c r="G13" s="347" t="str">
        <f t="shared" si="2"/>
        <v/>
      </c>
      <c r="H13" s="347">
        <f t="shared" si="3"/>
        <v>0.003571428571</v>
      </c>
      <c r="I13" s="348">
        <f t="shared" si="4"/>
        <v>0.01428571429</v>
      </c>
      <c r="J13" s="282"/>
      <c r="K13" s="293" t="s">
        <v>23</v>
      </c>
      <c r="L13" s="294" t="s">
        <v>24</v>
      </c>
      <c r="M13" s="294" t="s">
        <v>25</v>
      </c>
      <c r="N13" s="295" t="s">
        <v>26</v>
      </c>
      <c r="O13" s="125"/>
      <c r="P13" s="125"/>
    </row>
    <row r="14">
      <c r="A14" s="275" t="b">
        <f t="shared" si="1"/>
        <v>0</v>
      </c>
      <c r="B14" s="276">
        <v>0.0</v>
      </c>
      <c r="C14" s="277" t="s">
        <v>826</v>
      </c>
      <c r="D14" s="294" t="s">
        <v>827</v>
      </c>
      <c r="E14" s="349" t="s">
        <v>38</v>
      </c>
      <c r="F14" s="349" t="s">
        <v>44</v>
      </c>
      <c r="G14" s="347">
        <f t="shared" si="2"/>
        <v>0.02272727273</v>
      </c>
      <c r="H14" s="347" t="str">
        <f t="shared" si="3"/>
        <v/>
      </c>
      <c r="I14" s="348" t="str">
        <f t="shared" si="4"/>
        <v/>
      </c>
      <c r="J14" s="282"/>
      <c r="K14" s="294" t="s">
        <v>30</v>
      </c>
      <c r="L14" s="296">
        <f>COUNTIF(A:A, TRUE) / COUNTA(A:A)</f>
        <v>0</v>
      </c>
      <c r="M14" s="296">
        <f>COUNTIF(A:A, FALSE) / COUNTA(A:A)</f>
        <v>1</v>
      </c>
      <c r="N14" s="297" t="str">
        <f>TEXT(COUNTIF(A2:A209, TRUE), "0") &amp; "/" &amp; TEXT(COUNTA(A2:A209), "0")</f>
        <v>0/207</v>
      </c>
      <c r="O14" s="125"/>
      <c r="P14" s="125"/>
    </row>
    <row r="15">
      <c r="A15" s="275" t="b">
        <f t="shared" si="1"/>
        <v>0</v>
      </c>
      <c r="B15" s="276">
        <v>0.0</v>
      </c>
      <c r="C15" s="277" t="s">
        <v>828</v>
      </c>
      <c r="D15" s="294" t="s">
        <v>829</v>
      </c>
      <c r="E15" s="349" t="s">
        <v>38</v>
      </c>
      <c r="F15" s="349" t="s">
        <v>44</v>
      </c>
      <c r="G15" s="347">
        <f t="shared" si="2"/>
        <v>0.02272727273</v>
      </c>
      <c r="H15" s="347" t="str">
        <f t="shared" si="3"/>
        <v/>
      </c>
      <c r="I15" s="348" t="str">
        <f t="shared" si="4"/>
        <v/>
      </c>
      <c r="J15" s="282"/>
      <c r="K15" s="299" t="s">
        <v>36</v>
      </c>
      <c r="L15" s="300">
        <f t="shared" ref="L15:L16" si="5">(COUNTIFS(A:A, TRUE, E:E, K15) + COUNTIFS(A:A, TRUE, E:E, "A2")) / (COUNTIFS(E:E, K15) + COUNTIFS(E:E, "A2"))</f>
        <v>0</v>
      </c>
      <c r="M15" s="300">
        <f t="shared" ref="M15:M16" si="6">(COUNTIFS(A:A, FALSE, E:E, K15) + COUNTIFS(A:A, FALSE, E:E, "A2")) / (COUNTIFS(E:E, K15) + COUNTIFS(E:E, "A2"))</f>
        <v>1</v>
      </c>
      <c r="N15" s="301" t="str">
        <f t="shared" ref="N15:N16" si="7">TEXT(COUNTIFS(A:A, TRUE, E:E, K15) + COUNTIFS(A:A, TRUE, E:E, "A2"), "0") &amp; "/" &amp; TEXT(COUNTIFS(E:E, K15) + COUNTIFS(E:E, "A2"), "0")</f>
        <v>0/126</v>
      </c>
      <c r="O15" s="125"/>
      <c r="P15" s="125"/>
    </row>
    <row r="16">
      <c r="A16" s="275" t="b">
        <f t="shared" si="1"/>
        <v>0</v>
      </c>
      <c r="B16" s="276">
        <v>0.0</v>
      </c>
      <c r="C16" s="277" t="s">
        <v>830</v>
      </c>
      <c r="D16" s="294" t="s">
        <v>831</v>
      </c>
      <c r="E16" s="349" t="s">
        <v>805</v>
      </c>
      <c r="F16" s="349" t="s">
        <v>44</v>
      </c>
      <c r="G16" s="347" t="str">
        <f t="shared" si="2"/>
        <v>x</v>
      </c>
      <c r="H16" s="347" t="str">
        <f t="shared" si="3"/>
        <v/>
      </c>
      <c r="I16" s="348" t="str">
        <f t="shared" si="4"/>
        <v/>
      </c>
      <c r="J16" s="282"/>
      <c r="K16" s="299" t="s">
        <v>38</v>
      </c>
      <c r="L16" s="300">
        <f t="shared" si="5"/>
        <v>0</v>
      </c>
      <c r="M16" s="300">
        <f t="shared" si="6"/>
        <v>1</v>
      </c>
      <c r="N16" s="301" t="str">
        <f t="shared" si="7"/>
        <v>0/126</v>
      </c>
      <c r="O16" s="125"/>
      <c r="P16" s="125"/>
    </row>
    <row r="17">
      <c r="A17" s="275" t="b">
        <f t="shared" si="1"/>
        <v>0</v>
      </c>
      <c r="B17" s="276">
        <v>0.0</v>
      </c>
      <c r="C17" s="277" t="s">
        <v>832</v>
      </c>
      <c r="D17" s="294" t="s">
        <v>833</v>
      </c>
      <c r="E17" s="349" t="s">
        <v>805</v>
      </c>
      <c r="F17" s="349" t="s">
        <v>44</v>
      </c>
      <c r="G17" s="347" t="str">
        <f t="shared" si="2"/>
        <v>x</v>
      </c>
      <c r="H17" s="347" t="str">
        <f t="shared" si="3"/>
        <v/>
      </c>
      <c r="I17" s="348" t="str">
        <f t="shared" si="4"/>
        <v/>
      </c>
      <c r="J17" s="282"/>
      <c r="K17" s="299" t="s">
        <v>805</v>
      </c>
      <c r="L17" s="300">
        <f>(COUNTIFS(A:A, TRUE, E:E, "A2")) / (COUNTIFS(E:E, "A2"))</f>
        <v>0</v>
      </c>
      <c r="M17" s="300">
        <f>(COUNTIFS(A:A, FALSE, E:E, "A2")) / (COUNTIFS(E:E, "A2"))</f>
        <v>1</v>
      </c>
      <c r="N17" s="301" t="str">
        <f>TEXT(COUNTIFS(A:A, TRUE, E:E, "A2"), "0") &amp; "/" &amp; TEXT(COUNTIFS(E:E, "A2"), "0")</f>
        <v>0/45</v>
      </c>
      <c r="O17" s="125"/>
      <c r="P17" s="125"/>
    </row>
    <row r="18">
      <c r="A18" s="275" t="b">
        <f t="shared" si="1"/>
        <v>0</v>
      </c>
      <c r="B18" s="276">
        <v>0.0</v>
      </c>
      <c r="C18" s="277" t="s">
        <v>834</v>
      </c>
      <c r="D18" s="294" t="s">
        <v>835</v>
      </c>
      <c r="E18" s="349" t="s">
        <v>36</v>
      </c>
      <c r="F18" s="349" t="s">
        <v>44</v>
      </c>
      <c r="G18" s="347">
        <f t="shared" si="2"/>
        <v>0.02173913043</v>
      </c>
      <c r="H18" s="347" t="str">
        <f t="shared" si="3"/>
        <v/>
      </c>
      <c r="I18" s="348" t="str">
        <f t="shared" si="4"/>
        <v/>
      </c>
      <c r="J18" s="282"/>
      <c r="K18" s="302" t="s">
        <v>42</v>
      </c>
      <c r="L18" s="169"/>
      <c r="M18" s="169"/>
      <c r="N18" s="170"/>
      <c r="O18" s="125"/>
      <c r="P18" s="352" t="s">
        <v>836</v>
      </c>
    </row>
    <row r="19">
      <c r="A19" s="275" t="b">
        <f t="shared" si="1"/>
        <v>0</v>
      </c>
      <c r="B19" s="276">
        <v>0.0</v>
      </c>
      <c r="C19" s="277" t="s">
        <v>837</v>
      </c>
      <c r="D19" s="294" t="s">
        <v>838</v>
      </c>
      <c r="E19" s="349" t="s">
        <v>36</v>
      </c>
      <c r="F19" s="349" t="s">
        <v>46</v>
      </c>
      <c r="G19" s="347" t="str">
        <f t="shared" si="2"/>
        <v/>
      </c>
      <c r="H19" s="347">
        <f t="shared" si="3"/>
        <v>0.02647058824</v>
      </c>
      <c r="I19" s="348">
        <f t="shared" si="4"/>
        <v>0.01764705882</v>
      </c>
      <c r="J19" s="282"/>
      <c r="N19" s="172"/>
      <c r="O19" s="125"/>
      <c r="P19" s="352" t="s">
        <v>839</v>
      </c>
    </row>
    <row r="20">
      <c r="A20" s="275" t="b">
        <f t="shared" si="1"/>
        <v>0</v>
      </c>
      <c r="B20" s="276">
        <v>0.0</v>
      </c>
      <c r="C20" s="277" t="s">
        <v>840</v>
      </c>
      <c r="D20" s="294" t="s">
        <v>841</v>
      </c>
      <c r="E20" s="349" t="s">
        <v>38</v>
      </c>
      <c r="F20" s="349" t="s">
        <v>46</v>
      </c>
      <c r="G20" s="347" t="str">
        <f t="shared" si="2"/>
        <v/>
      </c>
      <c r="H20" s="347">
        <f t="shared" si="3"/>
        <v>0.025</v>
      </c>
      <c r="I20" s="348">
        <f t="shared" si="4"/>
        <v>0.01666666667</v>
      </c>
      <c r="J20" s="282"/>
      <c r="K20" s="304" t="b">
        <v>1</v>
      </c>
      <c r="L20" s="278" t="s">
        <v>44</v>
      </c>
      <c r="M20" s="304" t="b">
        <v>1</v>
      </c>
      <c r="N20" s="305" t="s">
        <v>45</v>
      </c>
      <c r="O20" s="125"/>
      <c r="P20" s="353" t="s">
        <v>842</v>
      </c>
    </row>
    <row r="21">
      <c r="A21" s="275" t="b">
        <f t="shared" si="1"/>
        <v>0</v>
      </c>
      <c r="B21" s="276">
        <v>0.0</v>
      </c>
      <c r="C21" s="277" t="s">
        <v>843</v>
      </c>
      <c r="D21" s="294" t="s">
        <v>844</v>
      </c>
      <c r="E21" s="349" t="s">
        <v>36</v>
      </c>
      <c r="F21" s="349" t="s">
        <v>48</v>
      </c>
      <c r="G21" s="347" t="str">
        <f t="shared" si="2"/>
        <v/>
      </c>
      <c r="H21" s="347">
        <f t="shared" si="3"/>
        <v>0.003571428571</v>
      </c>
      <c r="I21" s="348">
        <f t="shared" si="4"/>
        <v>0.01428571429</v>
      </c>
      <c r="J21" s="282"/>
      <c r="K21" s="304" t="b">
        <v>1</v>
      </c>
      <c r="L21" s="278" t="s">
        <v>46</v>
      </c>
      <c r="M21" s="304" t="b">
        <v>1</v>
      </c>
      <c r="N21" s="305" t="s">
        <v>47</v>
      </c>
      <c r="O21" s="125"/>
    </row>
    <row r="22">
      <c r="A22" s="275" t="b">
        <f t="shared" si="1"/>
        <v>0</v>
      </c>
      <c r="B22" s="276">
        <v>0.0</v>
      </c>
      <c r="C22" s="277" t="s">
        <v>845</v>
      </c>
      <c r="D22" s="294" t="s">
        <v>846</v>
      </c>
      <c r="E22" s="349" t="s">
        <v>805</v>
      </c>
      <c r="F22" s="349" t="s">
        <v>44</v>
      </c>
      <c r="G22" s="347" t="str">
        <f t="shared" si="2"/>
        <v>x</v>
      </c>
      <c r="H22" s="347" t="str">
        <f t="shared" si="3"/>
        <v/>
      </c>
      <c r="I22" s="348" t="str">
        <f t="shared" si="4"/>
        <v/>
      </c>
      <c r="J22" s="282"/>
      <c r="K22" s="304" t="b">
        <v>1</v>
      </c>
      <c r="L22" s="278" t="s">
        <v>48</v>
      </c>
      <c r="M22" s="304" t="b">
        <v>1</v>
      </c>
      <c r="N22" s="305" t="s">
        <v>49</v>
      </c>
      <c r="O22" s="125"/>
    </row>
    <row r="23">
      <c r="A23" s="275" t="b">
        <f t="shared" si="1"/>
        <v>0</v>
      </c>
      <c r="B23" s="276">
        <v>0.0</v>
      </c>
      <c r="C23" s="277" t="s">
        <v>847</v>
      </c>
      <c r="D23" s="294" t="s">
        <v>848</v>
      </c>
      <c r="E23" s="349" t="s">
        <v>36</v>
      </c>
      <c r="F23" s="349" t="s">
        <v>48</v>
      </c>
      <c r="G23" s="347" t="str">
        <f t="shared" si="2"/>
        <v/>
      </c>
      <c r="H23" s="347">
        <f t="shared" si="3"/>
        <v>0.003571428571</v>
      </c>
      <c r="I23" s="348">
        <f t="shared" si="4"/>
        <v>0.01428571429</v>
      </c>
      <c r="J23" s="282"/>
      <c r="K23" s="304" t="b">
        <v>1</v>
      </c>
      <c r="L23" s="278" t="s">
        <v>51</v>
      </c>
      <c r="M23" s="304" t="b">
        <v>1</v>
      </c>
      <c r="N23" s="305" t="s">
        <v>52</v>
      </c>
      <c r="O23" s="125"/>
    </row>
    <row r="24">
      <c r="A24" s="275" t="b">
        <f t="shared" si="1"/>
        <v>0</v>
      </c>
      <c r="B24" s="276">
        <v>0.0</v>
      </c>
      <c r="C24" s="277" t="s">
        <v>849</v>
      </c>
      <c r="D24" s="294" t="s">
        <v>180</v>
      </c>
      <c r="E24" s="349" t="s">
        <v>38</v>
      </c>
      <c r="F24" s="349" t="s">
        <v>44</v>
      </c>
      <c r="G24" s="347">
        <f t="shared" si="2"/>
        <v>0.02272727273</v>
      </c>
      <c r="H24" s="347" t="str">
        <f t="shared" si="3"/>
        <v/>
      </c>
      <c r="I24" s="348" t="str">
        <f t="shared" si="4"/>
        <v/>
      </c>
      <c r="J24" s="282"/>
      <c r="K24" s="306" t="s">
        <v>133</v>
      </c>
      <c r="L24" s="2"/>
      <c r="M24" s="2"/>
      <c r="N24" s="177"/>
      <c r="O24" s="125"/>
      <c r="P24" s="353" t="s">
        <v>850</v>
      </c>
    </row>
    <row r="25">
      <c r="A25" s="275" t="b">
        <f t="shared" si="1"/>
        <v>0</v>
      </c>
      <c r="B25" s="276">
        <v>0.0</v>
      </c>
      <c r="C25" s="277" t="s">
        <v>851</v>
      </c>
      <c r="D25" s="294" t="s">
        <v>852</v>
      </c>
      <c r="E25" s="349" t="s">
        <v>38</v>
      </c>
      <c r="F25" s="349" t="s">
        <v>48</v>
      </c>
      <c r="G25" s="347" t="str">
        <f t="shared" si="2"/>
        <v/>
      </c>
      <c r="H25" s="347">
        <f t="shared" si="3"/>
        <v>0.003571428571</v>
      </c>
      <c r="I25" s="348">
        <f t="shared" si="4"/>
        <v>0.01428571429</v>
      </c>
      <c r="J25" s="282"/>
      <c r="K25" s="293" t="s">
        <v>853</v>
      </c>
      <c r="L25" s="308" t="s">
        <v>24</v>
      </c>
      <c r="M25" s="308" t="s">
        <v>25</v>
      </c>
      <c r="N25" s="309" t="s">
        <v>26</v>
      </c>
      <c r="O25" s="125"/>
    </row>
    <row r="26">
      <c r="A26" s="275" t="b">
        <f t="shared" si="1"/>
        <v>0</v>
      </c>
      <c r="B26" s="276">
        <v>0.0</v>
      </c>
      <c r="C26" s="277" t="s">
        <v>854</v>
      </c>
      <c r="D26" s="294" t="s">
        <v>855</v>
      </c>
      <c r="E26" s="349" t="s">
        <v>805</v>
      </c>
      <c r="F26" s="349" t="s">
        <v>44</v>
      </c>
      <c r="G26" s="347" t="str">
        <f t="shared" si="2"/>
        <v>x</v>
      </c>
      <c r="H26" s="347" t="str">
        <f t="shared" si="3"/>
        <v/>
      </c>
      <c r="I26" s="348" t="str">
        <f t="shared" si="4"/>
        <v/>
      </c>
      <c r="J26" s="282"/>
      <c r="K26" s="294" t="s">
        <v>30</v>
      </c>
      <c r="L26" s="280">
        <f>IFERROR(
  (
    COUNTIFS(F:F, "♢", A:A, TRUE) * K20 +
    COUNTIFS(F:F, "♢♢", A:A, TRUE) * K21 +
    COUNTIFS(F:F, "♢♢♢", A:A, TRUE) * K22 +
    COUNTIFS(F:F, "♢♢♢♢", A:A, TRUE) * K23 +
    COUNTIFS(F:F, "☆", A:A, TRUE) * M20 +
    COUNTIFS(F:F, "☆☆", A:A, TRUE) * M21 +
    COUNTIFS(F:F, "☆☆☆", A:A, TRUE) * M22 +
    COUNTIFS(F:F, "♛", A:A, TRUE) * M23
  ) / (
    COUNTIFS(F:F, "♢") * K20 +
    COUNTIFS(F:F, "♢♢") * K21 +
    COUNTIFS(F:F, "♢♢♢") * K22 +
    COUNTIFS(F:F, "♢♢♢♢") * K23 +
    COUNTIFS(F:F, "☆") * M20 +
    COUNTIFS(F:F, "☆☆") * M21 +
    COUNTIFS(F:F, "☆☆☆") * M22 +
    COUNTIFS(F:F, "♛") * M23
  ),
  0
)
</f>
        <v>0</v>
      </c>
      <c r="M26" s="280">
        <f>IFERROR(
  (
    COUNTIFS(F:F, "♢", A:A, FALSE) * K20 +
    COUNTIFS(F:F, "♢♢", A:A, FALSE) * K21 +
    COUNTIFS(F:F, "♢♢♢", A:A, FALSE) * K22 +
    COUNTIFS(F:F, "♢♢♢♢", A:A, FALSE) * K23 +
    COUNTIFS(F:F, "☆", A:A, FALSE) * M20 +
    COUNTIFS(F:F, "☆☆", A:A, FALSE) * M21 +
    COUNTIFS(F:F, "☆☆☆", A:A, FALSE) * M22 +
    COUNTIFS(F:F, "♛", A:A, FALSE) * M23
  ) / (
    COUNTIFS(F:F, "♢") * K20 +
    COUNTIFS(F:F, "♢♢") * K21 +
    COUNTIFS(F:F, "♢♢♢") * K22 +
    COUNTIFS(F:F, "♢♢♢♢") * K23 +
    COUNTIFS(F:F, "☆") * M20 +
    COUNTIFS(F:F, "☆☆") * M21 +
    COUNTIFS(F:F, "☆☆☆") * M22 +
    COUNTIFS(F:F, "♛") * M23
  ),
  0
)
</f>
        <v>1</v>
      </c>
      <c r="N26" s="309" t="str">
        <f>TEXT(
  COUNTIFS(F:F, "♢", A:A, TRUE) * K20 +
  COUNTIFS(F:F, "♢♢", A:A, TRUE) * K21 +
  COUNTIFS(F:F, "♢♢♢", A:A, TRUE) * K22 +
  COUNTIFS(F:F, "♢♢♢♢", A:A, TRUE) * K23 +
  COUNTIFS(F:F, "☆", A:A, TRUE) * M20 +
  COUNTIFS(F:F, "☆☆", A:A, TRUE) * M21 +
  COUNTIFS(F:F, "☆☆☆", A:A, TRUE) * M22 +
  COUNTIFS(F:F, "♛", A:A, TRUE) * M23, "0"
) &amp; "/" &amp;
TEXT(
  COUNTIFS(F:F, "♢") * K20 +
  COUNTIFS(F:F, "♢♢") * K21 +
  COUNTIFS(F:F, "♢♢♢") * K22 +
  COUNTIFS(F:F, "♢♢♢♢") * K23 +
  COUNTIFS(F:F, "☆") * M20 +
  COUNTIFS(F:F, "☆☆") * M21 +
  COUNTIFS(F:F, "☆☆☆") * M22 +
  COUNTIFS(F:F, "♛") * M23, "0"
)
</f>
        <v>0/207</v>
      </c>
      <c r="O26" s="125"/>
    </row>
    <row r="27">
      <c r="A27" s="275" t="b">
        <f t="shared" si="1"/>
        <v>0</v>
      </c>
      <c r="B27" s="276">
        <v>0.0</v>
      </c>
      <c r="C27" s="277" t="s">
        <v>856</v>
      </c>
      <c r="D27" s="294" t="s">
        <v>857</v>
      </c>
      <c r="E27" s="349" t="s">
        <v>805</v>
      </c>
      <c r="F27" s="349" t="s">
        <v>46</v>
      </c>
      <c r="G27" s="347" t="str">
        <f t="shared" si="2"/>
        <v/>
      </c>
      <c r="H27" s="347" t="str">
        <f t="shared" si="3"/>
        <v>x</v>
      </c>
      <c r="I27" s="348" t="str">
        <f t="shared" si="4"/>
        <v>x</v>
      </c>
      <c r="J27" s="282"/>
      <c r="K27" s="299" t="s">
        <v>36</v>
      </c>
      <c r="L27" s="300">
        <f>IFERROR(
  (
    COUNTIFS(F:F, "♢", A:A, TRUE, E:E, K27) * K20 +
    COUNTIFS(F:F, "♢♢", A:A, TRUE, E:E, K27) * K21 +
    COUNTIFS(F:F, "♢♢♢", A:A, TRUE, E:E, K27) * K22 +
    COUNTIFS(F:F, "♢♢♢♢", A:A, TRUE, E:E, K27) * K23 +
    COUNTIFS(F:F, "☆", A:A, TRUE, E:E, K27) * M20 +
    COUNTIFS(F:F, "☆☆", A:A, TRUE, E:E, K27) * M21 +
    COUNTIFS(F:F, "☆☆☆", A:A, TRUE, E:E, K27) * M22 +
    COUNTIFS(F:F, "♛", A:A, TRUE, E:E, K27) * M23
  ) / (
    COUNTIFS(F:F, "♢", E:E, K27) * K20 +
    COUNTIFS(F:F, "♢♢", E:E, K27) * K21 +
    COUNTIFS(F:F, "♢♢♢", E:E, K27) * K22 +
    COUNTIFS(F:F, "♢♢♢♢", E:E, K27) * K23 +
    COUNTIFS(F:F, "☆", E:E, K27) * M20 +
    COUNTIFS(F:F, "☆☆", E:E, K27) * M21 +
    COUNTIFS(F:F, "☆☆☆", E:E, K27) * M22 +
    COUNTIFS(F:F, "♛", E:E, K27) * M23
  ),
  0
)
</f>
        <v>0</v>
      </c>
      <c r="M27" s="300">
        <f>IFERROR(
  (
    COUNTIFS(F:F, "♢", A:A, FALSE, E:E, K27) * K20 +
    COUNTIFS(F:F, "♢♢", A:A, FALSE, E:E, K27) * K21 +
    COUNTIFS(F:F, "♢♢♢", A:A, FALSE, E:E, K27) * K22 +
    COUNTIFS(F:F, "♢♢♢♢", A:A, FALSE, E:E, K27) * K23 +
    COUNTIFS(F:F, "☆", A:A, FALSE, E:E, K27) * M20 +
    COUNTIFS(F:F, "☆☆", A:A, FALSE, E:E, K27) * M21 +
    COUNTIFS(F:F, "☆☆☆", A:A, FALSE, E:E, K27) * M22 +
    COUNTIFS(F:F, "♛", A:A, FALSE, E:E, K27) * M23
  ) / (
    COUNTIFS(F:F, "♢", E:E, K27) * K20 +
    COUNTIFS(F:F, "♢♢", E:E, K27) * K21 +
    COUNTIFS(F:F, "♢♢♢", E:E, K27) * K22 +
    COUNTIFS(F:F, "♢♢♢♢", E:E, K27) * K23 +
    COUNTIFS(F:F, "☆", E:E, K27) * M20 +
    COUNTIFS(F:F, "☆☆", E:E, K27) * M21 +
    COUNTIFS(F:F, "☆☆☆", E:E, K27) * M22 +
    COUNTIFS(F:F, "♛", E:E, K27) * M23
  ),
  0
)
</f>
        <v>1</v>
      </c>
      <c r="N27" s="310" t="str">
        <f>TEXT(
  COUNTIFS(F:F, "♢", A:A, TRUE, E:E, K27) * K20 +
  COUNTIFS(F:F, "♢♢", A:A, TRUE, E:E, K27) * K21 +
  COUNTIFS(F:F, "♢♢♢", A:A, TRUE, E:E, K27) * K22 +
  COUNTIFS(F:F, "♢♢♢♢", A:A, TRUE, E:E, K27) * K23 +
  COUNTIFS(F:F, "☆", A:A, TRUE, E:E, K27) * M20 +
  COUNTIFS(F:F, "☆☆", A:A, TRUE, E:E, K27) * M21 +
  COUNTIFS(F:F, "☆☆☆", A:A, TRUE, E:E, K27) * M22 +
  COUNTIFS(F:F, "♛", A:A, TRUE, E:E, K27) * M23, "0"
) &amp; "/" &amp;
TEXT(
  COUNTIFS(F:F, "♢", E:E, K27) * K20 +
  COUNTIFS(F:F, "♢♢", E:E, K27) * K21 +
  COUNTIFS(F:F, "♢♢♢", E:E, K27) * K22 +
  COUNTIFS(F:F, "♢♢♢♢", E:E, K27) * K23 +
  COUNTIFS(F:F, "☆", E:E, K27) * M20 +
  COUNTIFS(F:F, "☆☆", E:E, K27) * M21 +
  COUNTIFS(F:F, "☆☆☆", E:E, K27) * M22 +
  COUNTIFS(F:F, "♛", E:E, K27) * M23, "0"
)
</f>
        <v>0/81</v>
      </c>
      <c r="O27" s="125"/>
    </row>
    <row r="28">
      <c r="A28" s="275" t="b">
        <f t="shared" si="1"/>
        <v>0</v>
      </c>
      <c r="B28" s="276">
        <v>0.0</v>
      </c>
      <c r="C28" s="277" t="s">
        <v>858</v>
      </c>
      <c r="D28" s="294" t="s">
        <v>859</v>
      </c>
      <c r="E28" s="349" t="s">
        <v>38</v>
      </c>
      <c r="F28" s="349" t="s">
        <v>44</v>
      </c>
      <c r="G28" s="347">
        <f t="shared" si="2"/>
        <v>0.02272727273</v>
      </c>
      <c r="H28" s="347" t="str">
        <f t="shared" si="3"/>
        <v/>
      </c>
      <c r="I28" s="348" t="str">
        <f t="shared" si="4"/>
        <v/>
      </c>
      <c r="J28" s="282"/>
      <c r="K28" s="299" t="s">
        <v>38</v>
      </c>
      <c r="L28" s="354">
        <f>IFERROR(
  (
    COUNTIFS(F:F, "♢", A:A, TRUE, E:E, K28) * K20 +
    COUNTIFS(F:F, "♢♢", A:A, TRUE, E:E, K28) * K21 +
    COUNTIFS(F:F, "♢♢♢", A:A, TRUE, E:E, K28) * K22 +
    COUNTIFS(F:F, "♢♢♢♢", A:A, TRUE, E:E, K28) * K23 +
    COUNTIFS(F:F, "☆", A:A, TRUE, E:E, K28) * M20 +
    COUNTIFS(F:F, "☆☆", A:A, TRUE, E:E, K28) * M21 +
    COUNTIFS(F:F, "☆☆☆", A:A, TRUE, E:E, K28) * M22 +
    COUNTIFS(F:F, "♛", A:A, TRUE, E:E, K28) * M23
  ) / (
    COUNTIFS(F:F, "♢", E:E, K28) * K20 +
    COUNTIFS(F:F, "♢♢", E:E, K28) * K21 +
    COUNTIFS(F:F, "♢♢♢", E:E, K28) * K22 +
    COUNTIFS(F:F, "♢♢♢♢", E:E, K28) * K23 +
    COUNTIFS(F:F, "☆", E:E, K28) * M20 +
    COUNTIFS(F:F, "☆☆", E:E, K28) * M21 +
    COUNTIFS(F:F, "☆☆☆", E:E, K28) * M22 +
    COUNTIFS(F:F, "♛", E:E, K28) * M23
  ),
  0
)
</f>
        <v>0</v>
      </c>
      <c r="M28" s="354">
        <f>IFERROR(
  (
    COUNTIFS(F:F, "♢", A:A, FALSE, E:E, K28) * K20 +
    COUNTIFS(F:F, "♢♢", A:A, FALSE, E:E, K28) * K21 +
    COUNTIFS(F:F, "♢♢♢", A:A, FALSE, E:E, K28) * K22 +
    COUNTIFS(F:F, "♢♢♢♢", A:A, FALSE, E:E, K28) * K23 +
    COUNTIFS(F:F, "☆", A:A, FALSE, E:E, K28) * M20 +
    COUNTIFS(F:F, "☆☆", A:A, FALSE, E:E, K28) * M21 +
    COUNTIFS(F:F, "☆☆☆", A:A, FALSE, E:E, K28) * M22 +
    COUNTIFS(F:F, "♛", A:A, FALSE, E:E, K28) * M23
  ) / (
    COUNTIFS(F:F, "♢", E:E, K28) * K20 +
    COUNTIFS(F:F, "♢♢", E:E, K28) * K21 +
    COUNTIFS(F:F, "♢♢♢", E:E, K28) * K22 +
    COUNTIFS(F:F, "♢♢♢♢", E:E, K28) * K23 +
    COUNTIFS(F:F, "☆", E:E, K28) * M20 +
    COUNTIFS(F:F, "☆☆", E:E, K28) * M21 +
    COUNTIFS(F:F, "☆☆☆", E:E, K28) * M22 +
    COUNTIFS(F:F, "♛", E:E, K28) * M23
  ),
  0
)
</f>
        <v>1</v>
      </c>
      <c r="N28" s="355" t="str">
        <f>TEXT(
  COUNTIFS(F:F, "♢", A:A, TRUE, E:E, K28) * K20 +
  COUNTIFS(F:F, "♢♢", A:A, TRUE, E:E, K28) * K21 +
  COUNTIFS(F:F, "♢♢♢", A:A, TRUE, E:E, K28) * K22 +
  COUNTIFS(F:F, "♢♢♢♢", A:A, TRUE, E:E, K28) * K23 +
  COUNTIFS(F:F, "☆", A:A, TRUE, E:E, K28) * M20 +
  COUNTIFS(F:F, "☆☆", A:A, TRUE, E:E, K28) * M21 +
  COUNTIFS(F:F, "☆☆☆", A:A, TRUE, E:E, K28) * M22 +
  COUNTIFS(F:F, "♛", A:A, TRUE, E:E, K28) * M23, "0"
) &amp; "/" &amp;
TEXT(
  COUNTIFS(F:F, "♢", E:E, K28) * K20 +
  COUNTIFS(F:F, "♢♢", E:E, K28) * K21 +
  COUNTIFS(F:F, "♢♢♢", E:E, K28) * K22 +
  COUNTIFS(F:F, "♢♢♢♢", E:E, K28) * K23 +
  COUNTIFS(F:F, "☆", E:E, K28) * M20 +
  COUNTIFS(F:F, "☆☆", E:E, K28) * M21 +
  COUNTIFS(F:F, "☆☆☆", E:E, K28) * M22 +
  COUNTIFS(F:F, "♛", E:E, K28) * M23, "0"
)
</f>
        <v>0/81</v>
      </c>
      <c r="O28" s="125"/>
      <c r="P28" s="353" t="s">
        <v>860</v>
      </c>
    </row>
    <row r="29">
      <c r="A29" s="275" t="b">
        <f t="shared" si="1"/>
        <v>0</v>
      </c>
      <c r="B29" s="276">
        <v>0.0</v>
      </c>
      <c r="C29" s="277" t="s">
        <v>861</v>
      </c>
      <c r="D29" s="294" t="s">
        <v>862</v>
      </c>
      <c r="E29" s="349" t="s">
        <v>38</v>
      </c>
      <c r="F29" s="349" t="s">
        <v>46</v>
      </c>
      <c r="G29" s="347" t="str">
        <f t="shared" si="2"/>
        <v/>
      </c>
      <c r="H29" s="347">
        <f t="shared" si="3"/>
        <v>0.025</v>
      </c>
      <c r="I29" s="348">
        <f t="shared" si="4"/>
        <v>0.01666666667</v>
      </c>
      <c r="J29" s="282"/>
      <c r="K29" s="299" t="s">
        <v>805</v>
      </c>
      <c r="L29" s="356">
        <f>IFERROR(
  (
    COUNTIFS(F:F, "♢", A:A, TRUE, E:E, K29) * K20 +
    COUNTIFS(F:F, "♢♢", A:A, TRUE, E:E, K29) * K21 +
    COUNTIFS(F:F, "♢♢♢", A:A, TRUE, E:E, K29) * K22 +
    COUNTIFS(F:F, "♢♢♢♢", A:A, TRUE, E:E, K29) * K23 +
    COUNTIFS(F:F, "☆", A:A, TRUE, E:E, K29) * M20 +
    COUNTIFS(F:F, "☆☆", A:A, TRUE, E:E, K29) * M21 +
    COUNTIFS(F:F, "☆☆☆", A:A, TRUE, E:E, K29) * M22 +
    COUNTIFS(F:F, "♛", A:A, TRUE, E:E, K29) * M23
  ) / (
    COUNTIFS(F:F, "♢", E:E, K29) * K20 +
    COUNTIFS(F:F, "♢♢", E:E, K29) * K21 +
    COUNTIFS(F:F, "♢♢♢", E:E, K29) * K22 +
    COUNTIFS(F:F, "♢♢♢♢", E:E, K29) * K23 +
    COUNTIFS(F:F, "☆", E:E, K29) * M20 +
    COUNTIFS(F:F, "☆☆", E:E, K29) * M21 +
    COUNTIFS(F:F, "☆☆☆", E:E, K29) * M22 +
    COUNTIFS(F:F, "♛", E:E, K29) * M23
  ),
  0
)
</f>
        <v>0</v>
      </c>
      <c r="M29" s="356">
        <f>IFERROR(
  (
    COUNTIFS(F:F, "♢", A:A, FALSE, E:E, K29) * K20 +
    COUNTIFS(F:F, "♢♢", A:A, FALSE, E:E, K29) * K21 +
    COUNTIFS(F:F, "♢♢♢", A:A, FALSE, E:E, K29) * K22 +
    COUNTIFS(F:F, "♢♢♢♢", A:A, FALSE, E:E, K29) * K23 +
    COUNTIFS(F:F, "☆", A:A, FALSE, E:E, K29) * M20 +
    COUNTIFS(F:F, "☆☆", A:A, FALSE, E:E, K29) * M21 +
    COUNTIFS(F:F, "☆☆☆", A:A, FALSE, E:E, K29) * M22 +
    COUNTIFS(F:F, "♛", A:A, FALSE, E:E, K29) * M23
  ) / (
    COUNTIFS(F:F, "♢", E:E, K29) * K20 +
    COUNTIFS(F:F, "♢♢", E:E, K29) * K21 +
    COUNTIFS(F:F, "♢♢♢", E:E, K29) * K22 +
    COUNTIFS(F:F, "♢♢♢♢", E:E, K29) * K23 +
    COUNTIFS(F:F, "☆", E:E, K29) * M20 +
    COUNTIFS(F:F, "☆☆", E:E, K29) * M21 +
    COUNTIFS(F:F, "☆☆☆", E:E, K29) * M22 +
    COUNTIFS(F:F, "♛", E:E, K29) * M23
  ),
  0
)
</f>
        <v>1</v>
      </c>
      <c r="N29" s="357" t="str">
        <f>TEXT(
  COUNTIFS(F:F, "♢", A:A, TRUE, E:E, K29) * K20 +
  COUNTIFS(F:F, "♢♢", A:A, TRUE, E:E, K29) * K21 +
  COUNTIFS(F:F, "♢♢♢", A:A, TRUE, E:E, K29) * K22 +
  COUNTIFS(F:F, "♢♢♢♢", A:A, TRUE, E:E, K29) * K23 +
  COUNTIFS(F:F, "☆", A:A, TRUE, E:E, K29) * M20 +
  COUNTIFS(F:F, "☆☆", A:A, TRUE, E:E, K29) * M21 +
  COUNTIFS(F:F, "☆☆☆", A:A, TRUE, E:E, K29) * M22 +
  COUNTIFS(F:F, "♛", A:A, TRUE, E:E, K29) * M23, "0"
) &amp; "/" &amp;
TEXT(
  COUNTIFS(F:F, "♢", E:E, K29) * K20 +
  COUNTIFS(F:F, "♢♢", E:E, K29) * K21 +
  COUNTIFS(F:F, "♢♢♢", E:E, K29) * K22 +
  COUNTIFS(F:F, "♢♢♢♢", E:E, K29) * K23 +
  COUNTIFS(F:F, "☆", E:E, K29) * M20 +
  COUNTIFS(F:F, "☆☆", E:E, K29) * M21 +
  COUNTIFS(F:F, "☆☆☆", E:E, K29) * M22 +
  COUNTIFS(F:F, "♛", E:E, K29) * M23, "0"
)
</f>
        <v>0/45</v>
      </c>
      <c r="O29" s="125"/>
    </row>
    <row r="30">
      <c r="A30" s="275" t="b">
        <f t="shared" si="1"/>
        <v>0</v>
      </c>
      <c r="B30" s="276">
        <v>0.0</v>
      </c>
      <c r="C30" s="277" t="s">
        <v>863</v>
      </c>
      <c r="D30" s="294" t="s">
        <v>864</v>
      </c>
      <c r="E30" s="349" t="s">
        <v>38</v>
      </c>
      <c r="F30" s="349" t="s">
        <v>51</v>
      </c>
      <c r="G30" s="347" t="str">
        <f t="shared" si="2"/>
        <v/>
      </c>
      <c r="H30" s="347">
        <f t="shared" si="3"/>
        <v>0.003332</v>
      </c>
      <c r="I30" s="348">
        <f t="shared" si="4"/>
        <v>0.013328</v>
      </c>
      <c r="J30" s="282"/>
      <c r="K30" s="311" t="s">
        <v>115</v>
      </c>
      <c r="L30" s="358" t="str">
        <f>IF(M27 = MAX(M27:M28), K27, IF(M27 = MAX(M27:M28), K27, K28))</f>
        <v>A2-Dialga</v>
      </c>
      <c r="N30" s="145"/>
      <c r="O30" s="125"/>
    </row>
    <row r="31">
      <c r="A31" s="275" t="b">
        <f t="shared" si="1"/>
        <v>0</v>
      </c>
      <c r="B31" s="276">
        <v>0.0</v>
      </c>
      <c r="C31" s="277" t="s">
        <v>865</v>
      </c>
      <c r="D31" s="294" t="s">
        <v>866</v>
      </c>
      <c r="E31" s="349" t="s">
        <v>805</v>
      </c>
      <c r="F31" s="349" t="s">
        <v>44</v>
      </c>
      <c r="G31" s="347" t="str">
        <f t="shared" si="2"/>
        <v>x</v>
      </c>
      <c r="H31" s="347" t="str">
        <f t="shared" si="3"/>
        <v/>
      </c>
      <c r="I31" s="348" t="str">
        <f t="shared" si="4"/>
        <v/>
      </c>
      <c r="J31" s="282"/>
      <c r="K31" s="10"/>
      <c r="L31" s="166"/>
      <c r="M31" s="166"/>
      <c r="N31" s="167"/>
      <c r="O31" s="125"/>
    </row>
    <row r="32">
      <c r="A32" s="275" t="b">
        <f t="shared" si="1"/>
        <v>0</v>
      </c>
      <c r="B32" s="276">
        <v>0.0</v>
      </c>
      <c r="C32" s="277" t="s">
        <v>867</v>
      </c>
      <c r="D32" s="294" t="s">
        <v>868</v>
      </c>
      <c r="E32" s="349" t="s">
        <v>36</v>
      </c>
      <c r="F32" s="349" t="s">
        <v>44</v>
      </c>
      <c r="G32" s="347">
        <f t="shared" si="2"/>
        <v>0.02173913043</v>
      </c>
      <c r="H32" s="347" t="str">
        <f t="shared" si="3"/>
        <v/>
      </c>
      <c r="I32" s="348" t="str">
        <f t="shared" si="4"/>
        <v/>
      </c>
      <c r="J32" s="359"/>
      <c r="K32" s="313" t="s">
        <v>155</v>
      </c>
      <c r="N32" s="172"/>
      <c r="O32" s="125"/>
    </row>
    <row r="33">
      <c r="A33" s="275" t="b">
        <f t="shared" si="1"/>
        <v>0</v>
      </c>
      <c r="B33" s="276">
        <v>0.0</v>
      </c>
      <c r="C33" s="277" t="s">
        <v>869</v>
      </c>
      <c r="D33" s="294" t="s">
        <v>870</v>
      </c>
      <c r="E33" s="349" t="s">
        <v>36</v>
      </c>
      <c r="F33" s="349" t="s">
        <v>46</v>
      </c>
      <c r="G33" s="347" t="str">
        <f t="shared" si="2"/>
        <v/>
      </c>
      <c r="H33" s="347">
        <f t="shared" si="3"/>
        <v>0.02647058824</v>
      </c>
      <c r="I33" s="348">
        <f t="shared" si="4"/>
        <v>0.01764705882</v>
      </c>
      <c r="J33" s="6"/>
      <c r="K33" s="293" t="s">
        <v>23</v>
      </c>
      <c r="L33" s="278" t="s">
        <v>67</v>
      </c>
      <c r="M33" s="278" t="s">
        <v>68</v>
      </c>
      <c r="N33" s="305" t="s">
        <v>69</v>
      </c>
      <c r="O33" s="125"/>
      <c r="P33" s="360" t="s">
        <v>871</v>
      </c>
    </row>
    <row r="34">
      <c r="A34" s="275" t="b">
        <f t="shared" si="1"/>
        <v>0</v>
      </c>
      <c r="B34" s="276">
        <v>0.0</v>
      </c>
      <c r="C34" s="277" t="s">
        <v>872</v>
      </c>
      <c r="D34" s="294" t="s">
        <v>873</v>
      </c>
      <c r="E34" s="349" t="s">
        <v>36</v>
      </c>
      <c r="F34" s="349" t="s">
        <v>48</v>
      </c>
      <c r="G34" s="347" t="str">
        <f t="shared" si="2"/>
        <v/>
      </c>
      <c r="H34" s="347">
        <f t="shared" si="3"/>
        <v>0.003571428571</v>
      </c>
      <c r="I34" s="348">
        <f t="shared" si="4"/>
        <v>0.01428571429</v>
      </c>
      <c r="J34" s="6"/>
      <c r="K34" s="299" t="s">
        <v>36</v>
      </c>
      <c r="L34" s="361">
        <f>IFERROR(
  (
    SUMIFS(G:G, A:A, FALSE, F:F, "♢", E:E, K34) * K20 +
    SUMIFS(G:G, A:A, FALSE, F:F, "♢♢", E:E, K34) * K21 +
    SUMIFS(G:G, A:A, FALSE, F:F, "♢♢♢", E:E, K34) * K22 +
    SUMIFS(G:G, A:A, FALSE, F:F, "♢♢♢♢", E:E, K34) * K23 +
    SUMIFS(G:G, A:A, FALSE, F:F, "☆", E:E, K34) * M20 +
    SUMIFS(G:G, A:A, FALSE, F:F, "☆☆", E:E, K34) * M21 +
    SUMIFS(G:G, A:A, FALSE, F:F, "☆☆☆", E:E, K34) * M22 +
    SUMIFS(G:G, A:A, FALSE, F:F, "♛", E:E, K34) * M23
  ) +
  (
    SUMIFS(G:G, A:A, FALSE, F:F, "♢", E:E, K29) * K20 +
    SUMIFS(G:G, A:A, FALSE, F:F, "♢♢", E:E, K29) * K21 +
    SUMIFS(G:G, A:A, FALSE, F:F, "♢♢♢", E:E, K29) * K22 +
    SUMIFS(G:G, A:A, FALSE, F:F, "♢♢♢♢", E:E, K29) * K23 +
    SUMIFS(G:G, A:A, FALSE, F:F, "☆", E:E, K29) * M20 +
    SUMIFS(G:G, A:A, FALSE, F:F, "☆☆", E:E, K29) * M21 +
    SUMIFS(G:G, A:A, FALSE, F:F, "☆☆☆", E:E, K29) * M22 +
    SUMIFS(G:G, A:A, FALSE, F:F, "♛", E:E, K29) * M23 +
    (COUNTIFS(G:G, "x", A:A, FALSE) * L48) * K20
  ),
  0
)
</f>
        <v>1</v>
      </c>
      <c r="M34" s="361">
        <f>IFERROR(
  (
    SUMIFS(H:H, A:A, FALSE, F:F, "♢", E:E, K34) * K20 +
    SUMIFS(H:H, A:A, FALSE, F:F, "♢♢", E:E, K34) * K21 +
    SUMIFS(H:H, A:A, FALSE, F:F, "♢♢♢", E:E, K34) * K22 +
    SUMIFS(H:H, A:A, FALSE, F:F, "♢♢♢♢", E:E, K34) * K23 +
    SUMIFS(H:H, A:A, FALSE, F:F, "☆", E:E, K34) * M20 +
    SUMIFS(H:H, A:A, FALSE, F:F, "☆☆", E:E, K34) * M21 +
    SUMIFS(H:H, A:A, FALSE, F:F, "☆☆☆", E:E, K34) * M22 +
    SUMIFS(H:H, A:A, FALSE, F:F, "♛", E:E, K34) * M23
  ) +
  (
    SUMIFS(H:H, A:A, FALSE, F:F, "♢", E:E, K29) *K20  +
    SUMIFS(H:H, A:A, FALSE, F:F, "♢♢", E:E, K29) *K21  +
    SUMIFS(H:H, A:A, FALSE, F:F, "♢♢♢", E:E, K29) *K22  +
    SUMIFS(H:H, A:A, FALSE, F:F, "♢♢♢♢", E:E, K29) *K23  +
    SUMIFS(H:H, A:A, FALSE, F:F, "☆", E:E, K29) *M20  +
    SUMIFS(H:H, A:A, FALSE, F:F, "☆☆", E:E, K29) *M21  +
    SUMIFS(H:H, A:A, FALSE, F:F, "☆☆☆", E:E, K29) *M22  +
    SUMIFS(H:H, A:A, FALSE, F:F, "♛", E:E, K29) *M23  +
    (COUNTIFS(H:H, "x", A:A, FALSE) * M48) *K21 
  ),
  0
)
</f>
        <v>1</v>
      </c>
      <c r="N34" s="362">
        <f>IFERROR(
  (
    SUMIFS(I:I, A:A, FALSE, F:F, "♢", E:E, K34) * K20 +
    SUMIFS(I:I, A:A, FALSE, F:F, "♢♢", E:E, K34) * K21 +
    SUMIFS(I:I, A:A, FALSE, F:F, "♢♢♢", E:E, K34) * K22 +
    SUMIFS(I:I, A:A, FALSE, F:F, "♢♢♢♢", E:E, K34) * K23 +
    SUMIFS(I:I, A:A, FALSE, F:F, "☆", E:E, K34) * M20 +
    SUMIFS(I:I, A:A, FALSE, F:F, "☆☆", E:E, K34) * M21 +
    SUMIFS(I:I, A:A, FALSE, F:F, "☆☆☆", E:E, K34) * M22 +
    SUMIFS(I:I, A:A, FALSE, F:F, "♛", E:E, K34) * M23
  ) +
  (
    SUMIFS(I:I, A:A, FALSE, F:F, "♢", E:E, K29) *K20  +
    SUMIFS(I:I, A:A, FALSE, F:F, "♢♢", E:E, K29) *K21  +
    SUMIFS(I:I, A:A, FALSE, F:F, "♢♢♢", E:E, K29) *K22  +
    SUMIFS(I:I, A:A, FALSE, F:F, "♢♢♢♢", E:E, K29) *K23  +
    SUMIFS(I:I, A:A, FALSE, F:F, "☆", E:E, K29) *M20  +
    SUMIFS(I:I, A:A, FALSE, F:F, "☆☆", E:E, K29) *M21  +
    SUMIFS(I:I, A:A, FALSE, F:F, "☆☆☆", E:E, K29) *M22  +
    SUMIFS(I:I, A:A, FALSE, F:F, "♛", E:E, K29) *M23  +
    (COUNTIFS(I:I, "x", A:A, FALSE) * N48) *K21 
  ),
  0
)
</f>
        <v>1</v>
      </c>
      <c r="O34" s="125"/>
      <c r="P34" s="353" t="s">
        <v>874</v>
      </c>
    </row>
    <row r="35">
      <c r="A35" s="275" t="b">
        <f t="shared" si="1"/>
        <v>0</v>
      </c>
      <c r="B35" s="276">
        <v>0.0</v>
      </c>
      <c r="C35" s="277" t="s">
        <v>875</v>
      </c>
      <c r="D35" s="294" t="s">
        <v>876</v>
      </c>
      <c r="E35" s="349" t="s">
        <v>38</v>
      </c>
      <c r="F35" s="349" t="s">
        <v>46</v>
      </c>
      <c r="G35" s="347" t="str">
        <f t="shared" si="2"/>
        <v/>
      </c>
      <c r="H35" s="347">
        <f t="shared" si="3"/>
        <v>0.025</v>
      </c>
      <c r="I35" s="348">
        <f t="shared" si="4"/>
        <v>0.01666666667</v>
      </c>
      <c r="J35" s="6"/>
      <c r="K35" s="299" t="s">
        <v>38</v>
      </c>
      <c r="L35" s="363">
        <f>IFERROR(
  (
    SUMIFS(G:G, A:A, FALSE, F:F, "♢", E:E, K35) * K20 +
    SUMIFS(G:G, A:A, FALSE, F:F, "♢♢", E:E, K35) * K21 +
    SUMIFS(G:G, A:A, FALSE, F:F, "♢♢♢", E:E, K35) * K22 +
    SUMIFS(G:G, A:A, FALSE, F:F, "♢♢♢♢", E:E, K35) * K23 +
    SUMIFS(G:G, A:A, FALSE, F:F, "☆", E:E, K35) * M20 +
    SUMIFS(G:G, A:A, FALSE, F:F, "☆☆", E:E, K35) * M21 +
    SUMIFS(G:G, A:A, FALSE, F:F, "☆☆☆", E:E, K35) * M22 +
    SUMIFS(G:G, A:A, FALSE, F:F, "♛", E:E, K35) * M23
  ) +
  (
    SUMIFS(G:G, A:A, FALSE, F:F, "♢", E:E, K29) * K20 +
    SUMIFS(G:G, A:A, FALSE, F:F, "♢♢", E:E, K29) * K21 +
    SUMIFS(G:G, A:A, FALSE, F:F, "♢♢♢", E:E, K29) * K22 +
    SUMIFS(G:G, A:A, FALSE, F:F, "♢♢♢♢", E:E, K29) * K23 +
    SUMIFS(G:G, A:A, FALSE, F:F, "☆", E:E, K29) * M20 +
    SUMIFS(G:G, A:A, FALSE, F:F, "☆☆", E:E, K29) * M21 +
    SUMIFS(G:G, A:A, FALSE, F:F, "☆☆☆", E:E, K29) * M22 +
    SUMIFS(G:G, A:A, FALSE, F:F, "♛", E:E, K29) * M23 +
    (COUNTIFS(G:G, "x", A:A, FALSE) * L49) * K20
  ),
  0
)
</f>
        <v>1</v>
      </c>
      <c r="M35" s="363">
        <f>IFERROR(
  (
    SUMIFS(H:H, A:A, FALSE, F:F, "♢", E:E, K35) * K20 +
    SUMIFS(H:H, A:A, FALSE, F:F, "♢♢", E:E, K35) * K21 +
    SUMIFS(H:H, A:A, FALSE, F:F, "♢♢♢", E:E, K35) * K22 +
    SUMIFS(H:H, A:A, FALSE, F:F, "♢♢♢♢", E:E, K35) * K23 +
    SUMIFS(H:H, A:A, FALSE, F:F, "☆", E:E, K35) * M20 +
    SUMIFS(H:H, A:A, FALSE, F:F, "☆☆", E:E, K35) * M21 +
    SUMIFS(H:H, A:A, FALSE, F:F, "☆☆☆", E:E, K35) * M22 +
    SUMIFS(H:H, A:A, FALSE, F:F, "♛", E:E, K35) * M23
  ) +
  (
    SUMIFS(H:H, A:A, FALSE, F:F, "♢", E:E, K29) *K20  +
    SUMIFS(H:H, A:A, FALSE, F:F, "♢♢", E:E, K29) *K21  +
    SUMIFS(H:H, A:A, FALSE, F:F, "♢♢♢", E:E, K29) *K22  +
    SUMIFS(H:H, A:A, FALSE, F:F, "♢♢♢♢", E:E, K29) *K23  +
    SUMIFS(H:H, A:A, FALSE, F:F, "☆", E:E, K29) *M20  +
    SUMIFS(H:H, A:A, FALSE, F:F, "☆☆", E:E, K29) *M21  +
    SUMIFS(H:H, A:A, FALSE, F:F, "☆☆☆", E:E, K29) *M22  +
    SUMIFS(H:H, A:A, FALSE, F:F, "♛", E:E, K29) *M23  +
    (COUNTIFS(H:H, "x", A:A, FALSE) * M49) *K21 
  ),
  0
)
</f>
        <v>1</v>
      </c>
      <c r="N35" s="364">
        <f>IFERROR(
  (
    SUMIFS(I:I, A:A, FALSE, F:F, "♢", E:E, K35) * K20 +
    SUMIFS(I:I, A:A, FALSE, F:F, "♢♢", E:E, K35) * K21 +
    SUMIFS(I:I, A:A, FALSE, F:F, "♢♢♢", E:E, K35) * K22 +
    SUMIFS(I:I, A:A, FALSE, F:F, "♢♢♢♢", E:E, K35) * K23 +
    SUMIFS(I:I, A:A, FALSE, F:F, "☆", E:E, K35) * M20 +
    SUMIFS(I:I, A:A, FALSE, F:F, "☆☆", E:E, K35) * M21 +
    SUMIFS(I:I, A:A, FALSE, F:F, "☆☆☆", E:E, K35) * M22 +
    SUMIFS(I:I, A:A, FALSE, F:F, "♛", E:E, K35) * M23
  ) +
  (
    SUMIFS(I:I, A:A, FALSE, F:F, "♢", E:E, K29) *K20  +
    SUMIFS(I:I, A:A, FALSE, F:F, "♢♢", E:E, K29) *K21  +
    SUMIFS(I:I, A:A, FALSE, F:F, "♢♢♢", E:E, K29) *K22  +
    SUMIFS(I:I, A:A, FALSE, F:F, "♢♢♢♢", E:E, K29) *K23  +
    SUMIFS(I:I, A:A, FALSE, F:F, "☆", E:E, K29) *M20  +
    SUMIFS(I:I, A:A, FALSE, F:F, "☆☆", E:E, K29) *M21  +
    SUMIFS(I:I, A:A, FALSE, F:F, "☆☆☆", E:E, K29) *M22  +
    SUMIFS(I:I, A:A, FALSE, F:F, "♛", E:E, K29) *M23  +
    (COUNTIFS(I:I, "x", A:A, FALSE) * N49) *K21 
  ),
  0
)
</f>
        <v>1</v>
      </c>
      <c r="O35" s="125"/>
    </row>
    <row r="36">
      <c r="A36" s="275" t="b">
        <f t="shared" si="1"/>
        <v>0</v>
      </c>
      <c r="B36" s="276">
        <v>0.0</v>
      </c>
      <c r="C36" s="277" t="s">
        <v>877</v>
      </c>
      <c r="D36" s="294" t="s">
        <v>878</v>
      </c>
      <c r="E36" s="349" t="s">
        <v>38</v>
      </c>
      <c r="F36" s="349" t="s">
        <v>44</v>
      </c>
      <c r="G36" s="347">
        <f t="shared" si="2"/>
        <v>0.02272727273</v>
      </c>
      <c r="H36" s="347" t="str">
        <f t="shared" si="3"/>
        <v/>
      </c>
      <c r="I36" s="348" t="str">
        <f t="shared" si="4"/>
        <v/>
      </c>
      <c r="J36" s="6"/>
      <c r="K36" s="316" t="s">
        <v>167</v>
      </c>
      <c r="L36" s="317" t="str">
        <f>IF(L34 = MAX(L34:L35), K34, K35)</f>
        <v>A2-Dialga</v>
      </c>
      <c r="M36" s="317" t="str">
        <f>IF(M34 = MAX(M34:M35), K34, K35)</f>
        <v>A2-Dialga</v>
      </c>
      <c r="N36" s="318" t="str">
        <f>IF(N34 = MAX(N34:N35), K34, K35)</f>
        <v>A2-Dialga</v>
      </c>
      <c r="O36" s="125"/>
    </row>
    <row r="37">
      <c r="A37" s="275" t="b">
        <f t="shared" si="1"/>
        <v>0</v>
      </c>
      <c r="B37" s="276">
        <v>0.0</v>
      </c>
      <c r="C37" s="277" t="s">
        <v>879</v>
      </c>
      <c r="D37" s="294" t="s">
        <v>880</v>
      </c>
      <c r="E37" s="349" t="s">
        <v>38</v>
      </c>
      <c r="F37" s="349" t="s">
        <v>46</v>
      </c>
      <c r="G37" s="347" t="str">
        <f t="shared" si="2"/>
        <v/>
      </c>
      <c r="H37" s="347">
        <f t="shared" si="3"/>
        <v>0.025</v>
      </c>
      <c r="I37" s="348">
        <f t="shared" si="4"/>
        <v>0.01666666667</v>
      </c>
      <c r="J37" s="6"/>
      <c r="K37" s="10"/>
      <c r="L37" s="10"/>
      <c r="M37" s="10"/>
      <c r="N37" s="195"/>
      <c r="O37" s="125"/>
    </row>
    <row r="38">
      <c r="A38" s="275" t="b">
        <f t="shared" si="1"/>
        <v>0</v>
      </c>
      <c r="B38" s="276">
        <v>0.0</v>
      </c>
      <c r="C38" s="277" t="s">
        <v>881</v>
      </c>
      <c r="D38" s="294" t="s">
        <v>882</v>
      </c>
      <c r="E38" s="349" t="s">
        <v>38</v>
      </c>
      <c r="F38" s="349" t="s">
        <v>48</v>
      </c>
      <c r="G38" s="347" t="str">
        <f t="shared" si="2"/>
        <v/>
      </c>
      <c r="H38" s="347">
        <f t="shared" si="3"/>
        <v>0.003571428571</v>
      </c>
      <c r="I38" s="348">
        <f t="shared" si="4"/>
        <v>0.01428571429</v>
      </c>
      <c r="J38" s="282"/>
      <c r="K38" s="319" t="s">
        <v>883</v>
      </c>
      <c r="N38" s="172"/>
      <c r="O38" s="125"/>
    </row>
    <row r="39">
      <c r="A39" s="275" t="b">
        <f t="shared" si="1"/>
        <v>0</v>
      </c>
      <c r="B39" s="276">
        <v>0.0</v>
      </c>
      <c r="C39" s="277" t="s">
        <v>884</v>
      </c>
      <c r="D39" s="294" t="s">
        <v>885</v>
      </c>
      <c r="E39" s="349" t="s">
        <v>805</v>
      </c>
      <c r="F39" s="349" t="s">
        <v>44</v>
      </c>
      <c r="G39" s="347" t="str">
        <f t="shared" si="2"/>
        <v>x</v>
      </c>
      <c r="H39" s="347" t="str">
        <f t="shared" si="3"/>
        <v/>
      </c>
      <c r="I39" s="348" t="str">
        <f t="shared" si="4"/>
        <v/>
      </c>
      <c r="J39" s="282"/>
      <c r="K39" s="299" t="s">
        <v>36</v>
      </c>
      <c r="L39" s="365">
        <f t="shared" ref="L39:L40" si="8">1-((1-L34)^3*(1-M34)*(1-N34))</f>
        <v>1</v>
      </c>
      <c r="M39" s="322" t="s">
        <v>886</v>
      </c>
      <c r="N39" s="172"/>
      <c r="O39" s="125"/>
      <c r="P39" s="352" t="s">
        <v>887</v>
      </c>
    </row>
    <row r="40">
      <c r="A40" s="275" t="b">
        <f t="shared" si="1"/>
        <v>0</v>
      </c>
      <c r="B40" s="276">
        <v>0.0</v>
      </c>
      <c r="C40" s="277" t="s">
        <v>888</v>
      </c>
      <c r="D40" s="294" t="s">
        <v>889</v>
      </c>
      <c r="E40" s="349" t="s">
        <v>805</v>
      </c>
      <c r="F40" s="349" t="s">
        <v>46</v>
      </c>
      <c r="G40" s="347" t="str">
        <f t="shared" si="2"/>
        <v/>
      </c>
      <c r="H40" s="347" t="str">
        <f t="shared" si="3"/>
        <v>x</v>
      </c>
      <c r="I40" s="348" t="str">
        <f t="shared" si="4"/>
        <v>x</v>
      </c>
      <c r="J40" s="282"/>
      <c r="K40" s="299" t="s">
        <v>38</v>
      </c>
      <c r="L40" s="365">
        <f t="shared" si="8"/>
        <v>1</v>
      </c>
      <c r="M40" s="23"/>
      <c r="N40" s="366"/>
      <c r="O40" s="125"/>
    </row>
    <row r="41">
      <c r="A41" s="275" t="b">
        <f t="shared" si="1"/>
        <v>0</v>
      </c>
      <c r="B41" s="276">
        <v>0.0</v>
      </c>
      <c r="C41" s="277" t="s">
        <v>890</v>
      </c>
      <c r="D41" s="294" t="s">
        <v>891</v>
      </c>
      <c r="E41" s="349" t="s">
        <v>38</v>
      </c>
      <c r="F41" s="349" t="s">
        <v>44</v>
      </c>
      <c r="G41" s="347">
        <f t="shared" si="2"/>
        <v>0.02272727273</v>
      </c>
      <c r="H41" s="347" t="str">
        <f t="shared" si="3"/>
        <v/>
      </c>
      <c r="I41" s="348" t="str">
        <f t="shared" si="4"/>
        <v/>
      </c>
      <c r="J41" s="282"/>
      <c r="K41" s="320" t="s">
        <v>34</v>
      </c>
      <c r="L41" s="321">
        <f>'Mythical Island'!L33</f>
        <v>1</v>
      </c>
      <c r="M41" s="23"/>
      <c r="N41" s="366"/>
      <c r="O41" s="125"/>
    </row>
    <row r="42">
      <c r="A42" s="275" t="b">
        <f t="shared" si="1"/>
        <v>0</v>
      </c>
      <c r="B42" s="276">
        <v>0.0</v>
      </c>
      <c r="C42" s="277" t="s">
        <v>892</v>
      </c>
      <c r="D42" s="294" t="s">
        <v>893</v>
      </c>
      <c r="E42" s="349" t="s">
        <v>38</v>
      </c>
      <c r="F42" s="349" t="s">
        <v>46</v>
      </c>
      <c r="G42" s="347" t="str">
        <f t="shared" si="2"/>
        <v/>
      </c>
      <c r="H42" s="347">
        <f t="shared" si="3"/>
        <v>0.025</v>
      </c>
      <c r="I42" s="348">
        <f t="shared" si="4"/>
        <v>0.01666666667</v>
      </c>
      <c r="J42" s="282"/>
      <c r="K42" s="299" t="s">
        <v>29</v>
      </c>
      <c r="L42" s="323">
        <f>'Genetic Apex'!L43</f>
        <v>0.00199936</v>
      </c>
      <c r="M42" s="23"/>
      <c r="N42" s="366"/>
      <c r="O42" s="125"/>
      <c r="P42" s="367"/>
    </row>
    <row r="43">
      <c r="A43" s="275" t="b">
        <f t="shared" si="1"/>
        <v>0</v>
      </c>
      <c r="B43" s="276">
        <v>0.0</v>
      </c>
      <c r="C43" s="277" t="s">
        <v>894</v>
      </c>
      <c r="D43" s="294" t="s">
        <v>702</v>
      </c>
      <c r="E43" s="349" t="s">
        <v>805</v>
      </c>
      <c r="F43" s="349" t="s">
        <v>44</v>
      </c>
      <c r="G43" s="347" t="str">
        <f t="shared" si="2"/>
        <v>x</v>
      </c>
      <c r="H43" s="347" t="str">
        <f t="shared" si="3"/>
        <v/>
      </c>
      <c r="I43" s="348" t="str">
        <f t="shared" si="4"/>
        <v/>
      </c>
      <c r="J43" s="282"/>
      <c r="K43" s="324" t="s">
        <v>31</v>
      </c>
      <c r="L43" s="325">
        <f>'Genetic Apex'!L44</f>
        <v>0.00199936</v>
      </c>
      <c r="M43" s="312" t="str">
        <f>IF(L41 = MAX(L39:L44), K41, IF(L39 = MAX(L39:L44), K39, IF(L40 = MAX(L40:L44), K40, IF(L42 = MAX(L39:L44), K42, IF(L43 = MAX(L39:L44), K43, K44)))))</f>
        <v>A1a</v>
      </c>
      <c r="N43" s="172"/>
    </row>
    <row r="44">
      <c r="A44" s="275" t="b">
        <f t="shared" si="1"/>
        <v>0</v>
      </c>
      <c r="B44" s="276">
        <v>0.0</v>
      </c>
      <c r="C44" s="277" t="s">
        <v>895</v>
      </c>
      <c r="D44" s="294" t="s">
        <v>704</v>
      </c>
      <c r="E44" s="349" t="s">
        <v>805</v>
      </c>
      <c r="F44" s="349" t="s">
        <v>46</v>
      </c>
      <c r="G44" s="347" t="str">
        <f t="shared" si="2"/>
        <v/>
      </c>
      <c r="H44" s="347" t="str">
        <f t="shared" si="3"/>
        <v>x</v>
      </c>
      <c r="I44" s="348" t="str">
        <f t="shared" si="4"/>
        <v>x</v>
      </c>
      <c r="J44" s="282"/>
      <c r="K44" s="326" t="s">
        <v>32</v>
      </c>
      <c r="L44" s="327">
        <f>'Genetic Apex'!L45</f>
        <v>0.00199936</v>
      </c>
      <c r="M44" s="166"/>
      <c r="N44" s="213"/>
    </row>
    <row r="45">
      <c r="A45" s="275" t="b">
        <f t="shared" si="1"/>
        <v>0</v>
      </c>
      <c r="B45" s="276">
        <v>0.0</v>
      </c>
      <c r="C45" s="277" t="s">
        <v>896</v>
      </c>
      <c r="D45" s="294" t="s">
        <v>897</v>
      </c>
      <c r="E45" s="349" t="s">
        <v>805</v>
      </c>
      <c r="F45" s="349" t="s">
        <v>44</v>
      </c>
      <c r="G45" s="347" t="str">
        <f t="shared" si="2"/>
        <v>x</v>
      </c>
      <c r="H45" s="347" t="str">
        <f t="shared" si="3"/>
        <v/>
      </c>
      <c r="I45" s="348" t="str">
        <f t="shared" si="4"/>
        <v/>
      </c>
      <c r="J45" s="282"/>
      <c r="K45" s="368" t="s">
        <v>898</v>
      </c>
      <c r="L45" s="369"/>
      <c r="M45" s="369"/>
      <c r="N45" s="370"/>
      <c r="O45" s="125"/>
      <c r="P45" s="360" t="s">
        <v>899</v>
      </c>
    </row>
    <row r="46">
      <c r="A46" s="275" t="b">
        <f t="shared" si="1"/>
        <v>0</v>
      </c>
      <c r="B46" s="276">
        <v>0.0</v>
      </c>
      <c r="C46" s="277" t="s">
        <v>900</v>
      </c>
      <c r="D46" s="294" t="s">
        <v>901</v>
      </c>
      <c r="E46" s="349" t="s">
        <v>805</v>
      </c>
      <c r="F46" s="349" t="s">
        <v>46</v>
      </c>
      <c r="G46" s="347" t="str">
        <f t="shared" si="2"/>
        <v/>
      </c>
      <c r="H46" s="347" t="str">
        <f t="shared" si="3"/>
        <v>x</v>
      </c>
      <c r="I46" s="348" t="str">
        <f t="shared" si="4"/>
        <v>x</v>
      </c>
      <c r="J46" s="282"/>
      <c r="K46" s="371" t="s">
        <v>902</v>
      </c>
      <c r="L46" s="372" t="s">
        <v>44</v>
      </c>
      <c r="M46" s="373" t="s">
        <v>46</v>
      </c>
      <c r="N46" s="374"/>
      <c r="O46" s="125"/>
      <c r="P46" s="353" t="s">
        <v>903</v>
      </c>
    </row>
    <row r="47">
      <c r="A47" s="275" t="b">
        <f t="shared" si="1"/>
        <v>0</v>
      </c>
      <c r="B47" s="276">
        <v>0.0</v>
      </c>
      <c r="C47" s="277" t="s">
        <v>904</v>
      </c>
      <c r="D47" s="294" t="s">
        <v>905</v>
      </c>
      <c r="E47" s="349" t="s">
        <v>38</v>
      </c>
      <c r="F47" s="349" t="s">
        <v>48</v>
      </c>
      <c r="G47" s="347" t="str">
        <f t="shared" si="2"/>
        <v/>
      </c>
      <c r="H47" s="347">
        <f t="shared" si="3"/>
        <v>0.003571428571</v>
      </c>
      <c r="I47" s="348">
        <f t="shared" si="4"/>
        <v>0.01428571429</v>
      </c>
      <c r="J47" s="282"/>
      <c r="K47" s="375"/>
      <c r="L47" s="372" t="s">
        <v>54</v>
      </c>
      <c r="M47" s="373" t="s">
        <v>55</v>
      </c>
      <c r="N47" s="376" t="s">
        <v>56</v>
      </c>
      <c r="O47" s="125"/>
    </row>
    <row r="48">
      <c r="A48" s="275" t="b">
        <f t="shared" si="1"/>
        <v>0</v>
      </c>
      <c r="B48" s="276">
        <v>0.0</v>
      </c>
      <c r="C48" s="277" t="s">
        <v>906</v>
      </c>
      <c r="D48" s="294" t="s">
        <v>907</v>
      </c>
      <c r="E48" s="349" t="s">
        <v>805</v>
      </c>
      <c r="F48" s="349" t="s">
        <v>44</v>
      </c>
      <c r="G48" s="347" t="str">
        <f t="shared" si="2"/>
        <v>x</v>
      </c>
      <c r="H48" s="347" t="str">
        <f t="shared" si="3"/>
        <v/>
      </c>
      <c r="I48" s="348" t="str">
        <f t="shared" si="4"/>
        <v/>
      </c>
      <c r="J48" s="282"/>
      <c r="K48" s="377" t="s">
        <v>908</v>
      </c>
      <c r="L48" s="378">
        <f>$L$3/(COUNTIFS(F:F, "♢", E:E, $K$15) + COUNTIFS(F:F, "♢", E:E, $K$17))</f>
        <v>0.02173913043</v>
      </c>
      <c r="M48" s="379">
        <f>$M$4/(COUNTIFS(F:F, "♢♢", E:E, $K$15) + COUNTIFS(F:F, "♢♢", E:E, $K$17))</f>
        <v>0.02647058824</v>
      </c>
      <c r="N48" s="380">
        <f>$N$4/(COUNTIFS(F:F, "♢♢", E:E, $K$15) + COUNTIFS(F:F, "♢♢", E:E, $K$17))</f>
        <v>0.01764705882</v>
      </c>
      <c r="O48" s="125"/>
    </row>
    <row r="49">
      <c r="A49" s="275" t="b">
        <f t="shared" si="1"/>
        <v>0</v>
      </c>
      <c r="B49" s="276">
        <v>0.0</v>
      </c>
      <c r="C49" s="277" t="s">
        <v>909</v>
      </c>
      <c r="D49" s="294" t="s">
        <v>910</v>
      </c>
      <c r="E49" s="349" t="s">
        <v>805</v>
      </c>
      <c r="F49" s="349" t="s">
        <v>44</v>
      </c>
      <c r="G49" s="347" t="str">
        <f t="shared" si="2"/>
        <v>x</v>
      </c>
      <c r="H49" s="347" t="str">
        <f t="shared" si="3"/>
        <v/>
      </c>
      <c r="I49" s="348" t="str">
        <f t="shared" si="4"/>
        <v/>
      </c>
      <c r="J49" s="282"/>
      <c r="K49" s="381" t="s">
        <v>911</v>
      </c>
      <c r="L49" s="382">
        <f>$L$3/(COUNTIFS(F:F, "♢", E:E, $K$16) + COUNTIFS(F:F, "♢", E:E, $K$17))</f>
        <v>0.02272727273</v>
      </c>
      <c r="M49" s="383">
        <f>$M$4/(COUNTIFS(F:F, "♢♢", E:E, $K$16) + COUNTIFS(F:F, "♢♢", E:E, $K$17))</f>
        <v>0.025</v>
      </c>
      <c r="N49" s="384">
        <f>$N$4/(COUNTIFS(F:F, "♢♢", E:E, $K$16) + COUNTIFS(F:F, "♢♢", E:E, $K$17))</f>
        <v>0.01666666667</v>
      </c>
      <c r="O49" s="125"/>
    </row>
    <row r="50">
      <c r="A50" s="275" t="b">
        <f t="shared" si="1"/>
        <v>0</v>
      </c>
      <c r="B50" s="276">
        <v>0.0</v>
      </c>
      <c r="C50" s="277" t="s">
        <v>912</v>
      </c>
      <c r="D50" s="294" t="s">
        <v>913</v>
      </c>
      <c r="E50" s="349" t="s">
        <v>38</v>
      </c>
      <c r="F50" s="349" t="s">
        <v>51</v>
      </c>
      <c r="G50" s="347" t="str">
        <f t="shared" si="2"/>
        <v/>
      </c>
      <c r="H50" s="347">
        <f t="shared" si="3"/>
        <v>0.003332</v>
      </c>
      <c r="I50" s="348">
        <f t="shared" si="4"/>
        <v>0.013328</v>
      </c>
      <c r="J50" s="282"/>
      <c r="K50" s="346"/>
      <c r="L50" s="23"/>
      <c r="M50" s="23"/>
      <c r="N50" s="23"/>
      <c r="O50" s="125"/>
      <c r="P50" s="125"/>
    </row>
    <row r="51">
      <c r="A51" s="275" t="b">
        <f t="shared" si="1"/>
        <v>0</v>
      </c>
      <c r="B51" s="276">
        <v>0.0</v>
      </c>
      <c r="C51" s="277" t="s">
        <v>914</v>
      </c>
      <c r="D51" s="294" t="s">
        <v>915</v>
      </c>
      <c r="E51" s="349" t="s">
        <v>38</v>
      </c>
      <c r="F51" s="349" t="s">
        <v>46</v>
      </c>
      <c r="G51" s="347" t="str">
        <f t="shared" si="2"/>
        <v/>
      </c>
      <c r="H51" s="347">
        <f t="shared" si="3"/>
        <v>0.025</v>
      </c>
      <c r="I51" s="348">
        <f t="shared" si="4"/>
        <v>0.01666666667</v>
      </c>
      <c r="J51" s="282"/>
      <c r="K51" s="385"/>
      <c r="L51" s="23"/>
      <c r="M51" s="23"/>
      <c r="N51" s="23"/>
      <c r="O51" s="125"/>
      <c r="P51" s="125"/>
    </row>
    <row r="52">
      <c r="A52" s="275" t="b">
        <f t="shared" si="1"/>
        <v>0</v>
      </c>
      <c r="B52" s="276">
        <v>0.0</v>
      </c>
      <c r="C52" s="277" t="s">
        <v>916</v>
      </c>
      <c r="D52" s="294" t="s">
        <v>305</v>
      </c>
      <c r="E52" s="349" t="s">
        <v>805</v>
      </c>
      <c r="F52" s="349" t="s">
        <v>44</v>
      </c>
      <c r="G52" s="347" t="str">
        <f t="shared" si="2"/>
        <v>x</v>
      </c>
      <c r="H52" s="347" t="str">
        <f t="shared" si="3"/>
        <v/>
      </c>
      <c r="I52" s="348" t="str">
        <f t="shared" si="4"/>
        <v/>
      </c>
      <c r="J52" s="282"/>
      <c r="K52" s="23"/>
      <c r="L52" s="23"/>
      <c r="M52" s="23"/>
      <c r="N52" s="23"/>
      <c r="O52" s="125"/>
      <c r="P52" s="125"/>
    </row>
    <row r="53">
      <c r="A53" s="275" t="b">
        <f t="shared" si="1"/>
        <v>0</v>
      </c>
      <c r="B53" s="276">
        <v>0.0</v>
      </c>
      <c r="C53" s="277" t="s">
        <v>917</v>
      </c>
      <c r="D53" s="294" t="s">
        <v>307</v>
      </c>
      <c r="E53" s="349" t="s">
        <v>805</v>
      </c>
      <c r="F53" s="349" t="s">
        <v>46</v>
      </c>
      <c r="G53" s="347" t="str">
        <f t="shared" si="2"/>
        <v/>
      </c>
      <c r="H53" s="347" t="str">
        <f t="shared" si="3"/>
        <v>x</v>
      </c>
      <c r="I53" s="348" t="str">
        <f t="shared" si="4"/>
        <v>x</v>
      </c>
      <c r="J53" s="282"/>
      <c r="K53" s="23"/>
      <c r="L53" s="23"/>
      <c r="M53" s="23"/>
      <c r="N53" s="23"/>
      <c r="O53" s="125"/>
      <c r="P53" s="125"/>
    </row>
    <row r="54">
      <c r="A54" s="275" t="b">
        <f t="shared" si="1"/>
        <v>0</v>
      </c>
      <c r="B54" s="276">
        <v>0.0</v>
      </c>
      <c r="C54" s="277" t="s">
        <v>918</v>
      </c>
      <c r="D54" s="294" t="s">
        <v>919</v>
      </c>
      <c r="E54" s="349" t="s">
        <v>805</v>
      </c>
      <c r="F54" s="349" t="s">
        <v>48</v>
      </c>
      <c r="G54" s="347" t="str">
        <f t="shared" si="2"/>
        <v/>
      </c>
      <c r="H54" s="347">
        <f t="shared" si="3"/>
        <v>0.003571428571</v>
      </c>
      <c r="I54" s="348">
        <f t="shared" si="4"/>
        <v>0.01428571429</v>
      </c>
      <c r="J54" s="282"/>
      <c r="K54" s="23"/>
      <c r="L54" s="23"/>
      <c r="M54" s="23"/>
      <c r="N54" s="23"/>
      <c r="O54" s="125"/>
      <c r="P54" s="125"/>
    </row>
    <row r="55">
      <c r="A55" s="275" t="b">
        <f t="shared" si="1"/>
        <v>0</v>
      </c>
      <c r="B55" s="276">
        <v>0.0</v>
      </c>
      <c r="C55" s="277" t="s">
        <v>920</v>
      </c>
      <c r="D55" s="294" t="s">
        <v>309</v>
      </c>
      <c r="E55" s="349" t="s">
        <v>805</v>
      </c>
      <c r="F55" s="349" t="s">
        <v>44</v>
      </c>
      <c r="G55" s="347" t="str">
        <f t="shared" si="2"/>
        <v>x</v>
      </c>
      <c r="H55" s="347" t="str">
        <f t="shared" si="3"/>
        <v/>
      </c>
      <c r="I55" s="348" t="str">
        <f t="shared" si="4"/>
        <v/>
      </c>
      <c r="J55" s="282"/>
      <c r="K55" s="23"/>
      <c r="L55" s="23"/>
      <c r="M55" s="23"/>
      <c r="N55" s="23"/>
      <c r="O55" s="125"/>
      <c r="P55" s="125"/>
    </row>
    <row r="56">
      <c r="A56" s="275" t="b">
        <f t="shared" si="1"/>
        <v>0</v>
      </c>
      <c r="B56" s="276">
        <v>0.0</v>
      </c>
      <c r="C56" s="277" t="s">
        <v>921</v>
      </c>
      <c r="D56" s="294" t="s">
        <v>311</v>
      </c>
      <c r="E56" s="349" t="s">
        <v>805</v>
      </c>
      <c r="F56" s="349" t="s">
        <v>46</v>
      </c>
      <c r="G56" s="347" t="str">
        <f t="shared" si="2"/>
        <v/>
      </c>
      <c r="H56" s="347" t="str">
        <f t="shared" si="3"/>
        <v>x</v>
      </c>
      <c r="I56" s="348" t="str">
        <f t="shared" si="4"/>
        <v>x</v>
      </c>
      <c r="J56" s="282"/>
      <c r="K56" s="23"/>
      <c r="L56" s="23"/>
      <c r="M56" s="23"/>
      <c r="N56" s="23"/>
      <c r="O56" s="125"/>
      <c r="P56" s="125"/>
    </row>
    <row r="57">
      <c r="A57" s="275" t="b">
        <f t="shared" si="1"/>
        <v>0</v>
      </c>
      <c r="B57" s="276">
        <v>0.0</v>
      </c>
      <c r="C57" s="277" t="s">
        <v>922</v>
      </c>
      <c r="D57" s="294" t="s">
        <v>313</v>
      </c>
      <c r="E57" s="349" t="s">
        <v>36</v>
      </c>
      <c r="F57" s="349" t="s">
        <v>44</v>
      </c>
      <c r="G57" s="347">
        <f t="shared" si="2"/>
        <v>0.02173913043</v>
      </c>
      <c r="H57" s="347" t="str">
        <f t="shared" si="3"/>
        <v/>
      </c>
      <c r="I57" s="348" t="str">
        <f t="shared" si="4"/>
        <v/>
      </c>
      <c r="J57" s="282"/>
      <c r="K57" s="23"/>
      <c r="L57" s="23"/>
      <c r="M57" s="23"/>
      <c r="N57" s="23"/>
      <c r="O57" s="125"/>
      <c r="P57" s="125"/>
    </row>
    <row r="58">
      <c r="A58" s="275" t="b">
        <f t="shared" si="1"/>
        <v>0</v>
      </c>
      <c r="B58" s="276">
        <v>0.0</v>
      </c>
      <c r="C58" s="277" t="s">
        <v>923</v>
      </c>
      <c r="D58" s="294" t="s">
        <v>924</v>
      </c>
      <c r="E58" s="349" t="s">
        <v>36</v>
      </c>
      <c r="F58" s="349" t="s">
        <v>48</v>
      </c>
      <c r="G58" s="347" t="str">
        <f t="shared" si="2"/>
        <v/>
      </c>
      <c r="H58" s="347">
        <f t="shared" si="3"/>
        <v>0.003571428571</v>
      </c>
      <c r="I58" s="348">
        <f t="shared" si="4"/>
        <v>0.01428571429</v>
      </c>
      <c r="J58" s="282"/>
      <c r="K58" s="23"/>
      <c r="L58" s="23"/>
      <c r="M58" s="23"/>
      <c r="N58" s="23"/>
      <c r="O58" s="125"/>
      <c r="P58" s="125"/>
    </row>
    <row r="59">
      <c r="A59" s="275" t="b">
        <f t="shared" si="1"/>
        <v>0</v>
      </c>
      <c r="B59" s="276">
        <v>0.0</v>
      </c>
      <c r="C59" s="277" t="s">
        <v>925</v>
      </c>
      <c r="D59" s="294" t="s">
        <v>926</v>
      </c>
      <c r="E59" s="349" t="s">
        <v>36</v>
      </c>
      <c r="F59" s="349" t="s">
        <v>44</v>
      </c>
      <c r="G59" s="347">
        <f t="shared" si="2"/>
        <v>0.02173913043</v>
      </c>
      <c r="H59" s="347" t="str">
        <f t="shared" si="3"/>
        <v/>
      </c>
      <c r="I59" s="348" t="str">
        <f t="shared" si="4"/>
        <v/>
      </c>
      <c r="J59" s="282"/>
      <c r="K59" s="23"/>
      <c r="L59" s="23"/>
      <c r="M59" s="23"/>
      <c r="N59" s="23"/>
      <c r="O59" s="125"/>
      <c r="P59" s="125"/>
    </row>
    <row r="60">
      <c r="A60" s="275" t="b">
        <f t="shared" si="1"/>
        <v>0</v>
      </c>
      <c r="B60" s="276">
        <v>0.0</v>
      </c>
      <c r="C60" s="277" t="s">
        <v>927</v>
      </c>
      <c r="D60" s="294" t="s">
        <v>928</v>
      </c>
      <c r="E60" s="349" t="s">
        <v>36</v>
      </c>
      <c r="F60" s="349" t="s">
        <v>46</v>
      </c>
      <c r="G60" s="347" t="str">
        <f t="shared" si="2"/>
        <v/>
      </c>
      <c r="H60" s="347">
        <f t="shared" si="3"/>
        <v>0.02647058824</v>
      </c>
      <c r="I60" s="348">
        <f t="shared" si="4"/>
        <v>0.01764705882</v>
      </c>
      <c r="J60" s="282"/>
      <c r="K60" s="23"/>
      <c r="L60" s="23"/>
      <c r="M60" s="23"/>
      <c r="N60" s="23"/>
      <c r="O60" s="125"/>
      <c r="P60" s="125"/>
    </row>
    <row r="61">
      <c r="A61" s="275" t="b">
        <f t="shared" si="1"/>
        <v>0</v>
      </c>
      <c r="B61" s="276">
        <v>0.0</v>
      </c>
      <c r="C61" s="277" t="s">
        <v>929</v>
      </c>
      <c r="D61" s="294" t="s">
        <v>930</v>
      </c>
      <c r="E61" s="349" t="s">
        <v>36</v>
      </c>
      <c r="F61" s="349" t="s">
        <v>48</v>
      </c>
      <c r="G61" s="347" t="str">
        <f t="shared" si="2"/>
        <v/>
      </c>
      <c r="H61" s="347">
        <f t="shared" si="3"/>
        <v>0.003571428571</v>
      </c>
      <c r="I61" s="348">
        <f t="shared" si="4"/>
        <v>0.01428571429</v>
      </c>
      <c r="J61" s="282"/>
      <c r="K61" s="23"/>
      <c r="L61" s="23"/>
      <c r="M61" s="23"/>
      <c r="N61" s="23"/>
      <c r="O61" s="125"/>
      <c r="P61" s="125"/>
    </row>
    <row r="62">
      <c r="A62" s="275" t="b">
        <f t="shared" si="1"/>
        <v>0</v>
      </c>
      <c r="B62" s="276">
        <v>0.0</v>
      </c>
      <c r="C62" s="277" t="s">
        <v>931</v>
      </c>
      <c r="D62" s="294" t="s">
        <v>932</v>
      </c>
      <c r="E62" s="349" t="s">
        <v>36</v>
      </c>
      <c r="F62" s="349" t="s">
        <v>51</v>
      </c>
      <c r="G62" s="347" t="str">
        <f t="shared" si="2"/>
        <v/>
      </c>
      <c r="H62" s="347">
        <f t="shared" si="3"/>
        <v>0.003332</v>
      </c>
      <c r="I62" s="348">
        <f t="shared" si="4"/>
        <v>0.013328</v>
      </c>
      <c r="J62" s="282"/>
      <c r="K62" s="23"/>
      <c r="L62" s="23"/>
      <c r="M62" s="23"/>
      <c r="N62" s="23"/>
      <c r="O62" s="125"/>
      <c r="P62" s="125"/>
    </row>
    <row r="63">
      <c r="A63" s="275" t="b">
        <f t="shared" si="1"/>
        <v>0</v>
      </c>
      <c r="B63" s="276">
        <v>0.0</v>
      </c>
      <c r="C63" s="277" t="s">
        <v>933</v>
      </c>
      <c r="D63" s="294" t="s">
        <v>934</v>
      </c>
      <c r="E63" s="349" t="s">
        <v>38</v>
      </c>
      <c r="F63" s="349" t="s">
        <v>44</v>
      </c>
      <c r="G63" s="347">
        <f t="shared" si="2"/>
        <v>0.02272727273</v>
      </c>
      <c r="H63" s="347" t="str">
        <f t="shared" si="3"/>
        <v/>
      </c>
      <c r="I63" s="348" t="str">
        <f t="shared" si="4"/>
        <v/>
      </c>
      <c r="J63" s="282"/>
      <c r="K63" s="23"/>
      <c r="L63" s="23"/>
      <c r="M63" s="23"/>
      <c r="N63" s="23"/>
      <c r="O63" s="125"/>
      <c r="P63" s="125"/>
    </row>
    <row r="64">
      <c r="A64" s="275" t="b">
        <f t="shared" si="1"/>
        <v>0</v>
      </c>
      <c r="B64" s="276">
        <v>0.0</v>
      </c>
      <c r="C64" s="277" t="s">
        <v>935</v>
      </c>
      <c r="D64" s="294" t="s">
        <v>936</v>
      </c>
      <c r="E64" s="349" t="s">
        <v>805</v>
      </c>
      <c r="F64" s="349" t="s">
        <v>44</v>
      </c>
      <c r="G64" s="347" t="str">
        <f t="shared" si="2"/>
        <v>x</v>
      </c>
      <c r="H64" s="347" t="str">
        <f t="shared" si="3"/>
        <v/>
      </c>
      <c r="I64" s="348" t="str">
        <f t="shared" si="4"/>
        <v/>
      </c>
      <c r="J64" s="282"/>
      <c r="K64" s="23"/>
      <c r="L64" s="23"/>
      <c r="M64" s="23"/>
      <c r="N64" s="23"/>
      <c r="O64" s="125"/>
      <c r="P64" s="125"/>
    </row>
    <row r="65">
      <c r="A65" s="275" t="b">
        <f t="shared" si="1"/>
        <v>0</v>
      </c>
      <c r="B65" s="276">
        <v>0.0</v>
      </c>
      <c r="C65" s="277" t="s">
        <v>937</v>
      </c>
      <c r="D65" s="294" t="s">
        <v>938</v>
      </c>
      <c r="E65" s="349" t="s">
        <v>805</v>
      </c>
      <c r="F65" s="349" t="s">
        <v>46</v>
      </c>
      <c r="G65" s="347" t="str">
        <f t="shared" si="2"/>
        <v/>
      </c>
      <c r="H65" s="347" t="str">
        <f t="shared" si="3"/>
        <v>x</v>
      </c>
      <c r="I65" s="348" t="str">
        <f t="shared" si="4"/>
        <v>x</v>
      </c>
      <c r="J65" s="282"/>
      <c r="K65" s="23"/>
      <c r="L65" s="23"/>
      <c r="M65" s="23"/>
      <c r="N65" s="23"/>
      <c r="O65" s="125"/>
      <c r="P65" s="125"/>
    </row>
    <row r="66">
      <c r="A66" s="275" t="b">
        <f t="shared" si="1"/>
        <v>0</v>
      </c>
      <c r="B66" s="276">
        <v>0.0</v>
      </c>
      <c r="C66" s="277" t="s">
        <v>939</v>
      </c>
      <c r="D66" s="294" t="s">
        <v>940</v>
      </c>
      <c r="E66" s="349" t="s">
        <v>805</v>
      </c>
      <c r="F66" s="349" t="s">
        <v>48</v>
      </c>
      <c r="G66" s="347" t="str">
        <f t="shared" si="2"/>
        <v/>
      </c>
      <c r="H66" s="347">
        <f t="shared" si="3"/>
        <v>0.003571428571</v>
      </c>
      <c r="I66" s="348">
        <f t="shared" si="4"/>
        <v>0.01428571429</v>
      </c>
      <c r="J66" s="282"/>
      <c r="K66" s="23"/>
      <c r="L66" s="23"/>
      <c r="M66" s="23"/>
      <c r="N66" s="23"/>
      <c r="O66" s="125"/>
      <c r="P66" s="125"/>
    </row>
    <row r="67">
      <c r="A67" s="275" t="b">
        <f t="shared" si="1"/>
        <v>0</v>
      </c>
      <c r="B67" s="276">
        <v>0.0</v>
      </c>
      <c r="C67" s="277" t="s">
        <v>941</v>
      </c>
      <c r="D67" s="294" t="s">
        <v>942</v>
      </c>
      <c r="E67" s="349" t="s">
        <v>38</v>
      </c>
      <c r="F67" s="349" t="s">
        <v>44</v>
      </c>
      <c r="G67" s="347">
        <f t="shared" si="2"/>
        <v>0.02272727273</v>
      </c>
      <c r="H67" s="347" t="str">
        <f t="shared" si="3"/>
        <v/>
      </c>
      <c r="I67" s="348" t="str">
        <f t="shared" si="4"/>
        <v/>
      </c>
      <c r="J67" s="282"/>
      <c r="K67" s="23"/>
      <c r="L67" s="23"/>
      <c r="M67" s="23"/>
      <c r="N67" s="23"/>
      <c r="O67" s="125"/>
      <c r="P67" s="125"/>
    </row>
    <row r="68">
      <c r="A68" s="275" t="b">
        <f t="shared" si="1"/>
        <v>0</v>
      </c>
      <c r="B68" s="276">
        <v>0.0</v>
      </c>
      <c r="C68" s="277" t="s">
        <v>943</v>
      </c>
      <c r="D68" s="294" t="s">
        <v>944</v>
      </c>
      <c r="E68" s="349" t="s">
        <v>38</v>
      </c>
      <c r="F68" s="349" t="s">
        <v>51</v>
      </c>
      <c r="G68" s="347" t="str">
        <f t="shared" si="2"/>
        <v/>
      </c>
      <c r="H68" s="347">
        <f t="shared" si="3"/>
        <v>0.003332</v>
      </c>
      <c r="I68" s="348">
        <f t="shared" si="4"/>
        <v>0.013328</v>
      </c>
      <c r="J68" s="282"/>
      <c r="K68" s="23"/>
      <c r="L68" s="23"/>
      <c r="M68" s="23"/>
      <c r="N68" s="23"/>
      <c r="O68" s="125"/>
      <c r="P68" s="125"/>
    </row>
    <row r="69">
      <c r="A69" s="275" t="b">
        <f t="shared" si="1"/>
        <v>0</v>
      </c>
      <c r="B69" s="276">
        <v>0.0</v>
      </c>
      <c r="C69" s="277" t="s">
        <v>945</v>
      </c>
      <c r="D69" s="294" t="s">
        <v>375</v>
      </c>
      <c r="E69" s="349" t="s">
        <v>36</v>
      </c>
      <c r="F69" s="349" t="s">
        <v>44</v>
      </c>
      <c r="G69" s="347">
        <f t="shared" si="2"/>
        <v>0.02173913043</v>
      </c>
      <c r="H69" s="347" t="str">
        <f t="shared" si="3"/>
        <v/>
      </c>
      <c r="I69" s="348" t="str">
        <f t="shared" si="4"/>
        <v/>
      </c>
      <c r="J69" s="282"/>
      <c r="K69" s="23"/>
      <c r="L69" s="23"/>
      <c r="M69" s="23"/>
      <c r="N69" s="23"/>
      <c r="O69" s="125"/>
      <c r="P69" s="125"/>
    </row>
    <row r="70">
      <c r="A70" s="275" t="b">
        <f t="shared" si="1"/>
        <v>0</v>
      </c>
      <c r="B70" s="276">
        <v>0.0</v>
      </c>
      <c r="C70" s="277" t="s">
        <v>946</v>
      </c>
      <c r="D70" s="294" t="s">
        <v>377</v>
      </c>
      <c r="E70" s="349" t="s">
        <v>36</v>
      </c>
      <c r="F70" s="349" t="s">
        <v>44</v>
      </c>
      <c r="G70" s="347">
        <f t="shared" si="2"/>
        <v>0.02173913043</v>
      </c>
      <c r="H70" s="347" t="str">
        <f t="shared" si="3"/>
        <v/>
      </c>
      <c r="I70" s="348" t="str">
        <f t="shared" si="4"/>
        <v/>
      </c>
      <c r="J70" s="282"/>
      <c r="K70" s="23"/>
      <c r="L70" s="23"/>
      <c r="M70" s="23"/>
      <c r="N70" s="23"/>
      <c r="O70" s="125"/>
      <c r="P70" s="125"/>
    </row>
    <row r="71">
      <c r="A71" s="275" t="b">
        <f t="shared" si="1"/>
        <v>0</v>
      </c>
      <c r="B71" s="276">
        <v>0.0</v>
      </c>
      <c r="C71" s="277" t="s">
        <v>947</v>
      </c>
      <c r="D71" s="294" t="s">
        <v>948</v>
      </c>
      <c r="E71" s="349" t="s">
        <v>36</v>
      </c>
      <c r="F71" s="349" t="s">
        <v>44</v>
      </c>
      <c r="G71" s="347">
        <f t="shared" si="2"/>
        <v>0.02173913043</v>
      </c>
      <c r="H71" s="347" t="str">
        <f t="shared" si="3"/>
        <v/>
      </c>
      <c r="I71" s="348" t="str">
        <f t="shared" si="4"/>
        <v/>
      </c>
      <c r="J71" s="282"/>
      <c r="K71" s="23"/>
      <c r="L71" s="23"/>
      <c r="M71" s="23"/>
      <c r="N71" s="23"/>
      <c r="O71" s="125"/>
      <c r="P71" s="125"/>
    </row>
    <row r="72">
      <c r="A72" s="275" t="b">
        <f t="shared" si="1"/>
        <v>0</v>
      </c>
      <c r="B72" s="276">
        <v>0.0</v>
      </c>
      <c r="C72" s="277" t="s">
        <v>949</v>
      </c>
      <c r="D72" s="294" t="s">
        <v>950</v>
      </c>
      <c r="E72" s="349" t="s">
        <v>36</v>
      </c>
      <c r="F72" s="349" t="s">
        <v>46</v>
      </c>
      <c r="G72" s="347" t="str">
        <f t="shared" si="2"/>
        <v/>
      </c>
      <c r="H72" s="347">
        <f t="shared" si="3"/>
        <v>0.02647058824</v>
      </c>
      <c r="I72" s="348">
        <f t="shared" si="4"/>
        <v>0.01764705882</v>
      </c>
      <c r="J72" s="282"/>
      <c r="K72" s="23"/>
      <c r="L72" s="23"/>
      <c r="M72" s="23"/>
      <c r="N72" s="23"/>
      <c r="O72" s="125"/>
      <c r="P72" s="125"/>
    </row>
    <row r="73">
      <c r="A73" s="275" t="b">
        <f t="shared" si="1"/>
        <v>0</v>
      </c>
      <c r="B73" s="276">
        <v>0.0</v>
      </c>
      <c r="C73" s="277" t="s">
        <v>951</v>
      </c>
      <c r="D73" s="294" t="s">
        <v>952</v>
      </c>
      <c r="E73" s="349" t="s">
        <v>36</v>
      </c>
      <c r="F73" s="349" t="s">
        <v>48</v>
      </c>
      <c r="G73" s="347" t="str">
        <f t="shared" si="2"/>
        <v/>
      </c>
      <c r="H73" s="347">
        <f t="shared" si="3"/>
        <v>0.003571428571</v>
      </c>
      <c r="I73" s="348">
        <f t="shared" si="4"/>
        <v>0.01428571429</v>
      </c>
      <c r="J73" s="282"/>
      <c r="K73" s="23"/>
      <c r="L73" s="23"/>
      <c r="M73" s="23"/>
      <c r="N73" s="23"/>
      <c r="O73" s="125"/>
      <c r="P73" s="125"/>
    </row>
    <row r="74">
      <c r="A74" s="275" t="b">
        <f t="shared" si="1"/>
        <v>0</v>
      </c>
      <c r="B74" s="276">
        <v>0.0</v>
      </c>
      <c r="C74" s="277" t="s">
        <v>953</v>
      </c>
      <c r="D74" s="294" t="s">
        <v>954</v>
      </c>
      <c r="E74" s="349" t="s">
        <v>36</v>
      </c>
      <c r="F74" s="349" t="s">
        <v>44</v>
      </c>
      <c r="G74" s="347">
        <f t="shared" si="2"/>
        <v>0.02173913043</v>
      </c>
      <c r="H74" s="347" t="str">
        <f t="shared" si="3"/>
        <v/>
      </c>
      <c r="I74" s="348" t="str">
        <f t="shared" si="4"/>
        <v/>
      </c>
      <c r="J74" s="282"/>
      <c r="K74" s="23"/>
      <c r="L74" s="23"/>
      <c r="M74" s="23"/>
      <c r="N74" s="23"/>
      <c r="O74" s="125"/>
      <c r="P74" s="125"/>
    </row>
    <row r="75">
      <c r="A75" s="275" t="b">
        <f t="shared" si="1"/>
        <v>0</v>
      </c>
      <c r="B75" s="276">
        <v>0.0</v>
      </c>
      <c r="C75" s="277" t="s">
        <v>955</v>
      </c>
      <c r="D75" s="294" t="s">
        <v>956</v>
      </c>
      <c r="E75" s="349" t="s">
        <v>36</v>
      </c>
      <c r="F75" s="349" t="s">
        <v>46</v>
      </c>
      <c r="G75" s="347" t="str">
        <f t="shared" si="2"/>
        <v/>
      </c>
      <c r="H75" s="347">
        <f t="shared" si="3"/>
        <v>0.02647058824</v>
      </c>
      <c r="I75" s="348">
        <f t="shared" si="4"/>
        <v>0.01764705882</v>
      </c>
      <c r="J75" s="282"/>
      <c r="K75" s="23"/>
      <c r="L75" s="23"/>
      <c r="M75" s="23"/>
      <c r="N75" s="23"/>
      <c r="O75" s="125"/>
      <c r="P75" s="125"/>
    </row>
    <row r="76">
      <c r="A76" s="275" t="b">
        <f t="shared" si="1"/>
        <v>0</v>
      </c>
      <c r="B76" s="276">
        <v>0.0</v>
      </c>
      <c r="C76" s="277" t="s">
        <v>957</v>
      </c>
      <c r="D76" s="294" t="s">
        <v>958</v>
      </c>
      <c r="E76" s="349" t="s">
        <v>805</v>
      </c>
      <c r="F76" s="349" t="s">
        <v>46</v>
      </c>
      <c r="G76" s="347" t="str">
        <f t="shared" si="2"/>
        <v/>
      </c>
      <c r="H76" s="347" t="str">
        <f t="shared" si="3"/>
        <v>x</v>
      </c>
      <c r="I76" s="348" t="str">
        <f t="shared" si="4"/>
        <v>x</v>
      </c>
      <c r="J76" s="282"/>
      <c r="K76" s="23"/>
      <c r="L76" s="23"/>
      <c r="M76" s="23"/>
      <c r="N76" s="23"/>
      <c r="O76" s="125"/>
      <c r="P76" s="125"/>
    </row>
    <row r="77">
      <c r="A77" s="275" t="b">
        <f t="shared" si="1"/>
        <v>0</v>
      </c>
      <c r="B77" s="276">
        <v>0.0</v>
      </c>
      <c r="C77" s="277" t="s">
        <v>959</v>
      </c>
      <c r="D77" s="294" t="s">
        <v>960</v>
      </c>
      <c r="E77" s="349" t="s">
        <v>805</v>
      </c>
      <c r="F77" s="349" t="s">
        <v>48</v>
      </c>
      <c r="G77" s="347" t="str">
        <f t="shared" si="2"/>
        <v/>
      </c>
      <c r="H77" s="347">
        <f t="shared" si="3"/>
        <v>0.003571428571</v>
      </c>
      <c r="I77" s="348">
        <f t="shared" si="4"/>
        <v>0.01428571429</v>
      </c>
      <c r="J77" s="282"/>
      <c r="K77" s="23"/>
      <c r="L77" s="23"/>
      <c r="M77" s="23"/>
      <c r="N77" s="23"/>
      <c r="O77" s="125"/>
      <c r="P77" s="125"/>
    </row>
    <row r="78">
      <c r="A78" s="275" t="b">
        <f t="shared" si="1"/>
        <v>0</v>
      </c>
      <c r="B78" s="276">
        <v>0.0</v>
      </c>
      <c r="C78" s="277" t="s">
        <v>961</v>
      </c>
      <c r="D78" s="294" t="s">
        <v>962</v>
      </c>
      <c r="E78" s="349" t="s">
        <v>805</v>
      </c>
      <c r="F78" s="349" t="s">
        <v>46</v>
      </c>
      <c r="G78" s="347" t="str">
        <f t="shared" si="2"/>
        <v/>
      </c>
      <c r="H78" s="347" t="str">
        <f t="shared" si="3"/>
        <v>x</v>
      </c>
      <c r="I78" s="348" t="str">
        <f t="shared" si="4"/>
        <v>x</v>
      </c>
      <c r="J78" s="282"/>
      <c r="K78" s="23"/>
      <c r="L78" s="23"/>
      <c r="M78" s="23"/>
      <c r="N78" s="23"/>
      <c r="O78" s="125"/>
      <c r="P78" s="125"/>
    </row>
    <row r="79">
      <c r="A79" s="275" t="b">
        <f t="shared" si="1"/>
        <v>0</v>
      </c>
      <c r="B79" s="276">
        <v>0.0</v>
      </c>
      <c r="C79" s="277" t="s">
        <v>963</v>
      </c>
      <c r="D79" s="294" t="s">
        <v>964</v>
      </c>
      <c r="E79" s="349" t="s">
        <v>38</v>
      </c>
      <c r="F79" s="349" t="s">
        <v>48</v>
      </c>
      <c r="G79" s="347" t="str">
        <f t="shared" si="2"/>
        <v/>
      </c>
      <c r="H79" s="347">
        <f t="shared" si="3"/>
        <v>0.003571428571</v>
      </c>
      <c r="I79" s="348">
        <f t="shared" si="4"/>
        <v>0.01428571429</v>
      </c>
      <c r="J79" s="282"/>
      <c r="K79" s="23"/>
      <c r="L79" s="23"/>
      <c r="M79" s="23"/>
      <c r="N79" s="23"/>
      <c r="O79" s="125"/>
      <c r="P79" s="125"/>
    </row>
    <row r="80">
      <c r="A80" s="275" t="b">
        <f t="shared" si="1"/>
        <v>0</v>
      </c>
      <c r="B80" s="276">
        <v>0.0</v>
      </c>
      <c r="C80" s="277" t="s">
        <v>965</v>
      </c>
      <c r="D80" s="294" t="s">
        <v>966</v>
      </c>
      <c r="E80" s="349" t="s">
        <v>38</v>
      </c>
      <c r="F80" s="349" t="s">
        <v>48</v>
      </c>
      <c r="G80" s="347" t="str">
        <f t="shared" si="2"/>
        <v/>
      </c>
      <c r="H80" s="347">
        <f t="shared" si="3"/>
        <v>0.003571428571</v>
      </c>
      <c r="I80" s="348">
        <f t="shared" si="4"/>
        <v>0.01428571429</v>
      </c>
      <c r="J80" s="282"/>
      <c r="K80" s="23"/>
      <c r="L80" s="23"/>
      <c r="M80" s="23"/>
      <c r="N80" s="23"/>
      <c r="O80" s="125"/>
      <c r="P80" s="125"/>
    </row>
    <row r="81">
      <c r="A81" s="275" t="b">
        <f t="shared" si="1"/>
        <v>0</v>
      </c>
      <c r="B81" s="276">
        <v>0.0</v>
      </c>
      <c r="C81" s="277" t="s">
        <v>967</v>
      </c>
      <c r="D81" s="294" t="s">
        <v>428</v>
      </c>
      <c r="E81" s="349" t="s">
        <v>38</v>
      </c>
      <c r="F81" s="349" t="s">
        <v>44</v>
      </c>
      <c r="G81" s="347">
        <f t="shared" si="2"/>
        <v>0.02272727273</v>
      </c>
      <c r="H81" s="347" t="str">
        <f t="shared" si="3"/>
        <v/>
      </c>
      <c r="I81" s="348" t="str">
        <f t="shared" si="4"/>
        <v/>
      </c>
      <c r="J81" s="282"/>
      <c r="K81" s="23"/>
      <c r="L81" s="23"/>
      <c r="M81" s="23"/>
      <c r="N81" s="23"/>
      <c r="O81" s="125"/>
      <c r="P81" s="125"/>
    </row>
    <row r="82">
      <c r="A82" s="275" t="b">
        <f t="shared" si="1"/>
        <v>0</v>
      </c>
      <c r="B82" s="276">
        <v>0.0</v>
      </c>
      <c r="C82" s="277" t="s">
        <v>968</v>
      </c>
      <c r="D82" s="294" t="s">
        <v>430</v>
      </c>
      <c r="E82" s="349" t="s">
        <v>38</v>
      </c>
      <c r="F82" s="349" t="s">
        <v>46</v>
      </c>
      <c r="G82" s="347" t="str">
        <f t="shared" si="2"/>
        <v/>
      </c>
      <c r="H82" s="347">
        <f t="shared" si="3"/>
        <v>0.025</v>
      </c>
      <c r="I82" s="348">
        <f t="shared" si="4"/>
        <v>0.01666666667</v>
      </c>
      <c r="J82" s="282"/>
      <c r="K82" s="23"/>
      <c r="L82" s="23"/>
      <c r="M82" s="23"/>
      <c r="N82" s="23"/>
      <c r="O82" s="125"/>
      <c r="P82" s="125"/>
    </row>
    <row r="83">
      <c r="A83" s="275" t="b">
        <f t="shared" si="1"/>
        <v>0</v>
      </c>
      <c r="B83" s="276">
        <v>0.0</v>
      </c>
      <c r="C83" s="277" t="s">
        <v>969</v>
      </c>
      <c r="D83" s="294" t="s">
        <v>970</v>
      </c>
      <c r="E83" s="349" t="s">
        <v>38</v>
      </c>
      <c r="F83" s="349" t="s">
        <v>48</v>
      </c>
      <c r="G83" s="347" t="str">
        <f t="shared" si="2"/>
        <v/>
      </c>
      <c r="H83" s="347">
        <f t="shared" si="3"/>
        <v>0.003571428571</v>
      </c>
      <c r="I83" s="348">
        <f t="shared" si="4"/>
        <v>0.01428571429</v>
      </c>
      <c r="J83" s="282"/>
      <c r="K83" s="23"/>
      <c r="L83" s="23"/>
      <c r="M83" s="23"/>
      <c r="N83" s="23"/>
      <c r="O83" s="125"/>
      <c r="P83" s="125"/>
    </row>
    <row r="84">
      <c r="A84" s="275" t="b">
        <f t="shared" si="1"/>
        <v>0</v>
      </c>
      <c r="B84" s="276">
        <v>0.0</v>
      </c>
      <c r="C84" s="277" t="s">
        <v>971</v>
      </c>
      <c r="D84" s="294" t="s">
        <v>972</v>
      </c>
      <c r="E84" s="349" t="s">
        <v>36</v>
      </c>
      <c r="F84" s="349" t="s">
        <v>44</v>
      </c>
      <c r="G84" s="347">
        <f t="shared" si="2"/>
        <v>0.02173913043</v>
      </c>
      <c r="H84" s="347" t="str">
        <f t="shared" si="3"/>
        <v/>
      </c>
      <c r="I84" s="348" t="str">
        <f t="shared" si="4"/>
        <v/>
      </c>
      <c r="J84" s="282"/>
      <c r="K84" s="23"/>
      <c r="L84" s="23"/>
      <c r="M84" s="23"/>
      <c r="N84" s="23"/>
      <c r="O84" s="125"/>
      <c r="P84" s="125"/>
    </row>
    <row r="85">
      <c r="A85" s="275" t="b">
        <f t="shared" si="1"/>
        <v>0</v>
      </c>
      <c r="B85" s="276">
        <v>0.0</v>
      </c>
      <c r="C85" s="277" t="s">
        <v>973</v>
      </c>
      <c r="D85" s="294" t="s">
        <v>974</v>
      </c>
      <c r="E85" s="349" t="s">
        <v>36</v>
      </c>
      <c r="F85" s="349" t="s">
        <v>46</v>
      </c>
      <c r="G85" s="347" t="str">
        <f t="shared" si="2"/>
        <v/>
      </c>
      <c r="H85" s="347">
        <f t="shared" si="3"/>
        <v>0.02647058824</v>
      </c>
      <c r="I85" s="348">
        <f t="shared" si="4"/>
        <v>0.01764705882</v>
      </c>
      <c r="J85" s="282"/>
      <c r="K85" s="23"/>
      <c r="L85" s="23"/>
      <c r="M85" s="23"/>
      <c r="N85" s="23"/>
      <c r="O85" s="125"/>
      <c r="P85" s="125"/>
    </row>
    <row r="86">
      <c r="A86" s="275" t="b">
        <f t="shared" si="1"/>
        <v>0</v>
      </c>
      <c r="B86" s="276">
        <v>0.0</v>
      </c>
      <c r="C86" s="277" t="s">
        <v>975</v>
      </c>
      <c r="D86" s="294" t="s">
        <v>976</v>
      </c>
      <c r="E86" s="349" t="s">
        <v>36</v>
      </c>
      <c r="F86" s="349" t="s">
        <v>44</v>
      </c>
      <c r="G86" s="347">
        <f t="shared" si="2"/>
        <v>0.02173913043</v>
      </c>
      <c r="H86" s="347" t="str">
        <f t="shared" si="3"/>
        <v/>
      </c>
      <c r="I86" s="348" t="str">
        <f t="shared" si="4"/>
        <v/>
      </c>
      <c r="J86" s="282"/>
      <c r="K86" s="23"/>
      <c r="L86" s="23"/>
      <c r="M86" s="23"/>
      <c r="N86" s="23"/>
      <c r="O86" s="125"/>
      <c r="P86" s="125"/>
    </row>
    <row r="87">
      <c r="A87" s="275" t="b">
        <f t="shared" si="1"/>
        <v>0</v>
      </c>
      <c r="B87" s="276">
        <v>0.0</v>
      </c>
      <c r="C87" s="277" t="s">
        <v>977</v>
      </c>
      <c r="D87" s="294" t="s">
        <v>978</v>
      </c>
      <c r="E87" s="349" t="s">
        <v>805</v>
      </c>
      <c r="F87" s="349" t="s">
        <v>44</v>
      </c>
      <c r="G87" s="347" t="str">
        <f t="shared" si="2"/>
        <v>x</v>
      </c>
      <c r="H87" s="347" t="str">
        <f t="shared" si="3"/>
        <v/>
      </c>
      <c r="I87" s="348" t="str">
        <f t="shared" si="4"/>
        <v/>
      </c>
      <c r="J87" s="282"/>
      <c r="K87" s="23"/>
      <c r="L87" s="23"/>
      <c r="M87" s="23"/>
      <c r="N87" s="23"/>
      <c r="O87" s="125"/>
      <c r="P87" s="125"/>
    </row>
    <row r="88">
      <c r="A88" s="275" t="b">
        <f t="shared" si="1"/>
        <v>0</v>
      </c>
      <c r="B88" s="276">
        <v>0.0</v>
      </c>
      <c r="C88" s="277" t="s">
        <v>979</v>
      </c>
      <c r="D88" s="294" t="s">
        <v>980</v>
      </c>
      <c r="E88" s="349" t="s">
        <v>805</v>
      </c>
      <c r="F88" s="349" t="s">
        <v>46</v>
      </c>
      <c r="G88" s="347" t="str">
        <f t="shared" si="2"/>
        <v/>
      </c>
      <c r="H88" s="347" t="str">
        <f t="shared" si="3"/>
        <v>x</v>
      </c>
      <c r="I88" s="348" t="str">
        <f t="shared" si="4"/>
        <v>x</v>
      </c>
      <c r="J88" s="282"/>
      <c r="K88" s="23"/>
      <c r="L88" s="23"/>
      <c r="M88" s="23"/>
      <c r="N88" s="23"/>
      <c r="O88" s="125"/>
      <c r="P88" s="125"/>
    </row>
    <row r="89">
      <c r="A89" s="275" t="b">
        <f t="shared" si="1"/>
        <v>0</v>
      </c>
      <c r="B89" s="276">
        <v>0.0</v>
      </c>
      <c r="C89" s="277" t="s">
        <v>981</v>
      </c>
      <c r="D89" s="294" t="s">
        <v>982</v>
      </c>
      <c r="E89" s="349" t="s">
        <v>36</v>
      </c>
      <c r="F89" s="349" t="s">
        <v>46</v>
      </c>
      <c r="G89" s="347" t="str">
        <f t="shared" si="2"/>
        <v/>
      </c>
      <c r="H89" s="347">
        <f t="shared" si="3"/>
        <v>0.02647058824</v>
      </c>
      <c r="I89" s="348">
        <f t="shared" si="4"/>
        <v>0.01764705882</v>
      </c>
      <c r="J89" s="282"/>
      <c r="K89" s="23"/>
      <c r="L89" s="23"/>
      <c r="M89" s="23"/>
      <c r="N89" s="23"/>
      <c r="O89" s="125"/>
      <c r="P89" s="125"/>
    </row>
    <row r="90">
      <c r="A90" s="275" t="b">
        <f t="shared" si="1"/>
        <v>0</v>
      </c>
      <c r="B90" s="276">
        <v>0.0</v>
      </c>
      <c r="C90" s="277" t="s">
        <v>983</v>
      </c>
      <c r="D90" s="294" t="s">
        <v>984</v>
      </c>
      <c r="E90" s="349" t="s">
        <v>36</v>
      </c>
      <c r="F90" s="349" t="s">
        <v>48</v>
      </c>
      <c r="G90" s="347" t="str">
        <f t="shared" si="2"/>
        <v/>
      </c>
      <c r="H90" s="347">
        <f t="shared" si="3"/>
        <v>0.003571428571</v>
      </c>
      <c r="I90" s="348">
        <f t="shared" si="4"/>
        <v>0.01428571429</v>
      </c>
      <c r="J90" s="282"/>
      <c r="K90" s="23"/>
      <c r="L90" s="23"/>
      <c r="M90" s="23"/>
      <c r="N90" s="23"/>
      <c r="O90" s="125"/>
      <c r="P90" s="125"/>
    </row>
    <row r="91">
      <c r="A91" s="275" t="b">
        <f t="shared" si="1"/>
        <v>0</v>
      </c>
      <c r="B91" s="276">
        <v>0.0</v>
      </c>
      <c r="C91" s="277" t="s">
        <v>985</v>
      </c>
      <c r="D91" s="294" t="s">
        <v>833</v>
      </c>
      <c r="E91" s="349" t="s">
        <v>36</v>
      </c>
      <c r="F91" s="349" t="s">
        <v>44</v>
      </c>
      <c r="G91" s="347">
        <f t="shared" si="2"/>
        <v>0.02173913043</v>
      </c>
      <c r="H91" s="347" t="str">
        <f t="shared" si="3"/>
        <v/>
      </c>
      <c r="I91" s="348" t="str">
        <f t="shared" si="4"/>
        <v/>
      </c>
      <c r="J91" s="282"/>
      <c r="K91" s="23"/>
      <c r="L91" s="23"/>
      <c r="M91" s="23"/>
      <c r="N91" s="23"/>
      <c r="O91" s="125"/>
      <c r="P91" s="125"/>
    </row>
    <row r="92">
      <c r="A92" s="275" t="b">
        <f t="shared" si="1"/>
        <v>0</v>
      </c>
      <c r="B92" s="276">
        <v>0.0</v>
      </c>
      <c r="C92" s="277" t="s">
        <v>986</v>
      </c>
      <c r="D92" s="294" t="s">
        <v>987</v>
      </c>
      <c r="E92" s="349" t="s">
        <v>36</v>
      </c>
      <c r="F92" s="349" t="s">
        <v>44</v>
      </c>
      <c r="G92" s="347">
        <f t="shared" si="2"/>
        <v>0.02173913043</v>
      </c>
      <c r="H92" s="347" t="str">
        <f t="shared" si="3"/>
        <v/>
      </c>
      <c r="I92" s="348" t="str">
        <f t="shared" si="4"/>
        <v/>
      </c>
      <c r="J92" s="282"/>
      <c r="K92" s="23"/>
      <c r="L92" s="23"/>
      <c r="M92" s="23"/>
      <c r="N92" s="23"/>
      <c r="O92" s="125"/>
      <c r="P92" s="125"/>
    </row>
    <row r="93">
      <c r="A93" s="275" t="b">
        <f t="shared" si="1"/>
        <v>0</v>
      </c>
      <c r="B93" s="276">
        <v>0.0</v>
      </c>
      <c r="C93" s="277" t="s">
        <v>988</v>
      </c>
      <c r="D93" s="294" t="s">
        <v>989</v>
      </c>
      <c r="E93" s="349" t="s">
        <v>36</v>
      </c>
      <c r="F93" s="349" t="s">
        <v>48</v>
      </c>
      <c r="G93" s="347" t="str">
        <f t="shared" si="2"/>
        <v/>
      </c>
      <c r="H93" s="347">
        <f t="shared" si="3"/>
        <v>0.003571428571</v>
      </c>
      <c r="I93" s="348">
        <f t="shared" si="4"/>
        <v>0.01428571429</v>
      </c>
      <c r="J93" s="282"/>
      <c r="K93" s="23"/>
      <c r="L93" s="23"/>
      <c r="M93" s="23"/>
      <c r="N93" s="23"/>
      <c r="O93" s="125"/>
      <c r="P93" s="125"/>
    </row>
    <row r="94">
      <c r="A94" s="275" t="b">
        <f t="shared" si="1"/>
        <v>0</v>
      </c>
      <c r="B94" s="276">
        <v>0.0</v>
      </c>
      <c r="C94" s="277" t="s">
        <v>990</v>
      </c>
      <c r="D94" s="294" t="s">
        <v>991</v>
      </c>
      <c r="E94" s="349" t="s">
        <v>38</v>
      </c>
      <c r="F94" s="349" t="s">
        <v>44</v>
      </c>
      <c r="G94" s="347">
        <f t="shared" si="2"/>
        <v>0.02272727273</v>
      </c>
      <c r="H94" s="347" t="str">
        <f t="shared" si="3"/>
        <v/>
      </c>
      <c r="I94" s="348" t="str">
        <f t="shared" si="4"/>
        <v/>
      </c>
      <c r="J94" s="282"/>
      <c r="K94" s="23"/>
      <c r="L94" s="23"/>
      <c r="M94" s="23"/>
      <c r="N94" s="23"/>
      <c r="O94" s="125"/>
      <c r="P94" s="125"/>
    </row>
    <row r="95">
      <c r="A95" s="275" t="b">
        <f t="shared" si="1"/>
        <v>0</v>
      </c>
      <c r="B95" s="276">
        <v>0.0</v>
      </c>
      <c r="C95" s="277" t="s">
        <v>992</v>
      </c>
      <c r="D95" s="294" t="s">
        <v>993</v>
      </c>
      <c r="E95" s="349" t="s">
        <v>38</v>
      </c>
      <c r="F95" s="349" t="s">
        <v>46</v>
      </c>
      <c r="G95" s="347" t="str">
        <f t="shared" si="2"/>
        <v/>
      </c>
      <c r="H95" s="347">
        <f t="shared" si="3"/>
        <v>0.025</v>
      </c>
      <c r="I95" s="348">
        <f t="shared" si="4"/>
        <v>0.01666666667</v>
      </c>
      <c r="J95" s="282"/>
      <c r="K95" s="23"/>
      <c r="L95" s="23"/>
      <c r="M95" s="23"/>
      <c r="N95" s="23"/>
      <c r="O95" s="125"/>
      <c r="P95" s="125"/>
    </row>
    <row r="96">
      <c r="A96" s="275" t="b">
        <f t="shared" si="1"/>
        <v>0</v>
      </c>
      <c r="B96" s="276">
        <v>0.0</v>
      </c>
      <c r="C96" s="277" t="s">
        <v>994</v>
      </c>
      <c r="D96" s="346" t="s">
        <v>995</v>
      </c>
      <c r="E96" s="349" t="s">
        <v>36</v>
      </c>
      <c r="F96" s="349" t="s">
        <v>51</v>
      </c>
      <c r="G96" s="347" t="str">
        <f t="shared" si="2"/>
        <v/>
      </c>
      <c r="H96" s="347">
        <f t="shared" si="3"/>
        <v>0.003332</v>
      </c>
      <c r="I96" s="348">
        <f t="shared" si="4"/>
        <v>0.013328</v>
      </c>
      <c r="J96" s="282"/>
      <c r="K96" s="23"/>
      <c r="L96" s="23"/>
      <c r="M96" s="23"/>
      <c r="N96" s="23"/>
      <c r="O96" s="125"/>
      <c r="P96" s="125"/>
    </row>
    <row r="97">
      <c r="A97" s="275" t="b">
        <f t="shared" si="1"/>
        <v>0</v>
      </c>
      <c r="B97" s="276">
        <v>0.0</v>
      </c>
      <c r="C97" s="277" t="s">
        <v>996</v>
      </c>
      <c r="D97" s="294" t="s">
        <v>997</v>
      </c>
      <c r="E97" s="349" t="s">
        <v>36</v>
      </c>
      <c r="F97" s="349" t="s">
        <v>44</v>
      </c>
      <c r="G97" s="347">
        <f t="shared" si="2"/>
        <v>0.02173913043</v>
      </c>
      <c r="H97" s="347" t="str">
        <f t="shared" si="3"/>
        <v/>
      </c>
      <c r="I97" s="348" t="str">
        <f t="shared" si="4"/>
        <v/>
      </c>
      <c r="J97" s="282"/>
      <c r="K97" s="23"/>
      <c r="L97" s="23"/>
      <c r="M97" s="23"/>
      <c r="N97" s="23"/>
      <c r="O97" s="125"/>
      <c r="P97" s="125"/>
    </row>
    <row r="98">
      <c r="A98" s="275" t="b">
        <f t="shared" si="1"/>
        <v>0</v>
      </c>
      <c r="B98" s="276">
        <v>0.0</v>
      </c>
      <c r="C98" s="277" t="s">
        <v>998</v>
      </c>
      <c r="D98" s="294" t="s">
        <v>999</v>
      </c>
      <c r="E98" s="349" t="s">
        <v>36</v>
      </c>
      <c r="F98" s="349" t="s">
        <v>46</v>
      </c>
      <c r="G98" s="347" t="str">
        <f t="shared" si="2"/>
        <v/>
      </c>
      <c r="H98" s="347">
        <f t="shared" si="3"/>
        <v>0.02647058824</v>
      </c>
      <c r="I98" s="348">
        <f t="shared" si="4"/>
        <v>0.01764705882</v>
      </c>
      <c r="J98" s="282"/>
      <c r="K98" s="23"/>
      <c r="L98" s="23"/>
      <c r="M98" s="23"/>
      <c r="N98" s="23"/>
      <c r="O98" s="125"/>
      <c r="P98" s="125"/>
    </row>
    <row r="99">
      <c r="A99" s="275" t="b">
        <f t="shared" si="1"/>
        <v>0</v>
      </c>
      <c r="B99" s="276">
        <v>0.0</v>
      </c>
      <c r="C99" s="277" t="s">
        <v>1000</v>
      </c>
      <c r="D99" s="294" t="s">
        <v>1001</v>
      </c>
      <c r="E99" s="349" t="s">
        <v>38</v>
      </c>
      <c r="F99" s="349" t="s">
        <v>44</v>
      </c>
      <c r="G99" s="347">
        <f t="shared" si="2"/>
        <v>0.02272727273</v>
      </c>
      <c r="H99" s="347" t="str">
        <f t="shared" si="3"/>
        <v/>
      </c>
      <c r="I99" s="348" t="str">
        <f t="shared" si="4"/>
        <v/>
      </c>
      <c r="J99" s="282"/>
      <c r="K99" s="23"/>
      <c r="L99" s="23"/>
      <c r="M99" s="23"/>
      <c r="N99" s="23"/>
      <c r="O99" s="125"/>
      <c r="P99" s="125"/>
    </row>
    <row r="100">
      <c r="A100" s="275" t="b">
        <f t="shared" si="1"/>
        <v>0</v>
      </c>
      <c r="B100" s="276">
        <v>0.0</v>
      </c>
      <c r="C100" s="277" t="s">
        <v>1002</v>
      </c>
      <c r="D100" s="294" t="s">
        <v>1003</v>
      </c>
      <c r="E100" s="349" t="s">
        <v>38</v>
      </c>
      <c r="F100" s="349" t="s">
        <v>51</v>
      </c>
      <c r="G100" s="347" t="str">
        <f t="shared" si="2"/>
        <v/>
      </c>
      <c r="H100" s="347">
        <f t="shared" si="3"/>
        <v>0.003332</v>
      </c>
      <c r="I100" s="348">
        <f t="shared" si="4"/>
        <v>0.013328</v>
      </c>
      <c r="J100" s="282"/>
      <c r="K100" s="23"/>
      <c r="L100" s="23"/>
      <c r="M100" s="23"/>
      <c r="N100" s="23"/>
      <c r="O100" s="125"/>
      <c r="P100" s="125"/>
    </row>
    <row r="101">
      <c r="A101" s="275" t="b">
        <f t="shared" si="1"/>
        <v>0</v>
      </c>
      <c r="B101" s="276">
        <v>0.0</v>
      </c>
      <c r="C101" s="277" t="s">
        <v>1004</v>
      </c>
      <c r="D101" s="294" t="s">
        <v>1005</v>
      </c>
      <c r="E101" s="349" t="s">
        <v>805</v>
      </c>
      <c r="F101" s="349" t="s">
        <v>44</v>
      </c>
      <c r="G101" s="347" t="str">
        <f t="shared" si="2"/>
        <v>x</v>
      </c>
      <c r="H101" s="347" t="str">
        <f t="shared" si="3"/>
        <v/>
      </c>
      <c r="I101" s="348" t="str">
        <f t="shared" si="4"/>
        <v/>
      </c>
      <c r="J101" s="282"/>
      <c r="K101" s="23"/>
      <c r="L101" s="23"/>
      <c r="M101" s="23"/>
      <c r="N101" s="23"/>
      <c r="O101" s="125"/>
      <c r="P101" s="125"/>
    </row>
    <row r="102">
      <c r="A102" s="275" t="b">
        <f t="shared" si="1"/>
        <v>0</v>
      </c>
      <c r="B102" s="276">
        <v>0.0</v>
      </c>
      <c r="C102" s="277" t="s">
        <v>1006</v>
      </c>
      <c r="D102" s="294" t="s">
        <v>1007</v>
      </c>
      <c r="E102" s="349" t="s">
        <v>805</v>
      </c>
      <c r="F102" s="349" t="s">
        <v>46</v>
      </c>
      <c r="G102" s="347" t="str">
        <f t="shared" si="2"/>
        <v/>
      </c>
      <c r="H102" s="347" t="str">
        <f t="shared" si="3"/>
        <v>x</v>
      </c>
      <c r="I102" s="348" t="str">
        <f t="shared" si="4"/>
        <v>x</v>
      </c>
      <c r="J102" s="282"/>
      <c r="K102" s="23"/>
      <c r="L102" s="23"/>
      <c r="M102" s="23"/>
      <c r="N102" s="23"/>
      <c r="O102" s="125"/>
      <c r="P102" s="125"/>
    </row>
    <row r="103">
      <c r="A103" s="275" t="b">
        <f t="shared" si="1"/>
        <v>0</v>
      </c>
      <c r="B103" s="276">
        <v>0.0</v>
      </c>
      <c r="C103" s="277" t="s">
        <v>1008</v>
      </c>
      <c r="D103" s="294" t="s">
        <v>1009</v>
      </c>
      <c r="E103" s="349" t="s">
        <v>36</v>
      </c>
      <c r="F103" s="349" t="s">
        <v>44</v>
      </c>
      <c r="G103" s="347">
        <f t="shared" si="2"/>
        <v>0.02173913043</v>
      </c>
      <c r="H103" s="347" t="str">
        <f t="shared" si="3"/>
        <v/>
      </c>
      <c r="I103" s="348" t="str">
        <f t="shared" si="4"/>
        <v/>
      </c>
      <c r="J103" s="282"/>
      <c r="K103" s="23"/>
      <c r="L103" s="23"/>
      <c r="M103" s="23"/>
      <c r="N103" s="23"/>
      <c r="O103" s="125"/>
      <c r="P103" s="125"/>
    </row>
    <row r="104">
      <c r="A104" s="275" t="b">
        <f t="shared" si="1"/>
        <v>0</v>
      </c>
      <c r="B104" s="276">
        <v>0.0</v>
      </c>
      <c r="C104" s="277" t="s">
        <v>1010</v>
      </c>
      <c r="D104" s="294" t="s">
        <v>1011</v>
      </c>
      <c r="E104" s="349" t="s">
        <v>36</v>
      </c>
      <c r="F104" s="349" t="s">
        <v>46</v>
      </c>
      <c r="G104" s="347" t="str">
        <f t="shared" si="2"/>
        <v/>
      </c>
      <c r="H104" s="347">
        <f t="shared" si="3"/>
        <v>0.02647058824</v>
      </c>
      <c r="I104" s="348">
        <f t="shared" si="4"/>
        <v>0.01764705882</v>
      </c>
      <c r="J104" s="282"/>
      <c r="K104" s="23"/>
      <c r="L104" s="23"/>
      <c r="M104" s="23"/>
      <c r="N104" s="23"/>
      <c r="O104" s="125"/>
      <c r="P104" s="125"/>
    </row>
    <row r="105">
      <c r="A105" s="275" t="b">
        <f t="shared" si="1"/>
        <v>0</v>
      </c>
      <c r="B105" s="276">
        <v>0.0</v>
      </c>
      <c r="C105" s="277" t="s">
        <v>1012</v>
      </c>
      <c r="D105" s="294" t="s">
        <v>1013</v>
      </c>
      <c r="E105" s="349" t="s">
        <v>38</v>
      </c>
      <c r="F105" s="349" t="s">
        <v>46</v>
      </c>
      <c r="G105" s="347" t="str">
        <f t="shared" si="2"/>
        <v/>
      </c>
      <c r="H105" s="347">
        <f t="shared" si="3"/>
        <v>0.025</v>
      </c>
      <c r="I105" s="348">
        <f t="shared" si="4"/>
        <v>0.01666666667</v>
      </c>
      <c r="J105" s="282"/>
      <c r="K105" s="23"/>
      <c r="L105" s="23"/>
      <c r="M105" s="23"/>
      <c r="N105" s="23"/>
      <c r="O105" s="125"/>
      <c r="P105" s="125"/>
    </row>
    <row r="106">
      <c r="A106" s="275" t="b">
        <f t="shared" si="1"/>
        <v>0</v>
      </c>
      <c r="B106" s="276">
        <v>0.0</v>
      </c>
      <c r="C106" s="277" t="s">
        <v>1014</v>
      </c>
      <c r="D106" s="294" t="s">
        <v>1015</v>
      </c>
      <c r="E106" s="349" t="s">
        <v>805</v>
      </c>
      <c r="F106" s="349" t="s">
        <v>44</v>
      </c>
      <c r="G106" s="347" t="str">
        <f t="shared" si="2"/>
        <v>x</v>
      </c>
      <c r="H106" s="347" t="str">
        <f t="shared" si="3"/>
        <v/>
      </c>
      <c r="I106" s="348" t="str">
        <f t="shared" si="4"/>
        <v/>
      </c>
      <c r="J106" s="282"/>
      <c r="K106" s="23"/>
      <c r="L106" s="23"/>
      <c r="M106" s="23"/>
      <c r="N106" s="23"/>
      <c r="O106" s="125"/>
      <c r="P106" s="125"/>
    </row>
    <row r="107">
      <c r="A107" s="275" t="b">
        <f t="shared" si="1"/>
        <v>0</v>
      </c>
      <c r="B107" s="276">
        <v>0.0</v>
      </c>
      <c r="C107" s="277" t="s">
        <v>1016</v>
      </c>
      <c r="D107" s="294" t="s">
        <v>1017</v>
      </c>
      <c r="E107" s="349" t="s">
        <v>805</v>
      </c>
      <c r="F107" s="349" t="s">
        <v>46</v>
      </c>
      <c r="G107" s="347" t="str">
        <f t="shared" si="2"/>
        <v/>
      </c>
      <c r="H107" s="347" t="str">
        <f t="shared" si="3"/>
        <v>x</v>
      </c>
      <c r="I107" s="348" t="str">
        <f t="shared" si="4"/>
        <v>x</v>
      </c>
      <c r="J107" s="282"/>
      <c r="K107" s="23"/>
      <c r="L107" s="23"/>
      <c r="M107" s="23"/>
      <c r="N107" s="23"/>
      <c r="O107" s="125"/>
      <c r="P107" s="125"/>
    </row>
    <row r="108">
      <c r="A108" s="275" t="b">
        <f t="shared" si="1"/>
        <v>0</v>
      </c>
      <c r="B108" s="276">
        <v>0.0</v>
      </c>
      <c r="C108" s="277" t="s">
        <v>1018</v>
      </c>
      <c r="D108" s="294" t="s">
        <v>1019</v>
      </c>
      <c r="E108" s="349" t="s">
        <v>36</v>
      </c>
      <c r="F108" s="349" t="s">
        <v>44</v>
      </c>
      <c r="G108" s="347">
        <f t="shared" si="2"/>
        <v>0.02173913043</v>
      </c>
      <c r="H108" s="347" t="str">
        <f t="shared" si="3"/>
        <v/>
      </c>
      <c r="I108" s="348" t="str">
        <f t="shared" si="4"/>
        <v/>
      </c>
      <c r="J108" s="282"/>
      <c r="K108" s="23"/>
      <c r="L108" s="23"/>
      <c r="M108" s="23"/>
      <c r="N108" s="23"/>
      <c r="O108" s="125"/>
      <c r="P108" s="125"/>
    </row>
    <row r="109">
      <c r="A109" s="275" t="b">
        <f t="shared" si="1"/>
        <v>0</v>
      </c>
      <c r="B109" s="276">
        <v>0.0</v>
      </c>
      <c r="C109" s="277" t="s">
        <v>1020</v>
      </c>
      <c r="D109" s="294" t="s">
        <v>1021</v>
      </c>
      <c r="E109" s="349" t="s">
        <v>36</v>
      </c>
      <c r="F109" s="349" t="s">
        <v>46</v>
      </c>
      <c r="G109" s="347" t="str">
        <f t="shared" si="2"/>
        <v/>
      </c>
      <c r="H109" s="347">
        <f t="shared" si="3"/>
        <v>0.02647058824</v>
      </c>
      <c r="I109" s="348">
        <f t="shared" si="4"/>
        <v>0.01764705882</v>
      </c>
      <c r="J109" s="282"/>
      <c r="K109" s="23"/>
      <c r="L109" s="23"/>
      <c r="M109" s="23"/>
      <c r="N109" s="23"/>
      <c r="O109" s="125"/>
      <c r="P109" s="125"/>
    </row>
    <row r="110">
      <c r="A110" s="275" t="b">
        <f t="shared" si="1"/>
        <v>0</v>
      </c>
      <c r="B110" s="276">
        <v>0.0</v>
      </c>
      <c r="C110" s="277" t="s">
        <v>1022</v>
      </c>
      <c r="D110" s="294" t="s">
        <v>1023</v>
      </c>
      <c r="E110" s="349" t="s">
        <v>36</v>
      </c>
      <c r="F110" s="349" t="s">
        <v>48</v>
      </c>
      <c r="G110" s="347" t="str">
        <f t="shared" si="2"/>
        <v/>
      </c>
      <c r="H110" s="347">
        <f t="shared" si="3"/>
        <v>0.003571428571</v>
      </c>
      <c r="I110" s="348">
        <f t="shared" si="4"/>
        <v>0.01428571429</v>
      </c>
      <c r="J110" s="282"/>
      <c r="K110" s="23"/>
      <c r="L110" s="23"/>
      <c r="M110" s="23"/>
      <c r="N110" s="23"/>
      <c r="O110" s="125"/>
      <c r="P110" s="125"/>
    </row>
    <row r="111">
      <c r="A111" s="275" t="b">
        <f t="shared" si="1"/>
        <v>0</v>
      </c>
      <c r="B111" s="276">
        <v>0.0</v>
      </c>
      <c r="C111" s="277" t="s">
        <v>1024</v>
      </c>
      <c r="D111" s="294" t="s">
        <v>1025</v>
      </c>
      <c r="E111" s="349" t="s">
        <v>36</v>
      </c>
      <c r="F111" s="349" t="s">
        <v>51</v>
      </c>
      <c r="G111" s="347" t="str">
        <f t="shared" si="2"/>
        <v/>
      </c>
      <c r="H111" s="347">
        <f t="shared" si="3"/>
        <v>0.003332</v>
      </c>
      <c r="I111" s="348">
        <f t="shared" si="4"/>
        <v>0.013328</v>
      </c>
      <c r="J111" s="282"/>
      <c r="K111" s="23"/>
      <c r="L111" s="23"/>
      <c r="M111" s="23"/>
      <c r="N111" s="23"/>
      <c r="O111" s="125"/>
      <c r="P111" s="125"/>
    </row>
    <row r="112">
      <c r="A112" s="275" t="b">
        <f t="shared" si="1"/>
        <v>0</v>
      </c>
      <c r="B112" s="276">
        <v>0.0</v>
      </c>
      <c r="C112" s="277" t="s">
        <v>1026</v>
      </c>
      <c r="D112" s="294" t="s">
        <v>1027</v>
      </c>
      <c r="E112" s="349" t="s">
        <v>805</v>
      </c>
      <c r="F112" s="349" t="s">
        <v>46</v>
      </c>
      <c r="G112" s="347" t="str">
        <f t="shared" si="2"/>
        <v/>
      </c>
      <c r="H112" s="347" t="str">
        <f t="shared" si="3"/>
        <v>x</v>
      </c>
      <c r="I112" s="348" t="str">
        <f t="shared" si="4"/>
        <v>x</v>
      </c>
      <c r="J112" s="282"/>
      <c r="K112" s="23"/>
      <c r="L112" s="23"/>
      <c r="M112" s="23"/>
      <c r="N112" s="23"/>
      <c r="O112" s="125"/>
      <c r="P112" s="125"/>
    </row>
    <row r="113">
      <c r="A113" s="275" t="b">
        <f t="shared" si="1"/>
        <v>0</v>
      </c>
      <c r="B113" s="276">
        <v>0.0</v>
      </c>
      <c r="C113" s="277" t="s">
        <v>1028</v>
      </c>
      <c r="D113" s="294" t="s">
        <v>1029</v>
      </c>
      <c r="E113" s="349" t="s">
        <v>36</v>
      </c>
      <c r="F113" s="349" t="s">
        <v>46</v>
      </c>
      <c r="G113" s="347" t="str">
        <f t="shared" si="2"/>
        <v/>
      </c>
      <c r="H113" s="347">
        <f t="shared" si="3"/>
        <v>0.02647058824</v>
      </c>
      <c r="I113" s="348">
        <f t="shared" si="4"/>
        <v>0.01764705882</v>
      </c>
      <c r="J113" s="282"/>
      <c r="K113" s="23"/>
      <c r="L113" s="23"/>
      <c r="M113" s="23"/>
      <c r="N113" s="23"/>
      <c r="O113" s="125"/>
      <c r="P113" s="125"/>
    </row>
    <row r="114">
      <c r="A114" s="275" t="b">
        <f t="shared" si="1"/>
        <v>0</v>
      </c>
      <c r="B114" s="276">
        <v>0.0</v>
      </c>
      <c r="C114" s="277" t="s">
        <v>1030</v>
      </c>
      <c r="D114" s="294" t="s">
        <v>1031</v>
      </c>
      <c r="E114" s="349" t="s">
        <v>38</v>
      </c>
      <c r="F114" s="349" t="s">
        <v>46</v>
      </c>
      <c r="G114" s="347" t="str">
        <f t="shared" si="2"/>
        <v/>
      </c>
      <c r="H114" s="347">
        <f t="shared" si="3"/>
        <v>0.025</v>
      </c>
      <c r="I114" s="348">
        <f t="shared" si="4"/>
        <v>0.01666666667</v>
      </c>
      <c r="J114" s="282"/>
      <c r="K114" s="23"/>
      <c r="L114" s="23"/>
      <c r="M114" s="23"/>
      <c r="N114" s="23"/>
      <c r="O114" s="125"/>
      <c r="P114" s="125"/>
    </row>
    <row r="115">
      <c r="A115" s="275" t="b">
        <f t="shared" si="1"/>
        <v>0</v>
      </c>
      <c r="B115" s="276">
        <v>0.0</v>
      </c>
      <c r="C115" s="277" t="s">
        <v>1032</v>
      </c>
      <c r="D115" s="294" t="s">
        <v>1033</v>
      </c>
      <c r="E115" s="349" t="s">
        <v>38</v>
      </c>
      <c r="F115" s="349" t="s">
        <v>48</v>
      </c>
      <c r="G115" s="347" t="str">
        <f t="shared" si="2"/>
        <v/>
      </c>
      <c r="H115" s="347">
        <f t="shared" si="3"/>
        <v>0.003571428571</v>
      </c>
      <c r="I115" s="348">
        <f t="shared" si="4"/>
        <v>0.01428571429</v>
      </c>
      <c r="J115" s="282"/>
      <c r="K115" s="23"/>
      <c r="L115" s="23"/>
      <c r="M115" s="23"/>
      <c r="N115" s="23"/>
      <c r="O115" s="125"/>
      <c r="P115" s="125"/>
    </row>
    <row r="116">
      <c r="A116" s="275" t="b">
        <f t="shared" si="1"/>
        <v>0</v>
      </c>
      <c r="B116" s="276">
        <v>0.0</v>
      </c>
      <c r="C116" s="277" t="s">
        <v>1034</v>
      </c>
      <c r="D116" s="294" t="s">
        <v>833</v>
      </c>
      <c r="E116" s="349" t="s">
        <v>38</v>
      </c>
      <c r="F116" s="349" t="s">
        <v>44</v>
      </c>
      <c r="G116" s="347">
        <f t="shared" si="2"/>
        <v>0.02272727273</v>
      </c>
      <c r="H116" s="347" t="str">
        <f t="shared" si="3"/>
        <v/>
      </c>
      <c r="I116" s="348" t="str">
        <f t="shared" si="4"/>
        <v/>
      </c>
      <c r="J116" s="282"/>
      <c r="K116" s="23"/>
      <c r="L116" s="23"/>
      <c r="M116" s="23"/>
      <c r="N116" s="23"/>
      <c r="O116" s="125"/>
      <c r="P116" s="125"/>
    </row>
    <row r="117">
      <c r="A117" s="275" t="b">
        <f t="shared" si="1"/>
        <v>0</v>
      </c>
      <c r="B117" s="276">
        <v>0.0</v>
      </c>
      <c r="C117" s="277" t="s">
        <v>1035</v>
      </c>
      <c r="D117" s="294" t="s">
        <v>1036</v>
      </c>
      <c r="E117" s="349" t="s">
        <v>36</v>
      </c>
      <c r="F117" s="349" t="s">
        <v>44</v>
      </c>
      <c r="G117" s="347">
        <f t="shared" si="2"/>
        <v>0.02173913043</v>
      </c>
      <c r="H117" s="347" t="str">
        <f t="shared" si="3"/>
        <v/>
      </c>
      <c r="I117" s="348" t="str">
        <f t="shared" si="4"/>
        <v/>
      </c>
      <c r="J117" s="282"/>
      <c r="K117" s="23"/>
      <c r="L117" s="23"/>
      <c r="M117" s="23"/>
      <c r="N117" s="23"/>
      <c r="O117" s="125"/>
      <c r="P117" s="125"/>
    </row>
    <row r="118">
      <c r="A118" s="275" t="b">
        <f t="shared" si="1"/>
        <v>0</v>
      </c>
      <c r="B118" s="276">
        <v>0.0</v>
      </c>
      <c r="C118" s="277" t="s">
        <v>1037</v>
      </c>
      <c r="D118" s="294" t="s">
        <v>1038</v>
      </c>
      <c r="E118" s="349" t="s">
        <v>36</v>
      </c>
      <c r="F118" s="349" t="s">
        <v>46</v>
      </c>
      <c r="G118" s="347" t="str">
        <f t="shared" si="2"/>
        <v/>
      </c>
      <c r="H118" s="347">
        <f t="shared" si="3"/>
        <v>0.02647058824</v>
      </c>
      <c r="I118" s="348">
        <f t="shared" si="4"/>
        <v>0.01764705882</v>
      </c>
      <c r="J118" s="282"/>
      <c r="K118" s="23"/>
      <c r="L118" s="23"/>
      <c r="M118" s="23"/>
      <c r="N118" s="23"/>
      <c r="O118" s="125"/>
      <c r="P118" s="125"/>
    </row>
    <row r="119">
      <c r="A119" s="275" t="b">
        <f t="shared" si="1"/>
        <v>0</v>
      </c>
      <c r="B119" s="276">
        <v>0.0</v>
      </c>
      <c r="C119" s="277" t="s">
        <v>1039</v>
      </c>
      <c r="D119" s="294" t="s">
        <v>1040</v>
      </c>
      <c r="E119" s="349" t="s">
        <v>805</v>
      </c>
      <c r="F119" s="349" t="s">
        <v>46</v>
      </c>
      <c r="G119" s="347" t="str">
        <f t="shared" si="2"/>
        <v/>
      </c>
      <c r="H119" s="347" t="str">
        <f t="shared" si="3"/>
        <v>x</v>
      </c>
      <c r="I119" s="348" t="str">
        <f t="shared" si="4"/>
        <v>x</v>
      </c>
      <c r="J119" s="282"/>
      <c r="K119" s="23"/>
      <c r="L119" s="23"/>
      <c r="M119" s="23"/>
      <c r="N119" s="23"/>
      <c r="O119" s="125"/>
      <c r="P119" s="125"/>
    </row>
    <row r="120">
      <c r="A120" s="275" t="b">
        <f t="shared" si="1"/>
        <v>0</v>
      </c>
      <c r="B120" s="276">
        <v>0.0</v>
      </c>
      <c r="C120" s="277" t="s">
        <v>1041</v>
      </c>
      <c r="D120" s="294" t="s">
        <v>1042</v>
      </c>
      <c r="E120" s="349" t="s">
        <v>36</v>
      </c>
      <c r="F120" s="349" t="s">
        <v>51</v>
      </c>
      <c r="G120" s="347" t="str">
        <f t="shared" si="2"/>
        <v/>
      </c>
      <c r="H120" s="347">
        <f t="shared" si="3"/>
        <v>0.003332</v>
      </c>
      <c r="I120" s="348">
        <f t="shared" si="4"/>
        <v>0.013328</v>
      </c>
      <c r="J120" s="282"/>
      <c r="K120" s="23"/>
      <c r="L120" s="23"/>
      <c r="M120" s="23"/>
      <c r="N120" s="23"/>
      <c r="O120" s="125"/>
      <c r="P120" s="125"/>
    </row>
    <row r="121">
      <c r="A121" s="275" t="b">
        <f t="shared" si="1"/>
        <v>0</v>
      </c>
      <c r="B121" s="276">
        <v>0.0</v>
      </c>
      <c r="C121" s="277" t="s">
        <v>1043</v>
      </c>
      <c r="D121" s="294" t="s">
        <v>1044</v>
      </c>
      <c r="E121" s="349" t="s">
        <v>36</v>
      </c>
      <c r="F121" s="349" t="s">
        <v>48</v>
      </c>
      <c r="G121" s="347" t="str">
        <f t="shared" si="2"/>
        <v/>
      </c>
      <c r="H121" s="347">
        <f t="shared" si="3"/>
        <v>0.003571428571</v>
      </c>
      <c r="I121" s="348">
        <f t="shared" si="4"/>
        <v>0.01428571429</v>
      </c>
      <c r="J121" s="282"/>
      <c r="K121" s="23"/>
      <c r="L121" s="23"/>
      <c r="M121" s="23"/>
      <c r="N121" s="23"/>
      <c r="O121" s="125"/>
      <c r="P121" s="125"/>
    </row>
    <row r="122">
      <c r="A122" s="275" t="b">
        <f t="shared" si="1"/>
        <v>0</v>
      </c>
      <c r="B122" s="276">
        <v>0.0</v>
      </c>
      <c r="C122" s="277" t="s">
        <v>1045</v>
      </c>
      <c r="D122" s="294" t="s">
        <v>1046</v>
      </c>
      <c r="E122" s="349" t="s">
        <v>38</v>
      </c>
      <c r="F122" s="349" t="s">
        <v>44</v>
      </c>
      <c r="G122" s="347">
        <f t="shared" si="2"/>
        <v>0.02272727273</v>
      </c>
      <c r="H122" s="347" t="str">
        <f t="shared" si="3"/>
        <v/>
      </c>
      <c r="I122" s="348" t="str">
        <f t="shared" si="4"/>
        <v/>
      </c>
      <c r="J122" s="282"/>
      <c r="K122" s="23"/>
      <c r="L122" s="23"/>
      <c r="M122" s="23"/>
      <c r="N122" s="23"/>
      <c r="O122" s="125"/>
      <c r="P122" s="125"/>
    </row>
    <row r="123">
      <c r="A123" s="275" t="b">
        <f t="shared" si="1"/>
        <v>0</v>
      </c>
      <c r="B123" s="276">
        <v>0.0</v>
      </c>
      <c r="C123" s="277" t="s">
        <v>1047</v>
      </c>
      <c r="D123" s="294" t="s">
        <v>1048</v>
      </c>
      <c r="E123" s="349" t="s">
        <v>38</v>
      </c>
      <c r="F123" s="349" t="s">
        <v>46</v>
      </c>
      <c r="G123" s="347" t="str">
        <f t="shared" si="2"/>
        <v/>
      </c>
      <c r="H123" s="347">
        <f t="shared" si="3"/>
        <v>0.025</v>
      </c>
      <c r="I123" s="348">
        <f t="shared" si="4"/>
        <v>0.01666666667</v>
      </c>
      <c r="J123" s="282"/>
      <c r="K123" s="23"/>
      <c r="L123" s="23"/>
      <c r="M123" s="23"/>
      <c r="N123" s="23"/>
      <c r="O123" s="125"/>
      <c r="P123" s="125"/>
    </row>
    <row r="124">
      <c r="A124" s="275" t="b">
        <f t="shared" si="1"/>
        <v>0</v>
      </c>
      <c r="B124" s="276">
        <v>0.0</v>
      </c>
      <c r="C124" s="277" t="s">
        <v>1049</v>
      </c>
      <c r="D124" s="294" t="s">
        <v>1050</v>
      </c>
      <c r="E124" s="349" t="s">
        <v>38</v>
      </c>
      <c r="F124" s="349" t="s">
        <v>48</v>
      </c>
      <c r="G124" s="347" t="str">
        <f t="shared" si="2"/>
        <v/>
      </c>
      <c r="H124" s="347">
        <f t="shared" si="3"/>
        <v>0.003571428571</v>
      </c>
      <c r="I124" s="348">
        <f t="shared" si="4"/>
        <v>0.01428571429</v>
      </c>
      <c r="J124" s="282"/>
      <c r="K124" s="23"/>
      <c r="L124" s="23"/>
      <c r="M124" s="23"/>
      <c r="N124" s="23"/>
      <c r="O124" s="125"/>
      <c r="P124" s="125"/>
    </row>
    <row r="125">
      <c r="A125" s="275" t="b">
        <f t="shared" si="1"/>
        <v>0</v>
      </c>
      <c r="B125" s="276">
        <v>0.0</v>
      </c>
      <c r="C125" s="277" t="s">
        <v>1051</v>
      </c>
      <c r="D125" s="294" t="s">
        <v>518</v>
      </c>
      <c r="E125" s="349" t="s">
        <v>38</v>
      </c>
      <c r="F125" s="349" t="s">
        <v>44</v>
      </c>
      <c r="G125" s="347">
        <f t="shared" si="2"/>
        <v>0.02272727273</v>
      </c>
      <c r="H125" s="347" t="str">
        <f t="shared" si="3"/>
        <v/>
      </c>
      <c r="I125" s="348" t="str">
        <f t="shared" si="4"/>
        <v/>
      </c>
      <c r="J125" s="282"/>
      <c r="K125" s="23"/>
      <c r="L125" s="23"/>
      <c r="M125" s="23"/>
      <c r="N125" s="23"/>
      <c r="O125" s="125"/>
      <c r="P125" s="125"/>
    </row>
    <row r="126">
      <c r="A126" s="275" t="b">
        <f t="shared" si="1"/>
        <v>0</v>
      </c>
      <c r="B126" s="276">
        <v>0.0</v>
      </c>
      <c r="C126" s="277" t="s">
        <v>1052</v>
      </c>
      <c r="D126" s="294" t="s">
        <v>1053</v>
      </c>
      <c r="E126" s="349" t="s">
        <v>38</v>
      </c>
      <c r="F126" s="349" t="s">
        <v>51</v>
      </c>
      <c r="G126" s="347" t="str">
        <f t="shared" si="2"/>
        <v/>
      </c>
      <c r="H126" s="347">
        <f t="shared" si="3"/>
        <v>0.003332</v>
      </c>
      <c r="I126" s="348">
        <f t="shared" si="4"/>
        <v>0.013328</v>
      </c>
      <c r="J126" s="282"/>
      <c r="K126" s="23"/>
      <c r="L126" s="23"/>
      <c r="M126" s="23"/>
      <c r="N126" s="23"/>
      <c r="O126" s="125"/>
      <c r="P126" s="125"/>
    </row>
    <row r="127">
      <c r="A127" s="275" t="b">
        <f t="shared" si="1"/>
        <v>0</v>
      </c>
      <c r="B127" s="276">
        <v>0.0</v>
      </c>
      <c r="C127" s="277" t="s">
        <v>1054</v>
      </c>
      <c r="D127" s="294" t="s">
        <v>528</v>
      </c>
      <c r="E127" s="349" t="s">
        <v>805</v>
      </c>
      <c r="F127" s="349" t="s">
        <v>44</v>
      </c>
      <c r="G127" s="347" t="str">
        <f t="shared" si="2"/>
        <v>x</v>
      </c>
      <c r="H127" s="347" t="str">
        <f t="shared" si="3"/>
        <v/>
      </c>
      <c r="I127" s="348" t="str">
        <f t="shared" si="4"/>
        <v/>
      </c>
      <c r="J127" s="282"/>
      <c r="K127" s="23"/>
      <c r="L127" s="23"/>
      <c r="M127" s="23"/>
      <c r="N127" s="23"/>
      <c r="O127" s="125"/>
      <c r="P127" s="125"/>
    </row>
    <row r="128">
      <c r="A128" s="275" t="b">
        <f t="shared" si="1"/>
        <v>0</v>
      </c>
      <c r="B128" s="276">
        <v>0.0</v>
      </c>
      <c r="C128" s="277" t="s">
        <v>1055</v>
      </c>
      <c r="D128" s="294" t="s">
        <v>532</v>
      </c>
      <c r="E128" s="349" t="s">
        <v>38</v>
      </c>
      <c r="F128" s="349" t="s">
        <v>44</v>
      </c>
      <c r="G128" s="347">
        <f t="shared" si="2"/>
        <v>0.02272727273</v>
      </c>
      <c r="H128" s="347" t="str">
        <f t="shared" si="3"/>
        <v/>
      </c>
      <c r="I128" s="348" t="str">
        <f t="shared" si="4"/>
        <v/>
      </c>
      <c r="J128" s="282"/>
      <c r="K128" s="23"/>
      <c r="L128" s="23"/>
      <c r="M128" s="23"/>
      <c r="N128" s="23"/>
      <c r="O128" s="125"/>
      <c r="P128" s="125"/>
    </row>
    <row r="129">
      <c r="A129" s="275" t="b">
        <f t="shared" si="1"/>
        <v>0</v>
      </c>
      <c r="B129" s="276">
        <v>0.0</v>
      </c>
      <c r="C129" s="277" t="s">
        <v>1056</v>
      </c>
      <c r="D129" s="294" t="s">
        <v>1057</v>
      </c>
      <c r="E129" s="349" t="s">
        <v>38</v>
      </c>
      <c r="F129" s="349" t="s">
        <v>46</v>
      </c>
      <c r="G129" s="347" t="str">
        <f t="shared" si="2"/>
        <v/>
      </c>
      <c r="H129" s="347">
        <f t="shared" si="3"/>
        <v>0.025</v>
      </c>
      <c r="I129" s="348">
        <f t="shared" si="4"/>
        <v>0.01666666667</v>
      </c>
      <c r="J129" s="282"/>
      <c r="K129" s="23"/>
      <c r="L129" s="23"/>
      <c r="M129" s="23"/>
      <c r="N129" s="23"/>
      <c r="O129" s="125"/>
      <c r="P129" s="125"/>
    </row>
    <row r="130">
      <c r="A130" s="275" t="b">
        <f t="shared" si="1"/>
        <v>0</v>
      </c>
      <c r="B130" s="276">
        <v>0.0</v>
      </c>
      <c r="C130" s="277" t="s">
        <v>1058</v>
      </c>
      <c r="D130" s="294" t="s">
        <v>1059</v>
      </c>
      <c r="E130" s="349" t="s">
        <v>38</v>
      </c>
      <c r="F130" s="349" t="s">
        <v>48</v>
      </c>
      <c r="G130" s="347" t="str">
        <f t="shared" si="2"/>
        <v/>
      </c>
      <c r="H130" s="347">
        <f t="shared" si="3"/>
        <v>0.003571428571</v>
      </c>
      <c r="I130" s="348">
        <f t="shared" si="4"/>
        <v>0.01428571429</v>
      </c>
      <c r="J130" s="282"/>
      <c r="K130" s="23"/>
      <c r="L130" s="23"/>
      <c r="M130" s="23"/>
      <c r="N130" s="23"/>
      <c r="O130" s="125"/>
      <c r="P130" s="125"/>
    </row>
    <row r="131">
      <c r="A131" s="275" t="b">
        <f t="shared" si="1"/>
        <v>0</v>
      </c>
      <c r="B131" s="276">
        <v>0.0</v>
      </c>
      <c r="C131" s="277" t="s">
        <v>1060</v>
      </c>
      <c r="D131" s="294" t="s">
        <v>1061</v>
      </c>
      <c r="E131" s="349" t="s">
        <v>805</v>
      </c>
      <c r="F131" s="349" t="s">
        <v>44</v>
      </c>
      <c r="G131" s="347" t="str">
        <f t="shared" si="2"/>
        <v>x</v>
      </c>
      <c r="H131" s="347" t="str">
        <f t="shared" si="3"/>
        <v/>
      </c>
      <c r="I131" s="348" t="str">
        <f t="shared" si="4"/>
        <v/>
      </c>
      <c r="J131" s="282"/>
      <c r="K131" s="23"/>
      <c r="L131" s="23"/>
      <c r="M131" s="23"/>
      <c r="N131" s="23"/>
      <c r="O131" s="125"/>
      <c r="P131" s="125"/>
    </row>
    <row r="132">
      <c r="A132" s="275" t="b">
        <f t="shared" si="1"/>
        <v>0</v>
      </c>
      <c r="B132" s="276">
        <v>0.0</v>
      </c>
      <c r="C132" s="277" t="s">
        <v>1062</v>
      </c>
      <c r="D132" s="294" t="s">
        <v>1063</v>
      </c>
      <c r="E132" s="349" t="s">
        <v>805</v>
      </c>
      <c r="F132" s="349" t="s">
        <v>44</v>
      </c>
      <c r="G132" s="347" t="str">
        <f t="shared" si="2"/>
        <v>x</v>
      </c>
      <c r="H132" s="347" t="str">
        <f t="shared" si="3"/>
        <v/>
      </c>
      <c r="I132" s="348" t="str">
        <f t="shared" si="4"/>
        <v/>
      </c>
      <c r="J132" s="282"/>
      <c r="K132" s="23"/>
      <c r="L132" s="23"/>
      <c r="M132" s="23"/>
      <c r="N132" s="23"/>
      <c r="O132" s="125"/>
      <c r="P132" s="125"/>
    </row>
    <row r="133">
      <c r="A133" s="275" t="b">
        <f t="shared" si="1"/>
        <v>0</v>
      </c>
      <c r="B133" s="276">
        <v>0.0</v>
      </c>
      <c r="C133" s="277" t="s">
        <v>1064</v>
      </c>
      <c r="D133" s="294" t="s">
        <v>1065</v>
      </c>
      <c r="E133" s="349" t="s">
        <v>38</v>
      </c>
      <c r="F133" s="349" t="s">
        <v>44</v>
      </c>
      <c r="G133" s="347">
        <f t="shared" si="2"/>
        <v>0.02272727273</v>
      </c>
      <c r="H133" s="347" t="str">
        <f t="shared" si="3"/>
        <v/>
      </c>
      <c r="I133" s="348" t="str">
        <f t="shared" si="4"/>
        <v/>
      </c>
      <c r="J133" s="282"/>
      <c r="K133" s="23"/>
      <c r="L133" s="23"/>
      <c r="M133" s="23"/>
      <c r="N133" s="23"/>
      <c r="O133" s="125"/>
      <c r="P133" s="125"/>
    </row>
    <row r="134">
      <c r="A134" s="275" t="b">
        <f t="shared" si="1"/>
        <v>0</v>
      </c>
      <c r="B134" s="276">
        <v>0.0</v>
      </c>
      <c r="C134" s="277" t="s">
        <v>1066</v>
      </c>
      <c r="D134" s="294" t="s">
        <v>1067</v>
      </c>
      <c r="E134" s="349" t="s">
        <v>38</v>
      </c>
      <c r="F134" s="349" t="s">
        <v>44</v>
      </c>
      <c r="G134" s="347">
        <f t="shared" si="2"/>
        <v>0.02272727273</v>
      </c>
      <c r="H134" s="347" t="str">
        <f t="shared" si="3"/>
        <v/>
      </c>
      <c r="I134" s="348" t="str">
        <f t="shared" si="4"/>
        <v/>
      </c>
      <c r="J134" s="282"/>
      <c r="K134" s="23"/>
      <c r="L134" s="23"/>
      <c r="M134" s="23"/>
      <c r="N134" s="23"/>
      <c r="O134" s="125"/>
      <c r="P134" s="125"/>
    </row>
    <row r="135">
      <c r="A135" s="275" t="b">
        <f t="shared" si="1"/>
        <v>0</v>
      </c>
      <c r="B135" s="276">
        <v>0.0</v>
      </c>
      <c r="C135" s="277" t="s">
        <v>1068</v>
      </c>
      <c r="D135" s="294" t="s">
        <v>1069</v>
      </c>
      <c r="E135" s="349" t="s">
        <v>38</v>
      </c>
      <c r="F135" s="349" t="s">
        <v>46</v>
      </c>
      <c r="G135" s="347" t="str">
        <f t="shared" si="2"/>
        <v/>
      </c>
      <c r="H135" s="347">
        <f t="shared" si="3"/>
        <v>0.025</v>
      </c>
      <c r="I135" s="348">
        <f t="shared" si="4"/>
        <v>0.01666666667</v>
      </c>
      <c r="J135" s="282"/>
      <c r="K135" s="23"/>
      <c r="L135" s="23"/>
      <c r="M135" s="23"/>
      <c r="N135" s="23"/>
      <c r="O135" s="125"/>
      <c r="P135" s="125"/>
    </row>
    <row r="136">
      <c r="A136" s="275" t="b">
        <f t="shared" si="1"/>
        <v>0</v>
      </c>
      <c r="B136" s="276">
        <v>0.0</v>
      </c>
      <c r="C136" s="277" t="s">
        <v>1070</v>
      </c>
      <c r="D136" s="294" t="s">
        <v>1071</v>
      </c>
      <c r="E136" s="349" t="s">
        <v>36</v>
      </c>
      <c r="F136" s="349" t="s">
        <v>44</v>
      </c>
      <c r="G136" s="347">
        <f t="shared" si="2"/>
        <v>0.02173913043</v>
      </c>
      <c r="H136" s="347" t="str">
        <f t="shared" si="3"/>
        <v/>
      </c>
      <c r="I136" s="348" t="str">
        <f t="shared" si="4"/>
        <v/>
      </c>
      <c r="J136" s="282"/>
      <c r="K136" s="23"/>
      <c r="L136" s="23"/>
      <c r="M136" s="23"/>
      <c r="N136" s="23"/>
      <c r="O136" s="125"/>
      <c r="P136" s="125"/>
    </row>
    <row r="137">
      <c r="A137" s="275" t="b">
        <f t="shared" si="1"/>
        <v>0</v>
      </c>
      <c r="B137" s="276">
        <v>0.0</v>
      </c>
      <c r="C137" s="277" t="s">
        <v>1072</v>
      </c>
      <c r="D137" s="294" t="s">
        <v>1073</v>
      </c>
      <c r="E137" s="349" t="s">
        <v>36</v>
      </c>
      <c r="F137" s="349" t="s">
        <v>44</v>
      </c>
      <c r="G137" s="347">
        <f t="shared" si="2"/>
        <v>0.02173913043</v>
      </c>
      <c r="H137" s="347" t="str">
        <f t="shared" si="3"/>
        <v/>
      </c>
      <c r="I137" s="348" t="str">
        <f t="shared" si="4"/>
        <v/>
      </c>
      <c r="J137" s="282"/>
      <c r="K137" s="23"/>
      <c r="L137" s="23"/>
      <c r="M137" s="23"/>
      <c r="N137" s="23"/>
      <c r="O137" s="125"/>
      <c r="P137" s="125"/>
    </row>
    <row r="138">
      <c r="A138" s="275" t="b">
        <f t="shared" si="1"/>
        <v>0</v>
      </c>
      <c r="B138" s="276">
        <v>0.0</v>
      </c>
      <c r="C138" s="277" t="s">
        <v>1074</v>
      </c>
      <c r="D138" s="294" t="s">
        <v>1075</v>
      </c>
      <c r="E138" s="349" t="s">
        <v>36</v>
      </c>
      <c r="F138" s="349" t="s">
        <v>44</v>
      </c>
      <c r="G138" s="347">
        <f t="shared" si="2"/>
        <v>0.02173913043</v>
      </c>
      <c r="H138" s="347" t="str">
        <f t="shared" si="3"/>
        <v/>
      </c>
      <c r="I138" s="348" t="str">
        <f t="shared" si="4"/>
        <v/>
      </c>
      <c r="J138" s="282"/>
      <c r="K138" s="23"/>
      <c r="L138" s="23"/>
      <c r="M138" s="23"/>
      <c r="N138" s="23"/>
      <c r="O138" s="125"/>
      <c r="P138" s="125"/>
    </row>
    <row r="139">
      <c r="A139" s="275" t="b">
        <f t="shared" si="1"/>
        <v>0</v>
      </c>
      <c r="B139" s="276">
        <v>0.0</v>
      </c>
      <c r="C139" s="277" t="s">
        <v>1076</v>
      </c>
      <c r="D139" s="294" t="s">
        <v>1077</v>
      </c>
      <c r="E139" s="349" t="s">
        <v>36</v>
      </c>
      <c r="F139" s="349" t="s">
        <v>44</v>
      </c>
      <c r="G139" s="347">
        <f t="shared" si="2"/>
        <v>0.02173913043</v>
      </c>
      <c r="H139" s="347" t="str">
        <f t="shared" si="3"/>
        <v/>
      </c>
      <c r="I139" s="348" t="str">
        <f t="shared" si="4"/>
        <v/>
      </c>
      <c r="J139" s="282"/>
      <c r="K139" s="23"/>
      <c r="L139" s="23"/>
      <c r="M139" s="23"/>
      <c r="N139" s="23"/>
      <c r="O139" s="125"/>
      <c r="P139" s="125"/>
    </row>
    <row r="140">
      <c r="A140" s="275" t="b">
        <f t="shared" si="1"/>
        <v>0</v>
      </c>
      <c r="B140" s="276">
        <v>0.0</v>
      </c>
      <c r="C140" s="277" t="s">
        <v>1078</v>
      </c>
      <c r="D140" s="294" t="s">
        <v>1079</v>
      </c>
      <c r="E140" s="349" t="s">
        <v>38</v>
      </c>
      <c r="F140" s="349" t="s">
        <v>44</v>
      </c>
      <c r="G140" s="347">
        <f t="shared" si="2"/>
        <v>0.02272727273</v>
      </c>
      <c r="H140" s="347" t="str">
        <f t="shared" si="3"/>
        <v/>
      </c>
      <c r="I140" s="348" t="str">
        <f t="shared" si="4"/>
        <v/>
      </c>
      <c r="J140" s="282"/>
      <c r="K140" s="23"/>
      <c r="L140" s="23"/>
      <c r="M140" s="23"/>
      <c r="N140" s="23"/>
      <c r="O140" s="125"/>
      <c r="P140" s="125"/>
    </row>
    <row r="141">
      <c r="A141" s="275" t="b">
        <f t="shared" si="1"/>
        <v>0</v>
      </c>
      <c r="B141" s="276">
        <v>0.0</v>
      </c>
      <c r="C141" s="277" t="s">
        <v>1080</v>
      </c>
      <c r="D141" s="294" t="s">
        <v>1081</v>
      </c>
      <c r="E141" s="349" t="s">
        <v>38</v>
      </c>
      <c r="F141" s="349" t="s">
        <v>46</v>
      </c>
      <c r="G141" s="347" t="str">
        <f t="shared" si="2"/>
        <v/>
      </c>
      <c r="H141" s="347">
        <f t="shared" si="3"/>
        <v>0.025</v>
      </c>
      <c r="I141" s="348">
        <f t="shared" si="4"/>
        <v>0.01666666667</v>
      </c>
      <c r="J141" s="282"/>
      <c r="K141" s="23"/>
      <c r="L141" s="23"/>
      <c r="M141" s="23"/>
      <c r="N141" s="23"/>
      <c r="O141" s="125"/>
      <c r="P141" s="125"/>
    </row>
    <row r="142">
      <c r="A142" s="275" t="b">
        <f t="shared" si="1"/>
        <v>0</v>
      </c>
      <c r="B142" s="276">
        <v>0.0</v>
      </c>
      <c r="C142" s="277" t="s">
        <v>1082</v>
      </c>
      <c r="D142" s="294" t="s">
        <v>774</v>
      </c>
      <c r="E142" s="349" t="s">
        <v>38</v>
      </c>
      <c r="F142" s="349" t="s">
        <v>44</v>
      </c>
      <c r="G142" s="347">
        <f t="shared" si="2"/>
        <v>0.02272727273</v>
      </c>
      <c r="H142" s="347" t="str">
        <f t="shared" si="3"/>
        <v/>
      </c>
      <c r="I142" s="348" t="str">
        <f t="shared" si="4"/>
        <v/>
      </c>
      <c r="J142" s="282"/>
      <c r="K142" s="23"/>
      <c r="L142" s="23"/>
      <c r="M142" s="23"/>
      <c r="N142" s="23"/>
      <c r="O142" s="125"/>
      <c r="P142" s="125"/>
    </row>
    <row r="143">
      <c r="A143" s="275" t="b">
        <f t="shared" si="1"/>
        <v>0</v>
      </c>
      <c r="B143" s="276">
        <v>0.0</v>
      </c>
      <c r="C143" s="277" t="s">
        <v>1083</v>
      </c>
      <c r="D143" s="294" t="s">
        <v>1084</v>
      </c>
      <c r="E143" s="349" t="s">
        <v>805</v>
      </c>
      <c r="F143" s="349" t="s">
        <v>44</v>
      </c>
      <c r="G143" s="347" t="str">
        <f t="shared" si="2"/>
        <v>x</v>
      </c>
      <c r="H143" s="347" t="str">
        <f t="shared" si="3"/>
        <v/>
      </c>
      <c r="I143" s="348" t="str">
        <f t="shared" si="4"/>
        <v/>
      </c>
      <c r="J143" s="282"/>
      <c r="K143" s="23"/>
      <c r="L143" s="23"/>
      <c r="M143" s="23"/>
      <c r="N143" s="23"/>
      <c r="O143" s="125"/>
      <c r="P143" s="125"/>
    </row>
    <row r="144">
      <c r="A144" s="275" t="b">
        <f t="shared" si="1"/>
        <v>0</v>
      </c>
      <c r="B144" s="276">
        <v>0.0</v>
      </c>
      <c r="C144" s="277" t="s">
        <v>1085</v>
      </c>
      <c r="D144" s="294" t="s">
        <v>1086</v>
      </c>
      <c r="E144" s="349" t="s">
        <v>805</v>
      </c>
      <c r="F144" s="349" t="s">
        <v>48</v>
      </c>
      <c r="G144" s="347" t="str">
        <f t="shared" si="2"/>
        <v/>
      </c>
      <c r="H144" s="347">
        <f t="shared" si="3"/>
        <v>0.003571428571</v>
      </c>
      <c r="I144" s="348">
        <f t="shared" si="4"/>
        <v>0.01428571429</v>
      </c>
      <c r="J144" s="282"/>
      <c r="K144" s="23"/>
      <c r="L144" s="23"/>
      <c r="M144" s="23"/>
      <c r="N144" s="23"/>
      <c r="O144" s="125"/>
      <c r="P144" s="125"/>
    </row>
    <row r="145">
      <c r="A145" s="275" t="b">
        <f t="shared" si="1"/>
        <v>0</v>
      </c>
      <c r="B145" s="276">
        <v>0.0</v>
      </c>
      <c r="C145" s="277" t="s">
        <v>1087</v>
      </c>
      <c r="D145" s="294" t="s">
        <v>1088</v>
      </c>
      <c r="E145" s="349" t="s">
        <v>36</v>
      </c>
      <c r="F145" s="349" t="s">
        <v>44</v>
      </c>
      <c r="G145" s="347">
        <f t="shared" si="2"/>
        <v>0.02173913043</v>
      </c>
      <c r="H145" s="347" t="str">
        <f t="shared" si="3"/>
        <v/>
      </c>
      <c r="I145" s="348" t="str">
        <f t="shared" si="4"/>
        <v/>
      </c>
      <c r="J145" s="282"/>
      <c r="K145" s="23"/>
      <c r="L145" s="23"/>
      <c r="M145" s="23"/>
      <c r="N145" s="23"/>
      <c r="O145" s="125"/>
      <c r="P145" s="125"/>
    </row>
    <row r="146">
      <c r="A146" s="275" t="b">
        <f t="shared" si="1"/>
        <v>0</v>
      </c>
      <c r="B146" s="276">
        <v>0.0</v>
      </c>
      <c r="C146" s="277" t="s">
        <v>1089</v>
      </c>
      <c r="D146" s="294" t="s">
        <v>1090</v>
      </c>
      <c r="E146" s="349" t="s">
        <v>38</v>
      </c>
      <c r="F146" s="349" t="s">
        <v>44</v>
      </c>
      <c r="G146" s="347">
        <f t="shared" si="2"/>
        <v>0.02272727273</v>
      </c>
      <c r="H146" s="347" t="str">
        <f t="shared" si="3"/>
        <v/>
      </c>
      <c r="I146" s="348" t="str">
        <f t="shared" si="4"/>
        <v/>
      </c>
      <c r="J146" s="282"/>
      <c r="K146" s="23"/>
      <c r="L146" s="23"/>
      <c r="M146" s="23"/>
      <c r="N146" s="23"/>
      <c r="O146" s="125"/>
      <c r="P146" s="125"/>
    </row>
    <row r="147">
      <c r="A147" s="275" t="b">
        <f t="shared" si="1"/>
        <v>0</v>
      </c>
      <c r="B147" s="276">
        <v>0.0</v>
      </c>
      <c r="C147" s="277" t="s">
        <v>1091</v>
      </c>
      <c r="D147" s="294" t="s">
        <v>1092</v>
      </c>
      <c r="E147" s="349" t="s">
        <v>36</v>
      </c>
      <c r="F147" s="349" t="s">
        <v>46</v>
      </c>
      <c r="G147" s="347" t="str">
        <f t="shared" si="2"/>
        <v/>
      </c>
      <c r="H147" s="347">
        <f t="shared" si="3"/>
        <v>0.02647058824</v>
      </c>
      <c r="I147" s="348">
        <f t="shared" si="4"/>
        <v>0.01764705882</v>
      </c>
      <c r="J147" s="282"/>
      <c r="K147" s="23"/>
      <c r="L147" s="23"/>
      <c r="M147" s="23"/>
      <c r="N147" s="23"/>
      <c r="O147" s="125"/>
      <c r="P147" s="125"/>
    </row>
    <row r="148">
      <c r="A148" s="275" t="b">
        <f t="shared" si="1"/>
        <v>0</v>
      </c>
      <c r="B148" s="276">
        <v>0.0</v>
      </c>
      <c r="C148" s="277" t="s">
        <v>1093</v>
      </c>
      <c r="D148" s="294" t="s">
        <v>1094</v>
      </c>
      <c r="E148" s="349" t="s">
        <v>36</v>
      </c>
      <c r="F148" s="349" t="s">
        <v>46</v>
      </c>
      <c r="G148" s="347" t="str">
        <f t="shared" si="2"/>
        <v/>
      </c>
      <c r="H148" s="347">
        <f t="shared" si="3"/>
        <v>0.02647058824</v>
      </c>
      <c r="I148" s="348">
        <f t="shared" si="4"/>
        <v>0.01764705882</v>
      </c>
      <c r="J148" s="282"/>
      <c r="K148" s="23"/>
      <c r="L148" s="23"/>
      <c r="M148" s="23"/>
      <c r="N148" s="23"/>
      <c r="O148" s="125"/>
      <c r="P148" s="125"/>
    </row>
    <row r="149">
      <c r="A149" s="275" t="b">
        <f t="shared" si="1"/>
        <v>0</v>
      </c>
      <c r="B149" s="276">
        <v>0.0</v>
      </c>
      <c r="C149" s="277" t="s">
        <v>1095</v>
      </c>
      <c r="D149" s="294" t="s">
        <v>1096</v>
      </c>
      <c r="E149" s="349" t="s">
        <v>38</v>
      </c>
      <c r="F149" s="349" t="s">
        <v>46</v>
      </c>
      <c r="G149" s="347" t="str">
        <f t="shared" si="2"/>
        <v/>
      </c>
      <c r="H149" s="347">
        <f t="shared" si="3"/>
        <v>0.025</v>
      </c>
      <c r="I149" s="348">
        <f t="shared" si="4"/>
        <v>0.01666666667</v>
      </c>
      <c r="J149" s="282"/>
      <c r="K149" s="23"/>
      <c r="L149" s="23"/>
      <c r="M149" s="23"/>
      <c r="N149" s="23"/>
      <c r="O149" s="125"/>
      <c r="P149" s="125"/>
    </row>
    <row r="150">
      <c r="A150" s="275" t="b">
        <f t="shared" si="1"/>
        <v>0</v>
      </c>
      <c r="B150" s="276">
        <v>0.0</v>
      </c>
      <c r="C150" s="277" t="s">
        <v>1097</v>
      </c>
      <c r="D150" s="294" t="s">
        <v>1098</v>
      </c>
      <c r="E150" s="349" t="s">
        <v>38</v>
      </c>
      <c r="F150" s="349" t="s">
        <v>46</v>
      </c>
      <c r="G150" s="347" t="str">
        <f t="shared" si="2"/>
        <v/>
      </c>
      <c r="H150" s="347">
        <f t="shared" si="3"/>
        <v>0.025</v>
      </c>
      <c r="I150" s="348">
        <f t="shared" si="4"/>
        <v>0.01666666667</v>
      </c>
      <c r="J150" s="282"/>
      <c r="K150" s="23"/>
      <c r="L150" s="23"/>
      <c r="M150" s="23"/>
      <c r="N150" s="23"/>
      <c r="O150" s="125"/>
      <c r="P150" s="125"/>
    </row>
    <row r="151">
      <c r="A151" s="275" t="b">
        <f t="shared" si="1"/>
        <v>0</v>
      </c>
      <c r="B151" s="276">
        <v>0.0</v>
      </c>
      <c r="C151" s="277" t="s">
        <v>1099</v>
      </c>
      <c r="D151" s="294" t="s">
        <v>1100</v>
      </c>
      <c r="E151" s="349" t="s">
        <v>38</v>
      </c>
      <c r="F151" s="349" t="s">
        <v>46</v>
      </c>
      <c r="G151" s="347" t="str">
        <f t="shared" si="2"/>
        <v/>
      </c>
      <c r="H151" s="347">
        <f t="shared" si="3"/>
        <v>0.025</v>
      </c>
      <c r="I151" s="348">
        <f t="shared" si="4"/>
        <v>0.01666666667</v>
      </c>
      <c r="J151" s="282"/>
      <c r="K151" s="23"/>
      <c r="L151" s="23"/>
      <c r="M151" s="23"/>
      <c r="N151" s="23"/>
      <c r="O151" s="125"/>
      <c r="P151" s="125"/>
    </row>
    <row r="152">
      <c r="A152" s="275" t="b">
        <f t="shared" si="1"/>
        <v>0</v>
      </c>
      <c r="B152" s="276">
        <v>0.0</v>
      </c>
      <c r="C152" s="277" t="s">
        <v>1101</v>
      </c>
      <c r="D152" s="294" t="s">
        <v>1102</v>
      </c>
      <c r="E152" s="349" t="s">
        <v>36</v>
      </c>
      <c r="F152" s="349" t="s">
        <v>46</v>
      </c>
      <c r="G152" s="347" t="str">
        <f t="shared" si="2"/>
        <v/>
      </c>
      <c r="H152" s="347">
        <f t="shared" si="3"/>
        <v>0.02647058824</v>
      </c>
      <c r="I152" s="348">
        <f t="shared" si="4"/>
        <v>0.01764705882</v>
      </c>
      <c r="J152" s="282"/>
      <c r="K152" s="23"/>
      <c r="L152" s="23"/>
      <c r="M152" s="23"/>
      <c r="N152" s="23"/>
      <c r="O152" s="125"/>
      <c r="P152" s="125"/>
    </row>
    <row r="153">
      <c r="A153" s="275" t="b">
        <f t="shared" si="1"/>
        <v>0</v>
      </c>
      <c r="B153" s="276">
        <v>0.0</v>
      </c>
      <c r="C153" s="277" t="s">
        <v>1103</v>
      </c>
      <c r="D153" s="294" t="s">
        <v>1104</v>
      </c>
      <c r="E153" s="349" t="s">
        <v>38</v>
      </c>
      <c r="F153" s="349" t="s">
        <v>46</v>
      </c>
      <c r="G153" s="347" t="str">
        <f t="shared" si="2"/>
        <v/>
      </c>
      <c r="H153" s="347">
        <f t="shared" si="3"/>
        <v>0.025</v>
      </c>
      <c r="I153" s="348">
        <f t="shared" si="4"/>
        <v>0.01666666667</v>
      </c>
      <c r="J153" s="282"/>
      <c r="K153" s="23"/>
      <c r="L153" s="23"/>
      <c r="M153" s="23"/>
      <c r="N153" s="23"/>
      <c r="O153" s="125"/>
      <c r="P153" s="125"/>
    </row>
    <row r="154">
      <c r="A154" s="275" t="b">
        <f t="shared" si="1"/>
        <v>0</v>
      </c>
      <c r="B154" s="276">
        <v>0.0</v>
      </c>
      <c r="C154" s="277" t="s">
        <v>1105</v>
      </c>
      <c r="D154" s="294" t="s">
        <v>1106</v>
      </c>
      <c r="E154" s="349" t="s">
        <v>36</v>
      </c>
      <c r="F154" s="349" t="s">
        <v>46</v>
      </c>
      <c r="G154" s="347" t="str">
        <f t="shared" si="2"/>
        <v/>
      </c>
      <c r="H154" s="347">
        <f t="shared" si="3"/>
        <v>0.02647058824</v>
      </c>
      <c r="I154" s="348">
        <f t="shared" si="4"/>
        <v>0.01764705882</v>
      </c>
      <c r="J154" s="282"/>
      <c r="K154" s="23"/>
      <c r="L154" s="23"/>
      <c r="M154" s="23"/>
      <c r="N154" s="23"/>
      <c r="O154" s="125"/>
      <c r="P154" s="125"/>
    </row>
    <row r="155">
      <c r="A155" s="275" t="b">
        <f t="shared" si="1"/>
        <v>0</v>
      </c>
      <c r="B155" s="276">
        <v>0.0</v>
      </c>
      <c r="C155" s="277" t="s">
        <v>1107</v>
      </c>
      <c r="D155" s="294" t="s">
        <v>1108</v>
      </c>
      <c r="E155" s="349" t="s">
        <v>36</v>
      </c>
      <c r="F155" s="349" t="s">
        <v>46</v>
      </c>
      <c r="G155" s="347" t="str">
        <f t="shared" si="2"/>
        <v/>
      </c>
      <c r="H155" s="347">
        <f t="shared" si="3"/>
        <v>0.02647058824</v>
      </c>
      <c r="I155" s="348">
        <f t="shared" si="4"/>
        <v>0.01764705882</v>
      </c>
      <c r="J155" s="282"/>
      <c r="K155" s="23"/>
      <c r="L155" s="23"/>
      <c r="M155" s="23"/>
      <c r="N155" s="23"/>
      <c r="O155" s="125"/>
      <c r="P155" s="125"/>
    </row>
    <row r="156">
      <c r="A156" s="275" t="b">
        <f t="shared" si="1"/>
        <v>0</v>
      </c>
      <c r="B156" s="276">
        <v>0.0</v>
      </c>
      <c r="C156" s="277" t="s">
        <v>1109</v>
      </c>
      <c r="D156" s="294" t="s">
        <v>1110</v>
      </c>
      <c r="E156" s="349" t="s">
        <v>38</v>
      </c>
      <c r="F156" s="349" t="s">
        <v>46</v>
      </c>
      <c r="G156" s="347" t="str">
        <f t="shared" si="2"/>
        <v/>
      </c>
      <c r="H156" s="347">
        <f t="shared" si="3"/>
        <v>0.025</v>
      </c>
      <c r="I156" s="348">
        <f t="shared" si="4"/>
        <v>0.01666666667</v>
      </c>
      <c r="J156" s="282"/>
      <c r="K156" s="23"/>
      <c r="L156" s="23"/>
      <c r="M156" s="23"/>
      <c r="N156" s="23"/>
      <c r="O156" s="125"/>
      <c r="P156" s="125"/>
    </row>
    <row r="157">
      <c r="A157" s="275" t="b">
        <f t="shared" si="1"/>
        <v>0</v>
      </c>
      <c r="B157" s="276">
        <v>0.0</v>
      </c>
      <c r="C157" s="277" t="s">
        <v>1111</v>
      </c>
      <c r="D157" s="294" t="s">
        <v>811</v>
      </c>
      <c r="E157" s="349" t="s">
        <v>36</v>
      </c>
      <c r="F157" s="349" t="s">
        <v>45</v>
      </c>
      <c r="G157" s="347" t="str">
        <f t="shared" si="2"/>
        <v/>
      </c>
      <c r="H157" s="347">
        <f t="shared" si="3"/>
        <v>0.002143333333</v>
      </c>
      <c r="I157" s="348">
        <f t="shared" si="4"/>
        <v>0.008573333333</v>
      </c>
      <c r="J157" s="282"/>
      <c r="K157" s="23"/>
      <c r="L157" s="23"/>
      <c r="M157" s="23"/>
      <c r="N157" s="23"/>
      <c r="O157" s="125"/>
      <c r="P157" s="125"/>
    </row>
    <row r="158">
      <c r="A158" s="275" t="b">
        <f t="shared" si="1"/>
        <v>0</v>
      </c>
      <c r="B158" s="276">
        <v>0.0</v>
      </c>
      <c r="C158" s="277" t="s">
        <v>1112</v>
      </c>
      <c r="D158" s="294" t="s">
        <v>835</v>
      </c>
      <c r="E158" s="349" t="s">
        <v>36</v>
      </c>
      <c r="F158" s="349" t="s">
        <v>45</v>
      </c>
      <c r="G158" s="347" t="str">
        <f t="shared" si="2"/>
        <v/>
      </c>
      <c r="H158" s="347">
        <f t="shared" si="3"/>
        <v>0.002143333333</v>
      </c>
      <c r="I158" s="348">
        <f t="shared" si="4"/>
        <v>0.008573333333</v>
      </c>
      <c r="J158" s="282"/>
      <c r="K158" s="23"/>
      <c r="L158" s="23"/>
      <c r="M158" s="23"/>
      <c r="N158" s="23"/>
      <c r="O158" s="125"/>
      <c r="P158" s="125"/>
    </row>
    <row r="159">
      <c r="A159" s="275" t="b">
        <f t="shared" si="1"/>
        <v>0</v>
      </c>
      <c r="B159" s="276">
        <v>0.0</v>
      </c>
      <c r="C159" s="277" t="s">
        <v>1113</v>
      </c>
      <c r="D159" s="294" t="s">
        <v>841</v>
      </c>
      <c r="E159" s="349" t="s">
        <v>38</v>
      </c>
      <c r="F159" s="349" t="s">
        <v>45</v>
      </c>
      <c r="G159" s="347" t="str">
        <f t="shared" si="2"/>
        <v/>
      </c>
      <c r="H159" s="347">
        <f t="shared" si="3"/>
        <v>0.002143333333</v>
      </c>
      <c r="I159" s="348">
        <f t="shared" si="4"/>
        <v>0.008573333333</v>
      </c>
      <c r="J159" s="282"/>
      <c r="K159" s="23"/>
      <c r="L159" s="23"/>
      <c r="M159" s="23"/>
      <c r="N159" s="23"/>
      <c r="O159" s="125"/>
      <c r="P159" s="125"/>
    </row>
    <row r="160">
      <c r="A160" s="275" t="b">
        <f t="shared" si="1"/>
        <v>0</v>
      </c>
      <c r="B160" s="276">
        <v>0.0</v>
      </c>
      <c r="C160" s="277" t="s">
        <v>1114</v>
      </c>
      <c r="D160" s="294" t="s">
        <v>848</v>
      </c>
      <c r="E160" s="349" t="s">
        <v>36</v>
      </c>
      <c r="F160" s="349" t="s">
        <v>45</v>
      </c>
      <c r="G160" s="347" t="str">
        <f t="shared" si="2"/>
        <v/>
      </c>
      <c r="H160" s="347">
        <f t="shared" si="3"/>
        <v>0.002143333333</v>
      </c>
      <c r="I160" s="348">
        <f t="shared" si="4"/>
        <v>0.008573333333</v>
      </c>
      <c r="J160" s="282"/>
      <c r="K160" s="23"/>
      <c r="L160" s="23"/>
      <c r="M160" s="23"/>
      <c r="N160" s="23"/>
      <c r="O160" s="125"/>
      <c r="P160" s="125"/>
    </row>
    <row r="161">
      <c r="A161" s="275" t="b">
        <f t="shared" si="1"/>
        <v>0</v>
      </c>
      <c r="B161" s="276">
        <v>0.0</v>
      </c>
      <c r="C161" s="277" t="s">
        <v>1115</v>
      </c>
      <c r="D161" s="294" t="s">
        <v>873</v>
      </c>
      <c r="E161" s="349" t="s">
        <v>36</v>
      </c>
      <c r="F161" s="349" t="s">
        <v>45</v>
      </c>
      <c r="G161" s="347" t="str">
        <f t="shared" si="2"/>
        <v/>
      </c>
      <c r="H161" s="347">
        <f t="shared" si="3"/>
        <v>0.002143333333</v>
      </c>
      <c r="I161" s="348">
        <f t="shared" si="4"/>
        <v>0.008573333333</v>
      </c>
      <c r="J161" s="282"/>
      <c r="K161" s="23"/>
      <c r="L161" s="23"/>
      <c r="M161" s="23"/>
      <c r="N161" s="23"/>
      <c r="O161" s="125"/>
      <c r="P161" s="125"/>
    </row>
    <row r="162">
      <c r="A162" s="275" t="b">
        <f t="shared" si="1"/>
        <v>0</v>
      </c>
      <c r="B162" s="276">
        <v>0.0</v>
      </c>
      <c r="C162" s="277" t="s">
        <v>1116</v>
      </c>
      <c r="D162" s="294" t="s">
        <v>893</v>
      </c>
      <c r="E162" s="349" t="s">
        <v>38</v>
      </c>
      <c r="F162" s="349" t="s">
        <v>45</v>
      </c>
      <c r="G162" s="347" t="str">
        <f t="shared" si="2"/>
        <v/>
      </c>
      <c r="H162" s="347">
        <f t="shared" si="3"/>
        <v>0.002143333333</v>
      </c>
      <c r="I162" s="348">
        <f t="shared" si="4"/>
        <v>0.008573333333</v>
      </c>
      <c r="J162" s="282"/>
      <c r="K162" s="23"/>
      <c r="L162" s="23"/>
      <c r="M162" s="23"/>
      <c r="N162" s="23"/>
      <c r="O162" s="125"/>
      <c r="P162" s="125"/>
    </row>
    <row r="163">
      <c r="A163" s="275" t="b">
        <f t="shared" si="1"/>
        <v>0</v>
      </c>
      <c r="B163" s="276">
        <v>0.0</v>
      </c>
      <c r="C163" s="277" t="s">
        <v>1117</v>
      </c>
      <c r="D163" s="294" t="s">
        <v>915</v>
      </c>
      <c r="E163" s="349" t="s">
        <v>38</v>
      </c>
      <c r="F163" s="349" t="s">
        <v>45</v>
      </c>
      <c r="G163" s="347" t="str">
        <f t="shared" si="2"/>
        <v/>
      </c>
      <c r="H163" s="347">
        <f t="shared" si="3"/>
        <v>0.002143333333</v>
      </c>
      <c r="I163" s="348">
        <f t="shared" si="4"/>
        <v>0.008573333333</v>
      </c>
      <c r="J163" s="282"/>
      <c r="K163" s="23"/>
      <c r="L163" s="23"/>
      <c r="M163" s="23"/>
      <c r="N163" s="23"/>
      <c r="O163" s="125"/>
      <c r="P163" s="125"/>
    </row>
    <row r="164">
      <c r="A164" s="275" t="b">
        <f t="shared" si="1"/>
        <v>0</v>
      </c>
      <c r="B164" s="276">
        <v>0.0</v>
      </c>
      <c r="C164" s="277" t="s">
        <v>1118</v>
      </c>
      <c r="D164" s="294" t="s">
        <v>926</v>
      </c>
      <c r="E164" s="349" t="s">
        <v>36</v>
      </c>
      <c r="F164" s="349" t="s">
        <v>45</v>
      </c>
      <c r="G164" s="347" t="str">
        <f t="shared" si="2"/>
        <v/>
      </c>
      <c r="H164" s="347">
        <f t="shared" si="3"/>
        <v>0.002143333333</v>
      </c>
      <c r="I164" s="348">
        <f t="shared" si="4"/>
        <v>0.008573333333</v>
      </c>
      <c r="J164" s="282"/>
      <c r="K164" s="23"/>
      <c r="L164" s="23"/>
      <c r="M164" s="23"/>
      <c r="N164" s="23"/>
      <c r="O164" s="125"/>
      <c r="P164" s="125"/>
    </row>
    <row r="165">
      <c r="A165" s="275" t="b">
        <f t="shared" si="1"/>
        <v>0</v>
      </c>
      <c r="B165" s="276">
        <v>0.0</v>
      </c>
      <c r="C165" s="277" t="s">
        <v>1119</v>
      </c>
      <c r="D165" s="294" t="s">
        <v>934</v>
      </c>
      <c r="E165" s="349" t="s">
        <v>38</v>
      </c>
      <c r="F165" s="349" t="s">
        <v>45</v>
      </c>
      <c r="G165" s="347" t="str">
        <f t="shared" si="2"/>
        <v/>
      </c>
      <c r="H165" s="347">
        <f t="shared" si="3"/>
        <v>0.002143333333</v>
      </c>
      <c r="I165" s="348">
        <f t="shared" si="4"/>
        <v>0.008573333333</v>
      </c>
      <c r="J165" s="282"/>
      <c r="K165" s="23"/>
      <c r="L165" s="23"/>
      <c r="M165" s="23"/>
      <c r="N165" s="23"/>
      <c r="O165" s="125"/>
      <c r="P165" s="125"/>
    </row>
    <row r="166">
      <c r="A166" s="275" t="b">
        <f t="shared" si="1"/>
        <v>0</v>
      </c>
      <c r="B166" s="276">
        <v>0.0</v>
      </c>
      <c r="C166" s="277" t="s">
        <v>1120</v>
      </c>
      <c r="D166" s="294" t="s">
        <v>954</v>
      </c>
      <c r="E166" s="349" t="s">
        <v>36</v>
      </c>
      <c r="F166" s="349" t="s">
        <v>45</v>
      </c>
      <c r="G166" s="347" t="str">
        <f t="shared" si="2"/>
        <v/>
      </c>
      <c r="H166" s="347">
        <f t="shared" si="3"/>
        <v>0.002143333333</v>
      </c>
      <c r="I166" s="348">
        <f t="shared" si="4"/>
        <v>0.008573333333</v>
      </c>
      <c r="J166" s="282"/>
      <c r="K166" s="23"/>
      <c r="L166" s="23"/>
      <c r="M166" s="23"/>
      <c r="N166" s="23"/>
      <c r="O166" s="125"/>
      <c r="P166" s="125"/>
    </row>
    <row r="167">
      <c r="A167" s="275" t="b">
        <f t="shared" si="1"/>
        <v>0</v>
      </c>
      <c r="B167" s="276">
        <v>0.0</v>
      </c>
      <c r="C167" s="277" t="s">
        <v>1121</v>
      </c>
      <c r="D167" s="294" t="s">
        <v>960</v>
      </c>
      <c r="E167" s="349" t="s">
        <v>36</v>
      </c>
      <c r="F167" s="349" t="s">
        <v>45</v>
      </c>
      <c r="G167" s="347" t="str">
        <f t="shared" si="2"/>
        <v/>
      </c>
      <c r="H167" s="347">
        <f t="shared" si="3"/>
        <v>0.002143333333</v>
      </c>
      <c r="I167" s="348">
        <f t="shared" si="4"/>
        <v>0.008573333333</v>
      </c>
      <c r="J167" s="282"/>
      <c r="K167" s="23"/>
      <c r="L167" s="23"/>
      <c r="M167" s="23"/>
      <c r="N167" s="23"/>
      <c r="O167" s="125"/>
      <c r="P167" s="125"/>
    </row>
    <row r="168">
      <c r="A168" s="275" t="b">
        <f t="shared" si="1"/>
        <v>0</v>
      </c>
      <c r="B168" s="276">
        <v>0.0</v>
      </c>
      <c r="C168" s="277" t="s">
        <v>1122</v>
      </c>
      <c r="D168" s="294" t="s">
        <v>964</v>
      </c>
      <c r="E168" s="349" t="s">
        <v>38</v>
      </c>
      <c r="F168" s="349" t="s">
        <v>45</v>
      </c>
      <c r="G168" s="347" t="str">
        <f t="shared" si="2"/>
        <v/>
      </c>
      <c r="H168" s="347">
        <f t="shared" si="3"/>
        <v>0.002143333333</v>
      </c>
      <c r="I168" s="348">
        <f t="shared" si="4"/>
        <v>0.008573333333</v>
      </c>
      <c r="J168" s="282"/>
      <c r="K168" s="23"/>
      <c r="L168" s="23"/>
      <c r="M168" s="23"/>
      <c r="N168" s="23"/>
      <c r="O168" s="125"/>
      <c r="P168" s="125"/>
    </row>
    <row r="169">
      <c r="A169" s="275" t="b">
        <f t="shared" si="1"/>
        <v>0</v>
      </c>
      <c r="B169" s="276">
        <v>0.0</v>
      </c>
      <c r="C169" s="277" t="s">
        <v>1123</v>
      </c>
      <c r="D169" s="294" t="s">
        <v>966</v>
      </c>
      <c r="E169" s="349" t="s">
        <v>38</v>
      </c>
      <c r="F169" s="349" t="s">
        <v>45</v>
      </c>
      <c r="G169" s="347" t="str">
        <f t="shared" si="2"/>
        <v/>
      </c>
      <c r="H169" s="347">
        <f t="shared" si="3"/>
        <v>0.002143333333</v>
      </c>
      <c r="I169" s="348">
        <f t="shared" si="4"/>
        <v>0.008573333333</v>
      </c>
      <c r="J169" s="282"/>
      <c r="K169" s="23"/>
      <c r="L169" s="23"/>
      <c r="M169" s="23"/>
      <c r="N169" s="23"/>
      <c r="O169" s="125"/>
      <c r="P169" s="125"/>
    </row>
    <row r="170">
      <c r="A170" s="275" t="b">
        <f t="shared" si="1"/>
        <v>0</v>
      </c>
      <c r="B170" s="276">
        <v>0.0</v>
      </c>
      <c r="C170" s="277" t="s">
        <v>1124</v>
      </c>
      <c r="D170" s="294" t="s">
        <v>970</v>
      </c>
      <c r="E170" s="349" t="s">
        <v>38</v>
      </c>
      <c r="F170" s="349" t="s">
        <v>45</v>
      </c>
      <c r="G170" s="347" t="str">
        <f t="shared" si="2"/>
        <v/>
      </c>
      <c r="H170" s="347">
        <f t="shared" si="3"/>
        <v>0.002143333333</v>
      </c>
      <c r="I170" s="348">
        <f t="shared" si="4"/>
        <v>0.008573333333</v>
      </c>
      <c r="J170" s="282"/>
      <c r="K170" s="23"/>
      <c r="L170" s="23"/>
      <c r="M170" s="23"/>
      <c r="N170" s="23"/>
      <c r="O170" s="125"/>
      <c r="P170" s="125"/>
    </row>
    <row r="171">
      <c r="A171" s="275" t="b">
        <f t="shared" si="1"/>
        <v>0</v>
      </c>
      <c r="B171" s="276">
        <v>0.0</v>
      </c>
      <c r="C171" s="277" t="s">
        <v>1125</v>
      </c>
      <c r="D171" s="294" t="s">
        <v>989</v>
      </c>
      <c r="E171" s="349" t="s">
        <v>36</v>
      </c>
      <c r="F171" s="349" t="s">
        <v>45</v>
      </c>
      <c r="G171" s="347" t="str">
        <f t="shared" si="2"/>
        <v/>
      </c>
      <c r="H171" s="347">
        <f t="shared" si="3"/>
        <v>0.002143333333</v>
      </c>
      <c r="I171" s="348">
        <f t="shared" si="4"/>
        <v>0.008573333333</v>
      </c>
      <c r="J171" s="282"/>
      <c r="K171" s="23"/>
      <c r="L171" s="23"/>
      <c r="M171" s="23"/>
      <c r="N171" s="23"/>
      <c r="O171" s="125"/>
      <c r="P171" s="125"/>
    </row>
    <row r="172">
      <c r="A172" s="275" t="b">
        <f t="shared" si="1"/>
        <v>0</v>
      </c>
      <c r="B172" s="276">
        <v>0.0</v>
      </c>
      <c r="C172" s="277" t="s">
        <v>1126</v>
      </c>
      <c r="D172" s="294" t="s">
        <v>991</v>
      </c>
      <c r="E172" s="349" t="s">
        <v>38</v>
      </c>
      <c r="F172" s="349" t="s">
        <v>45</v>
      </c>
      <c r="G172" s="347" t="str">
        <f t="shared" si="2"/>
        <v/>
      </c>
      <c r="H172" s="347">
        <f t="shared" si="3"/>
        <v>0.002143333333</v>
      </c>
      <c r="I172" s="348">
        <f t="shared" si="4"/>
        <v>0.008573333333</v>
      </c>
      <c r="J172" s="282"/>
      <c r="K172" s="23"/>
      <c r="L172" s="23"/>
      <c r="M172" s="23"/>
      <c r="N172" s="23"/>
      <c r="O172" s="125"/>
      <c r="P172" s="125"/>
    </row>
    <row r="173">
      <c r="A173" s="275" t="b">
        <f t="shared" si="1"/>
        <v>0</v>
      </c>
      <c r="B173" s="276">
        <v>0.0</v>
      </c>
      <c r="C173" s="277" t="s">
        <v>1127</v>
      </c>
      <c r="D173" s="294" t="s">
        <v>1013</v>
      </c>
      <c r="E173" s="349" t="s">
        <v>38</v>
      </c>
      <c r="F173" s="349" t="s">
        <v>45</v>
      </c>
      <c r="G173" s="347" t="str">
        <f t="shared" si="2"/>
        <v/>
      </c>
      <c r="H173" s="347">
        <f t="shared" si="3"/>
        <v>0.002143333333</v>
      </c>
      <c r="I173" s="348">
        <f t="shared" si="4"/>
        <v>0.008573333333</v>
      </c>
      <c r="J173" s="282"/>
      <c r="K173" s="23"/>
      <c r="L173" s="23"/>
      <c r="M173" s="23"/>
      <c r="N173" s="23"/>
      <c r="O173" s="125"/>
      <c r="P173" s="125"/>
    </row>
    <row r="174">
      <c r="A174" s="275" t="b">
        <f t="shared" si="1"/>
        <v>0</v>
      </c>
      <c r="B174" s="276">
        <v>0.0</v>
      </c>
      <c r="C174" s="277" t="s">
        <v>1128</v>
      </c>
      <c r="D174" s="294" t="s">
        <v>1019</v>
      </c>
      <c r="E174" s="349" t="s">
        <v>36</v>
      </c>
      <c r="F174" s="349" t="s">
        <v>45</v>
      </c>
      <c r="G174" s="347" t="str">
        <f t="shared" si="2"/>
        <v/>
      </c>
      <c r="H174" s="347">
        <f t="shared" si="3"/>
        <v>0.002143333333</v>
      </c>
      <c r="I174" s="348">
        <f t="shared" si="4"/>
        <v>0.008573333333</v>
      </c>
      <c r="J174" s="282"/>
      <c r="K174" s="23"/>
      <c r="L174" s="23"/>
      <c r="M174" s="23"/>
      <c r="N174" s="23"/>
      <c r="O174" s="125"/>
      <c r="P174" s="125"/>
    </row>
    <row r="175">
      <c r="A175" s="275" t="b">
        <f t="shared" si="1"/>
        <v>0</v>
      </c>
      <c r="B175" s="276">
        <v>0.0</v>
      </c>
      <c r="C175" s="277" t="s">
        <v>1129</v>
      </c>
      <c r="D175" s="294" t="s">
        <v>1044</v>
      </c>
      <c r="E175" s="349" t="s">
        <v>36</v>
      </c>
      <c r="F175" s="349" t="s">
        <v>45</v>
      </c>
      <c r="G175" s="347" t="str">
        <f t="shared" si="2"/>
        <v/>
      </c>
      <c r="H175" s="347">
        <f t="shared" si="3"/>
        <v>0.002143333333</v>
      </c>
      <c r="I175" s="348">
        <f t="shared" si="4"/>
        <v>0.008573333333</v>
      </c>
      <c r="J175" s="282"/>
      <c r="K175" s="23"/>
      <c r="L175" s="23"/>
      <c r="M175" s="23"/>
      <c r="N175" s="23"/>
      <c r="O175" s="125"/>
      <c r="P175" s="125"/>
    </row>
    <row r="176">
      <c r="A176" s="275" t="b">
        <f t="shared" si="1"/>
        <v>0</v>
      </c>
      <c r="B176" s="276">
        <v>0.0</v>
      </c>
      <c r="C176" s="277" t="s">
        <v>1130</v>
      </c>
      <c r="D176" s="294" t="s">
        <v>1050</v>
      </c>
      <c r="E176" s="349" t="s">
        <v>38</v>
      </c>
      <c r="F176" s="349" t="s">
        <v>45</v>
      </c>
      <c r="G176" s="347" t="str">
        <f t="shared" si="2"/>
        <v/>
      </c>
      <c r="H176" s="347">
        <f t="shared" si="3"/>
        <v>0.002143333333</v>
      </c>
      <c r="I176" s="348">
        <f t="shared" si="4"/>
        <v>0.008573333333</v>
      </c>
      <c r="J176" s="282"/>
      <c r="K176" s="23"/>
      <c r="L176" s="23"/>
      <c r="M176" s="23"/>
      <c r="N176" s="23"/>
      <c r="O176" s="125"/>
      <c r="P176" s="125"/>
    </row>
    <row r="177">
      <c r="A177" s="275" t="b">
        <f t="shared" si="1"/>
        <v>0</v>
      </c>
      <c r="B177" s="276">
        <v>0.0</v>
      </c>
      <c r="C177" s="277" t="s">
        <v>1131</v>
      </c>
      <c r="D177" s="294" t="s">
        <v>1069</v>
      </c>
      <c r="E177" s="349" t="s">
        <v>38</v>
      </c>
      <c r="F177" s="349" t="s">
        <v>45</v>
      </c>
      <c r="G177" s="347" t="str">
        <f t="shared" si="2"/>
        <v/>
      </c>
      <c r="H177" s="347">
        <f t="shared" si="3"/>
        <v>0.002143333333</v>
      </c>
      <c r="I177" s="348">
        <f t="shared" si="4"/>
        <v>0.008573333333</v>
      </c>
      <c r="J177" s="282"/>
      <c r="K177" s="23"/>
      <c r="L177" s="23"/>
      <c r="M177" s="23"/>
      <c r="N177" s="23"/>
      <c r="O177" s="125"/>
      <c r="P177" s="125"/>
    </row>
    <row r="178">
      <c r="A178" s="275" t="b">
        <f t="shared" si="1"/>
        <v>0</v>
      </c>
      <c r="B178" s="276">
        <v>0.0</v>
      </c>
      <c r="C178" s="277" t="s">
        <v>1132</v>
      </c>
      <c r="D178" s="294" t="s">
        <v>1071</v>
      </c>
      <c r="E178" s="349" t="s">
        <v>36</v>
      </c>
      <c r="F178" s="349" t="s">
        <v>45</v>
      </c>
      <c r="G178" s="347" t="str">
        <f t="shared" si="2"/>
        <v/>
      </c>
      <c r="H178" s="347">
        <f t="shared" si="3"/>
        <v>0.002143333333</v>
      </c>
      <c r="I178" s="348">
        <f t="shared" si="4"/>
        <v>0.008573333333</v>
      </c>
      <c r="J178" s="282"/>
      <c r="K178" s="23"/>
      <c r="L178" s="23"/>
      <c r="M178" s="23"/>
      <c r="N178" s="23"/>
      <c r="O178" s="125"/>
      <c r="P178" s="125"/>
    </row>
    <row r="179">
      <c r="A179" s="275" t="b">
        <f t="shared" si="1"/>
        <v>0</v>
      </c>
      <c r="B179" s="276">
        <v>0.0</v>
      </c>
      <c r="C179" s="277" t="s">
        <v>1133</v>
      </c>
      <c r="D179" s="294" t="s">
        <v>1079</v>
      </c>
      <c r="E179" s="349" t="s">
        <v>38</v>
      </c>
      <c r="F179" s="349" t="s">
        <v>45</v>
      </c>
      <c r="G179" s="347" t="str">
        <f t="shared" si="2"/>
        <v/>
      </c>
      <c r="H179" s="347">
        <f t="shared" si="3"/>
        <v>0.002143333333</v>
      </c>
      <c r="I179" s="348">
        <f t="shared" si="4"/>
        <v>0.008573333333</v>
      </c>
      <c r="J179" s="282"/>
      <c r="K179" s="23"/>
      <c r="L179" s="23"/>
      <c r="M179" s="23"/>
      <c r="N179" s="23"/>
      <c r="O179" s="125"/>
      <c r="P179" s="125"/>
    </row>
    <row r="180">
      <c r="A180" s="275" t="b">
        <f t="shared" si="1"/>
        <v>0</v>
      </c>
      <c r="B180" s="276">
        <v>0.0</v>
      </c>
      <c r="C180" s="277" t="s">
        <v>1134</v>
      </c>
      <c r="D180" s="294" t="s">
        <v>1086</v>
      </c>
      <c r="E180" s="349" t="s">
        <v>36</v>
      </c>
      <c r="F180" s="349" t="s">
        <v>45</v>
      </c>
      <c r="G180" s="347" t="str">
        <f t="shared" si="2"/>
        <v/>
      </c>
      <c r="H180" s="347">
        <f t="shared" si="3"/>
        <v>0.002143333333</v>
      </c>
      <c r="I180" s="348">
        <f t="shared" si="4"/>
        <v>0.008573333333</v>
      </c>
      <c r="J180" s="282"/>
      <c r="K180" s="23"/>
      <c r="L180" s="23"/>
      <c r="M180" s="23"/>
      <c r="N180" s="23"/>
      <c r="O180" s="125"/>
      <c r="P180" s="125"/>
    </row>
    <row r="181">
      <c r="A181" s="275" t="b">
        <f t="shared" si="1"/>
        <v>0</v>
      </c>
      <c r="B181" s="276">
        <v>0.0</v>
      </c>
      <c r="C181" s="277" t="s">
        <v>1135</v>
      </c>
      <c r="D181" s="294" t="s">
        <v>815</v>
      </c>
      <c r="E181" s="349" t="s">
        <v>36</v>
      </c>
      <c r="F181" s="349" t="s">
        <v>47</v>
      </c>
      <c r="G181" s="347" t="str">
        <f t="shared" si="2"/>
        <v/>
      </c>
      <c r="H181" s="347">
        <f t="shared" si="3"/>
        <v>0.0004166666667</v>
      </c>
      <c r="I181" s="348">
        <f t="shared" si="4"/>
        <v>0.001666666667</v>
      </c>
      <c r="J181" s="282"/>
      <c r="K181" s="23"/>
      <c r="L181" s="23"/>
      <c r="M181" s="23"/>
      <c r="N181" s="23"/>
      <c r="O181" s="125"/>
      <c r="P181" s="125"/>
    </row>
    <row r="182">
      <c r="A182" s="275" t="b">
        <f t="shared" si="1"/>
        <v>0</v>
      </c>
      <c r="B182" s="276">
        <v>0.0</v>
      </c>
      <c r="C182" s="277" t="s">
        <v>1136</v>
      </c>
      <c r="D182" s="294" t="s">
        <v>864</v>
      </c>
      <c r="E182" s="349" t="s">
        <v>38</v>
      </c>
      <c r="F182" s="349" t="s">
        <v>47</v>
      </c>
      <c r="G182" s="347" t="str">
        <f t="shared" si="2"/>
        <v/>
      </c>
      <c r="H182" s="347">
        <f t="shared" si="3"/>
        <v>0.0004166666667</v>
      </c>
      <c r="I182" s="348">
        <f t="shared" si="4"/>
        <v>0.001666666667</v>
      </c>
      <c r="J182" s="282"/>
      <c r="K182" s="386" t="s">
        <v>594</v>
      </c>
      <c r="L182" s="251"/>
      <c r="M182" s="251"/>
      <c r="N182" s="252"/>
      <c r="O182" s="125"/>
      <c r="P182" s="125"/>
    </row>
    <row r="183">
      <c r="A183" s="275" t="b">
        <f t="shared" si="1"/>
        <v>0</v>
      </c>
      <c r="B183" s="276">
        <v>0.0</v>
      </c>
      <c r="C183" s="277" t="s">
        <v>1137</v>
      </c>
      <c r="D183" s="294" t="s">
        <v>913</v>
      </c>
      <c r="E183" s="349" t="s">
        <v>38</v>
      </c>
      <c r="F183" s="349" t="s">
        <v>47</v>
      </c>
      <c r="G183" s="347" t="str">
        <f t="shared" si="2"/>
        <v/>
      </c>
      <c r="H183" s="347">
        <f t="shared" si="3"/>
        <v>0.0004166666667</v>
      </c>
      <c r="I183" s="348">
        <f t="shared" si="4"/>
        <v>0.001666666667</v>
      </c>
      <c r="J183" s="282"/>
      <c r="K183" s="253"/>
      <c r="L183" s="254"/>
      <c r="M183" s="254"/>
      <c r="N183" s="255"/>
      <c r="O183" s="125"/>
      <c r="P183" s="125"/>
    </row>
    <row r="184">
      <c r="A184" s="275" t="b">
        <f t="shared" si="1"/>
        <v>0</v>
      </c>
      <c r="B184" s="276">
        <v>0.0</v>
      </c>
      <c r="C184" s="277" t="s">
        <v>1138</v>
      </c>
      <c r="D184" s="294" t="s">
        <v>932</v>
      </c>
      <c r="E184" s="349" t="s">
        <v>36</v>
      </c>
      <c r="F184" s="349" t="s">
        <v>47</v>
      </c>
      <c r="G184" s="347" t="str">
        <f t="shared" si="2"/>
        <v/>
      </c>
      <c r="H184" s="347">
        <f t="shared" si="3"/>
        <v>0.0004166666667</v>
      </c>
      <c r="I184" s="348">
        <f t="shared" si="4"/>
        <v>0.001666666667</v>
      </c>
      <c r="J184" s="282"/>
      <c r="K184" s="387"/>
      <c r="L184" s="388"/>
      <c r="M184" s="388"/>
      <c r="N184" s="389"/>
      <c r="O184" s="125"/>
      <c r="P184" s="125"/>
    </row>
    <row r="185">
      <c r="A185" s="275" t="b">
        <f t="shared" si="1"/>
        <v>0</v>
      </c>
      <c r="B185" s="276">
        <v>0.0</v>
      </c>
      <c r="C185" s="277" t="s">
        <v>1139</v>
      </c>
      <c r="D185" s="294" t="s">
        <v>944</v>
      </c>
      <c r="E185" s="349" t="s">
        <v>38</v>
      </c>
      <c r="F185" s="349" t="s">
        <v>47</v>
      </c>
      <c r="G185" s="347" t="str">
        <f t="shared" si="2"/>
        <v/>
      </c>
      <c r="H185" s="347">
        <f t="shared" si="3"/>
        <v>0.0004166666667</v>
      </c>
      <c r="I185" s="348">
        <f t="shared" si="4"/>
        <v>0.001666666667</v>
      </c>
      <c r="J185" s="282"/>
      <c r="K185" s="387"/>
      <c r="L185" s="388"/>
      <c r="M185" s="388"/>
      <c r="N185" s="389"/>
      <c r="O185" s="125"/>
      <c r="P185" s="125"/>
    </row>
    <row r="186">
      <c r="A186" s="275" t="b">
        <f t="shared" si="1"/>
        <v>0</v>
      </c>
      <c r="B186" s="276">
        <v>0.0</v>
      </c>
      <c r="C186" s="277" t="s">
        <v>1140</v>
      </c>
      <c r="D186" s="346" t="s">
        <v>995</v>
      </c>
      <c r="E186" s="349" t="s">
        <v>36</v>
      </c>
      <c r="F186" s="349" t="s">
        <v>47</v>
      </c>
      <c r="G186" s="347" t="str">
        <f t="shared" si="2"/>
        <v/>
      </c>
      <c r="H186" s="347">
        <f t="shared" si="3"/>
        <v>0.0004166666667</v>
      </c>
      <c r="I186" s="348">
        <f t="shared" si="4"/>
        <v>0.001666666667</v>
      </c>
      <c r="J186" s="282"/>
      <c r="K186" s="387"/>
      <c r="L186" s="388"/>
      <c r="M186" s="390" t="s">
        <v>600</v>
      </c>
      <c r="N186" s="252"/>
      <c r="O186" s="125"/>
      <c r="P186" s="125"/>
    </row>
    <row r="187">
      <c r="A187" s="275" t="b">
        <f t="shared" si="1"/>
        <v>0</v>
      </c>
      <c r="B187" s="276">
        <v>0.0</v>
      </c>
      <c r="C187" s="277" t="s">
        <v>1141</v>
      </c>
      <c r="D187" s="294" t="s">
        <v>1003</v>
      </c>
      <c r="E187" s="349" t="s">
        <v>38</v>
      </c>
      <c r="F187" s="349" t="s">
        <v>47</v>
      </c>
      <c r="G187" s="347" t="str">
        <f t="shared" si="2"/>
        <v/>
      </c>
      <c r="H187" s="347">
        <f t="shared" si="3"/>
        <v>0.0004166666667</v>
      </c>
      <c r="I187" s="348">
        <f t="shared" si="4"/>
        <v>0.001666666667</v>
      </c>
      <c r="J187" s="282"/>
      <c r="K187" s="387"/>
      <c r="L187" s="388"/>
      <c r="M187" s="391" t="s">
        <v>1142</v>
      </c>
      <c r="N187" s="392">
        <f>COUNTIFS(F:F, "♢", E:E, $K$15)</f>
        <v>23</v>
      </c>
      <c r="O187" s="125"/>
      <c r="P187" s="125"/>
    </row>
    <row r="188">
      <c r="A188" s="275" t="b">
        <f t="shared" si="1"/>
        <v>0</v>
      </c>
      <c r="B188" s="276">
        <v>0.0</v>
      </c>
      <c r="C188" s="277" t="s">
        <v>1143</v>
      </c>
      <c r="D188" s="294" t="s">
        <v>1025</v>
      </c>
      <c r="E188" s="349" t="s">
        <v>36</v>
      </c>
      <c r="F188" s="349" t="s">
        <v>47</v>
      </c>
      <c r="G188" s="347" t="str">
        <f t="shared" si="2"/>
        <v/>
      </c>
      <c r="H188" s="347">
        <f t="shared" si="3"/>
        <v>0.0004166666667</v>
      </c>
      <c r="I188" s="348">
        <f t="shared" si="4"/>
        <v>0.001666666667</v>
      </c>
      <c r="J188" s="282"/>
      <c r="K188" s="387"/>
      <c r="L188" s="388"/>
      <c r="M188" s="391" t="s">
        <v>1144</v>
      </c>
      <c r="N188" s="392">
        <f>COUNTIFS(F:F, "♢", E:E, $K$16)</f>
        <v>21</v>
      </c>
      <c r="O188" s="125"/>
      <c r="P188" s="125"/>
    </row>
    <row r="189">
      <c r="A189" s="275" t="b">
        <f t="shared" si="1"/>
        <v>0</v>
      </c>
      <c r="B189" s="276">
        <v>0.0</v>
      </c>
      <c r="C189" s="277" t="s">
        <v>1145</v>
      </c>
      <c r="D189" s="294" t="s">
        <v>1042</v>
      </c>
      <c r="E189" s="349" t="s">
        <v>36</v>
      </c>
      <c r="F189" s="349" t="s">
        <v>47</v>
      </c>
      <c r="G189" s="347" t="str">
        <f t="shared" si="2"/>
        <v/>
      </c>
      <c r="H189" s="347">
        <f t="shared" si="3"/>
        <v>0.0004166666667</v>
      </c>
      <c r="I189" s="348">
        <f t="shared" si="4"/>
        <v>0.001666666667</v>
      </c>
      <c r="J189" s="282"/>
      <c r="K189" s="387"/>
      <c r="L189" s="388"/>
      <c r="M189" s="391" t="s">
        <v>609</v>
      </c>
      <c r="N189" s="392">
        <f>COUNTIFS(F:F, "♢", E:E, $K$17)</f>
        <v>23</v>
      </c>
      <c r="O189" s="125"/>
      <c r="P189" s="125"/>
    </row>
    <row r="190">
      <c r="A190" s="275" t="b">
        <f t="shared" si="1"/>
        <v>0</v>
      </c>
      <c r="B190" s="276">
        <v>0.0</v>
      </c>
      <c r="C190" s="277" t="s">
        <v>1146</v>
      </c>
      <c r="D190" s="294" t="s">
        <v>1053</v>
      </c>
      <c r="E190" s="349" t="s">
        <v>38</v>
      </c>
      <c r="F190" s="349" t="s">
        <v>47</v>
      </c>
      <c r="G190" s="347" t="str">
        <f t="shared" si="2"/>
        <v/>
      </c>
      <c r="H190" s="347">
        <f t="shared" si="3"/>
        <v>0.0004166666667</v>
      </c>
      <c r="I190" s="348">
        <f t="shared" si="4"/>
        <v>0.001666666667</v>
      </c>
      <c r="J190" s="282"/>
      <c r="K190" s="387"/>
      <c r="L190" s="388"/>
      <c r="M190" s="391" t="s">
        <v>1147</v>
      </c>
      <c r="N190" s="392">
        <f>COUNTIFS(F:F, "♢♢", E:E, $K$15)</f>
        <v>18</v>
      </c>
      <c r="O190" s="125"/>
      <c r="P190" s="125"/>
    </row>
    <row r="191">
      <c r="A191" s="275" t="b">
        <f t="shared" si="1"/>
        <v>0</v>
      </c>
      <c r="B191" s="276">
        <v>0.0</v>
      </c>
      <c r="C191" s="277" t="s">
        <v>1148</v>
      </c>
      <c r="D191" s="294" t="s">
        <v>1100</v>
      </c>
      <c r="E191" s="349" t="s">
        <v>38</v>
      </c>
      <c r="F191" s="349" t="s">
        <v>47</v>
      </c>
      <c r="G191" s="347" t="str">
        <f t="shared" si="2"/>
        <v/>
      </c>
      <c r="H191" s="347">
        <f t="shared" si="3"/>
        <v>0.0004166666667</v>
      </c>
      <c r="I191" s="348">
        <f t="shared" si="4"/>
        <v>0.001666666667</v>
      </c>
      <c r="J191" s="282"/>
      <c r="K191" s="387"/>
      <c r="L191" s="388"/>
      <c r="M191" s="391" t="s">
        <v>1149</v>
      </c>
      <c r="N191" s="392">
        <f>COUNTIFS(F:F, "♢♢", E:E, $K$16)</f>
        <v>20</v>
      </c>
      <c r="O191" s="125"/>
      <c r="P191" s="125"/>
    </row>
    <row r="192">
      <c r="A192" s="275" t="b">
        <f t="shared" si="1"/>
        <v>0</v>
      </c>
      <c r="B192" s="276">
        <v>0.0</v>
      </c>
      <c r="C192" s="277" t="s">
        <v>1150</v>
      </c>
      <c r="D192" s="294" t="s">
        <v>1102</v>
      </c>
      <c r="E192" s="349" t="s">
        <v>36</v>
      </c>
      <c r="F192" s="349" t="s">
        <v>47</v>
      </c>
      <c r="G192" s="347" t="str">
        <f t="shared" si="2"/>
        <v/>
      </c>
      <c r="H192" s="347">
        <f t="shared" si="3"/>
        <v>0.0004166666667</v>
      </c>
      <c r="I192" s="348">
        <f t="shared" si="4"/>
        <v>0.001666666667</v>
      </c>
      <c r="J192" s="282"/>
      <c r="K192" s="387"/>
      <c r="L192" s="388"/>
      <c r="M192" s="391" t="s">
        <v>617</v>
      </c>
      <c r="N192" s="392">
        <f>COUNTIFS(F:F, "♢♢", E:E, $K$17)</f>
        <v>16</v>
      </c>
      <c r="O192" s="125"/>
      <c r="P192" s="125"/>
    </row>
    <row r="193">
      <c r="A193" s="275" t="b">
        <f t="shared" si="1"/>
        <v>0</v>
      </c>
      <c r="B193" s="276">
        <v>0.0</v>
      </c>
      <c r="C193" s="277" t="s">
        <v>1151</v>
      </c>
      <c r="D193" s="294" t="s">
        <v>1104</v>
      </c>
      <c r="E193" s="349" t="s">
        <v>38</v>
      </c>
      <c r="F193" s="349" t="s">
        <v>47</v>
      </c>
      <c r="G193" s="347" t="str">
        <f t="shared" si="2"/>
        <v/>
      </c>
      <c r="H193" s="347">
        <f t="shared" si="3"/>
        <v>0.0004166666667</v>
      </c>
      <c r="I193" s="348">
        <f t="shared" si="4"/>
        <v>0.001666666667</v>
      </c>
      <c r="J193" s="282"/>
      <c r="K193" s="387"/>
      <c r="L193" s="388"/>
      <c r="M193" s="391" t="s">
        <v>1152</v>
      </c>
      <c r="N193" s="392">
        <f>COUNTIFS(F:F, "♢♢♢", E:E, $K$15)</f>
        <v>10</v>
      </c>
      <c r="O193" s="125"/>
      <c r="P193" s="125"/>
    </row>
    <row r="194">
      <c r="A194" s="275" t="b">
        <f t="shared" si="1"/>
        <v>0</v>
      </c>
      <c r="B194" s="276">
        <v>0.0</v>
      </c>
      <c r="C194" s="277" t="s">
        <v>1153</v>
      </c>
      <c r="D194" s="294" t="s">
        <v>1106</v>
      </c>
      <c r="E194" s="349" t="s">
        <v>36</v>
      </c>
      <c r="F194" s="349" t="s">
        <v>47</v>
      </c>
      <c r="G194" s="347" t="str">
        <f t="shared" si="2"/>
        <v/>
      </c>
      <c r="H194" s="347">
        <f t="shared" si="3"/>
        <v>0.0004166666667</v>
      </c>
      <c r="I194" s="348">
        <f t="shared" si="4"/>
        <v>0.001666666667</v>
      </c>
      <c r="J194" s="282"/>
      <c r="K194" s="387"/>
      <c r="L194" s="388"/>
      <c r="M194" s="391" t="s">
        <v>1154</v>
      </c>
      <c r="N194" s="392">
        <f>COUNTIFS(F:F, "♢♢♢", E:E, $K$16)</f>
        <v>10</v>
      </c>
      <c r="O194" s="125"/>
      <c r="P194" s="125"/>
    </row>
    <row r="195">
      <c r="A195" s="275" t="b">
        <f t="shared" si="1"/>
        <v>0</v>
      </c>
      <c r="B195" s="276">
        <v>0.0</v>
      </c>
      <c r="C195" s="277" t="s">
        <v>1155</v>
      </c>
      <c r="D195" s="294" t="s">
        <v>1108</v>
      </c>
      <c r="E195" s="349" t="s">
        <v>36</v>
      </c>
      <c r="F195" s="349" t="s">
        <v>47</v>
      </c>
      <c r="G195" s="347" t="str">
        <f t="shared" si="2"/>
        <v/>
      </c>
      <c r="H195" s="347">
        <f t="shared" si="3"/>
        <v>0.0004166666667</v>
      </c>
      <c r="I195" s="348">
        <f t="shared" si="4"/>
        <v>0.001666666667</v>
      </c>
      <c r="J195" s="282"/>
      <c r="K195" s="387"/>
      <c r="L195" s="388"/>
      <c r="M195" s="391" t="s">
        <v>625</v>
      </c>
      <c r="N195" s="392">
        <f>COUNTIFS(F:F, "♢♢♢", E:E, $K$17)</f>
        <v>4</v>
      </c>
      <c r="O195" s="125"/>
      <c r="P195" s="125"/>
    </row>
    <row r="196">
      <c r="A196" s="275" t="b">
        <f t="shared" si="1"/>
        <v>0</v>
      </c>
      <c r="B196" s="276">
        <v>0.0</v>
      </c>
      <c r="C196" s="277" t="s">
        <v>1156</v>
      </c>
      <c r="D196" s="294" t="s">
        <v>1110</v>
      </c>
      <c r="E196" s="349" t="s">
        <v>38</v>
      </c>
      <c r="F196" s="349" t="s">
        <v>47</v>
      </c>
      <c r="G196" s="347" t="str">
        <f t="shared" si="2"/>
        <v/>
      </c>
      <c r="H196" s="347">
        <f t="shared" si="3"/>
        <v>0.0004166666667</v>
      </c>
      <c r="I196" s="348">
        <f t="shared" si="4"/>
        <v>0.001666666667</v>
      </c>
      <c r="J196" s="282"/>
      <c r="K196" s="387"/>
      <c r="L196" s="388"/>
      <c r="M196" s="391" t="s">
        <v>1157</v>
      </c>
      <c r="N196" s="392">
        <f>COUNTIFS(F:F, "♢♢♢♢", E:E, $K$15)</f>
        <v>5</v>
      </c>
      <c r="O196" s="125"/>
      <c r="P196" s="125"/>
    </row>
    <row r="197">
      <c r="A197" s="275" t="b">
        <f t="shared" si="1"/>
        <v>0</v>
      </c>
      <c r="B197" s="276">
        <v>0.0</v>
      </c>
      <c r="C197" s="277" t="s">
        <v>1158</v>
      </c>
      <c r="D197" s="294" t="s">
        <v>815</v>
      </c>
      <c r="E197" s="349" t="s">
        <v>36</v>
      </c>
      <c r="F197" s="349" t="s">
        <v>47</v>
      </c>
      <c r="G197" s="347" t="str">
        <f t="shared" si="2"/>
        <v/>
      </c>
      <c r="H197" s="347">
        <f t="shared" si="3"/>
        <v>0.0004166666667</v>
      </c>
      <c r="I197" s="348">
        <f t="shared" si="4"/>
        <v>0.001666666667</v>
      </c>
      <c r="J197" s="282"/>
      <c r="K197" s="387"/>
      <c r="L197" s="388"/>
      <c r="M197" s="391" t="s">
        <v>1159</v>
      </c>
      <c r="N197" s="392">
        <f>COUNTIFS(F:F, "♢♢♢♢", E:E, $K$16)</f>
        <v>5</v>
      </c>
      <c r="O197" s="125"/>
      <c r="P197" s="125"/>
    </row>
    <row r="198">
      <c r="A198" s="275" t="b">
        <f t="shared" si="1"/>
        <v>0</v>
      </c>
      <c r="B198" s="276">
        <v>0.0</v>
      </c>
      <c r="C198" s="277" t="s">
        <v>1160</v>
      </c>
      <c r="D198" s="294" t="s">
        <v>864</v>
      </c>
      <c r="E198" s="349" t="s">
        <v>38</v>
      </c>
      <c r="F198" s="349" t="s">
        <v>47</v>
      </c>
      <c r="G198" s="347" t="str">
        <f t="shared" si="2"/>
        <v/>
      </c>
      <c r="H198" s="347">
        <f t="shared" si="3"/>
        <v>0.0004166666667</v>
      </c>
      <c r="I198" s="348">
        <f t="shared" si="4"/>
        <v>0.001666666667</v>
      </c>
      <c r="J198" s="282"/>
      <c r="K198" s="387"/>
      <c r="L198" s="388"/>
      <c r="M198" s="391" t="s">
        <v>633</v>
      </c>
      <c r="N198" s="392">
        <f>COUNTIFS(F:F, "♢♢♢♢", E:E, $K$17)</f>
        <v>0</v>
      </c>
      <c r="O198" s="125"/>
      <c r="P198" s="125"/>
    </row>
    <row r="199">
      <c r="A199" s="275" t="b">
        <f t="shared" si="1"/>
        <v>0</v>
      </c>
      <c r="B199" s="276">
        <v>0.0</v>
      </c>
      <c r="C199" s="277" t="s">
        <v>1161</v>
      </c>
      <c r="D199" s="294" t="s">
        <v>932</v>
      </c>
      <c r="E199" s="349" t="s">
        <v>36</v>
      </c>
      <c r="F199" s="349" t="s">
        <v>47</v>
      </c>
      <c r="G199" s="347" t="str">
        <f t="shared" si="2"/>
        <v/>
      </c>
      <c r="H199" s="347">
        <f t="shared" si="3"/>
        <v>0.0004166666667</v>
      </c>
      <c r="I199" s="348">
        <f t="shared" si="4"/>
        <v>0.001666666667</v>
      </c>
      <c r="J199" s="282"/>
      <c r="K199" s="387"/>
      <c r="L199" s="388"/>
      <c r="M199" s="391" t="s">
        <v>1162</v>
      </c>
      <c r="N199" s="392">
        <f>COUNTIFS(F:F, "☆", E:E, $K$15)</f>
        <v>12</v>
      </c>
      <c r="O199" s="125"/>
      <c r="P199" s="125"/>
    </row>
    <row r="200">
      <c r="A200" s="275" t="b">
        <f t="shared" si="1"/>
        <v>0</v>
      </c>
      <c r="B200" s="276">
        <v>0.0</v>
      </c>
      <c r="C200" s="277" t="s">
        <v>1163</v>
      </c>
      <c r="D200" s="294" t="s">
        <v>944</v>
      </c>
      <c r="E200" s="349" t="s">
        <v>38</v>
      </c>
      <c r="F200" s="349" t="s">
        <v>47</v>
      </c>
      <c r="G200" s="347" t="str">
        <f t="shared" si="2"/>
        <v/>
      </c>
      <c r="H200" s="347">
        <f t="shared" si="3"/>
        <v>0.0004166666667</v>
      </c>
      <c r="I200" s="348">
        <f t="shared" si="4"/>
        <v>0.001666666667</v>
      </c>
      <c r="J200" s="282"/>
      <c r="K200" s="387"/>
      <c r="L200" s="388"/>
      <c r="M200" s="391" t="s">
        <v>1164</v>
      </c>
      <c r="N200" s="392">
        <f>COUNTIFS(F:F, "☆", E:E, $K$16)</f>
        <v>12</v>
      </c>
      <c r="O200" s="125"/>
      <c r="P200" s="125"/>
    </row>
    <row r="201">
      <c r="A201" s="275" t="b">
        <f t="shared" si="1"/>
        <v>0</v>
      </c>
      <c r="B201" s="276">
        <v>0.0</v>
      </c>
      <c r="C201" s="277" t="s">
        <v>1165</v>
      </c>
      <c r="D201" s="346" t="s">
        <v>995</v>
      </c>
      <c r="E201" s="349" t="s">
        <v>36</v>
      </c>
      <c r="F201" s="349" t="s">
        <v>47</v>
      </c>
      <c r="G201" s="347" t="str">
        <f t="shared" si="2"/>
        <v/>
      </c>
      <c r="H201" s="347">
        <f t="shared" si="3"/>
        <v>0.0004166666667</v>
      </c>
      <c r="I201" s="348">
        <f t="shared" si="4"/>
        <v>0.001666666667</v>
      </c>
      <c r="J201" s="282"/>
      <c r="K201" s="387"/>
      <c r="L201" s="388"/>
      <c r="M201" s="391" t="s">
        <v>642</v>
      </c>
      <c r="N201" s="392">
        <f>COUNTIFS(F:F, "☆", E:E, $K$17)</f>
        <v>0</v>
      </c>
      <c r="O201" s="125"/>
      <c r="P201" s="125"/>
    </row>
    <row r="202">
      <c r="A202" s="275" t="b">
        <f t="shared" si="1"/>
        <v>0</v>
      </c>
      <c r="B202" s="276">
        <v>0.0</v>
      </c>
      <c r="C202" s="277" t="s">
        <v>1166</v>
      </c>
      <c r="D202" s="294" t="s">
        <v>1003</v>
      </c>
      <c r="E202" s="349" t="s">
        <v>38</v>
      </c>
      <c r="F202" s="349" t="s">
        <v>47</v>
      </c>
      <c r="G202" s="347" t="str">
        <f t="shared" si="2"/>
        <v/>
      </c>
      <c r="H202" s="347">
        <f t="shared" si="3"/>
        <v>0.0004166666667</v>
      </c>
      <c r="I202" s="348">
        <f t="shared" si="4"/>
        <v>0.001666666667</v>
      </c>
      <c r="J202" s="282"/>
      <c r="K202" s="390" t="s">
        <v>641</v>
      </c>
      <c r="L202" s="252"/>
      <c r="M202" s="391" t="s">
        <v>1167</v>
      </c>
      <c r="N202" s="392">
        <f>COUNTIFS(F:F, "☆☆", E:E, $K$15)</f>
        <v>12</v>
      </c>
      <c r="O202" s="125"/>
      <c r="P202" s="125"/>
    </row>
    <row r="203">
      <c r="A203" s="275" t="b">
        <f t="shared" si="1"/>
        <v>0</v>
      </c>
      <c r="B203" s="276">
        <v>0.0</v>
      </c>
      <c r="C203" s="277" t="s">
        <v>1168</v>
      </c>
      <c r="D203" s="294" t="s">
        <v>1025</v>
      </c>
      <c r="E203" s="349" t="s">
        <v>36</v>
      </c>
      <c r="F203" s="349" t="s">
        <v>47</v>
      </c>
      <c r="G203" s="347" t="str">
        <f t="shared" si="2"/>
        <v/>
      </c>
      <c r="H203" s="347">
        <f t="shared" si="3"/>
        <v>0.0004166666667</v>
      </c>
      <c r="I203" s="348">
        <f t="shared" si="4"/>
        <v>0.001666666667</v>
      </c>
      <c r="J203" s="282"/>
      <c r="K203" s="391" t="s">
        <v>1169</v>
      </c>
      <c r="L203" s="393">
        <f>SUMIFS(G:G, E:E, $K$15) + (COUNTIF(G:G, "x")*$L$3/(COUNTIFS(F:F, "♢", E:E, $K$15) + COUNTIFS(F:F, "♢", E:E, $K$17)))</f>
        <v>1</v>
      </c>
      <c r="M203" s="391" t="s">
        <v>1170</v>
      </c>
      <c r="N203" s="392">
        <f>COUNTIFS(F:F, "☆☆", E:E, $K$16)</f>
        <v>12</v>
      </c>
      <c r="O203" s="125"/>
      <c r="P203" s="125"/>
    </row>
    <row r="204">
      <c r="A204" s="275" t="b">
        <f t="shared" si="1"/>
        <v>0</v>
      </c>
      <c r="B204" s="276">
        <v>0.0</v>
      </c>
      <c r="C204" s="277" t="s">
        <v>1171</v>
      </c>
      <c r="D204" s="294" t="s">
        <v>1053</v>
      </c>
      <c r="E204" s="349" t="s">
        <v>38</v>
      </c>
      <c r="F204" s="349" t="s">
        <v>47</v>
      </c>
      <c r="G204" s="347" t="str">
        <f t="shared" si="2"/>
        <v/>
      </c>
      <c r="H204" s="347">
        <f t="shared" si="3"/>
        <v>0.0004166666667</v>
      </c>
      <c r="I204" s="348">
        <f t="shared" si="4"/>
        <v>0.001666666667</v>
      </c>
      <c r="J204" s="282"/>
      <c r="K204" s="391" t="s">
        <v>1172</v>
      </c>
      <c r="L204" s="393">
        <f>SUMIFS(G:G, E:E, $K$16) + (COUNTIF(G:G, "x")*$L$3/(COUNTIFS(F:F, "♢", E:E, $K$16) + COUNTIFS(F:F, "♢", E:E, $K$17)))</f>
        <v>1</v>
      </c>
      <c r="M204" s="391" t="s">
        <v>655</v>
      </c>
      <c r="N204" s="392">
        <f>COUNTIFS(F:F, "☆☆", E:E, $K$17)</f>
        <v>0</v>
      </c>
      <c r="O204" s="125"/>
      <c r="P204" s="125"/>
    </row>
    <row r="205">
      <c r="A205" s="275" t="b">
        <f t="shared" si="1"/>
        <v>0</v>
      </c>
      <c r="B205" s="276">
        <v>0.0</v>
      </c>
      <c r="C205" s="277" t="s">
        <v>1173</v>
      </c>
      <c r="D205" s="294" t="s">
        <v>913</v>
      </c>
      <c r="E205" s="349" t="s">
        <v>38</v>
      </c>
      <c r="F205" s="349" t="s">
        <v>49</v>
      </c>
      <c r="G205" s="347" t="str">
        <f t="shared" si="2"/>
        <v/>
      </c>
      <c r="H205" s="347">
        <f t="shared" si="3"/>
        <v>0.00222</v>
      </c>
      <c r="I205" s="348">
        <f t="shared" si="4"/>
        <v>0.00888</v>
      </c>
      <c r="J205" s="282"/>
      <c r="K205" s="391" t="s">
        <v>1174</v>
      </c>
      <c r="L205" s="393">
        <f>SUMIFS(H:H, E:E, $K$15) + SUMIFS(H:H, E:E, $K$17) + (COUNTIF(H:H, "x")*$M$4/(COUNTIFS(F:F, "♢♢", E:E, $K$15) + COUNTIFS(F:F, "♢♢", E:E, $K$17)))</f>
        <v>1</v>
      </c>
      <c r="M205" s="391" t="s">
        <v>1175</v>
      </c>
      <c r="N205" s="392">
        <f>COUNTIFS(F:F, "☆☆☆", E:E, $K$15)</f>
        <v>1</v>
      </c>
      <c r="O205" s="125"/>
      <c r="P205" s="125"/>
    </row>
    <row r="206">
      <c r="A206" s="275" t="b">
        <f t="shared" si="1"/>
        <v>0</v>
      </c>
      <c r="B206" s="276">
        <v>0.0</v>
      </c>
      <c r="C206" s="277" t="s">
        <v>1176</v>
      </c>
      <c r="D206" s="294" t="s">
        <v>1042</v>
      </c>
      <c r="E206" s="349" t="s">
        <v>36</v>
      </c>
      <c r="F206" s="349" t="s">
        <v>49</v>
      </c>
      <c r="G206" s="347" t="str">
        <f t="shared" si="2"/>
        <v/>
      </c>
      <c r="H206" s="347">
        <f t="shared" si="3"/>
        <v>0.00222</v>
      </c>
      <c r="I206" s="348">
        <f t="shared" si="4"/>
        <v>0.00888</v>
      </c>
      <c r="J206" s="282"/>
      <c r="K206" s="391" t="s">
        <v>1177</v>
      </c>
      <c r="L206" s="393">
        <f>SUMIFS(H:H, E:E, $K$16) + SUMIFS(H:H, E:E, $K$17) + (COUNTIF(H:H, "x")*$M$4/(COUNTIFS(F:F, "♢♢", E:E, $K$16) + COUNTIFS(F:F, "♢♢", E:E, $K$17)))</f>
        <v>1</v>
      </c>
      <c r="M206" s="391" t="s">
        <v>1178</v>
      </c>
      <c r="N206" s="392">
        <f>COUNTIFS(F:F, "☆☆☆", E:E, $K$16)</f>
        <v>1</v>
      </c>
      <c r="O206" s="125"/>
      <c r="P206" s="125"/>
    </row>
    <row r="207">
      <c r="A207" s="275" t="b">
        <f t="shared" si="1"/>
        <v>0</v>
      </c>
      <c r="B207" s="276">
        <v>0.0</v>
      </c>
      <c r="C207" s="277" t="s">
        <v>1179</v>
      </c>
      <c r="D207" s="294" t="s">
        <v>913</v>
      </c>
      <c r="E207" s="349" t="s">
        <v>805</v>
      </c>
      <c r="F207" s="349" t="s">
        <v>52</v>
      </c>
      <c r="G207" s="347" t="str">
        <f>IF(F207="♢", IFS(E207=$K$15, $L$3/(COUNTIFS(F:F, "♢", E:E, $K$15) + COUNTIFS(F:F, "♢", E:E, $K$17)), E207=$K$16, $L$3/(COUNTIFS(F:F, "♢", E:E, $K$16) + COUNTIFS(F:F, "♢", E:E, $K$17)), E207=$K$17, ($L$3/(COUNTIFS(F:F, "♢", E:E, $K$15) + COUNTIFS(F:F, "♢", E:E, $K$17)) + $L$3/(COUNTIFS(F:F, "♢", E:E, $K$16) + COUNTIFS(F:F, "♢", E:E, $K$17)))/2), "")</f>
        <v/>
      </c>
      <c r="H207" s="347">
        <f t="shared" si="3"/>
        <v>0.0002</v>
      </c>
      <c r="I207" s="348">
        <f t="shared" si="4"/>
        <v>0.0008</v>
      </c>
      <c r="J207" s="282"/>
      <c r="K207" s="391" t="s">
        <v>1180</v>
      </c>
      <c r="L207" s="393">
        <f>SUMIFS(I:I, E:E, $K$15) + SUMIFS(I:I, E:E, $K$17) + (COUNTIF(I:I, "x")*$N$4/(COUNTIFS(F:F, "♢♢", E:E, $K$15) + COUNTIFS(F:F, "♢♢", E:E, $K$17)))</f>
        <v>1</v>
      </c>
      <c r="M207" s="391" t="s">
        <v>668</v>
      </c>
      <c r="N207" s="392">
        <f>COUNTIFS(F:F, "☆☆☆", E:E, $K$17)</f>
        <v>0</v>
      </c>
      <c r="O207" s="125"/>
      <c r="P207" s="125"/>
    </row>
    <row r="208">
      <c r="A208" s="275" t="b">
        <f t="shared" si="1"/>
        <v>0</v>
      </c>
      <c r="B208" s="276">
        <v>0.0</v>
      </c>
      <c r="C208" s="335" t="s">
        <v>1181</v>
      </c>
      <c r="D208" s="394" t="s">
        <v>1042</v>
      </c>
      <c r="E208" s="349" t="s">
        <v>805</v>
      </c>
      <c r="F208" s="349" t="s">
        <v>52</v>
      </c>
      <c r="G208" s="395" t="str">
        <f>IF(F208="♢", IFS(E208=$K$15, $L$3/(COUNTIFS(F:F, "♢", E:E, $K$15) + COUNTIFS(F:F, "♢", E:E, $K$17)), E208=$K$16, $L$3/(COUNTIFS(F:F, "♢", E:E, $K$16) + COUNTIFS(F:F, "♢", E:E, $K$17)), E208=$K$17, ($L$3-($L$3/(COUNTIFS(F:F, "♢", E:E, $K$15) + COUNTIFS(F:F, "♢", E:E, $K$17)))-($L$3/(COUNTIFS(F:F, "♢", E:E, $K$16) + COUNTIFS(F:F, "♢", E:E, $K$17))))/COUNTIFS(F:F, "♢", E:E, $K$17)), "")</f>
        <v/>
      </c>
      <c r="H208" s="395">
        <f t="shared" si="3"/>
        <v>0.0002</v>
      </c>
      <c r="I208" s="396">
        <f t="shared" si="4"/>
        <v>0.0008</v>
      </c>
      <c r="J208" s="339"/>
      <c r="K208" s="397" t="s">
        <v>1182</v>
      </c>
      <c r="L208" s="398">
        <f>SUMIFS(I:I, E:E, $K$16) + SUMIFS(I:I, E:E, $K$17) + (COUNTIF(I:I, "x")*$N$4/(COUNTIFS(F:F, "♢♢", E:E, $K$16) + COUNTIFS(F:F, "♢♢", E:E, $K$17)))</f>
        <v>1</v>
      </c>
      <c r="M208" s="397" t="s">
        <v>671</v>
      </c>
      <c r="N208" s="399">
        <f>COUNTIFS(F:F, "♛", E:E, $K$17)</f>
        <v>2</v>
      </c>
      <c r="O208" s="125"/>
      <c r="P208" s="125"/>
    </row>
    <row r="209">
      <c r="A209" s="275"/>
      <c r="B209" s="343">
        <f>SUM(B2:B208)</f>
        <v>0</v>
      </c>
      <c r="C209" s="277"/>
      <c r="D209" s="277"/>
      <c r="E209" s="277"/>
      <c r="F209" s="277"/>
      <c r="G209" s="280"/>
      <c r="H209" s="280"/>
      <c r="I209" s="280"/>
      <c r="J209" s="344"/>
      <c r="K209" s="23"/>
      <c r="L209" s="23"/>
      <c r="M209" s="23"/>
      <c r="N209" s="23"/>
      <c r="O209" s="125"/>
      <c r="P209" s="125"/>
    </row>
  </sheetData>
  <autoFilter ref="$A$1:$F$208"/>
  <mergeCells count="26">
    <mergeCell ref="P28:P32"/>
    <mergeCell ref="P34:P38"/>
    <mergeCell ref="P39:P41"/>
    <mergeCell ref="P46:P49"/>
    <mergeCell ref="K11:N12"/>
    <mergeCell ref="K18:N19"/>
    <mergeCell ref="P20:P23"/>
    <mergeCell ref="K24:N24"/>
    <mergeCell ref="P24:P27"/>
    <mergeCell ref="L30:N31"/>
    <mergeCell ref="K32:N32"/>
    <mergeCell ref="M39:N39"/>
    <mergeCell ref="M43:N44"/>
    <mergeCell ref="K45:N45"/>
    <mergeCell ref="K46:K47"/>
    <mergeCell ref="M46:N46"/>
    <mergeCell ref="K182:N183"/>
    <mergeCell ref="M186:N186"/>
    <mergeCell ref="K202:L202"/>
    <mergeCell ref="K30:K31"/>
    <mergeCell ref="J32:J37"/>
    <mergeCell ref="K36:K37"/>
    <mergeCell ref="L36:L37"/>
    <mergeCell ref="M36:M37"/>
    <mergeCell ref="N36:N37"/>
    <mergeCell ref="K38:N38"/>
  </mergeCells>
  <conditionalFormatting sqref="L28:L31 M29:N29 L33:N37 K51">
    <cfRule type="containsText" dxfId="4" priority="1" operator="containsText" text="Mewtwo">
      <formula>NOT(ISERROR(SEARCH(("Mewtwo"),(L28))))</formula>
    </cfRule>
  </conditionalFormatting>
  <conditionalFormatting sqref="L28:L31 M29:N29 L33:N37 K51">
    <cfRule type="containsText" dxfId="5" priority="2" operator="containsText" text="Pikachu">
      <formula>NOT(ISERROR(SEARCH(("Pikachu"),(L28))))</formula>
    </cfRule>
  </conditionalFormatting>
  <conditionalFormatting sqref="L28:L31 M29:N29 L33:N37 K51">
    <cfRule type="containsText" dxfId="6" priority="3" operator="containsText" text="Charizard">
      <formula>NOT(ISERROR(SEARCH(("Charizard"),(L28))))</formula>
    </cfRule>
  </conditionalFormatting>
  <conditionalFormatting sqref="L26:L46 M26:N36 K30:K46 K51">
    <cfRule type="expression" dxfId="4" priority="4">
      <formula>$K26="A1-Mewtwo"</formula>
    </cfRule>
  </conditionalFormatting>
  <conditionalFormatting sqref="L26:L46 M26:N36 K30:K46 K51">
    <cfRule type="expression" dxfId="5" priority="5">
      <formula>$K26="A1-Pikachu"</formula>
    </cfRule>
  </conditionalFormatting>
  <conditionalFormatting sqref="L26:L46 M26:N36 K30:K46 K51">
    <cfRule type="expression" dxfId="6" priority="6">
      <formula>$K26="A1-Charizard"</formula>
    </cfRule>
  </conditionalFormatting>
  <conditionalFormatting sqref="L33:N37 M39:N44 K51">
    <cfRule type="containsText" dxfId="8" priority="7" operator="containsText" text="Dialga">
      <formula>NOT(ISERROR(SEARCH(("Dialga"),(L33))))</formula>
    </cfRule>
  </conditionalFormatting>
  <conditionalFormatting sqref="L33:N37 M39:N44 K51">
    <cfRule type="containsText" dxfId="9" priority="8" operator="containsText" text="Palkia">
      <formula>NOT(ISERROR(SEARCH(("Palkia"),(L33))))</formula>
    </cfRule>
  </conditionalFormatting>
  <conditionalFormatting sqref="B2:I208">
    <cfRule type="expression" dxfId="8" priority="9">
      <formula>$E2="A2-Dialga"</formula>
    </cfRule>
  </conditionalFormatting>
  <conditionalFormatting sqref="K15:N17 K26:N36 K39:K40 K51">
    <cfRule type="expression" dxfId="14" priority="10">
      <formula>$K15="A2-Dialga"</formula>
    </cfRule>
  </conditionalFormatting>
  <conditionalFormatting sqref="L27:N31">
    <cfRule type="containsText" dxfId="14" priority="11" operator="containsText" text="Dialga">
      <formula>NOT(ISERROR(SEARCH(("Dialga"),(L27))))</formula>
    </cfRule>
  </conditionalFormatting>
  <conditionalFormatting sqref="M39:N44">
    <cfRule type="cellIs" dxfId="7" priority="12" operator="equal">
      <formula>"A1a"</formula>
    </cfRule>
  </conditionalFormatting>
  <conditionalFormatting sqref="K15:N17 K26:N36 K39:K40 K51">
    <cfRule type="expression" dxfId="15" priority="13">
      <formula>$K15="A2-Palkia"</formula>
    </cfRule>
  </conditionalFormatting>
  <conditionalFormatting sqref="K30:L46 M30:N36 K51">
    <cfRule type="expression" dxfId="8" priority="14">
      <formula>$K30="A2-Dialga"</formula>
    </cfRule>
  </conditionalFormatting>
  <conditionalFormatting sqref="K30:L46 M30:N36 K51">
    <cfRule type="expression" dxfId="9" priority="15">
      <formula>$K30="A2-Palkia"</formula>
    </cfRule>
  </conditionalFormatting>
  <conditionalFormatting sqref="L27:N31">
    <cfRule type="containsText" dxfId="15" priority="16" operator="containsText" text="Palkia">
      <formula>NOT(ISERROR(SEARCH(("Palkia"),(L27))))</formula>
    </cfRule>
  </conditionalFormatting>
  <conditionalFormatting sqref="M39:N44">
    <cfRule type="cellIs" dxfId="4" priority="17" operator="equal">
      <formula>"A1-Mewtwo"</formula>
    </cfRule>
  </conditionalFormatting>
  <conditionalFormatting sqref="M39:N44">
    <cfRule type="cellIs" dxfId="16" priority="18" operator="equal">
      <formula>"A1-Pikachu"</formula>
    </cfRule>
  </conditionalFormatting>
  <conditionalFormatting sqref="M39:N44">
    <cfRule type="cellIs" dxfId="6" priority="19" operator="equal">
      <formula>"A1-Charizard"</formula>
    </cfRule>
  </conditionalFormatting>
  <conditionalFormatting sqref="B2:I208">
    <cfRule type="expression" dxfId="17" priority="20">
      <formula>$E2="A2"</formula>
    </cfRule>
  </conditionalFormatting>
  <conditionalFormatting sqref="B2:I208">
    <cfRule type="expression" dxfId="9" priority="21">
      <formula>$E2="A2-Palkia"</formula>
    </cfRule>
  </conditionalFormatting>
  <conditionalFormatting sqref="K15:N17 K26:N36 K39:K40 K51">
    <cfRule type="expression" dxfId="18" priority="22">
      <formula>$K15="A2"</formula>
    </cfRule>
  </conditionalFormatting>
  <conditionalFormatting sqref="A1:A209 O1:P209">
    <cfRule type="containsText" dxfId="11" priority="23" operator="containsText" text="TRUE">
      <formula>NOT(ISERROR(SEARCH(("TRUE"),(A1))))</formula>
    </cfRule>
  </conditionalFormatting>
  <conditionalFormatting sqref="A1:A209 O1:P209">
    <cfRule type="containsText" dxfId="12" priority="24" operator="containsText" text="FALSE">
      <formula>NOT(ISERROR(SEARCH(("FALSE"),(A1))))</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5"/>
    <col customWidth="1" min="2" max="2" width="3.0"/>
    <col customWidth="1" min="3" max="3" width="7.13"/>
  </cols>
  <sheetData>
    <row r="1">
      <c r="A1" s="123"/>
      <c r="B1" s="123" t="s">
        <v>62</v>
      </c>
      <c r="C1" s="123" t="s">
        <v>1183</v>
      </c>
      <c r="D1" s="123" t="s">
        <v>1184</v>
      </c>
      <c r="E1" s="123" t="s">
        <v>65</v>
      </c>
      <c r="F1" s="400" t="s">
        <v>3</v>
      </c>
    </row>
    <row r="2">
      <c r="A2" s="125" t="b">
        <f t="shared" ref="A2:A42" si="1">B2&gt;0</f>
        <v>0</v>
      </c>
      <c r="B2" s="126">
        <v>0.0</v>
      </c>
      <c r="C2" s="127" t="s">
        <v>1185</v>
      </c>
      <c r="D2" s="127" t="s">
        <v>1186</v>
      </c>
      <c r="E2" s="128" t="s">
        <v>57</v>
      </c>
      <c r="F2" s="401"/>
      <c r="G2" s="402" t="s">
        <v>19</v>
      </c>
      <c r="H2" s="251"/>
      <c r="I2" s="251"/>
      <c r="J2" s="252"/>
    </row>
    <row r="3">
      <c r="A3" s="125" t="b">
        <f t="shared" si="1"/>
        <v>0</v>
      </c>
      <c r="B3" s="126">
        <v>0.0</v>
      </c>
      <c r="C3" s="127" t="s">
        <v>1187</v>
      </c>
      <c r="D3" s="127" t="s">
        <v>1188</v>
      </c>
      <c r="E3" s="128" t="s">
        <v>57</v>
      </c>
      <c r="F3" s="401"/>
      <c r="J3" s="145"/>
    </row>
    <row r="4">
      <c r="A4" s="125" t="b">
        <f t="shared" si="1"/>
        <v>0</v>
      </c>
      <c r="B4" s="126">
        <v>0.0</v>
      </c>
      <c r="C4" s="127" t="s">
        <v>1189</v>
      </c>
      <c r="D4" s="127" t="s">
        <v>1190</v>
      </c>
      <c r="E4" s="128" t="s">
        <v>57</v>
      </c>
      <c r="F4" s="401"/>
      <c r="G4" s="403" t="s">
        <v>103</v>
      </c>
      <c r="H4" s="148" t="s">
        <v>24</v>
      </c>
      <c r="I4" s="148" t="s">
        <v>25</v>
      </c>
      <c r="J4" s="149" t="s">
        <v>26</v>
      </c>
    </row>
    <row r="5">
      <c r="A5" s="125" t="b">
        <f t="shared" si="1"/>
        <v>0</v>
      </c>
      <c r="B5" s="126">
        <v>0.0</v>
      </c>
      <c r="C5" s="127" t="s">
        <v>1191</v>
      </c>
      <c r="D5" s="127" t="s">
        <v>1192</v>
      </c>
      <c r="E5" s="128" t="s">
        <v>57</v>
      </c>
      <c r="F5" s="401"/>
      <c r="G5" s="148" t="s">
        <v>30</v>
      </c>
      <c r="H5" s="151">
        <f>COUNTIF(A:A, TRUE) / COUNTA(A:A)</f>
        <v>0</v>
      </c>
      <c r="I5" s="151">
        <f>COUNTIF(A:A, FALSE) / COUNTA(A:A)</f>
        <v>1</v>
      </c>
      <c r="J5" s="152" t="str">
        <f>TEXT(COUNTIF(A:A, TRUE), "0") &amp; "/" &amp; TEXT(COUNTA(A:A), "0")</f>
        <v>0/41</v>
      </c>
    </row>
    <row r="6">
      <c r="A6" s="125" t="b">
        <f t="shared" si="1"/>
        <v>0</v>
      </c>
      <c r="B6" s="126">
        <v>0.0</v>
      </c>
      <c r="C6" s="127" t="s">
        <v>1193</v>
      </c>
      <c r="D6" s="127" t="s">
        <v>1194</v>
      </c>
      <c r="E6" s="128" t="s">
        <v>57</v>
      </c>
      <c r="F6" s="401"/>
      <c r="G6" s="8" t="s">
        <v>57</v>
      </c>
      <c r="H6" s="404">
        <f t="shared" ref="H6:H9" si="2">(COUNTIFS(A:A, TRUE, E:E, G6) + COUNTIFS(A:A, TRUE, E:E, "All")) / (COUNTIFS(E:E, G6) + COUNTIFS(E:E, "All"))</f>
        <v>0</v>
      </c>
      <c r="I6" s="405">
        <f t="shared" ref="I6:I9" si="3">(COUNTIFS(A:A, FALSE, E:E, G6) + COUNTIFS(A:A, FALSE, E:E, "All")) / (COUNTIFS(E:E, G6) + COUNTIFS(E:E, "All"))</f>
        <v>1</v>
      </c>
      <c r="J6" s="257" t="str">
        <f t="shared" ref="J6:J9" si="4">TEXT(COUNTIFS(A:A, TRUE, E:E, G6) + COUNTIFS(A:A, TRUE, E:E, "All"), "0") &amp; "/" &amp; TEXT(COUNTIFS(E:E, G6) + COUNTIFS(E:E, "All"), "0")</f>
        <v>0/8</v>
      </c>
    </row>
    <row r="7">
      <c r="A7" s="125" t="b">
        <f t="shared" si="1"/>
        <v>0</v>
      </c>
      <c r="B7" s="126">
        <v>0.0</v>
      </c>
      <c r="C7" s="127" t="s">
        <v>1195</v>
      </c>
      <c r="D7" s="127" t="s">
        <v>1196</v>
      </c>
      <c r="E7" s="128" t="s">
        <v>57</v>
      </c>
      <c r="F7" s="401"/>
      <c r="G7" s="221" t="s">
        <v>59</v>
      </c>
      <c r="H7" s="404">
        <f t="shared" si="2"/>
        <v>0</v>
      </c>
      <c r="I7" s="405">
        <f t="shared" si="3"/>
        <v>1</v>
      </c>
      <c r="J7" s="257" t="str">
        <f t="shared" si="4"/>
        <v>0/5</v>
      </c>
    </row>
    <row r="8">
      <c r="A8" s="125" t="b">
        <f t="shared" si="1"/>
        <v>0</v>
      </c>
      <c r="B8" s="126">
        <v>0.0</v>
      </c>
      <c r="C8" s="127" t="s">
        <v>1197</v>
      </c>
      <c r="D8" s="406" t="s">
        <v>1198</v>
      </c>
      <c r="E8" s="128" t="s">
        <v>57</v>
      </c>
      <c r="F8" s="401"/>
      <c r="G8" s="221" t="s">
        <v>60</v>
      </c>
      <c r="H8" s="404">
        <f t="shared" si="2"/>
        <v>0</v>
      </c>
      <c r="I8" s="405">
        <f t="shared" si="3"/>
        <v>1</v>
      </c>
      <c r="J8" s="257" t="str">
        <f t="shared" si="4"/>
        <v>0/20</v>
      </c>
    </row>
    <row r="9">
      <c r="A9" s="125" t="b">
        <f t="shared" si="1"/>
        <v>0</v>
      </c>
      <c r="B9" s="126">
        <v>0.0</v>
      </c>
      <c r="C9" s="128" t="s">
        <v>1199</v>
      </c>
      <c r="D9" s="128" t="s">
        <v>1200</v>
      </c>
      <c r="E9" s="128" t="s">
        <v>59</v>
      </c>
      <c r="F9" s="407" t="s">
        <v>1201</v>
      </c>
      <c r="G9" s="408" t="s">
        <v>61</v>
      </c>
      <c r="H9" s="409">
        <f t="shared" si="2"/>
        <v>0</v>
      </c>
      <c r="I9" s="410">
        <f t="shared" si="3"/>
        <v>1</v>
      </c>
      <c r="J9" s="411" t="str">
        <f t="shared" si="4"/>
        <v>0/8</v>
      </c>
    </row>
    <row r="10">
      <c r="A10" s="125" t="b">
        <f t="shared" si="1"/>
        <v>0</v>
      </c>
      <c r="B10" s="126">
        <v>0.0</v>
      </c>
      <c r="C10" s="128" t="s">
        <v>1202</v>
      </c>
      <c r="D10" s="128" t="s">
        <v>298</v>
      </c>
      <c r="E10" s="128" t="s">
        <v>57</v>
      </c>
      <c r="F10" s="407" t="s">
        <v>1203</v>
      </c>
      <c r="G10" s="229"/>
      <c r="H10" s="164"/>
      <c r="I10" s="164"/>
      <c r="J10" s="164"/>
    </row>
    <row r="11">
      <c r="A11" s="125" t="b">
        <f t="shared" si="1"/>
        <v>0</v>
      </c>
      <c r="B11" s="126">
        <v>0.0</v>
      </c>
      <c r="C11" s="127" t="s">
        <v>1204</v>
      </c>
      <c r="D11" s="128" t="s">
        <v>371</v>
      </c>
      <c r="E11" s="128" t="s">
        <v>59</v>
      </c>
      <c r="F11" s="407" t="s">
        <v>1203</v>
      </c>
    </row>
    <row r="12">
      <c r="A12" s="125" t="b">
        <f t="shared" si="1"/>
        <v>0</v>
      </c>
      <c r="B12" s="126">
        <v>0.0</v>
      </c>
      <c r="C12" s="127" t="s">
        <v>1205</v>
      </c>
      <c r="D12" s="128" t="s">
        <v>520</v>
      </c>
      <c r="E12" s="412" t="s">
        <v>61</v>
      </c>
      <c r="F12" s="401"/>
    </row>
    <row r="13">
      <c r="A13" s="125" t="b">
        <f t="shared" si="1"/>
        <v>0</v>
      </c>
      <c r="B13" s="126">
        <v>0.0</v>
      </c>
      <c r="C13" s="127" t="s">
        <v>1206</v>
      </c>
      <c r="D13" s="128" t="s">
        <v>508</v>
      </c>
      <c r="E13" s="412" t="s">
        <v>61</v>
      </c>
      <c r="F13" s="401"/>
    </row>
    <row r="14">
      <c r="A14" s="125" t="b">
        <f t="shared" si="1"/>
        <v>0</v>
      </c>
      <c r="B14" s="126">
        <v>0.0</v>
      </c>
      <c r="C14" s="127" t="s">
        <v>1207</v>
      </c>
      <c r="D14" s="128" t="s">
        <v>88</v>
      </c>
      <c r="E14" s="412" t="s">
        <v>60</v>
      </c>
      <c r="F14" s="407" t="s">
        <v>1208</v>
      </c>
    </row>
    <row r="15">
      <c r="A15" s="125" t="b">
        <f t="shared" si="1"/>
        <v>0</v>
      </c>
      <c r="B15" s="126">
        <v>0.0</v>
      </c>
      <c r="C15" s="127" t="s">
        <v>1209</v>
      </c>
      <c r="D15" s="128" t="s">
        <v>1210</v>
      </c>
      <c r="E15" s="412" t="s">
        <v>60</v>
      </c>
      <c r="F15" s="407" t="s">
        <v>1208</v>
      </c>
    </row>
    <row r="16">
      <c r="A16" s="125" t="b">
        <f t="shared" si="1"/>
        <v>0</v>
      </c>
      <c r="B16" s="126">
        <v>0.0</v>
      </c>
      <c r="C16" s="127" t="s">
        <v>1211</v>
      </c>
      <c r="D16" s="128" t="s">
        <v>298</v>
      </c>
      <c r="E16" s="412" t="s">
        <v>60</v>
      </c>
      <c r="F16" s="407" t="s">
        <v>1208</v>
      </c>
    </row>
    <row r="17">
      <c r="A17" s="125" t="b">
        <f t="shared" si="1"/>
        <v>0</v>
      </c>
      <c r="B17" s="126">
        <v>0.0</v>
      </c>
      <c r="C17" s="127" t="s">
        <v>1212</v>
      </c>
      <c r="D17" s="128" t="s">
        <v>338</v>
      </c>
      <c r="E17" s="412" t="s">
        <v>60</v>
      </c>
      <c r="F17" s="407" t="s">
        <v>1208</v>
      </c>
    </row>
    <row r="18">
      <c r="A18" s="125" t="b">
        <f t="shared" si="1"/>
        <v>0</v>
      </c>
      <c r="B18" s="126">
        <v>0.0</v>
      </c>
      <c r="C18" s="128" t="s">
        <v>1213</v>
      </c>
      <c r="D18" s="128" t="s">
        <v>398</v>
      </c>
      <c r="E18" s="412" t="s">
        <v>60</v>
      </c>
      <c r="F18" s="407" t="s">
        <v>1208</v>
      </c>
    </row>
    <row r="19">
      <c r="A19" s="125" t="b">
        <f t="shared" si="1"/>
        <v>0</v>
      </c>
      <c r="B19" s="126">
        <v>0.0</v>
      </c>
      <c r="C19" s="128" t="s">
        <v>1214</v>
      </c>
      <c r="D19" s="128" t="s">
        <v>78</v>
      </c>
      <c r="E19" s="412" t="s">
        <v>60</v>
      </c>
      <c r="F19" s="407" t="s">
        <v>1215</v>
      </c>
    </row>
    <row r="20">
      <c r="A20" s="125" t="b">
        <f t="shared" si="1"/>
        <v>0</v>
      </c>
      <c r="B20" s="126">
        <v>0.0</v>
      </c>
      <c r="C20" s="127" t="s">
        <v>1216</v>
      </c>
      <c r="D20" s="128" t="s">
        <v>287</v>
      </c>
      <c r="E20" s="412" t="s">
        <v>60</v>
      </c>
      <c r="F20" s="407" t="s">
        <v>1215</v>
      </c>
    </row>
    <row r="21">
      <c r="A21" s="125" t="b">
        <f t="shared" si="1"/>
        <v>0</v>
      </c>
      <c r="B21" s="126">
        <v>0.0</v>
      </c>
      <c r="C21" s="127" t="s">
        <v>1217</v>
      </c>
      <c r="D21" s="128" t="s">
        <v>355</v>
      </c>
      <c r="E21" s="412" t="s">
        <v>60</v>
      </c>
      <c r="F21" s="407" t="s">
        <v>1215</v>
      </c>
    </row>
    <row r="22">
      <c r="A22" s="125" t="b">
        <f t="shared" si="1"/>
        <v>0</v>
      </c>
      <c r="B22" s="126">
        <v>0.0</v>
      </c>
      <c r="C22" s="127" t="s">
        <v>1218</v>
      </c>
      <c r="D22" s="128" t="s">
        <v>416</v>
      </c>
      <c r="E22" s="412" t="s">
        <v>60</v>
      </c>
      <c r="F22" s="407" t="s">
        <v>1215</v>
      </c>
    </row>
    <row r="23">
      <c r="A23" s="125" t="b">
        <f t="shared" si="1"/>
        <v>0</v>
      </c>
      <c r="B23" s="126">
        <v>0.0</v>
      </c>
      <c r="C23" s="127" t="s">
        <v>1219</v>
      </c>
      <c r="D23" s="128" t="s">
        <v>502</v>
      </c>
      <c r="E23" s="412" t="s">
        <v>60</v>
      </c>
      <c r="F23" s="407" t="s">
        <v>1215</v>
      </c>
    </row>
    <row r="24">
      <c r="A24" s="125" t="b">
        <f t="shared" si="1"/>
        <v>0</v>
      </c>
      <c r="B24" s="126">
        <v>0.0</v>
      </c>
      <c r="C24" s="127" t="s">
        <v>1220</v>
      </c>
      <c r="D24" s="128" t="s">
        <v>72</v>
      </c>
      <c r="E24" s="412" t="s">
        <v>61</v>
      </c>
      <c r="F24" s="401"/>
    </row>
    <row r="25">
      <c r="A25" s="125" t="b">
        <f t="shared" si="1"/>
        <v>0</v>
      </c>
      <c r="B25" s="126">
        <v>0.0</v>
      </c>
      <c r="C25" s="127" t="s">
        <v>1221</v>
      </c>
      <c r="D25" s="128" t="s">
        <v>305</v>
      </c>
      <c r="E25" s="412" t="s">
        <v>61</v>
      </c>
      <c r="F25" s="401"/>
    </row>
    <row r="26">
      <c r="A26" s="125" t="b">
        <f t="shared" si="1"/>
        <v>0</v>
      </c>
      <c r="B26" s="126">
        <v>0.0</v>
      </c>
      <c r="C26" s="127" t="s">
        <v>1222</v>
      </c>
      <c r="D26" s="128" t="s">
        <v>188</v>
      </c>
      <c r="E26" s="412" t="s">
        <v>59</v>
      </c>
      <c r="F26" s="407" t="s">
        <v>1203</v>
      </c>
    </row>
    <row r="27">
      <c r="A27" s="125" t="b">
        <f t="shared" si="1"/>
        <v>0</v>
      </c>
      <c r="B27" s="126">
        <v>0.0</v>
      </c>
      <c r="C27" s="127" t="s">
        <v>1223</v>
      </c>
      <c r="D27" s="128" t="s">
        <v>298</v>
      </c>
      <c r="E27" s="412" t="s">
        <v>59</v>
      </c>
      <c r="F27" s="407" t="s">
        <v>1224</v>
      </c>
    </row>
    <row r="28">
      <c r="A28" s="125" t="b">
        <f t="shared" si="1"/>
        <v>0</v>
      </c>
      <c r="B28" s="126">
        <v>0.0</v>
      </c>
      <c r="C28" s="127" t="s">
        <v>1225</v>
      </c>
      <c r="D28" s="128" t="s">
        <v>677</v>
      </c>
      <c r="E28" s="412" t="s">
        <v>60</v>
      </c>
      <c r="F28" s="407" t="s">
        <v>1226</v>
      </c>
    </row>
    <row r="29">
      <c r="A29" s="125" t="b">
        <f t="shared" si="1"/>
        <v>0</v>
      </c>
      <c r="B29" s="126">
        <v>0.0</v>
      </c>
      <c r="C29" s="127" t="s">
        <v>1227</v>
      </c>
      <c r="D29" s="128" t="s">
        <v>694</v>
      </c>
      <c r="E29" s="412" t="s">
        <v>60</v>
      </c>
      <c r="F29" s="407" t="s">
        <v>1226</v>
      </c>
    </row>
    <row r="30">
      <c r="A30" s="125" t="b">
        <f t="shared" si="1"/>
        <v>0</v>
      </c>
      <c r="B30" s="126">
        <v>0.0</v>
      </c>
      <c r="C30" s="127" t="s">
        <v>1228</v>
      </c>
      <c r="D30" s="128" t="s">
        <v>208</v>
      </c>
      <c r="E30" s="412" t="s">
        <v>60</v>
      </c>
      <c r="F30" s="407" t="s">
        <v>1226</v>
      </c>
    </row>
    <row r="31">
      <c r="A31" s="125" t="b">
        <f t="shared" si="1"/>
        <v>0</v>
      </c>
      <c r="B31" s="126">
        <v>0.0</v>
      </c>
      <c r="C31" s="127" t="s">
        <v>1229</v>
      </c>
      <c r="D31" s="128" t="s">
        <v>528</v>
      </c>
      <c r="E31" s="412" t="s">
        <v>60</v>
      </c>
      <c r="F31" s="407" t="s">
        <v>1226</v>
      </c>
    </row>
    <row r="32">
      <c r="A32" s="125" t="b">
        <f t="shared" si="1"/>
        <v>0</v>
      </c>
      <c r="B32" s="126">
        <v>0.0</v>
      </c>
      <c r="C32" s="127" t="s">
        <v>1230</v>
      </c>
      <c r="D32" s="128" t="s">
        <v>540</v>
      </c>
      <c r="E32" s="412" t="s">
        <v>60</v>
      </c>
      <c r="F32" s="407" t="s">
        <v>1226</v>
      </c>
    </row>
    <row r="33">
      <c r="A33" s="125" t="b">
        <f t="shared" si="1"/>
        <v>0</v>
      </c>
      <c r="B33" s="126">
        <v>0.0</v>
      </c>
      <c r="C33" s="127" t="s">
        <v>1231</v>
      </c>
      <c r="D33" s="128" t="s">
        <v>152</v>
      </c>
      <c r="E33" s="412" t="s">
        <v>61</v>
      </c>
      <c r="F33" s="407"/>
    </row>
    <row r="34">
      <c r="A34" s="125" t="b">
        <f t="shared" si="1"/>
        <v>0</v>
      </c>
      <c r="B34" s="126">
        <v>0.0</v>
      </c>
      <c r="C34" s="127" t="s">
        <v>1232</v>
      </c>
      <c r="D34" s="128" t="s">
        <v>203</v>
      </c>
      <c r="E34" s="412" t="s">
        <v>61</v>
      </c>
      <c r="F34" s="407"/>
    </row>
    <row r="35">
      <c r="A35" s="125" t="b">
        <f t="shared" si="1"/>
        <v>0</v>
      </c>
      <c r="B35" s="126">
        <v>0.0</v>
      </c>
      <c r="C35" s="127" t="s">
        <v>1233</v>
      </c>
      <c r="D35" s="128" t="s">
        <v>878</v>
      </c>
      <c r="E35" s="412" t="s">
        <v>59</v>
      </c>
      <c r="F35" s="407" t="s">
        <v>1203</v>
      </c>
    </row>
    <row r="36">
      <c r="A36" s="125" t="b">
        <f t="shared" si="1"/>
        <v>0</v>
      </c>
      <c r="B36" s="126">
        <v>0.0</v>
      </c>
      <c r="C36" s="127" t="s">
        <v>1234</v>
      </c>
      <c r="D36" s="128" t="s">
        <v>821</v>
      </c>
      <c r="E36" s="412" t="s">
        <v>60</v>
      </c>
      <c r="F36" s="407" t="s">
        <v>1235</v>
      </c>
    </row>
    <row r="37">
      <c r="A37" s="125" t="b">
        <f t="shared" si="1"/>
        <v>0</v>
      </c>
      <c r="B37" s="126">
        <v>0.0</v>
      </c>
      <c r="C37" s="127" t="s">
        <v>1236</v>
      </c>
      <c r="D37" s="128" t="s">
        <v>924</v>
      </c>
      <c r="E37" s="412" t="s">
        <v>60</v>
      </c>
      <c r="F37" s="407" t="s">
        <v>1235</v>
      </c>
    </row>
    <row r="38">
      <c r="A38" s="125" t="b">
        <f t="shared" si="1"/>
        <v>0</v>
      </c>
      <c r="B38" s="126">
        <v>0.0</v>
      </c>
      <c r="C38" s="127" t="s">
        <v>1237</v>
      </c>
      <c r="D38" s="128" t="s">
        <v>1238</v>
      </c>
      <c r="E38" s="412" t="s">
        <v>60</v>
      </c>
      <c r="F38" s="407" t="s">
        <v>1235</v>
      </c>
    </row>
    <row r="39">
      <c r="A39" s="125" t="b">
        <f t="shared" si="1"/>
        <v>0</v>
      </c>
      <c r="B39" s="126">
        <v>0.0</v>
      </c>
      <c r="C39" s="127" t="s">
        <v>1239</v>
      </c>
      <c r="D39" s="128" t="s">
        <v>942</v>
      </c>
      <c r="E39" s="412" t="s">
        <v>60</v>
      </c>
      <c r="F39" s="407" t="s">
        <v>1235</v>
      </c>
    </row>
    <row r="40">
      <c r="A40" s="125" t="b">
        <f t="shared" si="1"/>
        <v>0</v>
      </c>
      <c r="B40" s="126">
        <v>0.0</v>
      </c>
      <c r="C40" s="127" t="s">
        <v>1240</v>
      </c>
      <c r="D40" s="128" t="s">
        <v>1027</v>
      </c>
      <c r="E40" s="412" t="s">
        <v>60</v>
      </c>
      <c r="F40" s="407" t="s">
        <v>1235</v>
      </c>
    </row>
    <row r="41">
      <c r="A41" s="125" t="b">
        <f t="shared" si="1"/>
        <v>0</v>
      </c>
      <c r="B41" s="126">
        <v>0.0</v>
      </c>
      <c r="C41" s="127" t="s">
        <v>1241</v>
      </c>
      <c r="D41" s="128" t="s">
        <v>859</v>
      </c>
      <c r="E41" s="412" t="s">
        <v>61</v>
      </c>
      <c r="F41" s="407"/>
    </row>
    <row r="42">
      <c r="A42" s="125" t="b">
        <f t="shared" si="1"/>
        <v>0</v>
      </c>
      <c r="B42" s="126">
        <v>0.0</v>
      </c>
      <c r="C42" s="127" t="s">
        <v>1242</v>
      </c>
      <c r="D42" s="128" t="s">
        <v>936</v>
      </c>
      <c r="E42" s="412" t="s">
        <v>61</v>
      </c>
      <c r="F42" s="407"/>
    </row>
    <row r="43">
      <c r="A43" s="7"/>
      <c r="B43" s="413">
        <f>SUM(B2:B42)</f>
        <v>0</v>
      </c>
      <c r="C43" s="7"/>
      <c r="D43" s="7"/>
      <c r="E43" s="7"/>
    </row>
  </sheetData>
  <mergeCells count="1">
    <mergeCell ref="G2:J3"/>
  </mergeCells>
  <conditionalFormatting sqref="B2:E42">
    <cfRule type="expression" dxfId="0" priority="1">
      <formula>$E2="Shop"</formula>
    </cfRule>
  </conditionalFormatting>
  <conditionalFormatting sqref="B2:E42">
    <cfRule type="expression" dxfId="1" priority="2">
      <formula>$E2="Wonder Pick"</formula>
    </cfRule>
  </conditionalFormatting>
  <conditionalFormatting sqref="B2:E42">
    <cfRule type="expression" dxfId="2" priority="3">
      <formula>$E2="Promo Pack"</formula>
    </cfRule>
  </conditionalFormatting>
  <conditionalFormatting sqref="B2:E42">
    <cfRule type="expression" dxfId="3" priority="4">
      <formula>$E2="Mission"</formula>
    </cfRule>
  </conditionalFormatting>
  <conditionalFormatting sqref="G6:J9">
    <cfRule type="expression" dxfId="0" priority="5">
      <formula>$G6="Shop"</formula>
    </cfRule>
  </conditionalFormatting>
  <conditionalFormatting sqref="G6:J9">
    <cfRule type="expression" dxfId="1" priority="6">
      <formula>$G6="Wonder Pick"</formula>
    </cfRule>
  </conditionalFormatting>
  <conditionalFormatting sqref="G6:J9">
    <cfRule type="expression" dxfId="2" priority="7">
      <formula>$G6="Promo Pack"</formula>
    </cfRule>
  </conditionalFormatting>
  <conditionalFormatting sqref="G6:J9">
    <cfRule type="expression" dxfId="3" priority="8">
      <formula>$G6="Mission"</formula>
    </cfRule>
  </conditionalFormatting>
  <conditionalFormatting sqref="A1:A43">
    <cfRule type="containsText" dxfId="11" priority="9" operator="containsText" text="TRUE">
      <formula>NOT(ISERROR(SEARCH(("TRUE"),(A1))))</formula>
    </cfRule>
  </conditionalFormatting>
  <conditionalFormatting sqref="A1:A43">
    <cfRule type="containsText" dxfId="12" priority="10" operator="containsText" text="FALSE">
      <formula>NOT(ISERROR(SEARCH(("FALSE"),(A1))))</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1" max="1" width="19.0"/>
    <col collapsed="1" customWidth="1" min="2" max="2" width="7.13"/>
    <col customWidth="1" hidden="1" min="3" max="3" width="7.13" outlineLevel="1"/>
    <col customWidth="1" hidden="1" min="4" max="4" width="7.88" outlineLevel="1"/>
    <col customWidth="1" hidden="1" min="5" max="6" width="10.5" outlineLevel="1"/>
    <col customWidth="1" hidden="1" min="7" max="8" width="5.25" outlineLevel="1"/>
    <col customWidth="1" hidden="1" min="9" max="9" width="9.63" outlineLevel="1"/>
    <col customWidth="1" hidden="1" min="10" max="10" width="16.38" outlineLevel="1"/>
    <col customWidth="1" hidden="1" min="11" max="11" width="20.63" outlineLevel="1"/>
    <col customWidth="1" hidden="1" min="12" max="13" width="5.63" outlineLevel="1"/>
    <col customWidth="1" min="14" max="14" width="7.13"/>
    <col customWidth="1" min="17" max="18" width="9.5"/>
    <col customWidth="1" min="19" max="19" width="7.13"/>
    <col customWidth="1" min="22" max="23" width="9.5"/>
    <col customWidth="1" min="24" max="24" width="7.5"/>
    <col customWidth="1" min="25" max="25" width="7.25"/>
    <col customWidth="1" min="26" max="26" width="20.38"/>
    <col collapsed="1" customWidth="1" min="27" max="27" width="16.0"/>
    <col customWidth="1" hidden="1" min="28" max="28" width="5.63" outlineLevel="1"/>
    <col customWidth="1" hidden="1" min="29" max="33" width="13.0" outlineLevel="1"/>
    <col customWidth="1" min="34" max="34" width="7.25"/>
    <col customWidth="1" min="35" max="36" width="12.25"/>
    <col customWidth="1" min="37" max="37" width="9.0"/>
    <col customWidth="1" min="38" max="38" width="8.63"/>
    <col customWidth="1" min="39" max="40" width="7.25"/>
  </cols>
  <sheetData>
    <row r="1">
      <c r="A1" s="414" t="s">
        <v>1243</v>
      </c>
      <c r="B1" s="25"/>
      <c r="C1" s="414"/>
      <c r="D1" s="415" t="s">
        <v>1244</v>
      </c>
      <c r="E1" s="25"/>
      <c r="F1" s="25"/>
      <c r="G1" s="25"/>
      <c r="H1" s="25"/>
      <c r="I1" s="25"/>
      <c r="J1" s="25"/>
      <c r="K1" s="25"/>
      <c r="L1" s="25"/>
      <c r="M1" s="416"/>
      <c r="N1" s="414" t="s">
        <v>1245</v>
      </c>
      <c r="O1" s="25"/>
      <c r="P1" s="25"/>
      <c r="Q1" s="25"/>
      <c r="R1" s="25"/>
      <c r="S1" s="25"/>
      <c r="T1" s="25"/>
      <c r="U1" s="25"/>
      <c r="V1" s="25"/>
      <c r="W1" s="25"/>
      <c r="X1" s="25"/>
      <c r="Y1" s="26"/>
      <c r="Z1" s="414" t="s">
        <v>1246</v>
      </c>
      <c r="AA1" s="26"/>
      <c r="AB1" s="294"/>
      <c r="AC1" s="417" t="s">
        <v>1247</v>
      </c>
      <c r="AG1" s="145"/>
      <c r="AH1" s="418" t="s">
        <v>1248</v>
      </c>
      <c r="AI1" s="28"/>
      <c r="AJ1" s="28"/>
      <c r="AK1" s="28"/>
      <c r="AL1" s="28"/>
      <c r="AM1" s="28"/>
      <c r="AN1" s="28"/>
    </row>
    <row r="2">
      <c r="A2" s="27"/>
      <c r="B2" s="28"/>
      <c r="C2" s="419"/>
      <c r="D2" s="304" t="s">
        <v>1249</v>
      </c>
      <c r="H2" s="304"/>
      <c r="I2" s="304" t="s">
        <v>1250</v>
      </c>
      <c r="M2" s="304"/>
      <c r="N2" s="420" t="s">
        <v>1249</v>
      </c>
      <c r="O2" s="421"/>
      <c r="P2" s="421"/>
      <c r="Q2" s="421"/>
      <c r="R2" s="422"/>
      <c r="S2" s="423" t="s">
        <v>1250</v>
      </c>
      <c r="T2" s="25"/>
      <c r="U2" s="25"/>
      <c r="V2" s="25"/>
      <c r="W2" s="25"/>
      <c r="X2" s="25"/>
      <c r="Y2" s="26"/>
      <c r="Z2" s="27"/>
      <c r="AA2" s="29"/>
      <c r="AB2" s="294"/>
      <c r="AC2" s="424" t="s">
        <v>1251</v>
      </c>
      <c r="AG2" s="145"/>
      <c r="AH2" s="425" t="s">
        <v>1251</v>
      </c>
      <c r="AI2" s="421"/>
      <c r="AJ2" s="421"/>
      <c r="AK2" s="421"/>
      <c r="AL2" s="421"/>
      <c r="AM2" s="421"/>
      <c r="AN2" s="421"/>
    </row>
    <row r="3">
      <c r="A3" s="426" t="s">
        <v>1252</v>
      </c>
      <c r="B3" s="10"/>
      <c r="C3" s="419"/>
      <c r="D3" s="277" t="s">
        <v>63</v>
      </c>
      <c r="E3" s="277" t="s">
        <v>1184</v>
      </c>
      <c r="F3" s="277" t="s">
        <v>65</v>
      </c>
      <c r="G3" s="277" t="s">
        <v>66</v>
      </c>
      <c r="H3" s="277" t="s">
        <v>1253</v>
      </c>
      <c r="I3" s="277" t="s">
        <v>63</v>
      </c>
      <c r="J3" s="277" t="s">
        <v>1184</v>
      </c>
      <c r="K3" s="277" t="s">
        <v>65</v>
      </c>
      <c r="L3" s="277" t="s">
        <v>66</v>
      </c>
      <c r="M3" s="277" t="s">
        <v>1253</v>
      </c>
      <c r="N3" s="427" t="s">
        <v>63</v>
      </c>
      <c r="O3" s="428" t="s">
        <v>1184</v>
      </c>
      <c r="P3" s="428" t="s">
        <v>65</v>
      </c>
      <c r="Q3" s="428" t="s">
        <v>66</v>
      </c>
      <c r="R3" s="429" t="s">
        <v>1254</v>
      </c>
      <c r="S3" s="430" t="s">
        <v>63</v>
      </c>
      <c r="T3" s="431" t="s">
        <v>1184</v>
      </c>
      <c r="U3" s="431" t="s">
        <v>65</v>
      </c>
      <c r="V3" s="431" t="s">
        <v>66</v>
      </c>
      <c r="W3" s="432" t="s">
        <v>1255</v>
      </c>
      <c r="X3" s="433" t="s">
        <v>1256</v>
      </c>
      <c r="Y3" s="434" t="s">
        <v>30</v>
      </c>
      <c r="Z3" s="435" t="s">
        <v>1257</v>
      </c>
      <c r="AA3" s="29"/>
      <c r="AB3" s="294"/>
      <c r="AC3" s="278" t="s">
        <v>63</v>
      </c>
      <c r="AD3" s="278" t="s">
        <v>1184</v>
      </c>
      <c r="AE3" s="278" t="s">
        <v>65</v>
      </c>
      <c r="AF3" s="278" t="s">
        <v>66</v>
      </c>
      <c r="AG3" s="278" t="s">
        <v>1258</v>
      </c>
      <c r="AH3" s="436" t="s">
        <v>63</v>
      </c>
      <c r="AI3" s="437" t="s">
        <v>1184</v>
      </c>
      <c r="AJ3" s="437" t="s">
        <v>65</v>
      </c>
      <c r="AK3" s="437" t="s">
        <v>66</v>
      </c>
      <c r="AL3" s="438" t="s">
        <v>1254</v>
      </c>
      <c r="AM3" s="438" t="s">
        <v>1259</v>
      </c>
      <c r="AN3" s="438" t="s">
        <v>30</v>
      </c>
    </row>
    <row r="4">
      <c r="A4" s="277" t="s">
        <v>1260</v>
      </c>
      <c r="B4" s="277">
        <v>1.0</v>
      </c>
      <c r="C4" s="439"/>
      <c r="D4" s="277">
        <f>IFERROR(__xludf.DUMMYFUNCTION("{IFERROR(FILTER('Genetic Apex'!C$2:$F889, 'Genetic Apex'!$B2:$B889&gt;$B4), {0,0,0,0}); IFERROR(FILTER('Mythical Island'!C$2:$F889, 'Mythical Island'!$B2:$B889&gt;$B4), {0,0,0,0}); IFERROR(FILTER('Space-Time Smackdown'!C$2:$F889, 'Space-Time Smackdown'!$B2:$B88"&amp;"9&gt;$B4), {0,0,0,0})}"),0.0)</f>
        <v>0</v>
      </c>
      <c r="E4" s="277">
        <f>IFERROR(__xludf.DUMMYFUNCTION("""COMPUTED_VALUE"""),0.0)</f>
        <v>0</v>
      </c>
      <c r="F4" s="277">
        <f>IFERROR(__xludf.DUMMYFUNCTION("""COMPUTED_VALUE"""),0.0)</f>
        <v>0</v>
      </c>
      <c r="G4" s="277">
        <f>IFERROR(__xludf.DUMMYFUNCTION("""COMPUTED_VALUE"""),0.0)</f>
        <v>0</v>
      </c>
      <c r="H4" s="277" t="b">
        <f t="shared" ref="H4:H887" si="1">OR(AND(F4="A1-Mewtwo", $B$18), AND(F4="A1-Pikachu", $B$18), AND(F4="A1-Charizard", $B$18), AND(F4="A1", $B$18), AND(F4="A1a", $B$19), AND(F4="A2-Dialga", $B$20), AND(F4="A2-Palkia", $B$20), AND(F4="A2", $B$20))</f>
        <v>0</v>
      </c>
      <c r="I4" s="277" t="str">
        <f>IFERROR(__xludf.DUMMYFUNCTION("{IFERROR(FILTER('Genetic Apex'!C$2:$F889, 'Genetic Apex'!$B2:$B889&lt;$B5), {0,0,0,0}); IFERROR(FILTER('Mythical Island'!C$2:$F889, 'Mythical Island'!$B2:$B889&lt;$B5), {0,0,0,0}); IFERROR(FILTER('Space-Time Smackdown'!C$2:$F889, 'Space-Time Smackdown'!$B2:$B88"&amp;"9&lt;$B5), {0,0,0,0})}"),"A1 001")</f>
        <v>A1 001</v>
      </c>
      <c r="J4" s="277" t="str">
        <f>IFERROR(__xludf.DUMMYFUNCTION("""COMPUTED_VALUE"""),"Bulbasaur")</f>
        <v>Bulbasaur</v>
      </c>
      <c r="K4" s="277" t="str">
        <f>IFERROR(__xludf.DUMMYFUNCTION("""COMPUTED_VALUE"""),"A1-Mewtwo")</f>
        <v>A1-Mewtwo</v>
      </c>
      <c r="L4" s="277" t="str">
        <f>IFERROR(__xludf.DUMMYFUNCTION("""COMPUTED_VALUE"""),"♢")</f>
        <v>♢</v>
      </c>
      <c r="M4" s="440" t="b">
        <f t="shared" ref="M4:M887" si="2">OR(AND(K4="A1-Mewtwo", $B$18), AND(K4="A1-Pikachu", $B$18), AND(K4="A1-Charizard", $B$18), AND(K4="A1", $B$18), AND(K4="A1a", $B$19), AND(K4="A2-Dialga", $B$20), AND(K4="A2-Palkia", $B$20), AND(K4="A2", $B$20))</f>
        <v>1</v>
      </c>
      <c r="N4" s="441" t="str">
        <f>IFERROR(__xludf.DUMMYFUNCTION("IFERROR(FILTER(D4:G889, H4:H889, COUNTIF(C$8:C$15, G$4:$G889)&gt;0))"),"")</f>
        <v/>
      </c>
      <c r="O4" s="277"/>
      <c r="P4" s="277"/>
      <c r="Q4" s="278"/>
      <c r="R4" s="442" t="str">
        <f t="array" ref="R4">IFERROR(IFS(OR(P4="A1-Mewtwo", P4="A1-Pikachu", P4="A1-Charizard", P4="A1"), XLOOKUP(N4, 'Genetic Apex'!$C$2:$C889, 'Genetic Apex'!$B$2:$B889)-$B$4, P4="A1a", XLOOKUP(N4, 'Mythical Island'!$C$2:$C889, 'Mythical Island'!$B$2:$B889)-$B$4, OR(P4="A2-Dialga", P4="A2-Palkia", P4="A2"), XLOOKUP(N4, 'Space-Time Smackdown'!$C$2:$C889, 'Space-Time Smackdown'!$B$2:$B889)-$B$4))</f>
        <v/>
      </c>
      <c r="S4" s="277" t="str">
        <f>IFERROR(__xludf.DUMMYFUNCTION("IFERROR(FILTER(I4:L889, M4:M889, COUNTIF(C$8:C$15, L$4:$L889)&gt;0))"),"A1 001")</f>
        <v>A1 001</v>
      </c>
      <c r="T4" s="277" t="str">
        <f>IFERROR(__xludf.DUMMYFUNCTION("""COMPUTED_VALUE"""),"Bulbasaur")</f>
        <v>Bulbasaur</v>
      </c>
      <c r="U4" s="277" t="str">
        <f>IFERROR(__xludf.DUMMYFUNCTION("""COMPUTED_VALUE"""),"A1-Mewtwo")</f>
        <v>A1-Mewtwo</v>
      </c>
      <c r="V4" s="278" t="str">
        <f>IFERROR(__xludf.DUMMYFUNCTION("""COMPUTED_VALUE"""),"♢")</f>
        <v>♢</v>
      </c>
      <c r="W4" s="443">
        <f t="array" ref="W4">IFERROR(IFS(OR(U4="A1-Mewtwo", U4="A1-Pikachu", U4="A1-Charizard", U4="A1"), $B$5-XLOOKUP(S4, 'Genetic Apex'!$C$2:$C889, 'Genetic Apex'!$B$2:$B889), U4="A1a", $B$5-XLOOKUP(S4, 'Mythical Island'!$C$2:$C889, 'Mythical Island'!$B$2:$B889), OR(U4="A2-Dialga", U4="A2-Palkia", U4="A2"), $B$5-XLOOKUP(S4, 'Space-Time Smackdown'!$C$2:$C889, 'Space-Time Smackdown'!$B$2:$B889)))</f>
        <v>1</v>
      </c>
      <c r="X4" s="444">
        <f t="shared" ref="X4:X889" si="3">IFS(V4="♢", 0, V4="♢♢", 0, V4="♢♢♢", 120, V4="♢♢♢♢", 500, V4="☆", 400,V4="☆☆", "Disabled", V4="☆☆☆", "Disabled", V4="♛", "Disabled", V4="", "")</f>
        <v>0</v>
      </c>
      <c r="Y4" s="445" t="str">
        <f t="shared" ref="Y4:Y889" si="4">IFERROR( IF(W4*X4=0, "", W4*X4), "")</f>
        <v/>
      </c>
      <c r="Z4" s="444" t="s">
        <v>1261</v>
      </c>
      <c r="AA4" s="446">
        <f>SUM(Y4:Y889)</f>
        <v>28000</v>
      </c>
      <c r="AB4" s="294"/>
      <c r="AC4" s="278">
        <f>IFERROR(__xludf.DUMMYFUNCTION("{IFERROR(FILTER('Genetic Apex'!C$2:$F889, 'Genetic Apex'!$B2:$B889&gt;2), {0,0,0,0}); IFERROR(FILTER('Mythical Island'!C$2:$F889, 'Mythical Island'!$B2:$B889&gt;2), {0,0,0,0}); IFERROR(FILTER('Space-Time Smackdown'!C$2:$F889, 'Space-Time Smackdown'!$B2:$B889&gt;2)"&amp;", {0,0,0,0})}"),0.0)</f>
        <v>0</v>
      </c>
      <c r="AD4" s="294">
        <f>IFERROR(__xludf.DUMMYFUNCTION("""COMPUTED_VALUE"""),0.0)</f>
        <v>0</v>
      </c>
      <c r="AE4" s="294">
        <f>IFERROR(__xludf.DUMMYFUNCTION("""COMPUTED_VALUE"""),0.0)</f>
        <v>0</v>
      </c>
      <c r="AF4" s="294">
        <f>IFERROR(__xludf.DUMMYFUNCTION("""COMPUTED_VALUE"""),0.0)</f>
        <v>0</v>
      </c>
      <c r="AG4" s="278" t="b">
        <f t="shared" ref="AG4:AG889" si="5">OR(AND(AE4="A1-Mewtwo", $AA$13), AND(AE4="A1-Pikachu", $AA$13), AND(AE4="A1-Charizard", $AA$13), AND(AE4="A1", $AA$13), AND(AE4="A1a", $AA$14), AND(AE4="A2-Dialga", $AA$15), AND(AE4="A2-Palkia", $AA$15), AND(AE4="A2", $AA$15))</f>
        <v>0</v>
      </c>
      <c r="AH4" s="447" t="str">
        <f>IFERROR(__xludf.DUMMYFUNCTION("IFERROR(FILTER(AC4:AF889, AG4:AG889, COUNTIF(AB$6:AB$11, AF$4:$AF889)&gt;0))"),"")</f>
        <v/>
      </c>
      <c r="AI4" s="294"/>
      <c r="AJ4" s="294"/>
      <c r="AK4" s="294"/>
      <c r="AL4" s="444" t="str">
        <f t="array" ref="AL4">IFERROR(IFS(OR(AJ4="A1-Mewtwo", AJ4="A1-Pikachu", AJ4="A1-Charizard", AJ4="A1"), XLOOKUP(AH4, 'Genetic Apex'!$C$2:$C889, 'Genetic Apex'!$B$2:$B889)-2, AJ4="A1a", XLOOKUP(AH4, 'Mythical Island'!$C$2:$C889, 'Mythical Island'!$B$2:$B889)-2, OR(AJ4="A2-Dialga", AJ4="A2-Palkia", AJ4="A2"), XLOOKUP(AH4, 'Space-Time Smackdown'!$C$2:$C889, 'Space-Time Smackdown'!$B$2:$B889)-2))</f>
        <v/>
      </c>
      <c r="AM4" s="444" t="str">
        <f t="shared" ref="AM4:AM889" si="6">IFS(AK4="♢♢♢", 25, AK4="♢♢♢♢", 125, AK4="☆", 100, AK4="☆☆", 300, AK4="☆☆☆", 300, AK4="♛", 1500, AK4="", "")</f>
        <v/>
      </c>
      <c r="AN4" s="448" t="str">
        <f t="shared" ref="AN4:AN889" si="7">IF(AL4*AM4=0, "", AL4*AM4)</f>
        <v/>
      </c>
    </row>
    <row r="5">
      <c r="A5" s="277" t="s">
        <v>1262</v>
      </c>
      <c r="B5" s="277">
        <v>1.0</v>
      </c>
      <c r="C5" s="441"/>
      <c r="D5" s="277">
        <f>IFERROR(__xludf.DUMMYFUNCTION("""COMPUTED_VALUE"""),0.0)</f>
        <v>0</v>
      </c>
      <c r="E5" s="277">
        <f>IFERROR(__xludf.DUMMYFUNCTION("""COMPUTED_VALUE"""),0.0)</f>
        <v>0</v>
      </c>
      <c r="F5" s="277">
        <f>IFERROR(__xludf.DUMMYFUNCTION("""COMPUTED_VALUE"""),0.0)</f>
        <v>0</v>
      </c>
      <c r="G5" s="277">
        <f>IFERROR(__xludf.DUMMYFUNCTION("""COMPUTED_VALUE"""),0.0)</f>
        <v>0</v>
      </c>
      <c r="H5" s="277" t="b">
        <f t="shared" si="1"/>
        <v>0</v>
      </c>
      <c r="I5" s="277" t="str">
        <f>IFERROR(__xludf.DUMMYFUNCTION("""COMPUTED_VALUE"""),"A1 002")</f>
        <v>A1 002</v>
      </c>
      <c r="J5" s="277" t="str">
        <f>IFERROR(__xludf.DUMMYFUNCTION("""COMPUTED_VALUE"""),"Ivysaur")</f>
        <v>Ivysaur</v>
      </c>
      <c r="K5" s="277" t="str">
        <f>IFERROR(__xludf.DUMMYFUNCTION("""COMPUTED_VALUE"""),"A1-Mewtwo")</f>
        <v>A1-Mewtwo</v>
      </c>
      <c r="L5" s="277" t="str">
        <f>IFERROR(__xludf.DUMMYFUNCTION("""COMPUTED_VALUE"""),"♢♢")</f>
        <v>♢♢</v>
      </c>
      <c r="M5" s="440" t="b">
        <f t="shared" si="2"/>
        <v>1</v>
      </c>
      <c r="N5" s="441"/>
      <c r="O5" s="277"/>
      <c r="P5" s="277"/>
      <c r="Q5" s="278"/>
      <c r="R5" s="449" t="str">
        <f t="array" ref="R5">IFERROR(IFS(OR(P5="A1-Mewtwo", P5="A1-Pikachu", P5="A1-Charizard", P5="A1"), XLOOKUP(N5, 'Genetic Apex'!$C$2:$C889, 'Genetic Apex'!$B$2:$B889)-$B$4, P5="A1a", XLOOKUP(N5, 'Mythical Island'!$C$2:$C889, 'Mythical Island'!$B$2:$B889)-$B$4, OR(P5="A2-Dialga", P5="A2-Palkia", P5="A2"), XLOOKUP(N5, 'Space-Time Smackdown'!$C$2:$C889, 'Space-Time Smackdown'!$B$2:$B889)-$B$4))</f>
        <v/>
      </c>
      <c r="S5" s="277" t="str">
        <f>IFERROR(__xludf.DUMMYFUNCTION("""COMPUTED_VALUE"""),"A1 002")</f>
        <v>A1 002</v>
      </c>
      <c r="T5" s="277" t="str">
        <f>IFERROR(__xludf.DUMMYFUNCTION("""COMPUTED_VALUE"""),"Ivysaur")</f>
        <v>Ivysaur</v>
      </c>
      <c r="U5" s="277" t="str">
        <f>IFERROR(__xludf.DUMMYFUNCTION("""COMPUTED_VALUE"""),"A1-Mewtwo")</f>
        <v>A1-Mewtwo</v>
      </c>
      <c r="V5" s="278" t="str">
        <f>IFERROR(__xludf.DUMMYFUNCTION("""COMPUTED_VALUE"""),"♢♢")</f>
        <v>♢♢</v>
      </c>
      <c r="W5" s="443">
        <f t="array" ref="W5">IFERROR(IFS(OR(U5="A1-Mewtwo", U5="A1-Pikachu", U5="A1-Charizard", U5="A1"), $B$5-XLOOKUP(S5, 'Genetic Apex'!$C$2:$C889, 'Genetic Apex'!$B$2:$B889), U5="A1a", $B$5-XLOOKUP(S5, 'Mythical Island'!$C$2:$C889, 'Mythical Island'!$B$2:$B889), OR(U5="A2-Dialga", U5="A2-Palkia", U5="A2"), $B$5-XLOOKUP(S5, 'Space-Time Smackdown'!$C$2:$C889, 'Space-Time Smackdown'!$B$2:$B889)))</f>
        <v>1</v>
      </c>
      <c r="X5" s="444">
        <f t="shared" si="3"/>
        <v>0</v>
      </c>
      <c r="Y5" s="445" t="str">
        <f t="shared" si="4"/>
        <v/>
      </c>
      <c r="Z5" s="450" t="s">
        <v>1263</v>
      </c>
      <c r="AA5" s="33"/>
      <c r="AB5" s="451"/>
      <c r="AC5" s="278">
        <f>IFERROR(__xludf.DUMMYFUNCTION("""COMPUTED_VALUE"""),0.0)</f>
        <v>0</v>
      </c>
      <c r="AD5" s="278">
        <f>IFERROR(__xludf.DUMMYFUNCTION("""COMPUTED_VALUE"""),0.0)</f>
        <v>0</v>
      </c>
      <c r="AE5" s="278">
        <f>IFERROR(__xludf.DUMMYFUNCTION("""COMPUTED_VALUE"""),0.0)</f>
        <v>0</v>
      </c>
      <c r="AF5" s="278">
        <f>IFERROR(__xludf.DUMMYFUNCTION("""COMPUTED_VALUE"""),0.0)</f>
        <v>0</v>
      </c>
      <c r="AG5" s="278" t="b">
        <f t="shared" si="5"/>
        <v>0</v>
      </c>
      <c r="AH5" s="447"/>
      <c r="AI5" s="294"/>
      <c r="AJ5" s="294"/>
      <c r="AK5" s="294"/>
      <c r="AL5" s="444" t="str">
        <f t="array" ref="AL5">IFERROR(IFS(OR(AJ5="A1-Mewtwo", AJ5="A1-Pikachu", AJ5="A1-Charizard", AJ5="A1"), XLOOKUP(AH5, 'Genetic Apex'!$C$2:$C889, 'Genetic Apex'!$B$2:$B889)-2, AJ5="A1a", XLOOKUP(AH5, 'Mythical Island'!$C$2:$C889, 'Mythical Island'!$B$2:$B889)-2, OR(AJ5="A2-Dialga", AJ5="A2-Palkia", AJ5="A2"), XLOOKUP(AH5, 'Space-Time Smackdown'!$C$2:$C889, 'Space-Time Smackdown'!$B$2:$B889)-2))</f>
        <v/>
      </c>
      <c r="AM5" s="444" t="str">
        <f t="shared" si="6"/>
        <v/>
      </c>
      <c r="AN5" s="448" t="str">
        <f t="shared" si="7"/>
        <v/>
      </c>
    </row>
    <row r="6">
      <c r="A6" s="277"/>
      <c r="B6" s="277"/>
      <c r="C6" s="441"/>
      <c r="D6" s="277">
        <f>IFERROR(__xludf.DUMMYFUNCTION("""COMPUTED_VALUE"""),0.0)</f>
        <v>0</v>
      </c>
      <c r="E6" s="277">
        <f>IFERROR(__xludf.DUMMYFUNCTION("""COMPUTED_VALUE"""),0.0)</f>
        <v>0</v>
      </c>
      <c r="F6" s="277">
        <f>IFERROR(__xludf.DUMMYFUNCTION("""COMPUTED_VALUE"""),0.0)</f>
        <v>0</v>
      </c>
      <c r="G6" s="277">
        <f>IFERROR(__xludf.DUMMYFUNCTION("""COMPUTED_VALUE"""),0.0)</f>
        <v>0</v>
      </c>
      <c r="H6" s="277" t="b">
        <f t="shared" si="1"/>
        <v>0</v>
      </c>
      <c r="I6" s="277" t="str">
        <f>IFERROR(__xludf.DUMMYFUNCTION("""COMPUTED_VALUE"""),"A1 003")</f>
        <v>A1 003</v>
      </c>
      <c r="J6" s="277" t="str">
        <f>IFERROR(__xludf.DUMMYFUNCTION("""COMPUTED_VALUE"""),"Venusaur")</f>
        <v>Venusaur</v>
      </c>
      <c r="K6" s="277" t="str">
        <f>IFERROR(__xludf.DUMMYFUNCTION("""COMPUTED_VALUE"""),"A1-Mewtwo")</f>
        <v>A1-Mewtwo</v>
      </c>
      <c r="L6" s="277" t="str">
        <f>IFERROR(__xludf.DUMMYFUNCTION("""COMPUTED_VALUE"""),"♢♢♢")</f>
        <v>♢♢♢</v>
      </c>
      <c r="M6" s="440" t="b">
        <f t="shared" si="2"/>
        <v>1</v>
      </c>
      <c r="N6" s="441"/>
      <c r="O6" s="277"/>
      <c r="P6" s="277"/>
      <c r="Q6" s="278"/>
      <c r="R6" s="449" t="str">
        <f t="array" ref="R6">IFERROR(IFS(OR(P6="A1-Mewtwo", P6="A1-Pikachu", P6="A1-Charizard", P6="A1"), XLOOKUP(N6, 'Genetic Apex'!$C$2:$C889, 'Genetic Apex'!$B$2:$B889)-$B$4, P6="A1a", XLOOKUP(N6, 'Mythical Island'!$C$2:$C889, 'Mythical Island'!$B$2:$B889)-$B$4, OR(P6="A2-Dialga", P6="A2-Palkia", P6="A2"), XLOOKUP(N6, 'Space-Time Smackdown'!$C$2:$C889, 'Space-Time Smackdown'!$B$2:$B889)-$B$4))</f>
        <v/>
      </c>
      <c r="S6" s="277" t="str">
        <f>IFERROR(__xludf.DUMMYFUNCTION("""COMPUTED_VALUE"""),"A1 003")</f>
        <v>A1 003</v>
      </c>
      <c r="T6" s="277" t="str">
        <f>IFERROR(__xludf.DUMMYFUNCTION("""COMPUTED_VALUE"""),"Venusaur")</f>
        <v>Venusaur</v>
      </c>
      <c r="U6" s="277" t="str">
        <f>IFERROR(__xludf.DUMMYFUNCTION("""COMPUTED_VALUE"""),"A1-Mewtwo")</f>
        <v>A1-Mewtwo</v>
      </c>
      <c r="V6" s="278" t="str">
        <f>IFERROR(__xludf.DUMMYFUNCTION("""COMPUTED_VALUE"""),"♢♢♢")</f>
        <v>♢♢♢</v>
      </c>
      <c r="W6" s="443">
        <f t="array" ref="W6">IFERROR(IFS(OR(U6="A1-Mewtwo", U6="A1-Pikachu", U6="A1-Charizard", U6="A1"), $B$5-XLOOKUP(S6, 'Genetic Apex'!$C$2:$C889, 'Genetic Apex'!$B$2:$B889), U6="A1a", $B$5-XLOOKUP(S6, 'Mythical Island'!$C$2:$C889, 'Mythical Island'!$B$2:$B889), OR(U6="A2-Dialga", U6="A2-Palkia", U6="A2"), $B$5-XLOOKUP(S6, 'Space-Time Smackdown'!$C$2:$C889, 'Space-Time Smackdown'!$B$2:$B889)))</f>
        <v>1</v>
      </c>
      <c r="X6" s="444">
        <f t="shared" si="3"/>
        <v>120</v>
      </c>
      <c r="Y6" s="445">
        <f t="shared" si="4"/>
        <v>120</v>
      </c>
      <c r="Z6" s="294" t="s">
        <v>48</v>
      </c>
      <c r="AA6" s="452" t="b">
        <v>1</v>
      </c>
      <c r="AB6" s="311" t="str">
        <f>IFERROR(__xludf.DUMMYFUNCTION("FILTER(Z6:Z11,AA6:AA11)"),"♢♢♢")</f>
        <v>♢♢♢</v>
      </c>
      <c r="AC6" s="278">
        <f>IFERROR(__xludf.DUMMYFUNCTION("""COMPUTED_VALUE"""),0.0)</f>
        <v>0</v>
      </c>
      <c r="AD6" s="278">
        <f>IFERROR(__xludf.DUMMYFUNCTION("""COMPUTED_VALUE"""),0.0)</f>
        <v>0</v>
      </c>
      <c r="AE6" s="278">
        <f>IFERROR(__xludf.DUMMYFUNCTION("""COMPUTED_VALUE"""),0.0)</f>
        <v>0</v>
      </c>
      <c r="AF6" s="278">
        <f>IFERROR(__xludf.DUMMYFUNCTION("""COMPUTED_VALUE"""),0.0)</f>
        <v>0</v>
      </c>
      <c r="AG6" s="278" t="b">
        <f t="shared" si="5"/>
        <v>0</v>
      </c>
      <c r="AH6" s="447"/>
      <c r="AI6" s="294"/>
      <c r="AJ6" s="294"/>
      <c r="AK6" s="294"/>
      <c r="AL6" s="444" t="str">
        <f t="array" ref="AL6">IFERROR(IFS(OR(AJ6="A1-Mewtwo", AJ6="A1-Pikachu", AJ6="A1-Charizard", AJ6="A1"), XLOOKUP(AH6, 'Genetic Apex'!$C$2:$C889, 'Genetic Apex'!$B$2:$B889)-2, AJ6="A1a", XLOOKUP(AH6, 'Mythical Island'!$C$2:$C889, 'Mythical Island'!$B$2:$B889)-2, OR(AJ6="A2-Dialga", AJ6="A2-Palkia", AJ6="A2"), XLOOKUP(AH6, 'Space-Time Smackdown'!$C$2:$C889, 'Space-Time Smackdown'!$B$2:$B889)-2))</f>
        <v/>
      </c>
      <c r="AM6" s="444" t="str">
        <f t="shared" si="6"/>
        <v/>
      </c>
      <c r="AN6" s="448" t="str">
        <f t="shared" si="7"/>
        <v/>
      </c>
    </row>
    <row r="7">
      <c r="A7" s="453" t="s">
        <v>1264</v>
      </c>
      <c r="B7" s="32"/>
      <c r="C7" s="441"/>
      <c r="D7" s="277"/>
      <c r="E7" s="277"/>
      <c r="F7" s="277"/>
      <c r="G7" s="277"/>
      <c r="H7" s="277" t="b">
        <f t="shared" si="1"/>
        <v>0</v>
      </c>
      <c r="I7" s="277" t="str">
        <f>IFERROR(__xludf.DUMMYFUNCTION("""COMPUTED_VALUE"""),"A1 004")</f>
        <v>A1 004</v>
      </c>
      <c r="J7" s="277" t="str">
        <f>IFERROR(__xludf.DUMMYFUNCTION("""COMPUTED_VALUE"""),"Venusaur ex")</f>
        <v>Venusaur ex</v>
      </c>
      <c r="K7" s="277" t="str">
        <f>IFERROR(__xludf.DUMMYFUNCTION("""COMPUTED_VALUE"""),"A1-Mewtwo")</f>
        <v>A1-Mewtwo</v>
      </c>
      <c r="L7" s="277" t="str">
        <f>IFERROR(__xludf.DUMMYFUNCTION("""COMPUTED_VALUE"""),"♢♢♢♢")</f>
        <v>♢♢♢♢</v>
      </c>
      <c r="M7" s="440" t="b">
        <f t="shared" si="2"/>
        <v>1</v>
      </c>
      <c r="N7" s="441"/>
      <c r="O7" s="277"/>
      <c r="P7" s="277"/>
      <c r="Q7" s="278"/>
      <c r="R7" s="449" t="str">
        <f t="array" ref="R7">IFERROR(IFS(OR(P7="A1-Mewtwo", P7="A1-Pikachu", P7="A1-Charizard", P7="A1"), XLOOKUP(N7, 'Genetic Apex'!$C$2:$C889, 'Genetic Apex'!$B$2:$B889)-$B$4, P7="A1a", XLOOKUP(N7, 'Mythical Island'!$C$2:$C889, 'Mythical Island'!$B$2:$B889)-$B$4, OR(P7="A2-Dialga", P7="A2-Palkia", P7="A2"), XLOOKUP(N7, 'Space-Time Smackdown'!$C$2:$C889, 'Space-Time Smackdown'!$B$2:$B889)-$B$4))</f>
        <v/>
      </c>
      <c r="S7" s="277" t="str">
        <f>IFERROR(__xludf.DUMMYFUNCTION("""COMPUTED_VALUE"""),"A1 004")</f>
        <v>A1 004</v>
      </c>
      <c r="T7" s="277" t="str">
        <f>IFERROR(__xludf.DUMMYFUNCTION("""COMPUTED_VALUE"""),"Venusaur ex")</f>
        <v>Venusaur ex</v>
      </c>
      <c r="U7" s="277" t="str">
        <f>IFERROR(__xludf.DUMMYFUNCTION("""COMPUTED_VALUE"""),"A1-Mewtwo")</f>
        <v>A1-Mewtwo</v>
      </c>
      <c r="V7" s="278" t="str">
        <f>IFERROR(__xludf.DUMMYFUNCTION("""COMPUTED_VALUE"""),"♢♢♢♢")</f>
        <v>♢♢♢♢</v>
      </c>
      <c r="W7" s="443">
        <f t="array" ref="W7">IFERROR(IFS(OR(U7="A1-Mewtwo", U7="A1-Pikachu", U7="A1-Charizard", U7="A1"), $B$5-XLOOKUP(S7, 'Genetic Apex'!$C$2:$C889, 'Genetic Apex'!$B$2:$B889), U7="A1a", $B$5-XLOOKUP(S7, 'Mythical Island'!$C$2:$C889, 'Mythical Island'!$B$2:$B889), OR(U7="A2-Dialga", U7="A2-Palkia", U7="A2"), $B$5-XLOOKUP(S7, 'Space-Time Smackdown'!$C$2:$C889, 'Space-Time Smackdown'!$B$2:$B889)))</f>
        <v>1</v>
      </c>
      <c r="X7" s="444">
        <f t="shared" si="3"/>
        <v>500</v>
      </c>
      <c r="Y7" s="445">
        <f t="shared" si="4"/>
        <v>500</v>
      </c>
      <c r="Z7" s="294" t="s">
        <v>51</v>
      </c>
      <c r="AA7" s="452" t="b">
        <v>1</v>
      </c>
      <c r="AB7" s="278" t="str">
        <f>IFERROR(__xludf.DUMMYFUNCTION("""COMPUTED_VALUE"""),"♢♢♢♢")</f>
        <v>♢♢♢♢</v>
      </c>
      <c r="AC7" s="278"/>
      <c r="AD7" s="278"/>
      <c r="AE7" s="278"/>
      <c r="AF7" s="278"/>
      <c r="AG7" s="278" t="b">
        <f t="shared" si="5"/>
        <v>0</v>
      </c>
      <c r="AH7" s="447"/>
      <c r="AI7" s="294"/>
      <c r="AJ7" s="294"/>
      <c r="AK7" s="294"/>
      <c r="AL7" s="444" t="str">
        <f t="array" ref="AL7">IFERROR(IFS(OR(AJ7="A1-Mewtwo", AJ7="A1-Pikachu", AJ7="A1-Charizard", AJ7="A1"), XLOOKUP(AH7, 'Genetic Apex'!$C$2:$C889, 'Genetic Apex'!$B$2:$B889)-2, AJ7="A1a", XLOOKUP(AH7, 'Mythical Island'!$C$2:$C889, 'Mythical Island'!$B$2:$B889)-2, OR(AJ7="A2-Dialga", AJ7="A2-Palkia", AJ7="A2"), XLOOKUP(AH7, 'Space-Time Smackdown'!$C$2:$C889, 'Space-Time Smackdown'!$B$2:$B889)-2))</f>
        <v/>
      </c>
      <c r="AM7" s="444" t="str">
        <f t="shared" si="6"/>
        <v/>
      </c>
      <c r="AN7" s="448" t="str">
        <f t="shared" si="7"/>
        <v/>
      </c>
    </row>
    <row r="8">
      <c r="A8" s="278" t="s">
        <v>44</v>
      </c>
      <c r="B8" s="277" t="b">
        <v>1</v>
      </c>
      <c r="C8" s="441" t="str">
        <f>IFERROR(__xludf.DUMMYFUNCTION("FILTER(A8:A15,B8:B15)"),"♢")</f>
        <v>♢</v>
      </c>
      <c r="D8" s="277"/>
      <c r="E8" s="277"/>
      <c r="F8" s="277"/>
      <c r="G8" s="277"/>
      <c r="H8" s="277" t="b">
        <f t="shared" si="1"/>
        <v>0</v>
      </c>
      <c r="I8" s="277" t="str">
        <f>IFERROR(__xludf.DUMMYFUNCTION("""COMPUTED_VALUE"""),"A1 005")</f>
        <v>A1 005</v>
      </c>
      <c r="J8" s="277" t="str">
        <f>IFERROR(__xludf.DUMMYFUNCTION("""COMPUTED_VALUE"""),"Caterpie")</f>
        <v>Caterpie</v>
      </c>
      <c r="K8" s="277" t="str">
        <f>IFERROR(__xludf.DUMMYFUNCTION("""COMPUTED_VALUE"""),"A1-Pikachu")</f>
        <v>A1-Pikachu</v>
      </c>
      <c r="L8" s="277" t="str">
        <f>IFERROR(__xludf.DUMMYFUNCTION("""COMPUTED_VALUE"""),"♢")</f>
        <v>♢</v>
      </c>
      <c r="M8" s="440" t="b">
        <f t="shared" si="2"/>
        <v>1</v>
      </c>
      <c r="N8" s="441"/>
      <c r="O8" s="277"/>
      <c r="P8" s="277"/>
      <c r="Q8" s="278"/>
      <c r="R8" s="449" t="str">
        <f t="array" ref="R8">IFERROR(IFS(OR(P8="A1-Mewtwo", P8="A1-Pikachu", P8="A1-Charizard", P8="A1"), XLOOKUP(N8, 'Genetic Apex'!$C$2:$C889, 'Genetic Apex'!$B$2:$B889)-$B$4, P8="A1a", XLOOKUP(N8, 'Mythical Island'!$C$2:$C889, 'Mythical Island'!$B$2:$B889)-$B$4, OR(P8="A2-Dialga", P8="A2-Palkia", P8="A2"), XLOOKUP(N8, 'Space-Time Smackdown'!$C$2:$C889, 'Space-Time Smackdown'!$B$2:$B889)-$B$4))</f>
        <v/>
      </c>
      <c r="S8" s="277" t="str">
        <f>IFERROR(__xludf.DUMMYFUNCTION("""COMPUTED_VALUE"""),"A1 005")</f>
        <v>A1 005</v>
      </c>
      <c r="T8" s="277" t="str">
        <f>IFERROR(__xludf.DUMMYFUNCTION("""COMPUTED_VALUE"""),"Caterpie")</f>
        <v>Caterpie</v>
      </c>
      <c r="U8" s="277" t="str">
        <f>IFERROR(__xludf.DUMMYFUNCTION("""COMPUTED_VALUE"""),"A1-Pikachu")</f>
        <v>A1-Pikachu</v>
      </c>
      <c r="V8" s="278" t="str">
        <f>IFERROR(__xludf.DUMMYFUNCTION("""COMPUTED_VALUE"""),"♢")</f>
        <v>♢</v>
      </c>
      <c r="W8" s="443">
        <f t="array" ref="W8">IFERROR(IFS(OR(U8="A1-Mewtwo", U8="A1-Pikachu", U8="A1-Charizard", U8="A1"), $B$5-XLOOKUP(S8, 'Genetic Apex'!$C$2:$C889, 'Genetic Apex'!$B$2:$B889), U8="A1a", $B$5-XLOOKUP(S8, 'Mythical Island'!$C$2:$C889, 'Mythical Island'!$B$2:$B889), OR(U8="A2-Dialga", U8="A2-Palkia", U8="A2"), $B$5-XLOOKUP(S8, 'Space-Time Smackdown'!$C$2:$C889, 'Space-Time Smackdown'!$B$2:$B889)))</f>
        <v>1</v>
      </c>
      <c r="X8" s="444">
        <f t="shared" si="3"/>
        <v>0</v>
      </c>
      <c r="Y8" s="445" t="str">
        <f t="shared" si="4"/>
        <v/>
      </c>
      <c r="Z8" s="294" t="s">
        <v>45</v>
      </c>
      <c r="AA8" s="452" t="b">
        <v>1</v>
      </c>
      <c r="AB8" s="278" t="str">
        <f>IFERROR(__xludf.DUMMYFUNCTION("""COMPUTED_VALUE"""),"☆")</f>
        <v>☆</v>
      </c>
      <c r="AC8" s="278"/>
      <c r="AD8" s="278"/>
      <c r="AE8" s="278"/>
      <c r="AF8" s="278"/>
      <c r="AG8" s="278" t="b">
        <f t="shared" si="5"/>
        <v>0</v>
      </c>
      <c r="AH8" s="447"/>
      <c r="AI8" s="294"/>
      <c r="AJ8" s="294"/>
      <c r="AK8" s="294"/>
      <c r="AL8" s="444" t="str">
        <f t="array" ref="AL8">IFERROR(IFS(OR(AJ8="A1-Mewtwo", AJ8="A1-Pikachu", AJ8="A1-Charizard", AJ8="A1"), XLOOKUP(AH8, 'Genetic Apex'!$C$2:$C889, 'Genetic Apex'!$B$2:$B889)-2, AJ8="A1a", XLOOKUP(AH8, 'Mythical Island'!$C$2:$C889, 'Mythical Island'!$B$2:$B889)-2, OR(AJ8="A2-Dialga", AJ8="A2-Palkia", AJ8="A2"), XLOOKUP(AH8, 'Space-Time Smackdown'!$C$2:$C889, 'Space-Time Smackdown'!$B$2:$B889)-2))</f>
        <v/>
      </c>
      <c r="AM8" s="444" t="str">
        <f t="shared" si="6"/>
        <v/>
      </c>
      <c r="AN8" s="448" t="str">
        <f t="shared" si="7"/>
        <v/>
      </c>
    </row>
    <row r="9">
      <c r="A9" s="278" t="s">
        <v>46</v>
      </c>
      <c r="B9" s="277" t="b">
        <v>1</v>
      </c>
      <c r="C9" s="441" t="str">
        <f>IFERROR(__xludf.DUMMYFUNCTION("""COMPUTED_VALUE"""),"♢♢")</f>
        <v>♢♢</v>
      </c>
      <c r="D9" s="277"/>
      <c r="E9" s="277"/>
      <c r="F9" s="277"/>
      <c r="G9" s="277"/>
      <c r="H9" s="277" t="b">
        <f t="shared" si="1"/>
        <v>0</v>
      </c>
      <c r="I9" s="277" t="str">
        <f>IFERROR(__xludf.DUMMYFUNCTION("""COMPUTED_VALUE"""),"A1 006")</f>
        <v>A1 006</v>
      </c>
      <c r="J9" s="277" t="str">
        <f>IFERROR(__xludf.DUMMYFUNCTION("""COMPUTED_VALUE"""),"Metapod")</f>
        <v>Metapod</v>
      </c>
      <c r="K9" s="277" t="str">
        <f>IFERROR(__xludf.DUMMYFUNCTION("""COMPUTED_VALUE"""),"A1-Pikachu")</f>
        <v>A1-Pikachu</v>
      </c>
      <c r="L9" s="277" t="str">
        <f>IFERROR(__xludf.DUMMYFUNCTION("""COMPUTED_VALUE"""),"♢")</f>
        <v>♢</v>
      </c>
      <c r="M9" s="440" t="b">
        <f t="shared" si="2"/>
        <v>1</v>
      </c>
      <c r="N9" s="441"/>
      <c r="O9" s="277"/>
      <c r="P9" s="277"/>
      <c r="Q9" s="278"/>
      <c r="R9" s="449" t="str">
        <f t="array" ref="R9">IFERROR(IFS(OR(P9="A1-Mewtwo", P9="A1-Pikachu", P9="A1-Charizard", P9="A1"), XLOOKUP(N9, 'Genetic Apex'!$C$2:$C889, 'Genetic Apex'!$B$2:$B889)-$B$4, P9="A1a", XLOOKUP(N9, 'Mythical Island'!$C$2:$C889, 'Mythical Island'!$B$2:$B889)-$B$4, OR(P9="A2-Dialga", P9="A2-Palkia", P9="A2"), XLOOKUP(N9, 'Space-Time Smackdown'!$C$2:$C889, 'Space-Time Smackdown'!$B$2:$B889)-$B$4))</f>
        <v/>
      </c>
      <c r="S9" s="277" t="str">
        <f>IFERROR(__xludf.DUMMYFUNCTION("""COMPUTED_VALUE"""),"A1 006")</f>
        <v>A1 006</v>
      </c>
      <c r="T9" s="277" t="str">
        <f>IFERROR(__xludf.DUMMYFUNCTION("""COMPUTED_VALUE"""),"Metapod")</f>
        <v>Metapod</v>
      </c>
      <c r="U9" s="277" t="str">
        <f>IFERROR(__xludf.DUMMYFUNCTION("""COMPUTED_VALUE"""),"A1-Pikachu")</f>
        <v>A1-Pikachu</v>
      </c>
      <c r="V9" s="278" t="str">
        <f>IFERROR(__xludf.DUMMYFUNCTION("""COMPUTED_VALUE"""),"♢")</f>
        <v>♢</v>
      </c>
      <c r="W9" s="443">
        <f t="array" ref="W9">IFERROR(IFS(OR(U9="A1-Mewtwo", U9="A1-Pikachu", U9="A1-Charizard", U9="A1"), $B$5-XLOOKUP(S9, 'Genetic Apex'!$C$2:$C889, 'Genetic Apex'!$B$2:$B889), U9="A1a", $B$5-XLOOKUP(S9, 'Mythical Island'!$C$2:$C889, 'Mythical Island'!$B$2:$B889), OR(U9="A2-Dialga", U9="A2-Palkia", U9="A2"), $B$5-XLOOKUP(S9, 'Space-Time Smackdown'!$C$2:$C889, 'Space-Time Smackdown'!$B$2:$B889)))</f>
        <v>1</v>
      </c>
      <c r="X9" s="444">
        <f t="shared" si="3"/>
        <v>0</v>
      </c>
      <c r="Y9" s="445" t="str">
        <f t="shared" si="4"/>
        <v/>
      </c>
      <c r="Z9" s="294" t="s">
        <v>47</v>
      </c>
      <c r="AA9" s="452" t="b">
        <v>1</v>
      </c>
      <c r="AB9" s="278" t="str">
        <f>IFERROR(__xludf.DUMMYFUNCTION("""COMPUTED_VALUE"""),"☆☆")</f>
        <v>☆☆</v>
      </c>
      <c r="AC9" s="278"/>
      <c r="AD9" s="278"/>
      <c r="AE9" s="278"/>
      <c r="AF9" s="278"/>
      <c r="AG9" s="278" t="b">
        <f t="shared" si="5"/>
        <v>0</v>
      </c>
      <c r="AH9" s="454"/>
      <c r="AI9" s="278"/>
      <c r="AJ9" s="278"/>
      <c r="AK9" s="278"/>
      <c r="AL9" s="444" t="str">
        <f t="array" ref="AL9">IFERROR(IFS(OR(AJ9="A1-Mewtwo", AJ9="A1-Pikachu", AJ9="A1-Charizard", AJ9="A1"), XLOOKUP(AH9, 'Genetic Apex'!$C$2:$C889, 'Genetic Apex'!$B$2:$B889)-2, AJ9="A1a", XLOOKUP(AH9, 'Mythical Island'!$C$2:$C889, 'Mythical Island'!$B$2:$B889)-2, OR(AJ9="A2-Dialga", AJ9="A2-Palkia", AJ9="A2"), XLOOKUP(AH9, 'Space-Time Smackdown'!$C$2:$C889, 'Space-Time Smackdown'!$B$2:$B889)-2))</f>
        <v/>
      </c>
      <c r="AM9" s="444" t="str">
        <f t="shared" si="6"/>
        <v/>
      </c>
      <c r="AN9" s="448" t="str">
        <f t="shared" si="7"/>
        <v/>
      </c>
    </row>
    <row r="10">
      <c r="A10" s="278" t="s">
        <v>48</v>
      </c>
      <c r="B10" s="277" t="b">
        <v>1</v>
      </c>
      <c r="C10" s="441" t="str">
        <f>IFERROR(__xludf.DUMMYFUNCTION("""COMPUTED_VALUE"""),"♢♢♢")</f>
        <v>♢♢♢</v>
      </c>
      <c r="D10" s="277"/>
      <c r="E10" s="277"/>
      <c r="F10" s="277"/>
      <c r="G10" s="277"/>
      <c r="H10" s="277" t="b">
        <f t="shared" si="1"/>
        <v>0</v>
      </c>
      <c r="I10" s="277" t="str">
        <f>IFERROR(__xludf.DUMMYFUNCTION("""COMPUTED_VALUE"""),"A1 007")</f>
        <v>A1 007</v>
      </c>
      <c r="J10" s="277" t="str">
        <f>IFERROR(__xludf.DUMMYFUNCTION("""COMPUTED_VALUE"""),"Butterfree")</f>
        <v>Butterfree</v>
      </c>
      <c r="K10" s="277" t="str">
        <f>IFERROR(__xludf.DUMMYFUNCTION("""COMPUTED_VALUE"""),"A1-Pikachu")</f>
        <v>A1-Pikachu</v>
      </c>
      <c r="L10" s="277" t="str">
        <f>IFERROR(__xludf.DUMMYFUNCTION("""COMPUTED_VALUE"""),"♢♢♢")</f>
        <v>♢♢♢</v>
      </c>
      <c r="M10" s="440" t="b">
        <f t="shared" si="2"/>
        <v>1</v>
      </c>
      <c r="N10" s="441"/>
      <c r="O10" s="277"/>
      <c r="P10" s="277"/>
      <c r="Q10" s="278"/>
      <c r="R10" s="449" t="str">
        <f t="array" ref="R10">IFERROR(IFS(OR(P10="A1-Mewtwo", P10="A1-Pikachu", P10="A1-Charizard", P10="A1"), XLOOKUP(N10, 'Genetic Apex'!$C$2:$C889, 'Genetic Apex'!$B$2:$B889)-$B$4, P10="A1a", XLOOKUP(N10, 'Mythical Island'!$C$2:$C889, 'Mythical Island'!$B$2:$B889)-$B$4, OR(P10="A2-Dialga", P10="A2-Palkia", P10="A2"), XLOOKUP(N10, 'Space-Time Smackdown'!$C$2:$C889, 'Space-Time Smackdown'!$B$2:$B889)-$B$4))</f>
        <v/>
      </c>
      <c r="S10" s="277" t="str">
        <f>IFERROR(__xludf.DUMMYFUNCTION("""COMPUTED_VALUE"""),"A1 007")</f>
        <v>A1 007</v>
      </c>
      <c r="T10" s="277" t="str">
        <f>IFERROR(__xludf.DUMMYFUNCTION("""COMPUTED_VALUE"""),"Butterfree")</f>
        <v>Butterfree</v>
      </c>
      <c r="U10" s="277" t="str">
        <f>IFERROR(__xludf.DUMMYFUNCTION("""COMPUTED_VALUE"""),"A1-Pikachu")</f>
        <v>A1-Pikachu</v>
      </c>
      <c r="V10" s="278" t="str">
        <f>IFERROR(__xludf.DUMMYFUNCTION("""COMPUTED_VALUE"""),"♢♢♢")</f>
        <v>♢♢♢</v>
      </c>
      <c r="W10" s="443">
        <f t="array" ref="W10">IFERROR(IFS(OR(U10="A1-Mewtwo", U10="A1-Pikachu", U10="A1-Charizard", U10="A1"), $B$5-XLOOKUP(S10, 'Genetic Apex'!$C$2:$C889, 'Genetic Apex'!$B$2:$B889), U10="A1a", $B$5-XLOOKUP(S10, 'Mythical Island'!$C$2:$C889, 'Mythical Island'!$B$2:$B889), OR(U10="A2-Dialga", U10="A2-Palkia", U10="A2"), $B$5-XLOOKUP(S10, 'Space-Time Smackdown'!$C$2:$C889, 'Space-Time Smackdown'!$B$2:$B889)))</f>
        <v>1</v>
      </c>
      <c r="X10" s="444">
        <f t="shared" si="3"/>
        <v>120</v>
      </c>
      <c r="Y10" s="445">
        <f t="shared" si="4"/>
        <v>120</v>
      </c>
      <c r="Z10" s="294" t="s">
        <v>49</v>
      </c>
      <c r="AA10" s="452" t="b">
        <v>1</v>
      </c>
      <c r="AB10" s="278" t="str">
        <f>IFERROR(__xludf.DUMMYFUNCTION("""COMPUTED_VALUE"""),"☆☆☆")</f>
        <v>☆☆☆</v>
      </c>
      <c r="AC10" s="278"/>
      <c r="AD10" s="278"/>
      <c r="AE10" s="278"/>
      <c r="AF10" s="278"/>
      <c r="AG10" s="278" t="b">
        <f t="shared" si="5"/>
        <v>0</v>
      </c>
      <c r="AH10" s="454"/>
      <c r="AI10" s="278"/>
      <c r="AJ10" s="278"/>
      <c r="AK10" s="278"/>
      <c r="AL10" s="444" t="str">
        <f t="array" ref="AL10">IFERROR(IFS(OR(AJ10="A1-Mewtwo", AJ10="A1-Pikachu", AJ10="A1-Charizard", AJ10="A1"), XLOOKUP(AH10, 'Genetic Apex'!$C$2:$C889, 'Genetic Apex'!$B$2:$B889)-2, AJ10="A1a", XLOOKUP(AH10, 'Mythical Island'!$C$2:$C889, 'Mythical Island'!$B$2:$B889)-2, OR(AJ10="A2-Dialga", AJ10="A2-Palkia", AJ10="A2"), XLOOKUP(AH10, 'Space-Time Smackdown'!$C$2:$C889, 'Space-Time Smackdown'!$B$2:$B889)-2))</f>
        <v/>
      </c>
      <c r="AM10" s="444" t="str">
        <f t="shared" si="6"/>
        <v/>
      </c>
      <c r="AN10" s="448" t="str">
        <f t="shared" si="7"/>
        <v/>
      </c>
    </row>
    <row r="11">
      <c r="A11" s="278" t="s">
        <v>51</v>
      </c>
      <c r="B11" s="277" t="b">
        <v>1</v>
      </c>
      <c r="C11" s="441" t="str">
        <f>IFERROR(__xludf.DUMMYFUNCTION("""COMPUTED_VALUE"""),"♢♢♢♢")</f>
        <v>♢♢♢♢</v>
      </c>
      <c r="D11" s="277"/>
      <c r="E11" s="277"/>
      <c r="F11" s="277"/>
      <c r="G11" s="277"/>
      <c r="H11" s="277" t="b">
        <f t="shared" si="1"/>
        <v>0</v>
      </c>
      <c r="I11" s="277" t="str">
        <f>IFERROR(__xludf.DUMMYFUNCTION("""COMPUTED_VALUE"""),"A1 008")</f>
        <v>A1 008</v>
      </c>
      <c r="J11" s="277" t="str">
        <f>IFERROR(__xludf.DUMMYFUNCTION("""COMPUTED_VALUE"""),"Weedle")</f>
        <v>Weedle</v>
      </c>
      <c r="K11" s="277" t="str">
        <f>IFERROR(__xludf.DUMMYFUNCTION("""COMPUTED_VALUE"""),"A1-Mewtwo")</f>
        <v>A1-Mewtwo</v>
      </c>
      <c r="L11" s="277" t="str">
        <f>IFERROR(__xludf.DUMMYFUNCTION("""COMPUTED_VALUE"""),"♢")</f>
        <v>♢</v>
      </c>
      <c r="M11" s="440" t="b">
        <f t="shared" si="2"/>
        <v>1</v>
      </c>
      <c r="N11" s="441"/>
      <c r="O11" s="277"/>
      <c r="P11" s="277"/>
      <c r="Q11" s="278"/>
      <c r="R11" s="449" t="str">
        <f t="array" ref="R11">IFERROR(IFS(OR(P11="A1-Mewtwo", P11="A1-Pikachu", P11="A1-Charizard", P11="A1"), XLOOKUP(N11, 'Genetic Apex'!$C$2:$C889, 'Genetic Apex'!$B$2:$B889)-$B$4, P11="A1a", XLOOKUP(N11, 'Mythical Island'!$C$2:$C889, 'Mythical Island'!$B$2:$B889)-$B$4, OR(P11="A2-Dialga", P11="A2-Palkia", P11="A2"), XLOOKUP(N11, 'Space-Time Smackdown'!$C$2:$C889, 'Space-Time Smackdown'!$B$2:$B889)-$B$4))</f>
        <v/>
      </c>
      <c r="S11" s="277" t="str">
        <f>IFERROR(__xludf.DUMMYFUNCTION("""COMPUTED_VALUE"""),"A1 008")</f>
        <v>A1 008</v>
      </c>
      <c r="T11" s="277" t="str">
        <f>IFERROR(__xludf.DUMMYFUNCTION("""COMPUTED_VALUE"""),"Weedle")</f>
        <v>Weedle</v>
      </c>
      <c r="U11" s="277" t="str">
        <f>IFERROR(__xludf.DUMMYFUNCTION("""COMPUTED_VALUE"""),"A1-Mewtwo")</f>
        <v>A1-Mewtwo</v>
      </c>
      <c r="V11" s="278" t="str">
        <f>IFERROR(__xludf.DUMMYFUNCTION("""COMPUTED_VALUE"""),"♢")</f>
        <v>♢</v>
      </c>
      <c r="W11" s="443">
        <f t="array" ref="W11">IFERROR(IFS(OR(U11="A1-Mewtwo", U11="A1-Pikachu", U11="A1-Charizard", U11="A1"), $B$5-XLOOKUP(S11, 'Genetic Apex'!$C$2:$C889, 'Genetic Apex'!$B$2:$B889), U11="A1a", $B$5-XLOOKUP(S11, 'Mythical Island'!$C$2:$C889, 'Mythical Island'!$B$2:$B889), OR(U11="A2-Dialga", U11="A2-Palkia", U11="A2"), $B$5-XLOOKUP(S11, 'Space-Time Smackdown'!$C$2:$C889, 'Space-Time Smackdown'!$B$2:$B889)))</f>
        <v>1</v>
      </c>
      <c r="X11" s="444">
        <f t="shared" si="3"/>
        <v>0</v>
      </c>
      <c r="Y11" s="445" t="str">
        <f t="shared" si="4"/>
        <v/>
      </c>
      <c r="Z11" s="294" t="s">
        <v>52</v>
      </c>
      <c r="AA11" s="452" t="b">
        <v>1</v>
      </c>
      <c r="AB11" s="278" t="str">
        <f>IFERROR(__xludf.DUMMYFUNCTION("""COMPUTED_VALUE"""),"♛")</f>
        <v>♛</v>
      </c>
      <c r="AC11" s="278"/>
      <c r="AD11" s="278"/>
      <c r="AE11" s="278"/>
      <c r="AF11" s="278"/>
      <c r="AG11" s="278" t="b">
        <f t="shared" si="5"/>
        <v>0</v>
      </c>
      <c r="AH11" s="454"/>
      <c r="AI11" s="278"/>
      <c r="AJ11" s="278"/>
      <c r="AK11" s="278"/>
      <c r="AL11" s="444" t="str">
        <f t="array" ref="AL11">IFERROR(IFS(OR(AJ11="A1-Mewtwo", AJ11="A1-Pikachu", AJ11="A1-Charizard", AJ11="A1"), XLOOKUP(AH11, 'Genetic Apex'!$C$2:$C889, 'Genetic Apex'!$B$2:$B889)-2, AJ11="A1a", XLOOKUP(AH11, 'Mythical Island'!$C$2:$C889, 'Mythical Island'!$B$2:$B889)-2, OR(AJ11="A2-Dialga", AJ11="A2-Palkia", AJ11="A2"), XLOOKUP(AH11, 'Space-Time Smackdown'!$C$2:$C889, 'Space-Time Smackdown'!$B$2:$B889)-2))</f>
        <v/>
      </c>
      <c r="AM11" s="444" t="str">
        <f t="shared" si="6"/>
        <v/>
      </c>
      <c r="AN11" s="448" t="str">
        <f t="shared" si="7"/>
        <v/>
      </c>
    </row>
    <row r="12">
      <c r="A12" s="278" t="s">
        <v>45</v>
      </c>
      <c r="B12" s="277" t="b">
        <v>1</v>
      </c>
      <c r="C12" s="441" t="str">
        <f>IFERROR(__xludf.DUMMYFUNCTION("""COMPUTED_VALUE"""),"☆")</f>
        <v>☆</v>
      </c>
      <c r="D12" s="277"/>
      <c r="E12" s="277"/>
      <c r="F12" s="277"/>
      <c r="G12" s="277"/>
      <c r="H12" s="277" t="b">
        <f t="shared" si="1"/>
        <v>0</v>
      </c>
      <c r="I12" s="277" t="str">
        <f>IFERROR(__xludf.DUMMYFUNCTION("""COMPUTED_VALUE"""),"A1 009")</f>
        <v>A1 009</v>
      </c>
      <c r="J12" s="277" t="str">
        <f>IFERROR(__xludf.DUMMYFUNCTION("""COMPUTED_VALUE"""),"Kakuna")</f>
        <v>Kakuna</v>
      </c>
      <c r="K12" s="277" t="str">
        <f>IFERROR(__xludf.DUMMYFUNCTION("""COMPUTED_VALUE"""),"A1-Mewtwo")</f>
        <v>A1-Mewtwo</v>
      </c>
      <c r="L12" s="277" t="str">
        <f>IFERROR(__xludf.DUMMYFUNCTION("""COMPUTED_VALUE"""),"♢")</f>
        <v>♢</v>
      </c>
      <c r="M12" s="440" t="b">
        <f t="shared" si="2"/>
        <v>1</v>
      </c>
      <c r="N12" s="441"/>
      <c r="O12" s="277"/>
      <c r="P12" s="277"/>
      <c r="Q12" s="278"/>
      <c r="R12" s="449" t="str">
        <f t="array" ref="R12">IFERROR(IFS(OR(P12="A1-Mewtwo", P12="A1-Pikachu", P12="A1-Charizard", P12="A1"), XLOOKUP(N12, 'Genetic Apex'!$C$2:$C889, 'Genetic Apex'!$B$2:$B889)-$B$4, P12="A1a", XLOOKUP(N12, 'Mythical Island'!$C$2:$C889, 'Mythical Island'!$B$2:$B889)-$B$4, OR(P12="A2-Dialga", P12="A2-Palkia", P12="A2"), XLOOKUP(N12, 'Space-Time Smackdown'!$C$2:$C889, 'Space-Time Smackdown'!$B$2:$B889)-$B$4))</f>
        <v/>
      </c>
      <c r="S12" s="277" t="str">
        <f>IFERROR(__xludf.DUMMYFUNCTION("""COMPUTED_VALUE"""),"A1 009")</f>
        <v>A1 009</v>
      </c>
      <c r="T12" s="277" t="str">
        <f>IFERROR(__xludf.DUMMYFUNCTION("""COMPUTED_VALUE"""),"Kakuna")</f>
        <v>Kakuna</v>
      </c>
      <c r="U12" s="277" t="str">
        <f>IFERROR(__xludf.DUMMYFUNCTION("""COMPUTED_VALUE"""),"A1-Mewtwo")</f>
        <v>A1-Mewtwo</v>
      </c>
      <c r="V12" s="278" t="str">
        <f>IFERROR(__xludf.DUMMYFUNCTION("""COMPUTED_VALUE"""),"♢")</f>
        <v>♢</v>
      </c>
      <c r="W12" s="443">
        <f t="array" ref="W12">IFERROR(IFS(OR(U12="A1-Mewtwo", U12="A1-Pikachu", U12="A1-Charizard", U12="A1"), $B$5-XLOOKUP(S12, 'Genetic Apex'!$C$2:$C889, 'Genetic Apex'!$B$2:$B889), U12="A1a", $B$5-XLOOKUP(S12, 'Mythical Island'!$C$2:$C889, 'Mythical Island'!$B$2:$B889), OR(U12="A2-Dialga", U12="A2-Palkia", U12="A2"), $B$5-XLOOKUP(S12, 'Space-Time Smackdown'!$C$2:$C889, 'Space-Time Smackdown'!$B$2:$B889)))</f>
        <v>1</v>
      </c>
      <c r="X12" s="444">
        <f t="shared" si="3"/>
        <v>0</v>
      </c>
      <c r="Y12" s="445" t="str">
        <f t="shared" si="4"/>
        <v/>
      </c>
      <c r="Z12" s="455" t="s">
        <v>1265</v>
      </c>
      <c r="AA12" s="33"/>
      <c r="AB12" s="278"/>
      <c r="AC12" s="278"/>
      <c r="AD12" s="278"/>
      <c r="AE12" s="278"/>
      <c r="AF12" s="278"/>
      <c r="AG12" s="278" t="b">
        <f t="shared" si="5"/>
        <v>0</v>
      </c>
      <c r="AH12" s="454"/>
      <c r="AI12" s="278"/>
      <c r="AJ12" s="278"/>
      <c r="AK12" s="278"/>
      <c r="AL12" s="444" t="str">
        <f t="array" ref="AL12">IFERROR(IFS(OR(AJ12="A1-Mewtwo", AJ12="A1-Pikachu", AJ12="A1-Charizard", AJ12="A1"), XLOOKUP(AH12, 'Genetic Apex'!$C$2:$C889, 'Genetic Apex'!$B$2:$B889)-2, AJ12="A1a", XLOOKUP(AH12, 'Mythical Island'!$C$2:$C889, 'Mythical Island'!$B$2:$B889)-2, OR(AJ12="A2-Dialga", AJ12="A2-Palkia", AJ12="A2"), XLOOKUP(AH12, 'Space-Time Smackdown'!$C$2:$C889, 'Space-Time Smackdown'!$B$2:$B889)-2))</f>
        <v/>
      </c>
      <c r="AM12" s="444" t="str">
        <f t="shared" si="6"/>
        <v/>
      </c>
      <c r="AN12" s="448" t="str">
        <f t="shared" si="7"/>
        <v/>
      </c>
    </row>
    <row r="13">
      <c r="A13" s="277" t="s">
        <v>47</v>
      </c>
      <c r="B13" s="277" t="b">
        <v>0</v>
      </c>
      <c r="C13" s="439"/>
      <c r="D13" s="277"/>
      <c r="E13" s="277"/>
      <c r="F13" s="277"/>
      <c r="G13" s="277"/>
      <c r="H13" s="277" t="b">
        <f t="shared" si="1"/>
        <v>0</v>
      </c>
      <c r="I13" s="277" t="str">
        <f>IFERROR(__xludf.DUMMYFUNCTION("""COMPUTED_VALUE"""),"A1 010")</f>
        <v>A1 010</v>
      </c>
      <c r="J13" s="277" t="str">
        <f>IFERROR(__xludf.DUMMYFUNCTION("""COMPUTED_VALUE"""),"Beedrill")</f>
        <v>Beedrill</v>
      </c>
      <c r="K13" s="277" t="str">
        <f>IFERROR(__xludf.DUMMYFUNCTION("""COMPUTED_VALUE"""),"A1-Mewtwo")</f>
        <v>A1-Mewtwo</v>
      </c>
      <c r="L13" s="277" t="str">
        <f>IFERROR(__xludf.DUMMYFUNCTION("""COMPUTED_VALUE"""),"♢♢♢")</f>
        <v>♢♢♢</v>
      </c>
      <c r="M13" s="440" t="b">
        <f t="shared" si="2"/>
        <v>1</v>
      </c>
      <c r="N13" s="441"/>
      <c r="O13" s="277"/>
      <c r="P13" s="277"/>
      <c r="Q13" s="278"/>
      <c r="R13" s="449" t="str">
        <f t="array" ref="R13">IFERROR(IFS(OR(P13="A1-Mewtwo", P13="A1-Pikachu", P13="A1-Charizard", P13="A1"), XLOOKUP(N13, 'Genetic Apex'!$C$2:$C889, 'Genetic Apex'!$B$2:$B889)-$B$4, P13="A1a", XLOOKUP(N13, 'Mythical Island'!$C$2:$C889, 'Mythical Island'!$B$2:$B889)-$B$4, OR(P13="A2-Dialga", P13="A2-Palkia", P13="A2"), XLOOKUP(N13, 'Space-Time Smackdown'!$C$2:$C889, 'Space-Time Smackdown'!$B$2:$B889)-$B$4))</f>
        <v/>
      </c>
      <c r="S13" s="277" t="str">
        <f>IFERROR(__xludf.DUMMYFUNCTION("""COMPUTED_VALUE"""),"A1 010")</f>
        <v>A1 010</v>
      </c>
      <c r="T13" s="277" t="str">
        <f>IFERROR(__xludf.DUMMYFUNCTION("""COMPUTED_VALUE"""),"Beedrill")</f>
        <v>Beedrill</v>
      </c>
      <c r="U13" s="277" t="str">
        <f>IFERROR(__xludf.DUMMYFUNCTION("""COMPUTED_VALUE"""),"A1-Mewtwo")</f>
        <v>A1-Mewtwo</v>
      </c>
      <c r="V13" s="278" t="str">
        <f>IFERROR(__xludf.DUMMYFUNCTION("""COMPUTED_VALUE"""),"♢♢♢")</f>
        <v>♢♢♢</v>
      </c>
      <c r="W13" s="443">
        <f t="array" ref="W13">IFERROR(IFS(OR(U13="A1-Mewtwo", U13="A1-Pikachu", U13="A1-Charizard", U13="A1"), $B$5-XLOOKUP(S13, 'Genetic Apex'!$C$2:$C889, 'Genetic Apex'!$B$2:$B889), U13="A1a", $B$5-XLOOKUP(S13, 'Mythical Island'!$C$2:$C889, 'Mythical Island'!$B$2:$B889), OR(U13="A2-Dialga", U13="A2-Palkia", U13="A2"), $B$5-XLOOKUP(S13, 'Space-Time Smackdown'!$C$2:$C889, 'Space-Time Smackdown'!$B$2:$B889)))</f>
        <v>1</v>
      </c>
      <c r="X13" s="444">
        <f t="shared" si="3"/>
        <v>120</v>
      </c>
      <c r="Y13" s="445">
        <f t="shared" si="4"/>
        <v>120</v>
      </c>
      <c r="Z13" s="294" t="s">
        <v>28</v>
      </c>
      <c r="AA13" s="452" t="b">
        <v>1</v>
      </c>
      <c r="AB13" s="278"/>
      <c r="AC13" s="278"/>
      <c r="AD13" s="278"/>
      <c r="AE13" s="278"/>
      <c r="AF13" s="278"/>
      <c r="AG13" s="278" t="b">
        <f t="shared" si="5"/>
        <v>0</v>
      </c>
      <c r="AH13" s="454"/>
      <c r="AI13" s="278"/>
      <c r="AJ13" s="278"/>
      <c r="AK13" s="278"/>
      <c r="AL13" s="444" t="str">
        <f t="array" ref="AL13">IFERROR(IFS(OR(AJ13="A1-Mewtwo", AJ13="A1-Pikachu", AJ13="A1-Charizard", AJ13="A1"), XLOOKUP(AH13, 'Genetic Apex'!$C$2:$C889, 'Genetic Apex'!$B$2:$B889)-2, AJ13="A1a", XLOOKUP(AH13, 'Mythical Island'!$C$2:$C889, 'Mythical Island'!$B$2:$B889)-2, OR(AJ13="A2-Dialga", AJ13="A2-Palkia", AJ13="A2"), XLOOKUP(AH13, 'Space-Time Smackdown'!$C$2:$C889, 'Space-Time Smackdown'!$B$2:$B889)-2))</f>
        <v/>
      </c>
      <c r="AM13" s="444" t="str">
        <f t="shared" si="6"/>
        <v/>
      </c>
      <c r="AN13" s="448" t="str">
        <f t="shared" si="7"/>
        <v/>
      </c>
    </row>
    <row r="14">
      <c r="A14" s="277" t="s">
        <v>49</v>
      </c>
      <c r="B14" s="277" t="b">
        <v>0</v>
      </c>
      <c r="C14" s="441"/>
      <c r="D14" s="277"/>
      <c r="E14" s="277"/>
      <c r="F14" s="277"/>
      <c r="G14" s="277"/>
      <c r="H14" s="277" t="b">
        <f t="shared" si="1"/>
        <v>0</v>
      </c>
      <c r="I14" s="277" t="str">
        <f>IFERROR(__xludf.DUMMYFUNCTION("""COMPUTED_VALUE"""),"A1 011")</f>
        <v>A1 011</v>
      </c>
      <c r="J14" s="277" t="str">
        <f>IFERROR(__xludf.DUMMYFUNCTION("""COMPUTED_VALUE"""),"Oddish")</f>
        <v>Oddish</v>
      </c>
      <c r="K14" s="277" t="str">
        <f>IFERROR(__xludf.DUMMYFUNCTION("""COMPUTED_VALUE"""),"A1-Charizard")</f>
        <v>A1-Charizard</v>
      </c>
      <c r="L14" s="277" t="str">
        <f>IFERROR(__xludf.DUMMYFUNCTION("""COMPUTED_VALUE"""),"♢")</f>
        <v>♢</v>
      </c>
      <c r="M14" s="440" t="b">
        <f t="shared" si="2"/>
        <v>1</v>
      </c>
      <c r="N14" s="441"/>
      <c r="O14" s="277"/>
      <c r="P14" s="277"/>
      <c r="Q14" s="278"/>
      <c r="R14" s="449" t="str">
        <f t="array" ref="R14">IFERROR(IFS(OR(P14="A1-Mewtwo", P14="A1-Pikachu", P14="A1-Charizard", P14="A1"), XLOOKUP(N14, 'Genetic Apex'!$C$2:$C889, 'Genetic Apex'!$B$2:$B889)-$B$4, P14="A1a", XLOOKUP(N14, 'Mythical Island'!$C$2:$C889, 'Mythical Island'!$B$2:$B889)-$B$4, OR(P14="A2-Dialga", P14="A2-Palkia", P14="A2"), XLOOKUP(N14, 'Space-Time Smackdown'!$C$2:$C889, 'Space-Time Smackdown'!$B$2:$B889)-$B$4))</f>
        <v/>
      </c>
      <c r="S14" s="277" t="str">
        <f>IFERROR(__xludf.DUMMYFUNCTION("""COMPUTED_VALUE"""),"A1 011")</f>
        <v>A1 011</v>
      </c>
      <c r="T14" s="277" t="str">
        <f>IFERROR(__xludf.DUMMYFUNCTION("""COMPUTED_VALUE"""),"Oddish")</f>
        <v>Oddish</v>
      </c>
      <c r="U14" s="277" t="str">
        <f>IFERROR(__xludf.DUMMYFUNCTION("""COMPUTED_VALUE"""),"A1-Charizard")</f>
        <v>A1-Charizard</v>
      </c>
      <c r="V14" s="278" t="str">
        <f>IFERROR(__xludf.DUMMYFUNCTION("""COMPUTED_VALUE"""),"♢")</f>
        <v>♢</v>
      </c>
      <c r="W14" s="443">
        <f t="array" ref="W14">IFERROR(IFS(OR(U14="A1-Mewtwo", U14="A1-Pikachu", U14="A1-Charizard", U14="A1"), $B$5-XLOOKUP(S14, 'Genetic Apex'!$C$2:$C889, 'Genetic Apex'!$B$2:$B889), U14="A1a", $B$5-XLOOKUP(S14, 'Mythical Island'!$C$2:$C889, 'Mythical Island'!$B$2:$B889), OR(U14="A2-Dialga", U14="A2-Palkia", U14="A2"), $B$5-XLOOKUP(S14, 'Space-Time Smackdown'!$C$2:$C889, 'Space-Time Smackdown'!$B$2:$B889)))</f>
        <v>1</v>
      </c>
      <c r="X14" s="444">
        <f t="shared" si="3"/>
        <v>0</v>
      </c>
      <c r="Y14" s="445" t="str">
        <f t="shared" si="4"/>
        <v/>
      </c>
      <c r="Z14" s="294" t="s">
        <v>33</v>
      </c>
      <c r="AA14" s="452" t="b">
        <v>1</v>
      </c>
      <c r="AB14" s="278"/>
      <c r="AC14" s="278"/>
      <c r="AD14" s="278"/>
      <c r="AE14" s="278"/>
      <c r="AF14" s="278"/>
      <c r="AG14" s="278" t="b">
        <f t="shared" si="5"/>
        <v>0</v>
      </c>
      <c r="AH14" s="454"/>
      <c r="AI14" s="278"/>
      <c r="AJ14" s="278"/>
      <c r="AK14" s="278"/>
      <c r="AL14" s="444" t="str">
        <f t="array" ref="AL14">IFERROR(IFS(OR(AJ14="A1-Mewtwo", AJ14="A1-Pikachu", AJ14="A1-Charizard", AJ14="A1"), XLOOKUP(AH14, 'Genetic Apex'!$C$2:$C889, 'Genetic Apex'!$B$2:$B889)-2, AJ14="A1a", XLOOKUP(AH14, 'Mythical Island'!$C$2:$C889, 'Mythical Island'!$B$2:$B889)-2, OR(AJ14="A2-Dialga", AJ14="A2-Palkia", AJ14="A2"), XLOOKUP(AH14, 'Space-Time Smackdown'!$C$2:$C889, 'Space-Time Smackdown'!$B$2:$B889)-2))</f>
        <v/>
      </c>
      <c r="AM14" s="444" t="str">
        <f t="shared" si="6"/>
        <v/>
      </c>
      <c r="AN14" s="448" t="str">
        <f t="shared" si="7"/>
        <v/>
      </c>
    </row>
    <row r="15">
      <c r="A15" s="278" t="s">
        <v>52</v>
      </c>
      <c r="B15" s="277" t="b">
        <v>0</v>
      </c>
      <c r="C15" s="441"/>
      <c r="D15" s="277"/>
      <c r="E15" s="277"/>
      <c r="F15" s="277"/>
      <c r="G15" s="277"/>
      <c r="H15" s="277" t="b">
        <f t="shared" si="1"/>
        <v>0</v>
      </c>
      <c r="I15" s="277" t="str">
        <f>IFERROR(__xludf.DUMMYFUNCTION("""COMPUTED_VALUE"""),"A1 012")</f>
        <v>A1 012</v>
      </c>
      <c r="J15" s="277" t="str">
        <f>IFERROR(__xludf.DUMMYFUNCTION("""COMPUTED_VALUE"""),"Gloom")</f>
        <v>Gloom</v>
      </c>
      <c r="K15" s="277" t="str">
        <f>IFERROR(__xludf.DUMMYFUNCTION("""COMPUTED_VALUE"""),"A1-Charizard")</f>
        <v>A1-Charizard</v>
      </c>
      <c r="L15" s="277" t="str">
        <f>IFERROR(__xludf.DUMMYFUNCTION("""COMPUTED_VALUE"""),"♢♢")</f>
        <v>♢♢</v>
      </c>
      <c r="M15" s="440" t="b">
        <f t="shared" si="2"/>
        <v>1</v>
      </c>
      <c r="N15" s="441"/>
      <c r="O15" s="277"/>
      <c r="P15" s="277"/>
      <c r="Q15" s="278"/>
      <c r="R15" s="449" t="str">
        <f t="array" ref="R15">IFERROR(IFS(OR(P15="A1-Mewtwo", P15="A1-Pikachu", P15="A1-Charizard", P15="A1"), XLOOKUP(N15, 'Genetic Apex'!$C$2:$C889, 'Genetic Apex'!$B$2:$B889)-$B$4, P15="A1a", XLOOKUP(N15, 'Mythical Island'!$C$2:$C889, 'Mythical Island'!$B$2:$B889)-$B$4, OR(P15="A2-Dialga", P15="A2-Palkia", P15="A2"), XLOOKUP(N15, 'Space-Time Smackdown'!$C$2:$C889, 'Space-Time Smackdown'!$B$2:$B889)-$B$4))</f>
        <v/>
      </c>
      <c r="S15" s="277" t="str">
        <f>IFERROR(__xludf.DUMMYFUNCTION("""COMPUTED_VALUE"""),"A1 012")</f>
        <v>A1 012</v>
      </c>
      <c r="T15" s="277" t="str">
        <f>IFERROR(__xludf.DUMMYFUNCTION("""COMPUTED_VALUE"""),"Gloom")</f>
        <v>Gloom</v>
      </c>
      <c r="U15" s="277" t="str">
        <f>IFERROR(__xludf.DUMMYFUNCTION("""COMPUTED_VALUE"""),"A1-Charizard")</f>
        <v>A1-Charizard</v>
      </c>
      <c r="V15" s="278" t="str">
        <f>IFERROR(__xludf.DUMMYFUNCTION("""COMPUTED_VALUE"""),"♢♢")</f>
        <v>♢♢</v>
      </c>
      <c r="W15" s="443">
        <f t="array" ref="W15">IFERROR(IFS(OR(U15="A1-Mewtwo", U15="A1-Pikachu", U15="A1-Charizard", U15="A1"), $B$5-XLOOKUP(S15, 'Genetic Apex'!$C$2:$C889, 'Genetic Apex'!$B$2:$B889), U15="A1a", $B$5-XLOOKUP(S15, 'Mythical Island'!$C$2:$C889, 'Mythical Island'!$B$2:$B889), OR(U15="A2-Dialga", U15="A2-Palkia", U15="A2"), $B$5-XLOOKUP(S15, 'Space-Time Smackdown'!$C$2:$C889, 'Space-Time Smackdown'!$B$2:$B889)))</f>
        <v>1</v>
      </c>
      <c r="X15" s="444">
        <f t="shared" si="3"/>
        <v>0</v>
      </c>
      <c r="Y15" s="445" t="str">
        <f t="shared" si="4"/>
        <v/>
      </c>
      <c r="Z15" s="456" t="s">
        <v>1266</v>
      </c>
      <c r="AA15" s="457" t="b">
        <v>1</v>
      </c>
      <c r="AB15" s="278"/>
      <c r="AC15" s="278"/>
      <c r="AD15" s="278"/>
      <c r="AE15" s="278"/>
      <c r="AF15" s="278"/>
      <c r="AG15" s="278" t="b">
        <f t="shared" si="5"/>
        <v>0</v>
      </c>
      <c r="AH15" s="454"/>
      <c r="AI15" s="278"/>
      <c r="AJ15" s="278"/>
      <c r="AK15" s="278"/>
      <c r="AL15" s="444" t="str">
        <f t="array" ref="AL15">IFERROR(IFS(OR(AJ15="A1-Mewtwo", AJ15="A1-Pikachu", AJ15="A1-Charizard", AJ15="A1"), XLOOKUP(AH15, 'Genetic Apex'!$C$2:$C889, 'Genetic Apex'!$B$2:$B889)-2, AJ15="A1a", XLOOKUP(AH15, 'Mythical Island'!$C$2:$C889, 'Mythical Island'!$B$2:$B889)-2, OR(AJ15="A2-Dialga", AJ15="A2-Palkia", AJ15="A2"), XLOOKUP(AH15, 'Space-Time Smackdown'!$C$2:$C889, 'Space-Time Smackdown'!$B$2:$B889)-2))</f>
        <v/>
      </c>
      <c r="AM15" s="444" t="str">
        <f t="shared" si="6"/>
        <v/>
      </c>
      <c r="AN15" s="448" t="str">
        <f t="shared" si="7"/>
        <v/>
      </c>
    </row>
    <row r="16">
      <c r="A16" s="23"/>
      <c r="B16" s="23"/>
      <c r="C16" s="441"/>
      <c r="D16" s="277"/>
      <c r="E16" s="277"/>
      <c r="F16" s="277"/>
      <c r="G16" s="277"/>
      <c r="H16" s="277" t="b">
        <f t="shared" si="1"/>
        <v>0</v>
      </c>
      <c r="I16" s="277" t="str">
        <f>IFERROR(__xludf.DUMMYFUNCTION("""COMPUTED_VALUE"""),"A1 013")</f>
        <v>A1 013</v>
      </c>
      <c r="J16" s="277" t="str">
        <f>IFERROR(__xludf.DUMMYFUNCTION("""COMPUTED_VALUE"""),"Vileplume")</f>
        <v>Vileplume</v>
      </c>
      <c r="K16" s="277" t="str">
        <f>IFERROR(__xludf.DUMMYFUNCTION("""COMPUTED_VALUE"""),"A1-Charizard")</f>
        <v>A1-Charizard</v>
      </c>
      <c r="L16" s="277" t="str">
        <f>IFERROR(__xludf.DUMMYFUNCTION("""COMPUTED_VALUE"""),"♢♢♢")</f>
        <v>♢♢♢</v>
      </c>
      <c r="M16" s="440" t="b">
        <f t="shared" si="2"/>
        <v>1</v>
      </c>
      <c r="N16" s="441"/>
      <c r="O16" s="277"/>
      <c r="P16" s="277"/>
      <c r="Q16" s="278"/>
      <c r="R16" s="449" t="str">
        <f t="array" ref="R16">IFERROR(IFS(OR(P16="A1-Mewtwo", P16="A1-Pikachu", P16="A1-Charizard", P16="A1"), XLOOKUP(N16, 'Genetic Apex'!$C$2:$C889, 'Genetic Apex'!$B$2:$B889)-$B$4, P16="A1a", XLOOKUP(N16, 'Mythical Island'!$C$2:$C889, 'Mythical Island'!$B$2:$B889)-$B$4, OR(P16="A2-Dialga", P16="A2-Palkia", P16="A2"), XLOOKUP(N16, 'Space-Time Smackdown'!$C$2:$C889, 'Space-Time Smackdown'!$B$2:$B889)-$B$4))</f>
        <v/>
      </c>
      <c r="S16" s="277" t="str">
        <f>IFERROR(__xludf.DUMMYFUNCTION("""COMPUTED_VALUE"""),"A1 013")</f>
        <v>A1 013</v>
      </c>
      <c r="T16" s="277" t="str">
        <f>IFERROR(__xludf.DUMMYFUNCTION("""COMPUTED_VALUE"""),"Vileplume")</f>
        <v>Vileplume</v>
      </c>
      <c r="U16" s="277" t="str">
        <f>IFERROR(__xludf.DUMMYFUNCTION("""COMPUTED_VALUE"""),"A1-Charizard")</f>
        <v>A1-Charizard</v>
      </c>
      <c r="V16" s="278" t="str">
        <f>IFERROR(__xludf.DUMMYFUNCTION("""COMPUTED_VALUE"""),"♢♢♢")</f>
        <v>♢♢♢</v>
      </c>
      <c r="W16" s="443">
        <f t="array" ref="W16">IFERROR(IFS(OR(U16="A1-Mewtwo", U16="A1-Pikachu", U16="A1-Charizard", U16="A1"), $B$5-XLOOKUP(S16, 'Genetic Apex'!$C$2:$C889, 'Genetic Apex'!$B$2:$B889), U16="A1a", $B$5-XLOOKUP(S16, 'Mythical Island'!$C$2:$C889, 'Mythical Island'!$B$2:$B889), OR(U16="A2-Dialga", U16="A2-Palkia", U16="A2"), $B$5-XLOOKUP(S16, 'Space-Time Smackdown'!$C$2:$C889, 'Space-Time Smackdown'!$B$2:$B889)))</f>
        <v>1</v>
      </c>
      <c r="X16" s="372">
        <f t="shared" si="3"/>
        <v>120</v>
      </c>
      <c r="Y16" s="458">
        <f t="shared" si="4"/>
        <v>120</v>
      </c>
      <c r="Z16" s="459" t="s">
        <v>1267</v>
      </c>
      <c r="AA16" s="460">
        <f>SUM(AN4:AN889)</f>
        <v>0</v>
      </c>
      <c r="AB16" s="308"/>
      <c r="AC16" s="278"/>
      <c r="AD16" s="278"/>
      <c r="AE16" s="278"/>
      <c r="AF16" s="278"/>
      <c r="AG16" s="278" t="b">
        <f t="shared" si="5"/>
        <v>0</v>
      </c>
      <c r="AH16" s="461"/>
      <c r="AI16" s="308"/>
      <c r="AJ16" s="308"/>
      <c r="AK16" s="308"/>
      <c r="AL16" s="444" t="str">
        <f t="array" ref="AL16">IFERROR(IFS(OR(AJ16="A1-Mewtwo", AJ16="A1-Pikachu", AJ16="A1-Charizard", AJ16="A1"), XLOOKUP(AH16, 'Genetic Apex'!$C$2:$C889, 'Genetic Apex'!$B$2:$B889)-2, AJ16="A1a", XLOOKUP(AH16, 'Mythical Island'!$C$2:$C889, 'Mythical Island'!$B$2:$B889)-2, OR(AJ16="A2-Dialga", AJ16="A2-Palkia", AJ16="A2"), XLOOKUP(AH16, 'Space-Time Smackdown'!$C$2:$C889, 'Space-Time Smackdown'!$B$2:$B889)-2))</f>
        <v/>
      </c>
      <c r="AM16" s="444" t="str">
        <f t="shared" si="6"/>
        <v/>
      </c>
      <c r="AN16" s="448" t="str">
        <f t="shared" si="7"/>
        <v/>
      </c>
    </row>
    <row r="17">
      <c r="A17" s="453" t="s">
        <v>1268</v>
      </c>
      <c r="B17" s="32"/>
      <c r="C17" s="441"/>
      <c r="D17" s="277"/>
      <c r="E17" s="277"/>
      <c r="F17" s="277"/>
      <c r="G17" s="277"/>
      <c r="H17" s="277" t="b">
        <f t="shared" si="1"/>
        <v>0</v>
      </c>
      <c r="I17" s="277" t="str">
        <f>IFERROR(__xludf.DUMMYFUNCTION("""COMPUTED_VALUE"""),"A1 014")</f>
        <v>A1 014</v>
      </c>
      <c r="J17" s="277" t="str">
        <f>IFERROR(__xludf.DUMMYFUNCTION("""COMPUTED_VALUE"""),"Paras")</f>
        <v>Paras</v>
      </c>
      <c r="K17" s="277" t="str">
        <f>IFERROR(__xludf.DUMMYFUNCTION("""COMPUTED_VALUE"""),"A1-Pikachu")</f>
        <v>A1-Pikachu</v>
      </c>
      <c r="L17" s="277" t="str">
        <f>IFERROR(__xludf.DUMMYFUNCTION("""COMPUTED_VALUE"""),"♢")</f>
        <v>♢</v>
      </c>
      <c r="M17" s="440" t="b">
        <f t="shared" si="2"/>
        <v>1</v>
      </c>
      <c r="N17" s="441"/>
      <c r="O17" s="277"/>
      <c r="P17" s="277"/>
      <c r="Q17" s="278"/>
      <c r="R17" s="449" t="str">
        <f t="array" ref="R17">IFERROR(IFS(OR(P17="A1-Mewtwo", P17="A1-Pikachu", P17="A1-Charizard", P17="A1"), XLOOKUP(N17, 'Genetic Apex'!$C$2:$C889, 'Genetic Apex'!$B$2:$B889)-$B$4, P17="A1a", XLOOKUP(N17, 'Mythical Island'!$C$2:$C889, 'Mythical Island'!$B$2:$B889)-$B$4, OR(P17="A2-Dialga", P17="A2-Palkia", P17="A2"), XLOOKUP(N17, 'Space-Time Smackdown'!$C$2:$C889, 'Space-Time Smackdown'!$B$2:$B889)-$B$4))</f>
        <v/>
      </c>
      <c r="S17" s="277" t="str">
        <f>IFERROR(__xludf.DUMMYFUNCTION("""COMPUTED_VALUE"""),"A1 014")</f>
        <v>A1 014</v>
      </c>
      <c r="T17" s="277" t="str">
        <f>IFERROR(__xludf.DUMMYFUNCTION("""COMPUTED_VALUE"""),"Paras")</f>
        <v>Paras</v>
      </c>
      <c r="U17" s="277" t="str">
        <f>IFERROR(__xludf.DUMMYFUNCTION("""COMPUTED_VALUE"""),"A1-Pikachu")</f>
        <v>A1-Pikachu</v>
      </c>
      <c r="V17" s="278" t="str">
        <f>IFERROR(__xludf.DUMMYFUNCTION("""COMPUTED_VALUE"""),"♢")</f>
        <v>♢</v>
      </c>
      <c r="W17" s="443">
        <f t="array" ref="W17">IFERROR(IFS(OR(U17="A1-Mewtwo", U17="A1-Pikachu", U17="A1-Charizard", U17="A1"), $B$5-XLOOKUP(S17, 'Genetic Apex'!$C$2:$C889, 'Genetic Apex'!$B$2:$B889), U17="A1a", $B$5-XLOOKUP(S17, 'Mythical Island'!$C$2:$C889, 'Mythical Island'!$B$2:$B889), OR(U17="A2-Dialga", U17="A2-Palkia", U17="A2"), $B$5-XLOOKUP(S17, 'Space-Time Smackdown'!$C$2:$C889, 'Space-Time Smackdown'!$B$2:$B889)))</f>
        <v>1</v>
      </c>
      <c r="X17" s="444">
        <f t="shared" si="3"/>
        <v>0</v>
      </c>
      <c r="Y17" s="445" t="str">
        <f t="shared" si="4"/>
        <v/>
      </c>
      <c r="Z17" s="10"/>
      <c r="AA17" s="462"/>
      <c r="AB17" s="294"/>
      <c r="AC17" s="278"/>
      <c r="AD17" s="278"/>
      <c r="AE17" s="278"/>
      <c r="AF17" s="278"/>
      <c r="AG17" s="278" t="b">
        <f t="shared" si="5"/>
        <v>0</v>
      </c>
      <c r="AH17" s="447"/>
      <c r="AI17" s="294"/>
      <c r="AJ17" s="294"/>
      <c r="AK17" s="294"/>
      <c r="AL17" s="444" t="str">
        <f t="array" ref="AL17">IFERROR(IFS(OR(AJ17="A1-Mewtwo", AJ17="A1-Pikachu", AJ17="A1-Charizard", AJ17="A1"), XLOOKUP(AH17, 'Genetic Apex'!$C$2:$C889, 'Genetic Apex'!$B$2:$B889)-2, AJ17="A1a", XLOOKUP(AH17, 'Mythical Island'!$C$2:$C889, 'Mythical Island'!$B$2:$B889)-2, OR(AJ17="A2-Dialga", AJ17="A2-Palkia", AJ17="A2"), XLOOKUP(AH17, 'Space-Time Smackdown'!$C$2:$C889, 'Space-Time Smackdown'!$B$2:$B889)-2))</f>
        <v/>
      </c>
      <c r="AM17" s="444" t="str">
        <f t="shared" si="6"/>
        <v/>
      </c>
      <c r="AN17" s="448" t="str">
        <f t="shared" si="7"/>
        <v/>
      </c>
    </row>
    <row r="18">
      <c r="A18" s="277" t="s">
        <v>28</v>
      </c>
      <c r="B18" s="277" t="b">
        <v>1</v>
      </c>
      <c r="C18" s="441"/>
      <c r="D18" s="277"/>
      <c r="E18" s="277"/>
      <c r="F18" s="277"/>
      <c r="G18" s="277"/>
      <c r="H18" s="277" t="b">
        <f t="shared" si="1"/>
        <v>0</v>
      </c>
      <c r="I18" s="277" t="str">
        <f>IFERROR(__xludf.DUMMYFUNCTION("""COMPUTED_VALUE"""),"A1 015")</f>
        <v>A1 015</v>
      </c>
      <c r="J18" s="277" t="str">
        <f>IFERROR(__xludf.DUMMYFUNCTION("""COMPUTED_VALUE"""),"Parasect")</f>
        <v>Parasect</v>
      </c>
      <c r="K18" s="277" t="str">
        <f>IFERROR(__xludf.DUMMYFUNCTION("""COMPUTED_VALUE"""),"A1-Pikachu")</f>
        <v>A1-Pikachu</v>
      </c>
      <c r="L18" s="277" t="str">
        <f>IFERROR(__xludf.DUMMYFUNCTION("""COMPUTED_VALUE"""),"♢♢")</f>
        <v>♢♢</v>
      </c>
      <c r="M18" s="440" t="b">
        <f t="shared" si="2"/>
        <v>1</v>
      </c>
      <c r="N18" s="441"/>
      <c r="O18" s="277"/>
      <c r="P18" s="277"/>
      <c r="Q18" s="278"/>
      <c r="R18" s="449" t="str">
        <f t="array" ref="R18">IFERROR(IFS(OR(P18="A1-Mewtwo", P18="A1-Pikachu", P18="A1-Charizard", P18="A1"), XLOOKUP(N18, 'Genetic Apex'!$C$2:$C889, 'Genetic Apex'!$B$2:$B889)-$B$4, P18="A1a", XLOOKUP(N18, 'Mythical Island'!$C$2:$C889, 'Mythical Island'!$B$2:$B889)-$B$4, OR(P18="A2-Dialga", P18="A2-Palkia", P18="A2"), XLOOKUP(N18, 'Space-Time Smackdown'!$C$2:$C889, 'Space-Time Smackdown'!$B$2:$B889)-$B$4))</f>
        <v/>
      </c>
      <c r="S18" s="277" t="str">
        <f>IFERROR(__xludf.DUMMYFUNCTION("""COMPUTED_VALUE"""),"A1 015")</f>
        <v>A1 015</v>
      </c>
      <c r="T18" s="277" t="str">
        <f>IFERROR(__xludf.DUMMYFUNCTION("""COMPUTED_VALUE"""),"Parasect")</f>
        <v>Parasect</v>
      </c>
      <c r="U18" s="277" t="str">
        <f>IFERROR(__xludf.DUMMYFUNCTION("""COMPUTED_VALUE"""),"A1-Pikachu")</f>
        <v>A1-Pikachu</v>
      </c>
      <c r="V18" s="278" t="str">
        <f>IFERROR(__xludf.DUMMYFUNCTION("""COMPUTED_VALUE"""),"♢♢")</f>
        <v>♢♢</v>
      </c>
      <c r="W18" s="443">
        <f t="array" ref="W18">IFERROR(IFS(OR(U18="A1-Mewtwo", U18="A1-Pikachu", U18="A1-Charizard", U18="A1"), $B$5-XLOOKUP(S18, 'Genetic Apex'!$C$2:$C889, 'Genetic Apex'!$B$2:$B889), U18="A1a", $B$5-XLOOKUP(S18, 'Mythical Island'!$C$2:$C889, 'Mythical Island'!$B$2:$B889), OR(U18="A2-Dialga", U18="A2-Palkia", U18="A2"), $B$5-XLOOKUP(S18, 'Space-Time Smackdown'!$C$2:$C889, 'Space-Time Smackdown'!$B$2:$B889)))</f>
        <v>1</v>
      </c>
      <c r="X18" s="444">
        <f t="shared" si="3"/>
        <v>0</v>
      </c>
      <c r="Y18" s="445" t="str">
        <f t="shared" si="4"/>
        <v/>
      </c>
      <c r="Z18" s="463" t="str">
        <f>IF(AA4&gt;AA16, "Not enough tokens for trading all the filtered cards.", "")</f>
        <v>Not enough tokens for trading all the filtered cards.</v>
      </c>
      <c r="AA18" s="51"/>
      <c r="AB18" s="278"/>
      <c r="AC18" s="278"/>
      <c r="AD18" s="278"/>
      <c r="AE18" s="278"/>
      <c r="AF18" s="278"/>
      <c r="AG18" s="278" t="b">
        <f t="shared" si="5"/>
        <v>0</v>
      </c>
      <c r="AH18" s="454"/>
      <c r="AI18" s="278"/>
      <c r="AJ18" s="278"/>
      <c r="AK18" s="278"/>
      <c r="AL18" s="444" t="str">
        <f t="array" ref="AL18">IFERROR(IFS(OR(AJ18="A1-Mewtwo", AJ18="A1-Pikachu", AJ18="A1-Charizard", AJ18="A1"), XLOOKUP(AH18, 'Genetic Apex'!$C$2:$C889, 'Genetic Apex'!$B$2:$B889)-2, AJ18="A1a", XLOOKUP(AH18, 'Mythical Island'!$C$2:$C889, 'Mythical Island'!$B$2:$B889)-2, OR(AJ18="A2-Dialga", AJ18="A2-Palkia", AJ18="A2"), XLOOKUP(AH18, 'Space-Time Smackdown'!$C$2:$C889, 'Space-Time Smackdown'!$B$2:$B889)-2))</f>
        <v/>
      </c>
      <c r="AM18" s="444" t="str">
        <f t="shared" si="6"/>
        <v/>
      </c>
      <c r="AN18" s="448" t="str">
        <f t="shared" si="7"/>
        <v/>
      </c>
    </row>
    <row r="19">
      <c r="A19" s="277" t="s">
        <v>33</v>
      </c>
      <c r="B19" s="277" t="b">
        <v>1</v>
      </c>
      <c r="C19" s="441"/>
      <c r="D19" s="277"/>
      <c r="E19" s="277"/>
      <c r="F19" s="277"/>
      <c r="G19" s="277"/>
      <c r="H19" s="277" t="b">
        <f t="shared" si="1"/>
        <v>0</v>
      </c>
      <c r="I19" s="277" t="str">
        <f>IFERROR(__xludf.DUMMYFUNCTION("""COMPUTED_VALUE"""),"A1 016")</f>
        <v>A1 016</v>
      </c>
      <c r="J19" s="277" t="str">
        <f>IFERROR(__xludf.DUMMYFUNCTION("""COMPUTED_VALUE"""),"Venonat")</f>
        <v>Venonat</v>
      </c>
      <c r="K19" s="277" t="str">
        <f>IFERROR(__xludf.DUMMYFUNCTION("""COMPUTED_VALUE"""),"A1-Mewtwo")</f>
        <v>A1-Mewtwo</v>
      </c>
      <c r="L19" s="277" t="str">
        <f>IFERROR(__xludf.DUMMYFUNCTION("""COMPUTED_VALUE"""),"♢")</f>
        <v>♢</v>
      </c>
      <c r="M19" s="440" t="b">
        <f t="shared" si="2"/>
        <v>1</v>
      </c>
      <c r="N19" s="441"/>
      <c r="O19" s="277"/>
      <c r="P19" s="277"/>
      <c r="Q19" s="278"/>
      <c r="R19" s="449" t="str">
        <f t="array" ref="R19">IFERROR(IFS(OR(P19="A1-Mewtwo", P19="A1-Pikachu", P19="A1-Charizard", P19="A1"), XLOOKUP(N19, 'Genetic Apex'!$C$2:$C889, 'Genetic Apex'!$B$2:$B889)-$B$4, P19="A1a", XLOOKUP(N19, 'Mythical Island'!$C$2:$C889, 'Mythical Island'!$B$2:$B889)-$B$4, OR(P19="A2-Dialga", P19="A2-Palkia", P19="A2"), XLOOKUP(N19, 'Space-Time Smackdown'!$C$2:$C889, 'Space-Time Smackdown'!$B$2:$B889)-$B$4))</f>
        <v/>
      </c>
      <c r="S19" s="277" t="str">
        <f>IFERROR(__xludf.DUMMYFUNCTION("""COMPUTED_VALUE"""),"A1 016")</f>
        <v>A1 016</v>
      </c>
      <c r="T19" s="277" t="str">
        <f>IFERROR(__xludf.DUMMYFUNCTION("""COMPUTED_VALUE"""),"Venonat")</f>
        <v>Venonat</v>
      </c>
      <c r="U19" s="277" t="str">
        <f>IFERROR(__xludf.DUMMYFUNCTION("""COMPUTED_VALUE"""),"A1-Mewtwo")</f>
        <v>A1-Mewtwo</v>
      </c>
      <c r="V19" s="278" t="str">
        <f>IFERROR(__xludf.DUMMYFUNCTION("""COMPUTED_VALUE"""),"♢")</f>
        <v>♢</v>
      </c>
      <c r="W19" s="443">
        <f t="array" ref="W19">IFERROR(IFS(OR(U19="A1-Mewtwo", U19="A1-Pikachu", U19="A1-Charizard", U19="A1"), $B$5-XLOOKUP(S19, 'Genetic Apex'!$C$2:$C889, 'Genetic Apex'!$B$2:$B889), U19="A1a", $B$5-XLOOKUP(S19, 'Mythical Island'!$C$2:$C889, 'Mythical Island'!$B$2:$B889), OR(U19="A2-Dialga", U19="A2-Palkia", U19="A2"), $B$5-XLOOKUP(S19, 'Space-Time Smackdown'!$C$2:$C889, 'Space-Time Smackdown'!$B$2:$B889)))</f>
        <v>1</v>
      </c>
      <c r="X19" s="444">
        <f t="shared" si="3"/>
        <v>0</v>
      </c>
      <c r="Y19" s="445" t="str">
        <f t="shared" si="4"/>
        <v/>
      </c>
      <c r="Z19" s="464" t="s">
        <v>1269</v>
      </c>
      <c r="AA19" s="51"/>
      <c r="AB19" s="278"/>
      <c r="AC19" s="278"/>
      <c r="AD19" s="278"/>
      <c r="AE19" s="278"/>
      <c r="AF19" s="278"/>
      <c r="AG19" s="278" t="b">
        <f t="shared" si="5"/>
        <v>0</v>
      </c>
      <c r="AH19" s="454"/>
      <c r="AI19" s="278"/>
      <c r="AJ19" s="278"/>
      <c r="AK19" s="278"/>
      <c r="AL19" s="444" t="str">
        <f t="array" ref="AL19">IFERROR(IFS(OR(AJ19="A1-Mewtwo", AJ19="A1-Pikachu", AJ19="A1-Charizard", AJ19="A1"), XLOOKUP(AH19, 'Genetic Apex'!$C$2:$C889, 'Genetic Apex'!$B$2:$B889)-2, AJ19="A1a", XLOOKUP(AH19, 'Mythical Island'!$C$2:$C889, 'Mythical Island'!$B$2:$B889)-2, OR(AJ19="A2-Dialga", AJ19="A2-Palkia", AJ19="A2"), XLOOKUP(AH19, 'Space-Time Smackdown'!$C$2:$C889, 'Space-Time Smackdown'!$B$2:$B889)-2))</f>
        <v/>
      </c>
      <c r="AM19" s="444" t="str">
        <f t="shared" si="6"/>
        <v/>
      </c>
      <c r="AN19" s="448" t="str">
        <f t="shared" si="7"/>
        <v/>
      </c>
    </row>
    <row r="20">
      <c r="A20" s="277" t="s">
        <v>1266</v>
      </c>
      <c r="B20" s="277" t="b">
        <v>0</v>
      </c>
      <c r="C20" s="441"/>
      <c r="D20" s="277"/>
      <c r="E20" s="277"/>
      <c r="F20" s="277"/>
      <c r="G20" s="277"/>
      <c r="H20" s="277" t="b">
        <f t="shared" si="1"/>
        <v>0</v>
      </c>
      <c r="I20" s="277" t="str">
        <f>IFERROR(__xludf.DUMMYFUNCTION("""COMPUTED_VALUE"""),"A1 017")</f>
        <v>A1 017</v>
      </c>
      <c r="J20" s="277" t="str">
        <f>IFERROR(__xludf.DUMMYFUNCTION("""COMPUTED_VALUE"""),"Venomoth")</f>
        <v>Venomoth</v>
      </c>
      <c r="K20" s="277" t="str">
        <f>IFERROR(__xludf.DUMMYFUNCTION("""COMPUTED_VALUE"""),"A1-Mewtwo")</f>
        <v>A1-Mewtwo</v>
      </c>
      <c r="L20" s="277" t="str">
        <f>IFERROR(__xludf.DUMMYFUNCTION("""COMPUTED_VALUE"""),"♢♢")</f>
        <v>♢♢</v>
      </c>
      <c r="M20" s="440" t="b">
        <f t="shared" si="2"/>
        <v>1</v>
      </c>
      <c r="N20" s="441"/>
      <c r="O20" s="277"/>
      <c r="P20" s="277"/>
      <c r="Q20" s="278"/>
      <c r="R20" s="449" t="str">
        <f t="array" ref="R20">IFERROR(IFS(OR(P20="A1-Mewtwo", P20="A1-Pikachu", P20="A1-Charizard", P20="A1"), XLOOKUP(N20, 'Genetic Apex'!$C$2:$C889, 'Genetic Apex'!$B$2:$B889)-$B$4, P20="A1a", XLOOKUP(N20, 'Mythical Island'!$C$2:$C889, 'Mythical Island'!$B$2:$B889)-$B$4, OR(P20="A2-Dialga", P20="A2-Palkia", P20="A2"), XLOOKUP(N20, 'Space-Time Smackdown'!$C$2:$C889, 'Space-Time Smackdown'!$B$2:$B889)-$B$4))</f>
        <v/>
      </c>
      <c r="S20" s="277" t="str">
        <f>IFERROR(__xludf.DUMMYFUNCTION("""COMPUTED_VALUE"""),"A1 017")</f>
        <v>A1 017</v>
      </c>
      <c r="T20" s="277" t="str">
        <f>IFERROR(__xludf.DUMMYFUNCTION("""COMPUTED_VALUE"""),"Venomoth")</f>
        <v>Venomoth</v>
      </c>
      <c r="U20" s="277" t="str">
        <f>IFERROR(__xludf.DUMMYFUNCTION("""COMPUTED_VALUE"""),"A1-Mewtwo")</f>
        <v>A1-Mewtwo</v>
      </c>
      <c r="V20" s="278" t="str">
        <f>IFERROR(__xludf.DUMMYFUNCTION("""COMPUTED_VALUE"""),"♢♢")</f>
        <v>♢♢</v>
      </c>
      <c r="W20" s="443">
        <f t="array" ref="W20">IFERROR(IFS(OR(U20="A1-Mewtwo", U20="A1-Pikachu", U20="A1-Charizard", U20="A1"), $B$5-XLOOKUP(S20, 'Genetic Apex'!$C$2:$C889, 'Genetic Apex'!$B$2:$B889), U20="A1a", $B$5-XLOOKUP(S20, 'Mythical Island'!$C$2:$C889, 'Mythical Island'!$B$2:$B889), OR(U20="A2-Dialga", U20="A2-Palkia", U20="A2"), $B$5-XLOOKUP(S20, 'Space-Time Smackdown'!$C$2:$C889, 'Space-Time Smackdown'!$B$2:$B889)))</f>
        <v>1</v>
      </c>
      <c r="X20" s="444">
        <f t="shared" si="3"/>
        <v>0</v>
      </c>
      <c r="Y20" s="445" t="str">
        <f t="shared" si="4"/>
        <v/>
      </c>
      <c r="AA20" s="51"/>
      <c r="AB20" s="278"/>
      <c r="AC20" s="278"/>
      <c r="AD20" s="278"/>
      <c r="AE20" s="278"/>
      <c r="AF20" s="278"/>
      <c r="AG20" s="278" t="b">
        <f t="shared" si="5"/>
        <v>0</v>
      </c>
      <c r="AH20" s="454"/>
      <c r="AI20" s="278"/>
      <c r="AJ20" s="278"/>
      <c r="AK20" s="278"/>
      <c r="AL20" s="444" t="str">
        <f t="array" ref="AL20">IFERROR(IFS(OR(AJ20="A1-Mewtwo", AJ20="A1-Pikachu", AJ20="A1-Charizard", AJ20="A1"), XLOOKUP(AH20, 'Genetic Apex'!$C$2:$C889, 'Genetic Apex'!$B$2:$B889)-2, AJ20="A1a", XLOOKUP(AH20, 'Mythical Island'!$C$2:$C889, 'Mythical Island'!$B$2:$B889)-2, OR(AJ20="A2-Dialga", AJ20="A2-Palkia", AJ20="A2"), XLOOKUP(AH20, 'Space-Time Smackdown'!$C$2:$C889, 'Space-Time Smackdown'!$B$2:$B889)-2))</f>
        <v/>
      </c>
      <c r="AM20" s="444" t="str">
        <f t="shared" si="6"/>
        <v/>
      </c>
      <c r="AN20" s="448" t="str">
        <f t="shared" si="7"/>
        <v/>
      </c>
    </row>
    <row r="21">
      <c r="A21" s="277"/>
      <c r="B21" s="277"/>
      <c r="C21" s="441"/>
      <c r="D21" s="277"/>
      <c r="E21" s="277"/>
      <c r="F21" s="277"/>
      <c r="G21" s="277"/>
      <c r="H21" s="277" t="b">
        <f t="shared" si="1"/>
        <v>0</v>
      </c>
      <c r="I21" s="277" t="str">
        <f>IFERROR(__xludf.DUMMYFUNCTION("""COMPUTED_VALUE"""),"A1 018")</f>
        <v>A1 018</v>
      </c>
      <c r="J21" s="277" t="str">
        <f>IFERROR(__xludf.DUMMYFUNCTION("""COMPUTED_VALUE"""),"Bellsprout")</f>
        <v>Bellsprout</v>
      </c>
      <c r="K21" s="277" t="str">
        <f>IFERROR(__xludf.DUMMYFUNCTION("""COMPUTED_VALUE"""),"A1-Charizard")</f>
        <v>A1-Charizard</v>
      </c>
      <c r="L21" s="277" t="str">
        <f>IFERROR(__xludf.DUMMYFUNCTION("""COMPUTED_VALUE"""),"♢")</f>
        <v>♢</v>
      </c>
      <c r="M21" s="440" t="b">
        <f t="shared" si="2"/>
        <v>1</v>
      </c>
      <c r="N21" s="441"/>
      <c r="O21" s="277"/>
      <c r="P21" s="465"/>
      <c r="Q21" s="278"/>
      <c r="R21" s="449" t="str">
        <f t="array" ref="R21">IFERROR(IFS(OR(P21="A1-Mewtwo", P21="A1-Pikachu", P21="A1-Charizard", P21="A1"), XLOOKUP(N21, 'Genetic Apex'!$C$2:$C889, 'Genetic Apex'!$B$2:$B889)-$B$4, P21="A1a", XLOOKUP(N21, 'Mythical Island'!$C$2:$C889, 'Mythical Island'!$B$2:$B889)-$B$4, OR(P21="A2-Dialga", P21="A2-Palkia", P21="A2"), XLOOKUP(N21, 'Space-Time Smackdown'!$C$2:$C889, 'Space-Time Smackdown'!$B$2:$B889)-$B$4))</f>
        <v/>
      </c>
      <c r="S21" s="277" t="str">
        <f>IFERROR(__xludf.DUMMYFUNCTION("""COMPUTED_VALUE"""),"A1 018")</f>
        <v>A1 018</v>
      </c>
      <c r="T21" s="277" t="str">
        <f>IFERROR(__xludf.DUMMYFUNCTION("""COMPUTED_VALUE"""),"Bellsprout")</f>
        <v>Bellsprout</v>
      </c>
      <c r="U21" s="277" t="str">
        <f>IFERROR(__xludf.DUMMYFUNCTION("""COMPUTED_VALUE"""),"A1-Charizard")</f>
        <v>A1-Charizard</v>
      </c>
      <c r="V21" s="278" t="str">
        <f>IFERROR(__xludf.DUMMYFUNCTION("""COMPUTED_VALUE"""),"♢")</f>
        <v>♢</v>
      </c>
      <c r="W21" s="443">
        <f t="array" ref="W21">IFERROR(IFS(OR(U21="A1-Mewtwo", U21="A1-Pikachu", U21="A1-Charizard", U21="A1"), $B$5-XLOOKUP(S21, 'Genetic Apex'!$C$2:$C889, 'Genetic Apex'!$B$2:$B889), U21="A1a", $B$5-XLOOKUP(S21, 'Mythical Island'!$C$2:$C889, 'Mythical Island'!$B$2:$B889), OR(U21="A2-Dialga", U21="A2-Palkia", U21="A2"), $B$5-XLOOKUP(S21, 'Space-Time Smackdown'!$C$2:$C889, 'Space-Time Smackdown'!$B$2:$B889)))</f>
        <v>1</v>
      </c>
      <c r="X21" s="444">
        <f t="shared" si="3"/>
        <v>0</v>
      </c>
      <c r="Y21" s="445" t="str">
        <f t="shared" si="4"/>
        <v/>
      </c>
      <c r="Z21" s="278"/>
      <c r="AA21" s="466"/>
      <c r="AB21" s="278"/>
      <c r="AC21" s="278"/>
      <c r="AD21" s="278"/>
      <c r="AE21" s="278"/>
      <c r="AF21" s="278"/>
      <c r="AG21" s="278" t="b">
        <f t="shared" si="5"/>
        <v>0</v>
      </c>
      <c r="AH21" s="454"/>
      <c r="AI21" s="278"/>
      <c r="AJ21" s="278"/>
      <c r="AK21" s="278"/>
      <c r="AL21" s="444" t="str">
        <f t="array" ref="AL21">IFERROR(IFS(OR(AJ21="A1-Mewtwo", AJ21="A1-Pikachu", AJ21="A1-Charizard", AJ21="A1"), XLOOKUP(AH21, 'Genetic Apex'!$C$2:$C889, 'Genetic Apex'!$B$2:$B889)-2, AJ21="A1a", XLOOKUP(AH21, 'Mythical Island'!$C$2:$C889, 'Mythical Island'!$B$2:$B889)-2, OR(AJ21="A2-Dialga", AJ21="A2-Palkia", AJ21="A2"), XLOOKUP(AH21, 'Space-Time Smackdown'!$C$2:$C889, 'Space-Time Smackdown'!$B$2:$B889)-2))</f>
        <v/>
      </c>
      <c r="AM21" s="444" t="str">
        <f t="shared" si="6"/>
        <v/>
      </c>
      <c r="AN21" s="448" t="str">
        <f t="shared" si="7"/>
        <v/>
      </c>
    </row>
    <row r="22">
      <c r="A22" s="277"/>
      <c r="B22" s="277"/>
      <c r="C22" s="441"/>
      <c r="D22" s="277"/>
      <c r="E22" s="277"/>
      <c r="F22" s="277"/>
      <c r="G22" s="277"/>
      <c r="H22" s="277" t="b">
        <f t="shared" si="1"/>
        <v>0</v>
      </c>
      <c r="I22" s="277" t="str">
        <f>IFERROR(__xludf.DUMMYFUNCTION("""COMPUTED_VALUE"""),"A1 019")</f>
        <v>A1 019</v>
      </c>
      <c r="J22" s="277" t="str">
        <f>IFERROR(__xludf.DUMMYFUNCTION("""COMPUTED_VALUE"""),"Weepinbell")</f>
        <v>Weepinbell</v>
      </c>
      <c r="K22" s="277" t="str">
        <f>IFERROR(__xludf.DUMMYFUNCTION("""COMPUTED_VALUE"""),"A1-Charizard")</f>
        <v>A1-Charizard</v>
      </c>
      <c r="L22" s="277" t="str">
        <f>IFERROR(__xludf.DUMMYFUNCTION("""COMPUTED_VALUE"""),"♢♢")</f>
        <v>♢♢</v>
      </c>
      <c r="M22" s="440" t="b">
        <f t="shared" si="2"/>
        <v>1</v>
      </c>
      <c r="N22" s="441"/>
      <c r="O22" s="277"/>
      <c r="P22" s="277"/>
      <c r="Q22" s="278"/>
      <c r="R22" s="449" t="str">
        <f t="array" ref="R22">IFERROR(IFS(OR(P22="A1-Mewtwo", P22="A1-Pikachu", P22="A1-Charizard", P22="A1"), XLOOKUP(N22, 'Genetic Apex'!$C$2:$C889, 'Genetic Apex'!$B$2:$B889)-$B$4, P22="A1a", XLOOKUP(N22, 'Mythical Island'!$C$2:$C889, 'Mythical Island'!$B$2:$B889)-$B$4, OR(P22="A2-Dialga", P22="A2-Palkia", P22="A2"), XLOOKUP(N22, 'Space-Time Smackdown'!$C$2:$C889, 'Space-Time Smackdown'!$B$2:$B889)-$B$4))</f>
        <v/>
      </c>
      <c r="S22" s="277" t="str">
        <f>IFERROR(__xludf.DUMMYFUNCTION("""COMPUTED_VALUE"""),"A1 019")</f>
        <v>A1 019</v>
      </c>
      <c r="T22" s="277" t="str">
        <f>IFERROR(__xludf.DUMMYFUNCTION("""COMPUTED_VALUE"""),"Weepinbell")</f>
        <v>Weepinbell</v>
      </c>
      <c r="U22" s="277" t="str">
        <f>IFERROR(__xludf.DUMMYFUNCTION("""COMPUTED_VALUE"""),"A1-Charizard")</f>
        <v>A1-Charizard</v>
      </c>
      <c r="V22" s="278" t="str">
        <f>IFERROR(__xludf.DUMMYFUNCTION("""COMPUTED_VALUE"""),"♢♢")</f>
        <v>♢♢</v>
      </c>
      <c r="W22" s="443">
        <f t="array" ref="W22">IFERROR(IFS(OR(U22="A1-Mewtwo", U22="A1-Pikachu", U22="A1-Charizard", U22="A1"), $B$5-XLOOKUP(S22, 'Genetic Apex'!$C$2:$C889, 'Genetic Apex'!$B$2:$B889), U22="A1a", $B$5-XLOOKUP(S22, 'Mythical Island'!$C$2:$C889, 'Mythical Island'!$B$2:$B889), OR(U22="A2-Dialga", U22="A2-Palkia", U22="A2"), $B$5-XLOOKUP(S22, 'Space-Time Smackdown'!$C$2:$C889, 'Space-Time Smackdown'!$B$2:$B889)))</f>
        <v>1</v>
      </c>
      <c r="X22" s="444">
        <f t="shared" si="3"/>
        <v>0</v>
      </c>
      <c r="Y22" s="445" t="str">
        <f t="shared" si="4"/>
        <v/>
      </c>
      <c r="Z22" s="278"/>
      <c r="AA22" s="466"/>
      <c r="AB22" s="278"/>
      <c r="AC22" s="278"/>
      <c r="AD22" s="278"/>
      <c r="AE22" s="278"/>
      <c r="AF22" s="278"/>
      <c r="AG22" s="278" t="b">
        <f t="shared" si="5"/>
        <v>0</v>
      </c>
      <c r="AH22" s="454"/>
      <c r="AI22" s="278"/>
      <c r="AJ22" s="278"/>
      <c r="AK22" s="278"/>
      <c r="AL22" s="444" t="str">
        <f t="array" ref="AL22">IFERROR(IFS(OR(AJ22="A1-Mewtwo", AJ22="A1-Pikachu", AJ22="A1-Charizard", AJ22="A1"), XLOOKUP(AH22, 'Genetic Apex'!$C$2:$C889, 'Genetic Apex'!$B$2:$B889)-2, AJ22="A1a", XLOOKUP(AH22, 'Mythical Island'!$C$2:$C889, 'Mythical Island'!$B$2:$B889)-2, OR(AJ22="A2-Dialga", AJ22="A2-Palkia", AJ22="A2"), XLOOKUP(AH22, 'Space-Time Smackdown'!$C$2:$C889, 'Space-Time Smackdown'!$B$2:$B889)-2))</f>
        <v/>
      </c>
      <c r="AM22" s="444" t="str">
        <f t="shared" si="6"/>
        <v/>
      </c>
      <c r="AN22" s="448" t="str">
        <f t="shared" si="7"/>
        <v/>
      </c>
    </row>
    <row r="23">
      <c r="A23" s="277"/>
      <c r="B23" s="277"/>
      <c r="C23" s="441"/>
      <c r="D23" s="277"/>
      <c r="E23" s="277"/>
      <c r="F23" s="277"/>
      <c r="G23" s="277"/>
      <c r="H23" s="277" t="b">
        <f t="shared" si="1"/>
        <v>0</v>
      </c>
      <c r="I23" s="277" t="str">
        <f>IFERROR(__xludf.DUMMYFUNCTION("""COMPUTED_VALUE"""),"A1 020")</f>
        <v>A1 020</v>
      </c>
      <c r="J23" s="277" t="str">
        <f>IFERROR(__xludf.DUMMYFUNCTION("""COMPUTED_VALUE"""),"Victreebel")</f>
        <v>Victreebel</v>
      </c>
      <c r="K23" s="277" t="str">
        <f>IFERROR(__xludf.DUMMYFUNCTION("""COMPUTED_VALUE"""),"A1-Charizard")</f>
        <v>A1-Charizard</v>
      </c>
      <c r="L23" s="277" t="str">
        <f>IFERROR(__xludf.DUMMYFUNCTION("""COMPUTED_VALUE"""),"♢♢♢")</f>
        <v>♢♢♢</v>
      </c>
      <c r="M23" s="440" t="b">
        <f t="shared" si="2"/>
        <v>1</v>
      </c>
      <c r="N23" s="441"/>
      <c r="O23" s="277"/>
      <c r="P23" s="277"/>
      <c r="Q23" s="278"/>
      <c r="R23" s="449" t="str">
        <f t="array" ref="R23">IFERROR(IFS(OR(P23="A1-Mewtwo", P23="A1-Pikachu", P23="A1-Charizard", P23="A1"), XLOOKUP(N23, 'Genetic Apex'!$C$2:$C889, 'Genetic Apex'!$B$2:$B889)-$B$4, P23="A1a", XLOOKUP(N23, 'Mythical Island'!$C$2:$C889, 'Mythical Island'!$B$2:$B889)-$B$4, OR(P23="A2-Dialga", P23="A2-Palkia", P23="A2"), XLOOKUP(N23, 'Space-Time Smackdown'!$C$2:$C889, 'Space-Time Smackdown'!$B$2:$B889)-$B$4))</f>
        <v/>
      </c>
      <c r="S23" s="277" t="str">
        <f>IFERROR(__xludf.DUMMYFUNCTION("""COMPUTED_VALUE"""),"A1 020")</f>
        <v>A1 020</v>
      </c>
      <c r="T23" s="277" t="str">
        <f>IFERROR(__xludf.DUMMYFUNCTION("""COMPUTED_VALUE"""),"Victreebel")</f>
        <v>Victreebel</v>
      </c>
      <c r="U23" s="277" t="str">
        <f>IFERROR(__xludf.DUMMYFUNCTION("""COMPUTED_VALUE"""),"A1-Charizard")</f>
        <v>A1-Charizard</v>
      </c>
      <c r="V23" s="278" t="str">
        <f>IFERROR(__xludf.DUMMYFUNCTION("""COMPUTED_VALUE"""),"♢♢♢")</f>
        <v>♢♢♢</v>
      </c>
      <c r="W23" s="443">
        <f t="array" ref="W23">IFERROR(IFS(OR(U23="A1-Mewtwo", U23="A1-Pikachu", U23="A1-Charizard", U23="A1"), $B$5-XLOOKUP(S23, 'Genetic Apex'!$C$2:$C889, 'Genetic Apex'!$B$2:$B889), U23="A1a", $B$5-XLOOKUP(S23, 'Mythical Island'!$C$2:$C889, 'Mythical Island'!$B$2:$B889), OR(U23="A2-Dialga", U23="A2-Palkia", U23="A2"), $B$5-XLOOKUP(S23, 'Space-Time Smackdown'!$C$2:$C889, 'Space-Time Smackdown'!$B$2:$B889)))</f>
        <v>1</v>
      </c>
      <c r="X23" s="444">
        <f t="shared" si="3"/>
        <v>120</v>
      </c>
      <c r="Y23" s="445">
        <f t="shared" si="4"/>
        <v>120</v>
      </c>
      <c r="Z23" s="278"/>
      <c r="AA23" s="466"/>
      <c r="AB23" s="278"/>
      <c r="AC23" s="278"/>
      <c r="AD23" s="278"/>
      <c r="AE23" s="278"/>
      <c r="AF23" s="278"/>
      <c r="AG23" s="278" t="b">
        <f t="shared" si="5"/>
        <v>0</v>
      </c>
      <c r="AH23" s="454"/>
      <c r="AI23" s="278"/>
      <c r="AJ23" s="278"/>
      <c r="AK23" s="278"/>
      <c r="AL23" s="444" t="str">
        <f t="array" ref="AL23">IFERROR(IFS(OR(AJ23="A1-Mewtwo", AJ23="A1-Pikachu", AJ23="A1-Charizard", AJ23="A1"), XLOOKUP(AH23, 'Genetic Apex'!$C$2:$C889, 'Genetic Apex'!$B$2:$B889)-2, AJ23="A1a", XLOOKUP(AH23, 'Mythical Island'!$C$2:$C889, 'Mythical Island'!$B$2:$B889)-2, OR(AJ23="A2-Dialga", AJ23="A2-Palkia", AJ23="A2"), XLOOKUP(AH23, 'Space-Time Smackdown'!$C$2:$C889, 'Space-Time Smackdown'!$B$2:$B889)-2))</f>
        <v/>
      </c>
      <c r="AM23" s="444" t="str">
        <f t="shared" si="6"/>
        <v/>
      </c>
      <c r="AN23" s="448" t="str">
        <f t="shared" si="7"/>
        <v/>
      </c>
    </row>
    <row r="24">
      <c r="A24" s="277"/>
      <c r="B24" s="277"/>
      <c r="C24" s="441"/>
      <c r="D24" s="277"/>
      <c r="E24" s="277"/>
      <c r="F24" s="277"/>
      <c r="G24" s="277"/>
      <c r="H24" s="277" t="b">
        <f t="shared" si="1"/>
        <v>0</v>
      </c>
      <c r="I24" s="277" t="str">
        <f>IFERROR(__xludf.DUMMYFUNCTION("""COMPUTED_VALUE"""),"A1 021")</f>
        <v>A1 021</v>
      </c>
      <c r="J24" s="277" t="str">
        <f>IFERROR(__xludf.DUMMYFUNCTION("""COMPUTED_VALUE"""),"Exeggcute")</f>
        <v>Exeggcute</v>
      </c>
      <c r="K24" s="277" t="str">
        <f>IFERROR(__xludf.DUMMYFUNCTION("""COMPUTED_VALUE"""),"A1-Charizard")</f>
        <v>A1-Charizard</v>
      </c>
      <c r="L24" s="277" t="str">
        <f>IFERROR(__xludf.DUMMYFUNCTION("""COMPUTED_VALUE"""),"♢")</f>
        <v>♢</v>
      </c>
      <c r="M24" s="440" t="b">
        <f t="shared" si="2"/>
        <v>1</v>
      </c>
      <c r="N24" s="441"/>
      <c r="O24" s="277"/>
      <c r="P24" s="277"/>
      <c r="Q24" s="278"/>
      <c r="R24" s="449" t="str">
        <f t="array" ref="R24">IFERROR(IFS(OR(P24="A1-Mewtwo", P24="A1-Pikachu", P24="A1-Charizard", P24="A1"), XLOOKUP(N24, 'Genetic Apex'!$C$2:$C889, 'Genetic Apex'!$B$2:$B889)-$B$4, P24="A1a", XLOOKUP(N24, 'Mythical Island'!$C$2:$C889, 'Mythical Island'!$B$2:$B889)-$B$4, OR(P24="A2-Dialga", P24="A2-Palkia", P24="A2"), XLOOKUP(N24, 'Space-Time Smackdown'!$C$2:$C889, 'Space-Time Smackdown'!$B$2:$B889)-$B$4))</f>
        <v/>
      </c>
      <c r="S24" s="277" t="str">
        <f>IFERROR(__xludf.DUMMYFUNCTION("""COMPUTED_VALUE"""),"A1 021")</f>
        <v>A1 021</v>
      </c>
      <c r="T24" s="277" t="str">
        <f>IFERROR(__xludf.DUMMYFUNCTION("""COMPUTED_VALUE"""),"Exeggcute")</f>
        <v>Exeggcute</v>
      </c>
      <c r="U24" s="277" t="str">
        <f>IFERROR(__xludf.DUMMYFUNCTION("""COMPUTED_VALUE"""),"A1-Charizard")</f>
        <v>A1-Charizard</v>
      </c>
      <c r="V24" s="278" t="str">
        <f>IFERROR(__xludf.DUMMYFUNCTION("""COMPUTED_VALUE"""),"♢")</f>
        <v>♢</v>
      </c>
      <c r="W24" s="443">
        <f t="array" ref="W24">IFERROR(IFS(OR(U24="A1-Mewtwo", U24="A1-Pikachu", U24="A1-Charizard", U24="A1"), $B$5-XLOOKUP(S24, 'Genetic Apex'!$C$2:$C889, 'Genetic Apex'!$B$2:$B889), U24="A1a", $B$5-XLOOKUP(S24, 'Mythical Island'!$C$2:$C889, 'Mythical Island'!$B$2:$B889), OR(U24="A2-Dialga", U24="A2-Palkia", U24="A2"), $B$5-XLOOKUP(S24, 'Space-Time Smackdown'!$C$2:$C889, 'Space-Time Smackdown'!$B$2:$B889)))</f>
        <v>1</v>
      </c>
      <c r="X24" s="444">
        <f t="shared" si="3"/>
        <v>0</v>
      </c>
      <c r="Y24" s="445" t="str">
        <f t="shared" si="4"/>
        <v/>
      </c>
      <c r="Z24" s="278"/>
      <c r="AA24" s="466"/>
      <c r="AB24" s="278"/>
      <c r="AC24" s="278"/>
      <c r="AD24" s="278"/>
      <c r="AE24" s="278"/>
      <c r="AF24" s="278"/>
      <c r="AG24" s="278" t="b">
        <f t="shared" si="5"/>
        <v>0</v>
      </c>
      <c r="AH24" s="454"/>
      <c r="AI24" s="278"/>
      <c r="AJ24" s="278"/>
      <c r="AK24" s="278"/>
      <c r="AL24" s="444" t="str">
        <f t="array" ref="AL24">IFERROR(IFS(OR(AJ24="A1-Mewtwo", AJ24="A1-Pikachu", AJ24="A1-Charizard", AJ24="A1"), XLOOKUP(AH24, 'Genetic Apex'!$C$2:$C889, 'Genetic Apex'!$B$2:$B889)-2, AJ24="A1a", XLOOKUP(AH24, 'Mythical Island'!$C$2:$C889, 'Mythical Island'!$B$2:$B889)-2, OR(AJ24="A2-Dialga", AJ24="A2-Palkia", AJ24="A2"), XLOOKUP(AH24, 'Space-Time Smackdown'!$C$2:$C889, 'Space-Time Smackdown'!$B$2:$B889)-2))</f>
        <v/>
      </c>
      <c r="AM24" s="444" t="str">
        <f t="shared" si="6"/>
        <v/>
      </c>
      <c r="AN24" s="448" t="str">
        <f t="shared" si="7"/>
        <v/>
      </c>
    </row>
    <row r="25">
      <c r="A25" s="277"/>
      <c r="B25" s="277"/>
      <c r="C25" s="441"/>
      <c r="D25" s="277"/>
      <c r="E25" s="277"/>
      <c r="F25" s="277"/>
      <c r="G25" s="277"/>
      <c r="H25" s="277" t="b">
        <f t="shared" si="1"/>
        <v>0</v>
      </c>
      <c r="I25" s="277" t="str">
        <f>IFERROR(__xludf.DUMMYFUNCTION("""COMPUTED_VALUE"""),"A1 022")</f>
        <v>A1 022</v>
      </c>
      <c r="J25" s="277" t="str">
        <f>IFERROR(__xludf.DUMMYFUNCTION("""COMPUTED_VALUE"""),"Exeggutor")</f>
        <v>Exeggutor</v>
      </c>
      <c r="K25" s="277" t="str">
        <f>IFERROR(__xludf.DUMMYFUNCTION("""COMPUTED_VALUE"""),"A1-Charizard")</f>
        <v>A1-Charizard</v>
      </c>
      <c r="L25" s="277" t="str">
        <f>IFERROR(__xludf.DUMMYFUNCTION("""COMPUTED_VALUE"""),"♢♢♢")</f>
        <v>♢♢♢</v>
      </c>
      <c r="M25" s="440" t="b">
        <f t="shared" si="2"/>
        <v>1</v>
      </c>
      <c r="N25" s="441"/>
      <c r="O25" s="277"/>
      <c r="P25" s="277"/>
      <c r="Q25" s="278"/>
      <c r="R25" s="449" t="str">
        <f t="array" ref="R25">IFERROR(IFS(OR(P25="A1-Mewtwo", P25="A1-Pikachu", P25="A1-Charizard", P25="A1"), XLOOKUP(N25, 'Genetic Apex'!$C$2:$C889, 'Genetic Apex'!$B$2:$B889)-$B$4, P25="A1a", XLOOKUP(N25, 'Mythical Island'!$C$2:$C889, 'Mythical Island'!$B$2:$B889)-$B$4, OR(P25="A2-Dialga", P25="A2-Palkia", P25="A2"), XLOOKUP(N25, 'Space-Time Smackdown'!$C$2:$C889, 'Space-Time Smackdown'!$B$2:$B889)-$B$4))</f>
        <v/>
      </c>
      <c r="S25" s="277" t="str">
        <f>IFERROR(__xludf.DUMMYFUNCTION("""COMPUTED_VALUE"""),"A1 022")</f>
        <v>A1 022</v>
      </c>
      <c r="T25" s="277" t="str">
        <f>IFERROR(__xludf.DUMMYFUNCTION("""COMPUTED_VALUE"""),"Exeggutor")</f>
        <v>Exeggutor</v>
      </c>
      <c r="U25" s="277" t="str">
        <f>IFERROR(__xludf.DUMMYFUNCTION("""COMPUTED_VALUE"""),"A1-Charizard")</f>
        <v>A1-Charizard</v>
      </c>
      <c r="V25" s="278" t="str">
        <f>IFERROR(__xludf.DUMMYFUNCTION("""COMPUTED_VALUE"""),"♢♢♢")</f>
        <v>♢♢♢</v>
      </c>
      <c r="W25" s="443">
        <f t="array" ref="W25">IFERROR(IFS(OR(U25="A1-Mewtwo", U25="A1-Pikachu", U25="A1-Charizard", U25="A1"), $B$5-XLOOKUP(S25, 'Genetic Apex'!$C$2:$C889, 'Genetic Apex'!$B$2:$B889), U25="A1a", $B$5-XLOOKUP(S25, 'Mythical Island'!$C$2:$C889, 'Mythical Island'!$B$2:$B889), OR(U25="A2-Dialga", U25="A2-Palkia", U25="A2"), $B$5-XLOOKUP(S25, 'Space-Time Smackdown'!$C$2:$C889, 'Space-Time Smackdown'!$B$2:$B889)))</f>
        <v>1</v>
      </c>
      <c r="X25" s="444">
        <f t="shared" si="3"/>
        <v>120</v>
      </c>
      <c r="Y25" s="445">
        <f t="shared" si="4"/>
        <v>120</v>
      </c>
      <c r="Z25" s="278"/>
      <c r="AA25" s="466"/>
      <c r="AB25" s="278"/>
      <c r="AC25" s="278"/>
      <c r="AD25" s="278"/>
      <c r="AE25" s="278"/>
      <c r="AF25" s="278"/>
      <c r="AG25" s="278" t="b">
        <f t="shared" si="5"/>
        <v>0</v>
      </c>
      <c r="AH25" s="454"/>
      <c r="AI25" s="278"/>
      <c r="AJ25" s="278"/>
      <c r="AK25" s="278"/>
      <c r="AL25" s="444" t="str">
        <f t="array" ref="AL25">IFERROR(IFS(OR(AJ25="A1-Mewtwo", AJ25="A1-Pikachu", AJ25="A1-Charizard", AJ25="A1"), XLOOKUP(AH25, 'Genetic Apex'!$C$2:$C889, 'Genetic Apex'!$B$2:$B889)-2, AJ25="A1a", XLOOKUP(AH25, 'Mythical Island'!$C$2:$C889, 'Mythical Island'!$B$2:$B889)-2, OR(AJ25="A2-Dialga", AJ25="A2-Palkia", AJ25="A2"), XLOOKUP(AH25, 'Space-Time Smackdown'!$C$2:$C889, 'Space-Time Smackdown'!$B$2:$B889)-2))</f>
        <v/>
      </c>
      <c r="AM25" s="444" t="str">
        <f t="shared" si="6"/>
        <v/>
      </c>
      <c r="AN25" s="448" t="str">
        <f t="shared" si="7"/>
        <v/>
      </c>
    </row>
    <row r="26">
      <c r="A26" s="277"/>
      <c r="B26" s="277"/>
      <c r="C26" s="441"/>
      <c r="D26" s="277"/>
      <c r="E26" s="277"/>
      <c r="F26" s="277"/>
      <c r="G26" s="277"/>
      <c r="H26" s="277" t="b">
        <f t="shared" si="1"/>
        <v>0</v>
      </c>
      <c r="I26" s="277" t="str">
        <f>IFERROR(__xludf.DUMMYFUNCTION("""COMPUTED_VALUE"""),"A1 023")</f>
        <v>A1 023</v>
      </c>
      <c r="J26" s="277" t="str">
        <f>IFERROR(__xludf.DUMMYFUNCTION("""COMPUTED_VALUE"""),"Exeggutor ex")</f>
        <v>Exeggutor ex</v>
      </c>
      <c r="K26" s="277" t="str">
        <f>IFERROR(__xludf.DUMMYFUNCTION("""COMPUTED_VALUE"""),"A1-Charizard")</f>
        <v>A1-Charizard</v>
      </c>
      <c r="L26" s="277" t="str">
        <f>IFERROR(__xludf.DUMMYFUNCTION("""COMPUTED_VALUE"""),"♢♢♢♢")</f>
        <v>♢♢♢♢</v>
      </c>
      <c r="M26" s="440" t="b">
        <f t="shared" si="2"/>
        <v>1</v>
      </c>
      <c r="N26" s="441"/>
      <c r="O26" s="277"/>
      <c r="P26" s="277"/>
      <c r="Q26" s="278"/>
      <c r="R26" s="449" t="str">
        <f t="array" ref="R26">IFERROR(IFS(OR(P26="A1-Mewtwo", P26="A1-Pikachu", P26="A1-Charizard", P26="A1"), XLOOKUP(N26, 'Genetic Apex'!$C$2:$C889, 'Genetic Apex'!$B$2:$B889)-$B$4, P26="A1a", XLOOKUP(N26, 'Mythical Island'!$C$2:$C889, 'Mythical Island'!$B$2:$B889)-$B$4, OR(P26="A2-Dialga", P26="A2-Palkia", P26="A2"), XLOOKUP(N26, 'Space-Time Smackdown'!$C$2:$C889, 'Space-Time Smackdown'!$B$2:$B889)-$B$4))</f>
        <v/>
      </c>
      <c r="S26" s="277" t="str">
        <f>IFERROR(__xludf.DUMMYFUNCTION("""COMPUTED_VALUE"""),"A1 023")</f>
        <v>A1 023</v>
      </c>
      <c r="T26" s="277" t="str">
        <f>IFERROR(__xludf.DUMMYFUNCTION("""COMPUTED_VALUE"""),"Exeggutor ex")</f>
        <v>Exeggutor ex</v>
      </c>
      <c r="U26" s="277" t="str">
        <f>IFERROR(__xludf.DUMMYFUNCTION("""COMPUTED_VALUE"""),"A1-Charizard")</f>
        <v>A1-Charizard</v>
      </c>
      <c r="V26" s="278" t="str">
        <f>IFERROR(__xludf.DUMMYFUNCTION("""COMPUTED_VALUE"""),"♢♢♢♢")</f>
        <v>♢♢♢♢</v>
      </c>
      <c r="W26" s="443">
        <f t="array" ref="W26">IFERROR(IFS(OR(U26="A1-Mewtwo", U26="A1-Pikachu", U26="A1-Charizard", U26="A1"), $B$5-XLOOKUP(S26, 'Genetic Apex'!$C$2:$C889, 'Genetic Apex'!$B$2:$B889), U26="A1a", $B$5-XLOOKUP(S26, 'Mythical Island'!$C$2:$C889, 'Mythical Island'!$B$2:$B889), OR(U26="A2-Dialga", U26="A2-Palkia", U26="A2"), $B$5-XLOOKUP(S26, 'Space-Time Smackdown'!$C$2:$C889, 'Space-Time Smackdown'!$B$2:$B889)))</f>
        <v>1</v>
      </c>
      <c r="X26" s="444">
        <f t="shared" si="3"/>
        <v>500</v>
      </c>
      <c r="Y26" s="445">
        <f t="shared" si="4"/>
        <v>500</v>
      </c>
      <c r="Z26" s="278"/>
      <c r="AA26" s="466"/>
      <c r="AB26" s="278"/>
      <c r="AC26" s="278"/>
      <c r="AD26" s="278"/>
      <c r="AE26" s="278"/>
      <c r="AF26" s="278"/>
      <c r="AG26" s="278" t="b">
        <f t="shared" si="5"/>
        <v>0</v>
      </c>
      <c r="AH26" s="454"/>
      <c r="AI26" s="278"/>
      <c r="AJ26" s="278"/>
      <c r="AK26" s="278"/>
      <c r="AL26" s="444" t="str">
        <f t="array" ref="AL26">IFERROR(IFS(OR(AJ26="A1-Mewtwo", AJ26="A1-Pikachu", AJ26="A1-Charizard", AJ26="A1"), XLOOKUP(AH26, 'Genetic Apex'!$C$2:$C889, 'Genetic Apex'!$B$2:$B889)-2, AJ26="A1a", XLOOKUP(AH26, 'Mythical Island'!$C$2:$C889, 'Mythical Island'!$B$2:$B889)-2, OR(AJ26="A2-Dialga", AJ26="A2-Palkia", AJ26="A2"), XLOOKUP(AH26, 'Space-Time Smackdown'!$C$2:$C889, 'Space-Time Smackdown'!$B$2:$B889)-2))</f>
        <v/>
      </c>
      <c r="AM26" s="444" t="str">
        <f t="shared" si="6"/>
        <v/>
      </c>
      <c r="AN26" s="448" t="str">
        <f t="shared" si="7"/>
        <v/>
      </c>
    </row>
    <row r="27">
      <c r="A27" s="277"/>
      <c r="B27" s="277"/>
      <c r="C27" s="441"/>
      <c r="D27" s="277"/>
      <c r="E27" s="277"/>
      <c r="F27" s="277"/>
      <c r="G27" s="277"/>
      <c r="H27" s="277" t="b">
        <f t="shared" si="1"/>
        <v>0</v>
      </c>
      <c r="I27" s="277" t="str">
        <f>IFERROR(__xludf.DUMMYFUNCTION("""COMPUTED_VALUE"""),"A1 024")</f>
        <v>A1 024</v>
      </c>
      <c r="J27" s="277" t="str">
        <f>IFERROR(__xludf.DUMMYFUNCTION("""COMPUTED_VALUE"""),"Tangela")</f>
        <v>Tangela</v>
      </c>
      <c r="K27" s="277" t="str">
        <f>IFERROR(__xludf.DUMMYFUNCTION("""COMPUTED_VALUE"""),"A1-Charizard")</f>
        <v>A1-Charizard</v>
      </c>
      <c r="L27" s="277" t="str">
        <f>IFERROR(__xludf.DUMMYFUNCTION("""COMPUTED_VALUE"""),"♢")</f>
        <v>♢</v>
      </c>
      <c r="M27" s="440" t="b">
        <f t="shared" si="2"/>
        <v>1</v>
      </c>
      <c r="N27" s="441"/>
      <c r="O27" s="277"/>
      <c r="P27" s="277"/>
      <c r="Q27" s="278"/>
      <c r="R27" s="449" t="str">
        <f t="array" ref="R27">IFERROR(IFS(OR(P27="A1-Mewtwo", P27="A1-Pikachu", P27="A1-Charizard", P27="A1"), XLOOKUP(N27, 'Genetic Apex'!$C$2:$C889, 'Genetic Apex'!$B$2:$B889)-$B$4, P27="A1a", XLOOKUP(N27, 'Mythical Island'!$C$2:$C889, 'Mythical Island'!$B$2:$B889)-$B$4, OR(P27="A2-Dialga", P27="A2-Palkia", P27="A2"), XLOOKUP(N27, 'Space-Time Smackdown'!$C$2:$C889, 'Space-Time Smackdown'!$B$2:$B889)-$B$4))</f>
        <v/>
      </c>
      <c r="S27" s="277" t="str">
        <f>IFERROR(__xludf.DUMMYFUNCTION("""COMPUTED_VALUE"""),"A1 024")</f>
        <v>A1 024</v>
      </c>
      <c r="T27" s="277" t="str">
        <f>IFERROR(__xludf.DUMMYFUNCTION("""COMPUTED_VALUE"""),"Tangela")</f>
        <v>Tangela</v>
      </c>
      <c r="U27" s="277" t="str">
        <f>IFERROR(__xludf.DUMMYFUNCTION("""COMPUTED_VALUE"""),"A1-Charizard")</f>
        <v>A1-Charizard</v>
      </c>
      <c r="V27" s="278" t="str">
        <f>IFERROR(__xludf.DUMMYFUNCTION("""COMPUTED_VALUE"""),"♢")</f>
        <v>♢</v>
      </c>
      <c r="W27" s="443">
        <f t="array" ref="W27">IFERROR(IFS(OR(U27="A1-Mewtwo", U27="A1-Pikachu", U27="A1-Charizard", U27="A1"), $B$5-XLOOKUP(S27, 'Genetic Apex'!$C$2:$C889, 'Genetic Apex'!$B$2:$B889), U27="A1a", $B$5-XLOOKUP(S27, 'Mythical Island'!$C$2:$C889, 'Mythical Island'!$B$2:$B889), OR(U27="A2-Dialga", U27="A2-Palkia", U27="A2"), $B$5-XLOOKUP(S27, 'Space-Time Smackdown'!$C$2:$C889, 'Space-Time Smackdown'!$B$2:$B889)))</f>
        <v>1</v>
      </c>
      <c r="X27" s="444">
        <f t="shared" si="3"/>
        <v>0</v>
      </c>
      <c r="Y27" s="445" t="str">
        <f t="shared" si="4"/>
        <v/>
      </c>
      <c r="Z27" s="278"/>
      <c r="AA27" s="466"/>
      <c r="AB27" s="278"/>
      <c r="AC27" s="278"/>
      <c r="AD27" s="278"/>
      <c r="AE27" s="278"/>
      <c r="AF27" s="278"/>
      <c r="AG27" s="278" t="b">
        <f t="shared" si="5"/>
        <v>0</v>
      </c>
      <c r="AH27" s="454"/>
      <c r="AI27" s="278"/>
      <c r="AJ27" s="278"/>
      <c r="AK27" s="278"/>
      <c r="AL27" s="444" t="str">
        <f t="array" ref="AL27">IFERROR(IFS(OR(AJ27="A1-Mewtwo", AJ27="A1-Pikachu", AJ27="A1-Charizard", AJ27="A1"), XLOOKUP(AH27, 'Genetic Apex'!$C$2:$C889, 'Genetic Apex'!$B$2:$B889)-2, AJ27="A1a", XLOOKUP(AH27, 'Mythical Island'!$C$2:$C889, 'Mythical Island'!$B$2:$B889)-2, OR(AJ27="A2-Dialga", AJ27="A2-Palkia", AJ27="A2"), XLOOKUP(AH27, 'Space-Time Smackdown'!$C$2:$C889, 'Space-Time Smackdown'!$B$2:$B889)-2))</f>
        <v/>
      </c>
      <c r="AM27" s="444" t="str">
        <f t="shared" si="6"/>
        <v/>
      </c>
      <c r="AN27" s="448" t="str">
        <f t="shared" si="7"/>
        <v/>
      </c>
    </row>
    <row r="28">
      <c r="A28" s="277"/>
      <c r="B28" s="277"/>
      <c r="C28" s="441"/>
      <c r="D28" s="277"/>
      <c r="E28" s="277"/>
      <c r="F28" s="277"/>
      <c r="G28" s="277"/>
      <c r="H28" s="277" t="b">
        <f t="shared" si="1"/>
        <v>0</v>
      </c>
      <c r="I28" s="277" t="str">
        <f>IFERROR(__xludf.DUMMYFUNCTION("""COMPUTED_VALUE"""),"A1 025")</f>
        <v>A1 025</v>
      </c>
      <c r="J28" s="277" t="str">
        <f>IFERROR(__xludf.DUMMYFUNCTION("""COMPUTED_VALUE"""),"Scyther")</f>
        <v>Scyther</v>
      </c>
      <c r="K28" s="277" t="str">
        <f>IFERROR(__xludf.DUMMYFUNCTION("""COMPUTED_VALUE"""),"A1-Mewtwo")</f>
        <v>A1-Mewtwo</v>
      </c>
      <c r="L28" s="277" t="str">
        <f>IFERROR(__xludf.DUMMYFUNCTION("""COMPUTED_VALUE"""),"♢")</f>
        <v>♢</v>
      </c>
      <c r="M28" s="440" t="b">
        <f t="shared" si="2"/>
        <v>1</v>
      </c>
      <c r="N28" s="441"/>
      <c r="O28" s="277"/>
      <c r="P28" s="277"/>
      <c r="Q28" s="278"/>
      <c r="R28" s="449" t="str">
        <f t="array" ref="R28">IFERROR(IFS(OR(P28="A1-Mewtwo", P28="A1-Pikachu", P28="A1-Charizard", P28="A1"), XLOOKUP(N28, 'Genetic Apex'!$C$2:$C889, 'Genetic Apex'!$B$2:$B889)-$B$4, P28="A1a", XLOOKUP(N28, 'Mythical Island'!$C$2:$C889, 'Mythical Island'!$B$2:$B889)-$B$4, OR(P28="A2-Dialga", P28="A2-Palkia", P28="A2"), XLOOKUP(N28, 'Space-Time Smackdown'!$C$2:$C889, 'Space-Time Smackdown'!$B$2:$B889)-$B$4))</f>
        <v/>
      </c>
      <c r="S28" s="277" t="str">
        <f>IFERROR(__xludf.DUMMYFUNCTION("""COMPUTED_VALUE"""),"A1 025")</f>
        <v>A1 025</v>
      </c>
      <c r="T28" s="277" t="str">
        <f>IFERROR(__xludf.DUMMYFUNCTION("""COMPUTED_VALUE"""),"Scyther")</f>
        <v>Scyther</v>
      </c>
      <c r="U28" s="277" t="str">
        <f>IFERROR(__xludf.DUMMYFUNCTION("""COMPUTED_VALUE"""),"A1-Mewtwo")</f>
        <v>A1-Mewtwo</v>
      </c>
      <c r="V28" s="278" t="str">
        <f>IFERROR(__xludf.DUMMYFUNCTION("""COMPUTED_VALUE"""),"♢")</f>
        <v>♢</v>
      </c>
      <c r="W28" s="443">
        <f t="array" ref="W28">IFERROR(IFS(OR(U28="A1-Mewtwo", U28="A1-Pikachu", U28="A1-Charizard", U28="A1"), $B$5-XLOOKUP(S28, 'Genetic Apex'!$C$2:$C889, 'Genetic Apex'!$B$2:$B889), U28="A1a", $B$5-XLOOKUP(S28, 'Mythical Island'!$C$2:$C889, 'Mythical Island'!$B$2:$B889), OR(U28="A2-Dialga", U28="A2-Palkia", U28="A2"), $B$5-XLOOKUP(S28, 'Space-Time Smackdown'!$C$2:$C889, 'Space-Time Smackdown'!$B$2:$B889)))</f>
        <v>1</v>
      </c>
      <c r="X28" s="444">
        <f t="shared" si="3"/>
        <v>0</v>
      </c>
      <c r="Y28" s="445" t="str">
        <f t="shared" si="4"/>
        <v/>
      </c>
      <c r="Z28" s="278"/>
      <c r="AA28" s="466"/>
      <c r="AB28" s="278"/>
      <c r="AC28" s="278"/>
      <c r="AD28" s="278"/>
      <c r="AE28" s="278"/>
      <c r="AF28" s="278"/>
      <c r="AG28" s="278" t="b">
        <f t="shared" si="5"/>
        <v>0</v>
      </c>
      <c r="AH28" s="454"/>
      <c r="AI28" s="278"/>
      <c r="AJ28" s="278"/>
      <c r="AK28" s="278"/>
      <c r="AL28" s="444" t="str">
        <f t="array" ref="AL28">IFERROR(IFS(OR(AJ28="A1-Mewtwo", AJ28="A1-Pikachu", AJ28="A1-Charizard", AJ28="A1"), XLOOKUP(AH28, 'Genetic Apex'!$C$2:$C889, 'Genetic Apex'!$B$2:$B889)-2, AJ28="A1a", XLOOKUP(AH28, 'Mythical Island'!$C$2:$C889, 'Mythical Island'!$B$2:$B889)-2, OR(AJ28="A2-Dialga", AJ28="A2-Palkia", AJ28="A2"), XLOOKUP(AH28, 'Space-Time Smackdown'!$C$2:$C889, 'Space-Time Smackdown'!$B$2:$B889)-2))</f>
        <v/>
      </c>
      <c r="AM28" s="444" t="str">
        <f t="shared" si="6"/>
        <v/>
      </c>
      <c r="AN28" s="448" t="str">
        <f t="shared" si="7"/>
        <v/>
      </c>
    </row>
    <row r="29">
      <c r="A29" s="277"/>
      <c r="B29" s="277"/>
      <c r="C29" s="441"/>
      <c r="D29" s="277"/>
      <c r="E29" s="277"/>
      <c r="F29" s="277"/>
      <c r="G29" s="277"/>
      <c r="H29" s="277" t="b">
        <f t="shared" si="1"/>
        <v>0</v>
      </c>
      <c r="I29" s="277" t="str">
        <f>IFERROR(__xludf.DUMMYFUNCTION("""COMPUTED_VALUE"""),"A1 026")</f>
        <v>A1 026</v>
      </c>
      <c r="J29" s="277" t="str">
        <f>IFERROR(__xludf.DUMMYFUNCTION("""COMPUTED_VALUE"""),"Pinsir")</f>
        <v>Pinsir</v>
      </c>
      <c r="K29" s="277" t="str">
        <f>IFERROR(__xludf.DUMMYFUNCTION("""COMPUTED_VALUE"""),"A1")</f>
        <v>A1</v>
      </c>
      <c r="L29" s="277" t="str">
        <f>IFERROR(__xludf.DUMMYFUNCTION("""COMPUTED_VALUE"""),"♢♢")</f>
        <v>♢♢</v>
      </c>
      <c r="M29" s="440" t="b">
        <f t="shared" si="2"/>
        <v>1</v>
      </c>
      <c r="N29" s="441"/>
      <c r="O29" s="277"/>
      <c r="P29" s="277"/>
      <c r="Q29" s="278"/>
      <c r="R29" s="449" t="str">
        <f t="array" ref="R29">IFERROR(IFS(OR(P29="A1-Mewtwo", P29="A1-Pikachu", P29="A1-Charizard", P29="A1"), XLOOKUP(N29, 'Genetic Apex'!$C$2:$C889, 'Genetic Apex'!$B$2:$B889)-$B$4, P29="A1a", XLOOKUP(N29, 'Mythical Island'!$C$2:$C889, 'Mythical Island'!$B$2:$B889)-$B$4, OR(P29="A2-Dialga", P29="A2-Palkia", P29="A2"), XLOOKUP(N29, 'Space-Time Smackdown'!$C$2:$C889, 'Space-Time Smackdown'!$B$2:$B889)-$B$4))</f>
        <v/>
      </c>
      <c r="S29" s="277" t="str">
        <f>IFERROR(__xludf.DUMMYFUNCTION("""COMPUTED_VALUE"""),"A1 026")</f>
        <v>A1 026</v>
      </c>
      <c r="T29" s="277" t="str">
        <f>IFERROR(__xludf.DUMMYFUNCTION("""COMPUTED_VALUE"""),"Pinsir")</f>
        <v>Pinsir</v>
      </c>
      <c r="U29" s="277" t="str">
        <f>IFERROR(__xludf.DUMMYFUNCTION("""COMPUTED_VALUE"""),"A1")</f>
        <v>A1</v>
      </c>
      <c r="V29" s="278" t="str">
        <f>IFERROR(__xludf.DUMMYFUNCTION("""COMPUTED_VALUE"""),"♢♢")</f>
        <v>♢♢</v>
      </c>
      <c r="W29" s="443">
        <f t="array" ref="W29">IFERROR(IFS(OR(U29="A1-Mewtwo", U29="A1-Pikachu", U29="A1-Charizard", U29="A1"), $B$5-XLOOKUP(S29, 'Genetic Apex'!$C$2:$C889, 'Genetic Apex'!$B$2:$B889), U29="A1a", $B$5-XLOOKUP(S29, 'Mythical Island'!$C$2:$C889, 'Mythical Island'!$B$2:$B889), OR(U29="A2-Dialga", U29="A2-Palkia", U29="A2"), $B$5-XLOOKUP(S29, 'Space-Time Smackdown'!$C$2:$C889, 'Space-Time Smackdown'!$B$2:$B889)))</f>
        <v>1</v>
      </c>
      <c r="X29" s="444">
        <f t="shared" si="3"/>
        <v>0</v>
      </c>
      <c r="Y29" s="445" t="str">
        <f t="shared" si="4"/>
        <v/>
      </c>
      <c r="Z29" s="278"/>
      <c r="AA29" s="466"/>
      <c r="AB29" s="278"/>
      <c r="AC29" s="278"/>
      <c r="AD29" s="278"/>
      <c r="AE29" s="278"/>
      <c r="AF29" s="278"/>
      <c r="AG29" s="278" t="b">
        <f t="shared" si="5"/>
        <v>0</v>
      </c>
      <c r="AH29" s="454"/>
      <c r="AI29" s="278"/>
      <c r="AJ29" s="278"/>
      <c r="AK29" s="278"/>
      <c r="AL29" s="444" t="str">
        <f t="array" ref="AL29">IFERROR(IFS(OR(AJ29="A1-Mewtwo", AJ29="A1-Pikachu", AJ29="A1-Charizard", AJ29="A1"), XLOOKUP(AH29, 'Genetic Apex'!$C$2:$C889, 'Genetic Apex'!$B$2:$B889)-2, AJ29="A1a", XLOOKUP(AH29, 'Mythical Island'!$C$2:$C889, 'Mythical Island'!$B$2:$B889)-2, OR(AJ29="A2-Dialga", AJ29="A2-Palkia", AJ29="A2"), XLOOKUP(AH29, 'Space-Time Smackdown'!$C$2:$C889, 'Space-Time Smackdown'!$B$2:$B889)-2))</f>
        <v/>
      </c>
      <c r="AM29" s="444" t="str">
        <f t="shared" si="6"/>
        <v/>
      </c>
      <c r="AN29" s="448" t="str">
        <f t="shared" si="7"/>
        <v/>
      </c>
    </row>
    <row r="30">
      <c r="A30" s="277"/>
      <c r="B30" s="277"/>
      <c r="C30" s="441"/>
      <c r="D30" s="277"/>
      <c r="E30" s="277"/>
      <c r="F30" s="277"/>
      <c r="G30" s="277"/>
      <c r="H30" s="277" t="b">
        <f t="shared" si="1"/>
        <v>0</v>
      </c>
      <c r="I30" s="277" t="str">
        <f>IFERROR(__xludf.DUMMYFUNCTION("""COMPUTED_VALUE"""),"A1 027")</f>
        <v>A1 027</v>
      </c>
      <c r="J30" s="277" t="str">
        <f>IFERROR(__xludf.DUMMYFUNCTION("""COMPUTED_VALUE"""),"Cottonee")</f>
        <v>Cottonee</v>
      </c>
      <c r="K30" s="277" t="str">
        <f>IFERROR(__xludf.DUMMYFUNCTION("""COMPUTED_VALUE"""),"A1")</f>
        <v>A1</v>
      </c>
      <c r="L30" s="277" t="str">
        <f>IFERROR(__xludf.DUMMYFUNCTION("""COMPUTED_VALUE"""),"♢")</f>
        <v>♢</v>
      </c>
      <c r="M30" s="440" t="b">
        <f t="shared" si="2"/>
        <v>1</v>
      </c>
      <c r="N30" s="441"/>
      <c r="O30" s="277"/>
      <c r="P30" s="277"/>
      <c r="Q30" s="278"/>
      <c r="R30" s="449" t="str">
        <f t="array" ref="R30">IFERROR(IFS(OR(P30="A1-Mewtwo", P30="A1-Pikachu", P30="A1-Charizard", P30="A1"), XLOOKUP(N30, 'Genetic Apex'!$C$2:$C889, 'Genetic Apex'!$B$2:$B889)-$B$4, P30="A1a", XLOOKUP(N30, 'Mythical Island'!$C$2:$C889, 'Mythical Island'!$B$2:$B889)-$B$4, OR(P30="A2-Dialga", P30="A2-Palkia", P30="A2"), XLOOKUP(N30, 'Space-Time Smackdown'!$C$2:$C889, 'Space-Time Smackdown'!$B$2:$B889)-$B$4))</f>
        <v/>
      </c>
      <c r="S30" s="277" t="str">
        <f>IFERROR(__xludf.DUMMYFUNCTION("""COMPUTED_VALUE"""),"A1 027")</f>
        <v>A1 027</v>
      </c>
      <c r="T30" s="277" t="str">
        <f>IFERROR(__xludf.DUMMYFUNCTION("""COMPUTED_VALUE"""),"Cottonee")</f>
        <v>Cottonee</v>
      </c>
      <c r="U30" s="277" t="str">
        <f>IFERROR(__xludf.DUMMYFUNCTION("""COMPUTED_VALUE"""),"A1")</f>
        <v>A1</v>
      </c>
      <c r="V30" s="278" t="str">
        <f>IFERROR(__xludf.DUMMYFUNCTION("""COMPUTED_VALUE"""),"♢")</f>
        <v>♢</v>
      </c>
      <c r="W30" s="443">
        <f t="array" ref="W30">IFERROR(IFS(OR(U30="A1-Mewtwo", U30="A1-Pikachu", U30="A1-Charizard", U30="A1"), $B$5-XLOOKUP(S30, 'Genetic Apex'!$C$2:$C889, 'Genetic Apex'!$B$2:$B889), U30="A1a", $B$5-XLOOKUP(S30, 'Mythical Island'!$C$2:$C889, 'Mythical Island'!$B$2:$B889), OR(U30="A2-Dialga", U30="A2-Palkia", U30="A2"), $B$5-XLOOKUP(S30, 'Space-Time Smackdown'!$C$2:$C889, 'Space-Time Smackdown'!$B$2:$B889)))</f>
        <v>1</v>
      </c>
      <c r="X30" s="444">
        <f t="shared" si="3"/>
        <v>0</v>
      </c>
      <c r="Y30" s="445" t="str">
        <f t="shared" si="4"/>
        <v/>
      </c>
      <c r="Z30" s="278"/>
      <c r="AA30" s="466"/>
      <c r="AB30" s="278"/>
      <c r="AC30" s="278"/>
      <c r="AD30" s="278"/>
      <c r="AE30" s="278"/>
      <c r="AF30" s="278"/>
      <c r="AG30" s="278" t="b">
        <f t="shared" si="5"/>
        <v>0</v>
      </c>
      <c r="AH30" s="454"/>
      <c r="AI30" s="278"/>
      <c r="AJ30" s="278"/>
      <c r="AK30" s="278"/>
      <c r="AL30" s="444" t="str">
        <f t="array" ref="AL30">IFERROR(IFS(OR(AJ30="A1-Mewtwo", AJ30="A1-Pikachu", AJ30="A1-Charizard", AJ30="A1"), XLOOKUP(AH30, 'Genetic Apex'!$C$2:$C889, 'Genetic Apex'!$B$2:$B889)-2, AJ30="A1a", XLOOKUP(AH30, 'Mythical Island'!$C$2:$C889, 'Mythical Island'!$B$2:$B889)-2, OR(AJ30="A2-Dialga", AJ30="A2-Palkia", AJ30="A2"), XLOOKUP(AH30, 'Space-Time Smackdown'!$C$2:$C889, 'Space-Time Smackdown'!$B$2:$B889)-2))</f>
        <v/>
      </c>
      <c r="AM30" s="444" t="str">
        <f t="shared" si="6"/>
        <v/>
      </c>
      <c r="AN30" s="448" t="str">
        <f t="shared" si="7"/>
        <v/>
      </c>
    </row>
    <row r="31">
      <c r="A31" s="277"/>
      <c r="B31" s="277"/>
      <c r="C31" s="441"/>
      <c r="D31" s="277"/>
      <c r="E31" s="277"/>
      <c r="F31" s="277"/>
      <c r="G31" s="277"/>
      <c r="H31" s="277" t="b">
        <f t="shared" si="1"/>
        <v>0</v>
      </c>
      <c r="I31" s="277" t="str">
        <f>IFERROR(__xludf.DUMMYFUNCTION("""COMPUTED_VALUE"""),"A1 028")</f>
        <v>A1 028</v>
      </c>
      <c r="J31" s="277" t="str">
        <f>IFERROR(__xludf.DUMMYFUNCTION("""COMPUTED_VALUE"""),"Whimsicott")</f>
        <v>Whimsicott</v>
      </c>
      <c r="K31" s="277" t="str">
        <f>IFERROR(__xludf.DUMMYFUNCTION("""COMPUTED_VALUE"""),"A1")</f>
        <v>A1</v>
      </c>
      <c r="L31" s="277" t="str">
        <f>IFERROR(__xludf.DUMMYFUNCTION("""COMPUTED_VALUE"""),"♢♢")</f>
        <v>♢♢</v>
      </c>
      <c r="M31" s="440" t="b">
        <f t="shared" si="2"/>
        <v>1</v>
      </c>
      <c r="N31" s="441"/>
      <c r="O31" s="277"/>
      <c r="P31" s="277"/>
      <c r="Q31" s="278"/>
      <c r="R31" s="449" t="str">
        <f t="array" ref="R31">IFERROR(IFS(OR(P31="A1-Mewtwo", P31="A1-Pikachu", P31="A1-Charizard", P31="A1"), XLOOKUP(N31, 'Genetic Apex'!$C$2:$C889, 'Genetic Apex'!$B$2:$B889)-$B$4, P31="A1a", XLOOKUP(N31, 'Mythical Island'!$C$2:$C889, 'Mythical Island'!$B$2:$B889)-$B$4, OR(P31="A2-Dialga", P31="A2-Palkia", P31="A2"), XLOOKUP(N31, 'Space-Time Smackdown'!$C$2:$C889, 'Space-Time Smackdown'!$B$2:$B889)-$B$4))</f>
        <v/>
      </c>
      <c r="S31" s="277" t="str">
        <f>IFERROR(__xludf.DUMMYFUNCTION("""COMPUTED_VALUE"""),"A1 028")</f>
        <v>A1 028</v>
      </c>
      <c r="T31" s="277" t="str">
        <f>IFERROR(__xludf.DUMMYFUNCTION("""COMPUTED_VALUE"""),"Whimsicott")</f>
        <v>Whimsicott</v>
      </c>
      <c r="U31" s="277" t="str">
        <f>IFERROR(__xludf.DUMMYFUNCTION("""COMPUTED_VALUE"""),"A1")</f>
        <v>A1</v>
      </c>
      <c r="V31" s="278" t="str">
        <f>IFERROR(__xludf.DUMMYFUNCTION("""COMPUTED_VALUE"""),"♢♢")</f>
        <v>♢♢</v>
      </c>
      <c r="W31" s="443">
        <f t="array" ref="W31">IFERROR(IFS(OR(U31="A1-Mewtwo", U31="A1-Pikachu", U31="A1-Charizard", U31="A1"), $B$5-XLOOKUP(S31, 'Genetic Apex'!$C$2:$C889, 'Genetic Apex'!$B$2:$B889), U31="A1a", $B$5-XLOOKUP(S31, 'Mythical Island'!$C$2:$C889, 'Mythical Island'!$B$2:$B889), OR(U31="A2-Dialga", U31="A2-Palkia", U31="A2"), $B$5-XLOOKUP(S31, 'Space-Time Smackdown'!$C$2:$C889, 'Space-Time Smackdown'!$B$2:$B889)))</f>
        <v>1</v>
      </c>
      <c r="X31" s="444">
        <f t="shared" si="3"/>
        <v>0</v>
      </c>
      <c r="Y31" s="445" t="str">
        <f t="shared" si="4"/>
        <v/>
      </c>
      <c r="Z31" s="278"/>
      <c r="AA31" s="466"/>
      <c r="AB31" s="278"/>
      <c r="AC31" s="278"/>
      <c r="AD31" s="278"/>
      <c r="AE31" s="278"/>
      <c r="AF31" s="278"/>
      <c r="AG31" s="278" t="b">
        <f t="shared" si="5"/>
        <v>0</v>
      </c>
      <c r="AH31" s="454"/>
      <c r="AI31" s="278"/>
      <c r="AJ31" s="278"/>
      <c r="AK31" s="278"/>
      <c r="AL31" s="444" t="str">
        <f t="array" ref="AL31">IFERROR(IFS(OR(AJ31="A1-Mewtwo", AJ31="A1-Pikachu", AJ31="A1-Charizard", AJ31="A1"), XLOOKUP(AH31, 'Genetic Apex'!$C$2:$C889, 'Genetic Apex'!$B$2:$B889)-2, AJ31="A1a", XLOOKUP(AH31, 'Mythical Island'!$C$2:$C889, 'Mythical Island'!$B$2:$B889)-2, OR(AJ31="A2-Dialga", AJ31="A2-Palkia", AJ31="A2"), XLOOKUP(AH31, 'Space-Time Smackdown'!$C$2:$C889, 'Space-Time Smackdown'!$B$2:$B889)-2))</f>
        <v/>
      </c>
      <c r="AM31" s="444" t="str">
        <f t="shared" si="6"/>
        <v/>
      </c>
      <c r="AN31" s="448" t="str">
        <f t="shared" si="7"/>
        <v/>
      </c>
    </row>
    <row r="32">
      <c r="A32" s="277"/>
      <c r="B32" s="277"/>
      <c r="C32" s="441"/>
      <c r="D32" s="277"/>
      <c r="E32" s="277"/>
      <c r="F32" s="277"/>
      <c r="G32" s="277"/>
      <c r="H32" s="277" t="b">
        <f t="shared" si="1"/>
        <v>0</v>
      </c>
      <c r="I32" s="277" t="str">
        <f>IFERROR(__xludf.DUMMYFUNCTION("""COMPUTED_VALUE"""),"A1 029")</f>
        <v>A1 029</v>
      </c>
      <c r="J32" s="277" t="str">
        <f>IFERROR(__xludf.DUMMYFUNCTION("""COMPUTED_VALUE"""),"Petilil")</f>
        <v>Petilil</v>
      </c>
      <c r="K32" s="277" t="str">
        <f>IFERROR(__xludf.DUMMYFUNCTION("""COMPUTED_VALUE"""),"A1")</f>
        <v>A1</v>
      </c>
      <c r="L32" s="277" t="str">
        <f>IFERROR(__xludf.DUMMYFUNCTION("""COMPUTED_VALUE"""),"♢")</f>
        <v>♢</v>
      </c>
      <c r="M32" s="440" t="b">
        <f t="shared" si="2"/>
        <v>1</v>
      </c>
      <c r="N32" s="441"/>
      <c r="O32" s="277"/>
      <c r="P32" s="277"/>
      <c r="Q32" s="278"/>
      <c r="R32" s="449" t="str">
        <f t="array" ref="R32">IFERROR(IFS(OR(P32="A1-Mewtwo", P32="A1-Pikachu", P32="A1-Charizard", P32="A1"), XLOOKUP(N32, 'Genetic Apex'!$C$2:$C889, 'Genetic Apex'!$B$2:$B889)-$B$4, P32="A1a", XLOOKUP(N32, 'Mythical Island'!$C$2:$C889, 'Mythical Island'!$B$2:$B889)-$B$4, OR(P32="A2-Dialga", P32="A2-Palkia", P32="A2"), XLOOKUP(N32, 'Space-Time Smackdown'!$C$2:$C889, 'Space-Time Smackdown'!$B$2:$B889)-$B$4))</f>
        <v/>
      </c>
      <c r="S32" s="277" t="str">
        <f>IFERROR(__xludf.DUMMYFUNCTION("""COMPUTED_VALUE"""),"A1 029")</f>
        <v>A1 029</v>
      </c>
      <c r="T32" s="277" t="str">
        <f>IFERROR(__xludf.DUMMYFUNCTION("""COMPUTED_VALUE"""),"Petilil")</f>
        <v>Petilil</v>
      </c>
      <c r="U32" s="277" t="str">
        <f>IFERROR(__xludf.DUMMYFUNCTION("""COMPUTED_VALUE"""),"A1")</f>
        <v>A1</v>
      </c>
      <c r="V32" s="278" t="str">
        <f>IFERROR(__xludf.DUMMYFUNCTION("""COMPUTED_VALUE"""),"♢")</f>
        <v>♢</v>
      </c>
      <c r="W32" s="443">
        <f t="array" ref="W32">IFERROR(IFS(OR(U32="A1-Mewtwo", U32="A1-Pikachu", U32="A1-Charizard", U32="A1"), $B$5-XLOOKUP(S32, 'Genetic Apex'!$C$2:$C889, 'Genetic Apex'!$B$2:$B889), U32="A1a", $B$5-XLOOKUP(S32, 'Mythical Island'!$C$2:$C889, 'Mythical Island'!$B$2:$B889), OR(U32="A2-Dialga", U32="A2-Palkia", U32="A2"), $B$5-XLOOKUP(S32, 'Space-Time Smackdown'!$C$2:$C889, 'Space-Time Smackdown'!$B$2:$B889)))</f>
        <v>1</v>
      </c>
      <c r="X32" s="444">
        <f t="shared" si="3"/>
        <v>0</v>
      </c>
      <c r="Y32" s="445" t="str">
        <f t="shared" si="4"/>
        <v/>
      </c>
      <c r="Z32" s="278"/>
      <c r="AA32" s="466"/>
      <c r="AB32" s="278"/>
      <c r="AC32" s="278"/>
      <c r="AD32" s="278"/>
      <c r="AE32" s="278"/>
      <c r="AF32" s="278"/>
      <c r="AG32" s="278" t="b">
        <f t="shared" si="5"/>
        <v>0</v>
      </c>
      <c r="AH32" s="454"/>
      <c r="AI32" s="278"/>
      <c r="AJ32" s="278"/>
      <c r="AK32" s="278"/>
      <c r="AL32" s="444" t="str">
        <f t="array" ref="AL32">IFERROR(IFS(OR(AJ32="A1-Mewtwo", AJ32="A1-Pikachu", AJ32="A1-Charizard", AJ32="A1"), XLOOKUP(AH32, 'Genetic Apex'!$C$2:$C889, 'Genetic Apex'!$B$2:$B889)-2, AJ32="A1a", XLOOKUP(AH32, 'Mythical Island'!$C$2:$C889, 'Mythical Island'!$B$2:$B889)-2, OR(AJ32="A2-Dialga", AJ32="A2-Palkia", AJ32="A2"), XLOOKUP(AH32, 'Space-Time Smackdown'!$C$2:$C889, 'Space-Time Smackdown'!$B$2:$B889)-2))</f>
        <v/>
      </c>
      <c r="AM32" s="444" t="str">
        <f t="shared" si="6"/>
        <v/>
      </c>
      <c r="AN32" s="448" t="str">
        <f t="shared" si="7"/>
        <v/>
      </c>
    </row>
    <row r="33">
      <c r="A33" s="277"/>
      <c r="B33" s="277"/>
      <c r="C33" s="441"/>
      <c r="D33" s="277"/>
      <c r="E33" s="277"/>
      <c r="F33" s="277"/>
      <c r="G33" s="277"/>
      <c r="H33" s="277" t="b">
        <f t="shared" si="1"/>
        <v>0</v>
      </c>
      <c r="I33" s="277" t="str">
        <f>IFERROR(__xludf.DUMMYFUNCTION("""COMPUTED_VALUE"""),"A1 030")</f>
        <v>A1 030</v>
      </c>
      <c r="J33" s="277" t="str">
        <f>IFERROR(__xludf.DUMMYFUNCTION("""COMPUTED_VALUE"""),"Lilligant")</f>
        <v>Lilligant</v>
      </c>
      <c r="K33" s="277" t="str">
        <f>IFERROR(__xludf.DUMMYFUNCTION("""COMPUTED_VALUE"""),"A1")</f>
        <v>A1</v>
      </c>
      <c r="L33" s="277" t="str">
        <f>IFERROR(__xludf.DUMMYFUNCTION("""COMPUTED_VALUE"""),"♢♢")</f>
        <v>♢♢</v>
      </c>
      <c r="M33" s="440" t="b">
        <f t="shared" si="2"/>
        <v>1</v>
      </c>
      <c r="N33" s="441"/>
      <c r="O33" s="277"/>
      <c r="P33" s="277"/>
      <c r="Q33" s="278"/>
      <c r="R33" s="449" t="str">
        <f t="array" ref="R33">IFERROR(IFS(OR(P33="A1-Mewtwo", P33="A1-Pikachu", P33="A1-Charizard", P33="A1"), XLOOKUP(N33, 'Genetic Apex'!$C$2:$C889, 'Genetic Apex'!$B$2:$B889)-$B$4, P33="A1a", XLOOKUP(N33, 'Mythical Island'!$C$2:$C889, 'Mythical Island'!$B$2:$B889)-$B$4, OR(P33="A2-Dialga", P33="A2-Palkia", P33="A2"), XLOOKUP(N33, 'Space-Time Smackdown'!$C$2:$C889, 'Space-Time Smackdown'!$B$2:$B889)-$B$4))</f>
        <v/>
      </c>
      <c r="S33" s="277" t="str">
        <f>IFERROR(__xludf.DUMMYFUNCTION("""COMPUTED_VALUE"""),"A1 030")</f>
        <v>A1 030</v>
      </c>
      <c r="T33" s="277" t="str">
        <f>IFERROR(__xludf.DUMMYFUNCTION("""COMPUTED_VALUE"""),"Lilligant")</f>
        <v>Lilligant</v>
      </c>
      <c r="U33" s="277" t="str">
        <f>IFERROR(__xludf.DUMMYFUNCTION("""COMPUTED_VALUE"""),"A1")</f>
        <v>A1</v>
      </c>
      <c r="V33" s="278" t="str">
        <f>IFERROR(__xludf.DUMMYFUNCTION("""COMPUTED_VALUE"""),"♢♢")</f>
        <v>♢♢</v>
      </c>
      <c r="W33" s="443">
        <f t="array" ref="W33">IFERROR(IFS(OR(U33="A1-Mewtwo", U33="A1-Pikachu", U33="A1-Charizard", U33="A1"), $B$5-XLOOKUP(S33, 'Genetic Apex'!$C$2:$C889, 'Genetic Apex'!$B$2:$B889), U33="A1a", $B$5-XLOOKUP(S33, 'Mythical Island'!$C$2:$C889, 'Mythical Island'!$B$2:$B889), OR(U33="A2-Dialga", U33="A2-Palkia", U33="A2"), $B$5-XLOOKUP(S33, 'Space-Time Smackdown'!$C$2:$C889, 'Space-Time Smackdown'!$B$2:$B889)))</f>
        <v>1</v>
      </c>
      <c r="X33" s="444">
        <f t="shared" si="3"/>
        <v>0</v>
      </c>
      <c r="Y33" s="445" t="str">
        <f t="shared" si="4"/>
        <v/>
      </c>
      <c r="Z33" s="278"/>
      <c r="AA33" s="466"/>
      <c r="AB33" s="278"/>
      <c r="AC33" s="278"/>
      <c r="AD33" s="278"/>
      <c r="AE33" s="278"/>
      <c r="AF33" s="278"/>
      <c r="AG33" s="278" t="b">
        <f t="shared" si="5"/>
        <v>0</v>
      </c>
      <c r="AH33" s="454"/>
      <c r="AI33" s="278"/>
      <c r="AJ33" s="278"/>
      <c r="AK33" s="278"/>
      <c r="AL33" s="444" t="str">
        <f t="array" ref="AL33">IFERROR(IFS(OR(AJ33="A1-Mewtwo", AJ33="A1-Pikachu", AJ33="A1-Charizard", AJ33="A1"), XLOOKUP(AH33, 'Genetic Apex'!$C$2:$C889, 'Genetic Apex'!$B$2:$B889)-2, AJ33="A1a", XLOOKUP(AH33, 'Mythical Island'!$C$2:$C889, 'Mythical Island'!$B$2:$B889)-2, OR(AJ33="A2-Dialga", AJ33="A2-Palkia", AJ33="A2"), XLOOKUP(AH33, 'Space-Time Smackdown'!$C$2:$C889, 'Space-Time Smackdown'!$B$2:$B889)-2))</f>
        <v/>
      </c>
      <c r="AM33" s="444" t="str">
        <f t="shared" si="6"/>
        <v/>
      </c>
      <c r="AN33" s="448" t="str">
        <f t="shared" si="7"/>
        <v/>
      </c>
    </row>
    <row r="34">
      <c r="A34" s="277"/>
      <c r="B34" s="277"/>
      <c r="C34" s="441"/>
      <c r="D34" s="277"/>
      <c r="E34" s="277"/>
      <c r="F34" s="277"/>
      <c r="G34" s="277"/>
      <c r="H34" s="277" t="b">
        <f t="shared" si="1"/>
        <v>0</v>
      </c>
      <c r="I34" s="277" t="str">
        <f>IFERROR(__xludf.DUMMYFUNCTION("""COMPUTED_VALUE"""),"A1 031")</f>
        <v>A1 031</v>
      </c>
      <c r="J34" s="277" t="str">
        <f>IFERROR(__xludf.DUMMYFUNCTION("""COMPUTED_VALUE"""),"Skiddo")</f>
        <v>Skiddo</v>
      </c>
      <c r="K34" s="277" t="str">
        <f>IFERROR(__xludf.DUMMYFUNCTION("""COMPUTED_VALUE"""),"A1-Charizard")</f>
        <v>A1-Charizard</v>
      </c>
      <c r="L34" s="277" t="str">
        <f>IFERROR(__xludf.DUMMYFUNCTION("""COMPUTED_VALUE"""),"♢")</f>
        <v>♢</v>
      </c>
      <c r="M34" s="440" t="b">
        <f t="shared" si="2"/>
        <v>1</v>
      </c>
      <c r="N34" s="441"/>
      <c r="O34" s="277"/>
      <c r="P34" s="277"/>
      <c r="Q34" s="278"/>
      <c r="R34" s="449" t="str">
        <f t="array" ref="R34">IFERROR(IFS(OR(P34="A1-Mewtwo", P34="A1-Pikachu", P34="A1-Charizard", P34="A1"), XLOOKUP(N34, 'Genetic Apex'!$C$2:$C889, 'Genetic Apex'!$B$2:$B889)-$B$4, P34="A1a", XLOOKUP(N34, 'Mythical Island'!$C$2:$C889, 'Mythical Island'!$B$2:$B889)-$B$4, OR(P34="A2-Dialga", P34="A2-Palkia", P34="A2"), XLOOKUP(N34, 'Space-Time Smackdown'!$C$2:$C889, 'Space-Time Smackdown'!$B$2:$B889)-$B$4))</f>
        <v/>
      </c>
      <c r="S34" s="277" t="str">
        <f>IFERROR(__xludf.DUMMYFUNCTION("""COMPUTED_VALUE"""),"A1 031")</f>
        <v>A1 031</v>
      </c>
      <c r="T34" s="277" t="str">
        <f>IFERROR(__xludf.DUMMYFUNCTION("""COMPUTED_VALUE"""),"Skiddo")</f>
        <v>Skiddo</v>
      </c>
      <c r="U34" s="277" t="str">
        <f>IFERROR(__xludf.DUMMYFUNCTION("""COMPUTED_VALUE"""),"A1-Charizard")</f>
        <v>A1-Charizard</v>
      </c>
      <c r="V34" s="278" t="str">
        <f>IFERROR(__xludf.DUMMYFUNCTION("""COMPUTED_VALUE"""),"♢")</f>
        <v>♢</v>
      </c>
      <c r="W34" s="443">
        <f t="array" ref="W34">IFERROR(IFS(OR(U34="A1-Mewtwo", U34="A1-Pikachu", U34="A1-Charizard", U34="A1"), $B$5-XLOOKUP(S34, 'Genetic Apex'!$C$2:$C889, 'Genetic Apex'!$B$2:$B889), U34="A1a", $B$5-XLOOKUP(S34, 'Mythical Island'!$C$2:$C889, 'Mythical Island'!$B$2:$B889), OR(U34="A2-Dialga", U34="A2-Palkia", U34="A2"), $B$5-XLOOKUP(S34, 'Space-Time Smackdown'!$C$2:$C889, 'Space-Time Smackdown'!$B$2:$B889)))</f>
        <v>1</v>
      </c>
      <c r="X34" s="444">
        <f t="shared" si="3"/>
        <v>0</v>
      </c>
      <c r="Y34" s="445" t="str">
        <f t="shared" si="4"/>
        <v/>
      </c>
      <c r="Z34" s="278"/>
      <c r="AA34" s="466"/>
      <c r="AB34" s="278"/>
      <c r="AC34" s="278"/>
      <c r="AD34" s="278"/>
      <c r="AE34" s="278"/>
      <c r="AF34" s="278"/>
      <c r="AG34" s="278" t="b">
        <f t="shared" si="5"/>
        <v>0</v>
      </c>
      <c r="AH34" s="454"/>
      <c r="AI34" s="278"/>
      <c r="AJ34" s="278"/>
      <c r="AK34" s="278"/>
      <c r="AL34" s="444" t="str">
        <f t="array" ref="AL34">IFERROR(IFS(OR(AJ34="A1-Mewtwo", AJ34="A1-Pikachu", AJ34="A1-Charizard", AJ34="A1"), XLOOKUP(AH34, 'Genetic Apex'!$C$2:$C889, 'Genetic Apex'!$B$2:$B889)-2, AJ34="A1a", XLOOKUP(AH34, 'Mythical Island'!$C$2:$C889, 'Mythical Island'!$B$2:$B889)-2, OR(AJ34="A2-Dialga", AJ34="A2-Palkia", AJ34="A2"), XLOOKUP(AH34, 'Space-Time Smackdown'!$C$2:$C889, 'Space-Time Smackdown'!$B$2:$B889)-2))</f>
        <v/>
      </c>
      <c r="AM34" s="444" t="str">
        <f t="shared" si="6"/>
        <v/>
      </c>
      <c r="AN34" s="448" t="str">
        <f t="shared" si="7"/>
        <v/>
      </c>
    </row>
    <row r="35">
      <c r="A35" s="277"/>
      <c r="B35" s="277"/>
      <c r="C35" s="441"/>
      <c r="D35" s="277"/>
      <c r="E35" s="277"/>
      <c r="F35" s="277"/>
      <c r="G35" s="277"/>
      <c r="H35" s="277" t="b">
        <f t="shared" si="1"/>
        <v>0</v>
      </c>
      <c r="I35" s="277" t="str">
        <f>IFERROR(__xludf.DUMMYFUNCTION("""COMPUTED_VALUE"""),"A1 032")</f>
        <v>A1 032</v>
      </c>
      <c r="J35" s="277" t="str">
        <f>IFERROR(__xludf.DUMMYFUNCTION("""COMPUTED_VALUE"""),"Gogoat")</f>
        <v>Gogoat</v>
      </c>
      <c r="K35" s="277" t="str">
        <f>IFERROR(__xludf.DUMMYFUNCTION("""COMPUTED_VALUE"""),"A1-Charizard")</f>
        <v>A1-Charizard</v>
      </c>
      <c r="L35" s="277" t="str">
        <f>IFERROR(__xludf.DUMMYFUNCTION("""COMPUTED_VALUE"""),"♢")</f>
        <v>♢</v>
      </c>
      <c r="M35" s="440" t="b">
        <f t="shared" si="2"/>
        <v>1</v>
      </c>
      <c r="N35" s="441"/>
      <c r="O35" s="277"/>
      <c r="P35" s="277"/>
      <c r="Q35" s="278"/>
      <c r="R35" s="449" t="str">
        <f t="array" ref="R35">IFERROR(IFS(OR(P35="A1-Mewtwo", P35="A1-Pikachu", P35="A1-Charizard", P35="A1"), XLOOKUP(N35, 'Genetic Apex'!$C$2:$C889, 'Genetic Apex'!$B$2:$B889)-$B$4, P35="A1a", XLOOKUP(N35, 'Mythical Island'!$C$2:$C889, 'Mythical Island'!$B$2:$B889)-$B$4, OR(P35="A2-Dialga", P35="A2-Palkia", P35="A2"), XLOOKUP(N35, 'Space-Time Smackdown'!$C$2:$C889, 'Space-Time Smackdown'!$B$2:$B889)-$B$4))</f>
        <v/>
      </c>
      <c r="S35" s="277" t="str">
        <f>IFERROR(__xludf.DUMMYFUNCTION("""COMPUTED_VALUE"""),"A1 032")</f>
        <v>A1 032</v>
      </c>
      <c r="T35" s="277" t="str">
        <f>IFERROR(__xludf.DUMMYFUNCTION("""COMPUTED_VALUE"""),"Gogoat")</f>
        <v>Gogoat</v>
      </c>
      <c r="U35" s="277" t="str">
        <f>IFERROR(__xludf.DUMMYFUNCTION("""COMPUTED_VALUE"""),"A1-Charizard")</f>
        <v>A1-Charizard</v>
      </c>
      <c r="V35" s="278" t="str">
        <f>IFERROR(__xludf.DUMMYFUNCTION("""COMPUTED_VALUE"""),"♢")</f>
        <v>♢</v>
      </c>
      <c r="W35" s="443">
        <f t="array" ref="W35">IFERROR(IFS(OR(U35="A1-Mewtwo", U35="A1-Pikachu", U35="A1-Charizard", U35="A1"), $B$5-XLOOKUP(S35, 'Genetic Apex'!$C$2:$C889, 'Genetic Apex'!$B$2:$B889), U35="A1a", $B$5-XLOOKUP(S35, 'Mythical Island'!$C$2:$C889, 'Mythical Island'!$B$2:$B889), OR(U35="A2-Dialga", U35="A2-Palkia", U35="A2"), $B$5-XLOOKUP(S35, 'Space-Time Smackdown'!$C$2:$C889, 'Space-Time Smackdown'!$B$2:$B889)))</f>
        <v>1</v>
      </c>
      <c r="X35" s="444">
        <f t="shared" si="3"/>
        <v>0</v>
      </c>
      <c r="Y35" s="445" t="str">
        <f t="shared" si="4"/>
        <v/>
      </c>
      <c r="Z35" s="278"/>
      <c r="AA35" s="466"/>
      <c r="AB35" s="278"/>
      <c r="AC35" s="278"/>
      <c r="AD35" s="278"/>
      <c r="AE35" s="278"/>
      <c r="AF35" s="278"/>
      <c r="AG35" s="278" t="b">
        <f t="shared" si="5"/>
        <v>0</v>
      </c>
      <c r="AH35" s="454"/>
      <c r="AI35" s="278"/>
      <c r="AJ35" s="278"/>
      <c r="AK35" s="278"/>
      <c r="AL35" s="444" t="str">
        <f t="array" ref="AL35">IFERROR(IFS(OR(AJ35="A1-Mewtwo", AJ35="A1-Pikachu", AJ35="A1-Charizard", AJ35="A1"), XLOOKUP(AH35, 'Genetic Apex'!$C$2:$C889, 'Genetic Apex'!$B$2:$B889)-2, AJ35="A1a", XLOOKUP(AH35, 'Mythical Island'!$C$2:$C889, 'Mythical Island'!$B$2:$B889)-2, OR(AJ35="A2-Dialga", AJ35="A2-Palkia", AJ35="A2"), XLOOKUP(AH35, 'Space-Time Smackdown'!$C$2:$C889, 'Space-Time Smackdown'!$B$2:$B889)-2))</f>
        <v/>
      </c>
      <c r="AM35" s="444" t="str">
        <f t="shared" si="6"/>
        <v/>
      </c>
      <c r="AN35" s="448" t="str">
        <f t="shared" si="7"/>
        <v/>
      </c>
    </row>
    <row r="36">
      <c r="A36" s="277"/>
      <c r="B36" s="277"/>
      <c r="C36" s="441"/>
      <c r="D36" s="277"/>
      <c r="E36" s="277"/>
      <c r="F36" s="277"/>
      <c r="G36" s="277"/>
      <c r="H36" s="277" t="b">
        <f t="shared" si="1"/>
        <v>0</v>
      </c>
      <c r="I36" s="277" t="str">
        <f>IFERROR(__xludf.DUMMYFUNCTION("""COMPUTED_VALUE"""),"A1 033")</f>
        <v>A1 033</v>
      </c>
      <c r="J36" s="277" t="str">
        <f>IFERROR(__xludf.DUMMYFUNCTION("""COMPUTED_VALUE"""),"Charmander")</f>
        <v>Charmander</v>
      </c>
      <c r="K36" s="277" t="str">
        <f>IFERROR(__xludf.DUMMYFUNCTION("""COMPUTED_VALUE"""),"A1-Charizard")</f>
        <v>A1-Charizard</v>
      </c>
      <c r="L36" s="277" t="str">
        <f>IFERROR(__xludf.DUMMYFUNCTION("""COMPUTED_VALUE"""),"♢")</f>
        <v>♢</v>
      </c>
      <c r="M36" s="440" t="b">
        <f t="shared" si="2"/>
        <v>1</v>
      </c>
      <c r="N36" s="441"/>
      <c r="O36" s="277"/>
      <c r="P36" s="277"/>
      <c r="Q36" s="278"/>
      <c r="R36" s="449" t="str">
        <f t="array" ref="R36">IFERROR(IFS(OR(P36="A1-Mewtwo", P36="A1-Pikachu", P36="A1-Charizard", P36="A1"), XLOOKUP(N36, 'Genetic Apex'!$C$2:$C889, 'Genetic Apex'!$B$2:$B889)-$B$4, P36="A1a", XLOOKUP(N36, 'Mythical Island'!$C$2:$C889, 'Mythical Island'!$B$2:$B889)-$B$4, OR(P36="A2-Dialga", P36="A2-Palkia", P36="A2"), XLOOKUP(N36, 'Space-Time Smackdown'!$C$2:$C889, 'Space-Time Smackdown'!$B$2:$B889)-$B$4))</f>
        <v/>
      </c>
      <c r="S36" s="277" t="str">
        <f>IFERROR(__xludf.DUMMYFUNCTION("""COMPUTED_VALUE"""),"A1 033")</f>
        <v>A1 033</v>
      </c>
      <c r="T36" s="277" t="str">
        <f>IFERROR(__xludf.DUMMYFUNCTION("""COMPUTED_VALUE"""),"Charmander")</f>
        <v>Charmander</v>
      </c>
      <c r="U36" s="277" t="str">
        <f>IFERROR(__xludf.DUMMYFUNCTION("""COMPUTED_VALUE"""),"A1-Charizard")</f>
        <v>A1-Charizard</v>
      </c>
      <c r="V36" s="278" t="str">
        <f>IFERROR(__xludf.DUMMYFUNCTION("""COMPUTED_VALUE"""),"♢")</f>
        <v>♢</v>
      </c>
      <c r="W36" s="443">
        <f t="array" ref="W36">IFERROR(IFS(OR(U36="A1-Mewtwo", U36="A1-Pikachu", U36="A1-Charizard", U36="A1"), $B$5-XLOOKUP(S36, 'Genetic Apex'!$C$2:$C889, 'Genetic Apex'!$B$2:$B889), U36="A1a", $B$5-XLOOKUP(S36, 'Mythical Island'!$C$2:$C889, 'Mythical Island'!$B$2:$B889), OR(U36="A2-Dialga", U36="A2-Palkia", U36="A2"), $B$5-XLOOKUP(S36, 'Space-Time Smackdown'!$C$2:$C889, 'Space-Time Smackdown'!$B$2:$B889)))</f>
        <v>1</v>
      </c>
      <c r="X36" s="444">
        <f t="shared" si="3"/>
        <v>0</v>
      </c>
      <c r="Y36" s="445" t="str">
        <f t="shared" si="4"/>
        <v/>
      </c>
      <c r="Z36" s="278"/>
      <c r="AA36" s="466"/>
      <c r="AB36" s="278"/>
      <c r="AC36" s="278"/>
      <c r="AD36" s="278"/>
      <c r="AE36" s="278"/>
      <c r="AF36" s="278"/>
      <c r="AG36" s="278" t="b">
        <f t="shared" si="5"/>
        <v>0</v>
      </c>
      <c r="AH36" s="454"/>
      <c r="AI36" s="278"/>
      <c r="AJ36" s="278"/>
      <c r="AK36" s="278"/>
      <c r="AL36" s="444" t="str">
        <f t="array" ref="AL36">IFERROR(IFS(OR(AJ36="A1-Mewtwo", AJ36="A1-Pikachu", AJ36="A1-Charizard", AJ36="A1"), XLOOKUP(AH36, 'Genetic Apex'!$C$2:$C889, 'Genetic Apex'!$B$2:$B889)-2, AJ36="A1a", XLOOKUP(AH36, 'Mythical Island'!$C$2:$C889, 'Mythical Island'!$B$2:$B889)-2, OR(AJ36="A2-Dialga", AJ36="A2-Palkia", AJ36="A2"), XLOOKUP(AH36, 'Space-Time Smackdown'!$C$2:$C889, 'Space-Time Smackdown'!$B$2:$B889)-2))</f>
        <v/>
      </c>
      <c r="AM36" s="444" t="str">
        <f t="shared" si="6"/>
        <v/>
      </c>
      <c r="AN36" s="448" t="str">
        <f t="shared" si="7"/>
        <v/>
      </c>
    </row>
    <row r="37">
      <c r="A37" s="277"/>
      <c r="B37" s="277"/>
      <c r="C37" s="441"/>
      <c r="D37" s="277"/>
      <c r="E37" s="277"/>
      <c r="F37" s="277"/>
      <c r="G37" s="277"/>
      <c r="H37" s="277" t="b">
        <f t="shared" si="1"/>
        <v>0</v>
      </c>
      <c r="I37" s="277" t="str">
        <f>IFERROR(__xludf.DUMMYFUNCTION("""COMPUTED_VALUE"""),"A1 034")</f>
        <v>A1 034</v>
      </c>
      <c r="J37" s="277" t="str">
        <f>IFERROR(__xludf.DUMMYFUNCTION("""COMPUTED_VALUE"""),"Charmeleon")</f>
        <v>Charmeleon</v>
      </c>
      <c r="K37" s="277" t="str">
        <f>IFERROR(__xludf.DUMMYFUNCTION("""COMPUTED_VALUE"""),"A1-Charizard")</f>
        <v>A1-Charizard</v>
      </c>
      <c r="L37" s="277" t="str">
        <f>IFERROR(__xludf.DUMMYFUNCTION("""COMPUTED_VALUE"""),"♢♢")</f>
        <v>♢♢</v>
      </c>
      <c r="M37" s="440" t="b">
        <f t="shared" si="2"/>
        <v>1</v>
      </c>
      <c r="N37" s="441"/>
      <c r="O37" s="277"/>
      <c r="P37" s="277"/>
      <c r="Q37" s="278"/>
      <c r="R37" s="449" t="str">
        <f t="array" ref="R37">IFERROR(IFS(OR(P37="A1-Mewtwo", P37="A1-Pikachu", P37="A1-Charizard", P37="A1"), XLOOKUP(N37, 'Genetic Apex'!$C$2:$C889, 'Genetic Apex'!$B$2:$B889)-$B$4, P37="A1a", XLOOKUP(N37, 'Mythical Island'!$C$2:$C889, 'Mythical Island'!$B$2:$B889)-$B$4, OR(P37="A2-Dialga", P37="A2-Palkia", P37="A2"), XLOOKUP(N37, 'Space-Time Smackdown'!$C$2:$C889, 'Space-Time Smackdown'!$B$2:$B889)-$B$4))</f>
        <v/>
      </c>
      <c r="S37" s="277" t="str">
        <f>IFERROR(__xludf.DUMMYFUNCTION("""COMPUTED_VALUE"""),"A1 034")</f>
        <v>A1 034</v>
      </c>
      <c r="T37" s="277" t="str">
        <f>IFERROR(__xludf.DUMMYFUNCTION("""COMPUTED_VALUE"""),"Charmeleon")</f>
        <v>Charmeleon</v>
      </c>
      <c r="U37" s="277" t="str">
        <f>IFERROR(__xludf.DUMMYFUNCTION("""COMPUTED_VALUE"""),"A1-Charizard")</f>
        <v>A1-Charizard</v>
      </c>
      <c r="V37" s="278" t="str">
        <f>IFERROR(__xludf.DUMMYFUNCTION("""COMPUTED_VALUE"""),"♢♢")</f>
        <v>♢♢</v>
      </c>
      <c r="W37" s="443">
        <f t="array" ref="W37">IFERROR(IFS(OR(U37="A1-Mewtwo", U37="A1-Pikachu", U37="A1-Charizard", U37="A1"), $B$5-XLOOKUP(S37, 'Genetic Apex'!$C$2:$C889, 'Genetic Apex'!$B$2:$B889), U37="A1a", $B$5-XLOOKUP(S37, 'Mythical Island'!$C$2:$C889, 'Mythical Island'!$B$2:$B889), OR(U37="A2-Dialga", U37="A2-Palkia", U37="A2"), $B$5-XLOOKUP(S37, 'Space-Time Smackdown'!$C$2:$C889, 'Space-Time Smackdown'!$B$2:$B889)))</f>
        <v>1</v>
      </c>
      <c r="X37" s="444">
        <f t="shared" si="3"/>
        <v>0</v>
      </c>
      <c r="Y37" s="445" t="str">
        <f t="shared" si="4"/>
        <v/>
      </c>
      <c r="Z37" s="278"/>
      <c r="AA37" s="466"/>
      <c r="AB37" s="278"/>
      <c r="AC37" s="278"/>
      <c r="AD37" s="278"/>
      <c r="AE37" s="278"/>
      <c r="AF37" s="278"/>
      <c r="AG37" s="278" t="b">
        <f t="shared" si="5"/>
        <v>0</v>
      </c>
      <c r="AH37" s="454"/>
      <c r="AI37" s="278"/>
      <c r="AJ37" s="278"/>
      <c r="AK37" s="278"/>
      <c r="AL37" s="444" t="str">
        <f t="array" ref="AL37">IFERROR(IFS(OR(AJ37="A1-Mewtwo", AJ37="A1-Pikachu", AJ37="A1-Charizard", AJ37="A1"), XLOOKUP(AH37, 'Genetic Apex'!$C$2:$C889, 'Genetic Apex'!$B$2:$B889)-2, AJ37="A1a", XLOOKUP(AH37, 'Mythical Island'!$C$2:$C889, 'Mythical Island'!$B$2:$B889)-2, OR(AJ37="A2-Dialga", AJ37="A2-Palkia", AJ37="A2"), XLOOKUP(AH37, 'Space-Time Smackdown'!$C$2:$C889, 'Space-Time Smackdown'!$B$2:$B889)-2))</f>
        <v/>
      </c>
      <c r="AM37" s="444" t="str">
        <f t="shared" si="6"/>
        <v/>
      </c>
      <c r="AN37" s="448" t="str">
        <f t="shared" si="7"/>
        <v/>
      </c>
    </row>
    <row r="38">
      <c r="A38" s="277"/>
      <c r="B38" s="277"/>
      <c r="C38" s="441"/>
      <c r="D38" s="277"/>
      <c r="E38" s="277"/>
      <c r="F38" s="277"/>
      <c r="G38" s="277"/>
      <c r="H38" s="277" t="b">
        <f t="shared" si="1"/>
        <v>0</v>
      </c>
      <c r="I38" s="277" t="str">
        <f>IFERROR(__xludf.DUMMYFUNCTION("""COMPUTED_VALUE"""),"A1 035")</f>
        <v>A1 035</v>
      </c>
      <c r="J38" s="277" t="str">
        <f>IFERROR(__xludf.DUMMYFUNCTION("""COMPUTED_VALUE"""),"Charizard")</f>
        <v>Charizard</v>
      </c>
      <c r="K38" s="277" t="str">
        <f>IFERROR(__xludf.DUMMYFUNCTION("""COMPUTED_VALUE"""),"A1-Charizard")</f>
        <v>A1-Charizard</v>
      </c>
      <c r="L38" s="277" t="str">
        <f>IFERROR(__xludf.DUMMYFUNCTION("""COMPUTED_VALUE"""),"♢♢♢")</f>
        <v>♢♢♢</v>
      </c>
      <c r="M38" s="440" t="b">
        <f t="shared" si="2"/>
        <v>1</v>
      </c>
      <c r="N38" s="441"/>
      <c r="O38" s="277"/>
      <c r="P38" s="277"/>
      <c r="Q38" s="278"/>
      <c r="R38" s="449" t="str">
        <f t="array" ref="R38">IFERROR(IFS(OR(P38="A1-Mewtwo", P38="A1-Pikachu", P38="A1-Charizard", P38="A1"), XLOOKUP(N38, 'Genetic Apex'!$C$2:$C889, 'Genetic Apex'!$B$2:$B889)-$B$4, P38="A1a", XLOOKUP(N38, 'Mythical Island'!$C$2:$C889, 'Mythical Island'!$B$2:$B889)-$B$4, OR(P38="A2-Dialga", P38="A2-Palkia", P38="A2"), XLOOKUP(N38, 'Space-Time Smackdown'!$C$2:$C889, 'Space-Time Smackdown'!$B$2:$B889)-$B$4))</f>
        <v/>
      </c>
      <c r="S38" s="277" t="str">
        <f>IFERROR(__xludf.DUMMYFUNCTION("""COMPUTED_VALUE"""),"A1 035")</f>
        <v>A1 035</v>
      </c>
      <c r="T38" s="277" t="str">
        <f>IFERROR(__xludf.DUMMYFUNCTION("""COMPUTED_VALUE"""),"Charizard")</f>
        <v>Charizard</v>
      </c>
      <c r="U38" s="277" t="str">
        <f>IFERROR(__xludf.DUMMYFUNCTION("""COMPUTED_VALUE"""),"A1-Charizard")</f>
        <v>A1-Charizard</v>
      </c>
      <c r="V38" s="278" t="str">
        <f>IFERROR(__xludf.DUMMYFUNCTION("""COMPUTED_VALUE"""),"♢♢♢")</f>
        <v>♢♢♢</v>
      </c>
      <c r="W38" s="443">
        <f t="array" ref="W38">IFERROR(IFS(OR(U38="A1-Mewtwo", U38="A1-Pikachu", U38="A1-Charizard", U38="A1"), $B$5-XLOOKUP(S38, 'Genetic Apex'!$C$2:$C889, 'Genetic Apex'!$B$2:$B889), U38="A1a", $B$5-XLOOKUP(S38, 'Mythical Island'!$C$2:$C889, 'Mythical Island'!$B$2:$B889), OR(U38="A2-Dialga", U38="A2-Palkia", U38="A2"), $B$5-XLOOKUP(S38, 'Space-Time Smackdown'!$C$2:$C889, 'Space-Time Smackdown'!$B$2:$B889)))</f>
        <v>1</v>
      </c>
      <c r="X38" s="444">
        <f t="shared" si="3"/>
        <v>120</v>
      </c>
      <c r="Y38" s="445">
        <f t="shared" si="4"/>
        <v>120</v>
      </c>
      <c r="Z38" s="278"/>
      <c r="AA38" s="466"/>
      <c r="AB38" s="278"/>
      <c r="AC38" s="278"/>
      <c r="AD38" s="278"/>
      <c r="AE38" s="278"/>
      <c r="AF38" s="278"/>
      <c r="AG38" s="278" t="b">
        <f t="shared" si="5"/>
        <v>0</v>
      </c>
      <c r="AH38" s="454"/>
      <c r="AI38" s="278"/>
      <c r="AJ38" s="278"/>
      <c r="AK38" s="278"/>
      <c r="AL38" s="444" t="str">
        <f t="array" ref="AL38">IFERROR(IFS(OR(AJ38="A1-Mewtwo", AJ38="A1-Pikachu", AJ38="A1-Charizard", AJ38="A1"), XLOOKUP(AH38, 'Genetic Apex'!$C$2:$C889, 'Genetic Apex'!$B$2:$B889)-2, AJ38="A1a", XLOOKUP(AH38, 'Mythical Island'!$C$2:$C889, 'Mythical Island'!$B$2:$B889)-2, OR(AJ38="A2-Dialga", AJ38="A2-Palkia", AJ38="A2"), XLOOKUP(AH38, 'Space-Time Smackdown'!$C$2:$C889, 'Space-Time Smackdown'!$B$2:$B889)-2))</f>
        <v/>
      </c>
      <c r="AM38" s="444" t="str">
        <f t="shared" si="6"/>
        <v/>
      </c>
      <c r="AN38" s="448" t="str">
        <f t="shared" si="7"/>
        <v/>
      </c>
    </row>
    <row r="39">
      <c r="A39" s="277"/>
      <c r="B39" s="277"/>
      <c r="C39" s="441"/>
      <c r="D39" s="277"/>
      <c r="E39" s="277"/>
      <c r="F39" s="277"/>
      <c r="G39" s="277"/>
      <c r="H39" s="277" t="b">
        <f t="shared" si="1"/>
        <v>0</v>
      </c>
      <c r="I39" s="277" t="str">
        <f>IFERROR(__xludf.DUMMYFUNCTION("""COMPUTED_VALUE"""),"A1 036")</f>
        <v>A1 036</v>
      </c>
      <c r="J39" s="277" t="str">
        <f>IFERROR(__xludf.DUMMYFUNCTION("""COMPUTED_VALUE"""),"Charizard ex")</f>
        <v>Charizard ex</v>
      </c>
      <c r="K39" s="277" t="str">
        <f>IFERROR(__xludf.DUMMYFUNCTION("""COMPUTED_VALUE"""),"A1-Charizard")</f>
        <v>A1-Charizard</v>
      </c>
      <c r="L39" s="277" t="str">
        <f>IFERROR(__xludf.DUMMYFUNCTION("""COMPUTED_VALUE"""),"♢♢♢♢")</f>
        <v>♢♢♢♢</v>
      </c>
      <c r="M39" s="440" t="b">
        <f t="shared" si="2"/>
        <v>1</v>
      </c>
      <c r="N39" s="441"/>
      <c r="O39" s="277"/>
      <c r="P39" s="277"/>
      <c r="Q39" s="278"/>
      <c r="R39" s="449" t="str">
        <f t="array" ref="R39">IFERROR(IFS(OR(P39="A1-Mewtwo", P39="A1-Pikachu", P39="A1-Charizard", P39="A1"), XLOOKUP(N39, 'Genetic Apex'!$C$2:$C889, 'Genetic Apex'!$B$2:$B889)-$B$4, P39="A1a", XLOOKUP(N39, 'Mythical Island'!$C$2:$C889, 'Mythical Island'!$B$2:$B889)-$B$4, OR(P39="A2-Dialga", P39="A2-Palkia", P39="A2"), XLOOKUP(N39, 'Space-Time Smackdown'!$C$2:$C889, 'Space-Time Smackdown'!$B$2:$B889)-$B$4))</f>
        <v/>
      </c>
      <c r="S39" s="277" t="str">
        <f>IFERROR(__xludf.DUMMYFUNCTION("""COMPUTED_VALUE"""),"A1 036")</f>
        <v>A1 036</v>
      </c>
      <c r="T39" s="277" t="str">
        <f>IFERROR(__xludf.DUMMYFUNCTION("""COMPUTED_VALUE"""),"Charizard ex")</f>
        <v>Charizard ex</v>
      </c>
      <c r="U39" s="277" t="str">
        <f>IFERROR(__xludf.DUMMYFUNCTION("""COMPUTED_VALUE"""),"A1-Charizard")</f>
        <v>A1-Charizard</v>
      </c>
      <c r="V39" s="278" t="str">
        <f>IFERROR(__xludf.DUMMYFUNCTION("""COMPUTED_VALUE"""),"♢♢♢♢")</f>
        <v>♢♢♢♢</v>
      </c>
      <c r="W39" s="443">
        <f t="array" ref="W39">IFERROR(IFS(OR(U39="A1-Mewtwo", U39="A1-Pikachu", U39="A1-Charizard", U39="A1"), $B$5-XLOOKUP(S39, 'Genetic Apex'!$C$2:$C889, 'Genetic Apex'!$B$2:$B889), U39="A1a", $B$5-XLOOKUP(S39, 'Mythical Island'!$C$2:$C889, 'Mythical Island'!$B$2:$B889), OR(U39="A2-Dialga", U39="A2-Palkia", U39="A2"), $B$5-XLOOKUP(S39, 'Space-Time Smackdown'!$C$2:$C889, 'Space-Time Smackdown'!$B$2:$B889)))</f>
        <v>1</v>
      </c>
      <c r="X39" s="444">
        <f t="shared" si="3"/>
        <v>500</v>
      </c>
      <c r="Y39" s="445">
        <f t="shared" si="4"/>
        <v>500</v>
      </c>
      <c r="Z39" s="278"/>
      <c r="AA39" s="466"/>
      <c r="AB39" s="278"/>
      <c r="AC39" s="278"/>
      <c r="AD39" s="278"/>
      <c r="AE39" s="278"/>
      <c r="AF39" s="278"/>
      <c r="AG39" s="278" t="b">
        <f t="shared" si="5"/>
        <v>0</v>
      </c>
      <c r="AH39" s="454"/>
      <c r="AI39" s="278"/>
      <c r="AJ39" s="278"/>
      <c r="AK39" s="278"/>
      <c r="AL39" s="444" t="str">
        <f t="array" ref="AL39">IFERROR(IFS(OR(AJ39="A1-Mewtwo", AJ39="A1-Pikachu", AJ39="A1-Charizard", AJ39="A1"), XLOOKUP(AH39, 'Genetic Apex'!$C$2:$C889, 'Genetic Apex'!$B$2:$B889)-2, AJ39="A1a", XLOOKUP(AH39, 'Mythical Island'!$C$2:$C889, 'Mythical Island'!$B$2:$B889)-2, OR(AJ39="A2-Dialga", AJ39="A2-Palkia", AJ39="A2"), XLOOKUP(AH39, 'Space-Time Smackdown'!$C$2:$C889, 'Space-Time Smackdown'!$B$2:$B889)-2))</f>
        <v/>
      </c>
      <c r="AM39" s="444" t="str">
        <f t="shared" si="6"/>
        <v/>
      </c>
      <c r="AN39" s="448" t="str">
        <f t="shared" si="7"/>
        <v/>
      </c>
    </row>
    <row r="40">
      <c r="A40" s="277"/>
      <c r="B40" s="277"/>
      <c r="C40" s="441"/>
      <c r="D40" s="277"/>
      <c r="E40" s="277"/>
      <c r="F40" s="277"/>
      <c r="G40" s="277"/>
      <c r="H40" s="277" t="b">
        <f t="shared" si="1"/>
        <v>0</v>
      </c>
      <c r="I40" s="277" t="str">
        <f>IFERROR(__xludf.DUMMYFUNCTION("""COMPUTED_VALUE"""),"A1 037")</f>
        <v>A1 037</v>
      </c>
      <c r="J40" s="277" t="str">
        <f>IFERROR(__xludf.DUMMYFUNCTION("""COMPUTED_VALUE"""),"Vulpix")</f>
        <v>Vulpix</v>
      </c>
      <c r="K40" s="277" t="str">
        <f>IFERROR(__xludf.DUMMYFUNCTION("""COMPUTED_VALUE"""),"A1-Charizard")</f>
        <v>A1-Charizard</v>
      </c>
      <c r="L40" s="277" t="str">
        <f>IFERROR(__xludf.DUMMYFUNCTION("""COMPUTED_VALUE"""),"♢")</f>
        <v>♢</v>
      </c>
      <c r="M40" s="440" t="b">
        <f t="shared" si="2"/>
        <v>1</v>
      </c>
      <c r="N40" s="441"/>
      <c r="O40" s="277"/>
      <c r="P40" s="277"/>
      <c r="Q40" s="278"/>
      <c r="R40" s="449" t="str">
        <f t="array" ref="R40">IFERROR(IFS(OR(P40="A1-Mewtwo", P40="A1-Pikachu", P40="A1-Charizard", P40="A1"), XLOOKUP(N40, 'Genetic Apex'!$C$2:$C889, 'Genetic Apex'!$B$2:$B889)-$B$4, P40="A1a", XLOOKUP(N40, 'Mythical Island'!$C$2:$C889, 'Mythical Island'!$B$2:$B889)-$B$4, OR(P40="A2-Dialga", P40="A2-Palkia", P40="A2"), XLOOKUP(N40, 'Space-Time Smackdown'!$C$2:$C889, 'Space-Time Smackdown'!$B$2:$B889)-$B$4))</f>
        <v/>
      </c>
      <c r="S40" s="277" t="str">
        <f>IFERROR(__xludf.DUMMYFUNCTION("""COMPUTED_VALUE"""),"A1 037")</f>
        <v>A1 037</v>
      </c>
      <c r="T40" s="277" t="str">
        <f>IFERROR(__xludf.DUMMYFUNCTION("""COMPUTED_VALUE"""),"Vulpix")</f>
        <v>Vulpix</v>
      </c>
      <c r="U40" s="277" t="str">
        <f>IFERROR(__xludf.DUMMYFUNCTION("""COMPUTED_VALUE"""),"A1-Charizard")</f>
        <v>A1-Charizard</v>
      </c>
      <c r="V40" s="278" t="str">
        <f>IFERROR(__xludf.DUMMYFUNCTION("""COMPUTED_VALUE"""),"♢")</f>
        <v>♢</v>
      </c>
      <c r="W40" s="443">
        <f t="array" ref="W40">IFERROR(IFS(OR(U40="A1-Mewtwo", U40="A1-Pikachu", U40="A1-Charizard", U40="A1"), $B$5-XLOOKUP(S40, 'Genetic Apex'!$C$2:$C889, 'Genetic Apex'!$B$2:$B889), U40="A1a", $B$5-XLOOKUP(S40, 'Mythical Island'!$C$2:$C889, 'Mythical Island'!$B$2:$B889), OR(U40="A2-Dialga", U40="A2-Palkia", U40="A2"), $B$5-XLOOKUP(S40, 'Space-Time Smackdown'!$C$2:$C889, 'Space-Time Smackdown'!$B$2:$B889)))</f>
        <v>1</v>
      </c>
      <c r="X40" s="444">
        <f t="shared" si="3"/>
        <v>0</v>
      </c>
      <c r="Y40" s="445" t="str">
        <f t="shared" si="4"/>
        <v/>
      </c>
      <c r="Z40" s="278"/>
      <c r="AA40" s="466"/>
      <c r="AB40" s="278"/>
      <c r="AC40" s="278"/>
      <c r="AD40" s="278"/>
      <c r="AE40" s="278"/>
      <c r="AF40" s="278"/>
      <c r="AG40" s="278" t="b">
        <f t="shared" si="5"/>
        <v>0</v>
      </c>
      <c r="AH40" s="454"/>
      <c r="AI40" s="278"/>
      <c r="AJ40" s="278"/>
      <c r="AK40" s="278"/>
      <c r="AL40" s="444" t="str">
        <f t="array" ref="AL40">IFERROR(IFS(OR(AJ40="A1-Mewtwo", AJ40="A1-Pikachu", AJ40="A1-Charizard", AJ40="A1"), XLOOKUP(AH40, 'Genetic Apex'!$C$2:$C889, 'Genetic Apex'!$B$2:$B889)-2, AJ40="A1a", XLOOKUP(AH40, 'Mythical Island'!$C$2:$C889, 'Mythical Island'!$B$2:$B889)-2, OR(AJ40="A2-Dialga", AJ40="A2-Palkia", AJ40="A2"), XLOOKUP(AH40, 'Space-Time Smackdown'!$C$2:$C889, 'Space-Time Smackdown'!$B$2:$B889)-2))</f>
        <v/>
      </c>
      <c r="AM40" s="444" t="str">
        <f t="shared" si="6"/>
        <v/>
      </c>
      <c r="AN40" s="448" t="str">
        <f t="shared" si="7"/>
        <v/>
      </c>
    </row>
    <row r="41">
      <c r="A41" s="277"/>
      <c r="B41" s="277"/>
      <c r="C41" s="441"/>
      <c r="D41" s="277"/>
      <c r="E41" s="277"/>
      <c r="F41" s="277"/>
      <c r="G41" s="277"/>
      <c r="H41" s="277" t="b">
        <f t="shared" si="1"/>
        <v>0</v>
      </c>
      <c r="I41" s="277" t="str">
        <f>IFERROR(__xludf.DUMMYFUNCTION("""COMPUTED_VALUE"""),"A1 038")</f>
        <v>A1 038</v>
      </c>
      <c r="J41" s="277" t="str">
        <f>IFERROR(__xludf.DUMMYFUNCTION("""COMPUTED_VALUE"""),"Ninetales")</f>
        <v>Ninetales</v>
      </c>
      <c r="K41" s="277" t="str">
        <f>IFERROR(__xludf.DUMMYFUNCTION("""COMPUTED_VALUE"""),"A1-Charizard")</f>
        <v>A1-Charizard</v>
      </c>
      <c r="L41" s="277" t="str">
        <f>IFERROR(__xludf.DUMMYFUNCTION("""COMPUTED_VALUE"""),"♢♢")</f>
        <v>♢♢</v>
      </c>
      <c r="M41" s="440" t="b">
        <f t="shared" si="2"/>
        <v>1</v>
      </c>
      <c r="N41" s="441"/>
      <c r="O41" s="277"/>
      <c r="P41" s="277"/>
      <c r="Q41" s="278"/>
      <c r="R41" s="449" t="str">
        <f t="array" ref="R41">IFERROR(IFS(OR(P41="A1-Mewtwo", P41="A1-Pikachu", P41="A1-Charizard", P41="A1"), XLOOKUP(N41, 'Genetic Apex'!$C$2:$C889, 'Genetic Apex'!$B$2:$B889)-$B$4, P41="A1a", XLOOKUP(N41, 'Mythical Island'!$C$2:$C889, 'Mythical Island'!$B$2:$B889)-$B$4, OR(P41="A2-Dialga", P41="A2-Palkia", P41="A2"), XLOOKUP(N41, 'Space-Time Smackdown'!$C$2:$C889, 'Space-Time Smackdown'!$B$2:$B889)-$B$4))</f>
        <v/>
      </c>
      <c r="S41" s="277" t="str">
        <f>IFERROR(__xludf.DUMMYFUNCTION("""COMPUTED_VALUE"""),"A1 038")</f>
        <v>A1 038</v>
      </c>
      <c r="T41" s="277" t="str">
        <f>IFERROR(__xludf.DUMMYFUNCTION("""COMPUTED_VALUE"""),"Ninetales")</f>
        <v>Ninetales</v>
      </c>
      <c r="U41" s="277" t="str">
        <f>IFERROR(__xludf.DUMMYFUNCTION("""COMPUTED_VALUE"""),"A1-Charizard")</f>
        <v>A1-Charizard</v>
      </c>
      <c r="V41" s="278" t="str">
        <f>IFERROR(__xludf.DUMMYFUNCTION("""COMPUTED_VALUE"""),"♢♢")</f>
        <v>♢♢</v>
      </c>
      <c r="W41" s="443">
        <f t="array" ref="W41">IFERROR(IFS(OR(U41="A1-Mewtwo", U41="A1-Pikachu", U41="A1-Charizard", U41="A1"), $B$5-XLOOKUP(S41, 'Genetic Apex'!$C$2:$C889, 'Genetic Apex'!$B$2:$B889), U41="A1a", $B$5-XLOOKUP(S41, 'Mythical Island'!$C$2:$C889, 'Mythical Island'!$B$2:$B889), OR(U41="A2-Dialga", U41="A2-Palkia", U41="A2"), $B$5-XLOOKUP(S41, 'Space-Time Smackdown'!$C$2:$C889, 'Space-Time Smackdown'!$B$2:$B889)))</f>
        <v>1</v>
      </c>
      <c r="X41" s="444">
        <f t="shared" si="3"/>
        <v>0</v>
      </c>
      <c r="Y41" s="445" t="str">
        <f t="shared" si="4"/>
        <v/>
      </c>
      <c r="Z41" s="278"/>
      <c r="AA41" s="466"/>
      <c r="AB41" s="278"/>
      <c r="AC41" s="278"/>
      <c r="AD41" s="278"/>
      <c r="AE41" s="278"/>
      <c r="AF41" s="278"/>
      <c r="AG41" s="278" t="b">
        <f t="shared" si="5"/>
        <v>0</v>
      </c>
      <c r="AH41" s="454"/>
      <c r="AI41" s="278"/>
      <c r="AJ41" s="278"/>
      <c r="AK41" s="278"/>
      <c r="AL41" s="444" t="str">
        <f t="array" ref="AL41">IFERROR(IFS(OR(AJ41="A1-Mewtwo", AJ41="A1-Pikachu", AJ41="A1-Charizard", AJ41="A1"), XLOOKUP(AH41, 'Genetic Apex'!$C$2:$C889, 'Genetic Apex'!$B$2:$B889)-2, AJ41="A1a", XLOOKUP(AH41, 'Mythical Island'!$C$2:$C889, 'Mythical Island'!$B$2:$B889)-2, OR(AJ41="A2-Dialga", AJ41="A2-Palkia", AJ41="A2"), XLOOKUP(AH41, 'Space-Time Smackdown'!$C$2:$C889, 'Space-Time Smackdown'!$B$2:$B889)-2))</f>
        <v/>
      </c>
      <c r="AM41" s="444" t="str">
        <f t="shared" si="6"/>
        <v/>
      </c>
      <c r="AN41" s="448" t="str">
        <f t="shared" si="7"/>
        <v/>
      </c>
    </row>
    <row r="42">
      <c r="A42" s="277"/>
      <c r="B42" s="277"/>
      <c r="C42" s="441"/>
      <c r="D42" s="277"/>
      <c r="E42" s="277"/>
      <c r="F42" s="277"/>
      <c r="G42" s="277"/>
      <c r="H42" s="277" t="b">
        <f t="shared" si="1"/>
        <v>0</v>
      </c>
      <c r="I42" s="277" t="str">
        <f>IFERROR(__xludf.DUMMYFUNCTION("""COMPUTED_VALUE"""),"A1 039")</f>
        <v>A1 039</v>
      </c>
      <c r="J42" s="277" t="str">
        <f>IFERROR(__xludf.DUMMYFUNCTION("""COMPUTED_VALUE"""),"Growlithe")</f>
        <v>Growlithe</v>
      </c>
      <c r="K42" s="277" t="str">
        <f>IFERROR(__xludf.DUMMYFUNCTION("""COMPUTED_VALUE"""),"A1-Pikachu")</f>
        <v>A1-Pikachu</v>
      </c>
      <c r="L42" s="277" t="str">
        <f>IFERROR(__xludf.DUMMYFUNCTION("""COMPUTED_VALUE"""),"♢")</f>
        <v>♢</v>
      </c>
      <c r="M42" s="440" t="b">
        <f t="shared" si="2"/>
        <v>1</v>
      </c>
      <c r="N42" s="441"/>
      <c r="O42" s="277"/>
      <c r="P42" s="277"/>
      <c r="Q42" s="278"/>
      <c r="R42" s="449" t="str">
        <f t="array" ref="R42">IFERROR(IFS(OR(P42="A1-Mewtwo", P42="A1-Pikachu", P42="A1-Charizard", P42="A1"), XLOOKUP(N42, 'Genetic Apex'!$C$2:$C889, 'Genetic Apex'!$B$2:$B889)-$B$4, P42="A1a", XLOOKUP(N42, 'Mythical Island'!$C$2:$C889, 'Mythical Island'!$B$2:$B889)-$B$4, OR(P42="A2-Dialga", P42="A2-Palkia", P42="A2"), XLOOKUP(N42, 'Space-Time Smackdown'!$C$2:$C889, 'Space-Time Smackdown'!$B$2:$B889)-$B$4))</f>
        <v/>
      </c>
      <c r="S42" s="277" t="str">
        <f>IFERROR(__xludf.DUMMYFUNCTION("""COMPUTED_VALUE"""),"A1 039")</f>
        <v>A1 039</v>
      </c>
      <c r="T42" s="277" t="str">
        <f>IFERROR(__xludf.DUMMYFUNCTION("""COMPUTED_VALUE"""),"Growlithe")</f>
        <v>Growlithe</v>
      </c>
      <c r="U42" s="277" t="str">
        <f>IFERROR(__xludf.DUMMYFUNCTION("""COMPUTED_VALUE"""),"A1-Pikachu")</f>
        <v>A1-Pikachu</v>
      </c>
      <c r="V42" s="278" t="str">
        <f>IFERROR(__xludf.DUMMYFUNCTION("""COMPUTED_VALUE"""),"♢")</f>
        <v>♢</v>
      </c>
      <c r="W42" s="443">
        <f t="array" ref="W42">IFERROR(IFS(OR(U42="A1-Mewtwo", U42="A1-Pikachu", U42="A1-Charizard", U42="A1"), $B$5-XLOOKUP(S42, 'Genetic Apex'!$C$2:$C889, 'Genetic Apex'!$B$2:$B889), U42="A1a", $B$5-XLOOKUP(S42, 'Mythical Island'!$C$2:$C889, 'Mythical Island'!$B$2:$B889), OR(U42="A2-Dialga", U42="A2-Palkia", U42="A2"), $B$5-XLOOKUP(S42, 'Space-Time Smackdown'!$C$2:$C889, 'Space-Time Smackdown'!$B$2:$B889)))</f>
        <v>1</v>
      </c>
      <c r="X42" s="444">
        <f t="shared" si="3"/>
        <v>0</v>
      </c>
      <c r="Y42" s="445" t="str">
        <f t="shared" si="4"/>
        <v/>
      </c>
      <c r="Z42" s="278"/>
      <c r="AA42" s="466"/>
      <c r="AB42" s="278"/>
      <c r="AC42" s="278"/>
      <c r="AD42" s="278"/>
      <c r="AE42" s="278"/>
      <c r="AF42" s="278"/>
      <c r="AG42" s="278" t="b">
        <f t="shared" si="5"/>
        <v>0</v>
      </c>
      <c r="AH42" s="454"/>
      <c r="AI42" s="278"/>
      <c r="AJ42" s="278"/>
      <c r="AK42" s="278"/>
      <c r="AL42" s="444" t="str">
        <f t="array" ref="AL42">IFERROR(IFS(OR(AJ42="A1-Mewtwo", AJ42="A1-Pikachu", AJ42="A1-Charizard", AJ42="A1"), XLOOKUP(AH42, 'Genetic Apex'!$C$2:$C889, 'Genetic Apex'!$B$2:$B889)-2, AJ42="A1a", XLOOKUP(AH42, 'Mythical Island'!$C$2:$C889, 'Mythical Island'!$B$2:$B889)-2, OR(AJ42="A2-Dialga", AJ42="A2-Palkia", AJ42="A2"), XLOOKUP(AH42, 'Space-Time Smackdown'!$C$2:$C889, 'Space-Time Smackdown'!$B$2:$B889)-2))</f>
        <v/>
      </c>
      <c r="AM42" s="444" t="str">
        <f t="shared" si="6"/>
        <v/>
      </c>
      <c r="AN42" s="448" t="str">
        <f t="shared" si="7"/>
        <v/>
      </c>
    </row>
    <row r="43">
      <c r="A43" s="277"/>
      <c r="B43" s="277"/>
      <c r="C43" s="441"/>
      <c r="D43" s="277"/>
      <c r="E43" s="277"/>
      <c r="F43" s="277"/>
      <c r="G43" s="277"/>
      <c r="H43" s="277" t="b">
        <f t="shared" si="1"/>
        <v>0</v>
      </c>
      <c r="I43" s="277" t="str">
        <f>IFERROR(__xludf.DUMMYFUNCTION("""COMPUTED_VALUE"""),"A1 040")</f>
        <v>A1 040</v>
      </c>
      <c r="J43" s="277" t="str">
        <f>IFERROR(__xludf.DUMMYFUNCTION("""COMPUTED_VALUE"""),"Arcanine")</f>
        <v>Arcanine</v>
      </c>
      <c r="K43" s="277" t="str">
        <f>IFERROR(__xludf.DUMMYFUNCTION("""COMPUTED_VALUE"""),"A1-Pikachu")</f>
        <v>A1-Pikachu</v>
      </c>
      <c r="L43" s="277" t="str">
        <f>IFERROR(__xludf.DUMMYFUNCTION("""COMPUTED_VALUE"""),"♢♢♢")</f>
        <v>♢♢♢</v>
      </c>
      <c r="M43" s="440" t="b">
        <f t="shared" si="2"/>
        <v>1</v>
      </c>
      <c r="N43" s="441"/>
      <c r="O43" s="277"/>
      <c r="P43" s="277"/>
      <c r="Q43" s="278"/>
      <c r="R43" s="449" t="str">
        <f t="array" ref="R43">IFERROR(IFS(OR(P43="A1-Mewtwo", P43="A1-Pikachu", P43="A1-Charizard", P43="A1"), XLOOKUP(N43, 'Genetic Apex'!$C$2:$C889, 'Genetic Apex'!$B$2:$B889)-$B$4, P43="A1a", XLOOKUP(N43, 'Mythical Island'!$C$2:$C889, 'Mythical Island'!$B$2:$B889)-$B$4, OR(P43="A2-Dialga", P43="A2-Palkia", P43="A2"), XLOOKUP(N43, 'Space-Time Smackdown'!$C$2:$C889, 'Space-Time Smackdown'!$B$2:$B889)-$B$4))</f>
        <v/>
      </c>
      <c r="S43" s="277" t="str">
        <f>IFERROR(__xludf.DUMMYFUNCTION("""COMPUTED_VALUE"""),"A1 040")</f>
        <v>A1 040</v>
      </c>
      <c r="T43" s="277" t="str">
        <f>IFERROR(__xludf.DUMMYFUNCTION("""COMPUTED_VALUE"""),"Arcanine")</f>
        <v>Arcanine</v>
      </c>
      <c r="U43" s="277" t="str">
        <f>IFERROR(__xludf.DUMMYFUNCTION("""COMPUTED_VALUE"""),"A1-Pikachu")</f>
        <v>A1-Pikachu</v>
      </c>
      <c r="V43" s="278" t="str">
        <f>IFERROR(__xludf.DUMMYFUNCTION("""COMPUTED_VALUE"""),"♢♢♢")</f>
        <v>♢♢♢</v>
      </c>
      <c r="W43" s="443">
        <f t="array" ref="W43">IFERROR(IFS(OR(U43="A1-Mewtwo", U43="A1-Pikachu", U43="A1-Charizard", U43="A1"), $B$5-XLOOKUP(S43, 'Genetic Apex'!$C$2:$C889, 'Genetic Apex'!$B$2:$B889), U43="A1a", $B$5-XLOOKUP(S43, 'Mythical Island'!$C$2:$C889, 'Mythical Island'!$B$2:$B889), OR(U43="A2-Dialga", U43="A2-Palkia", U43="A2"), $B$5-XLOOKUP(S43, 'Space-Time Smackdown'!$C$2:$C889, 'Space-Time Smackdown'!$B$2:$B889)))</f>
        <v>1</v>
      </c>
      <c r="X43" s="444">
        <f t="shared" si="3"/>
        <v>120</v>
      </c>
      <c r="Y43" s="445">
        <f t="shared" si="4"/>
        <v>120</v>
      </c>
      <c r="Z43" s="278"/>
      <c r="AA43" s="466"/>
      <c r="AB43" s="278"/>
      <c r="AC43" s="278"/>
      <c r="AD43" s="278"/>
      <c r="AE43" s="278"/>
      <c r="AF43" s="278"/>
      <c r="AG43" s="278" t="b">
        <f t="shared" si="5"/>
        <v>0</v>
      </c>
      <c r="AH43" s="454"/>
      <c r="AI43" s="278"/>
      <c r="AJ43" s="278"/>
      <c r="AK43" s="278"/>
      <c r="AL43" s="444" t="str">
        <f t="array" ref="AL43">IFERROR(IFS(OR(AJ43="A1-Mewtwo", AJ43="A1-Pikachu", AJ43="A1-Charizard", AJ43="A1"), XLOOKUP(AH43, 'Genetic Apex'!$C$2:$C889, 'Genetic Apex'!$B$2:$B889)-2, AJ43="A1a", XLOOKUP(AH43, 'Mythical Island'!$C$2:$C889, 'Mythical Island'!$B$2:$B889)-2, OR(AJ43="A2-Dialga", AJ43="A2-Palkia", AJ43="A2"), XLOOKUP(AH43, 'Space-Time Smackdown'!$C$2:$C889, 'Space-Time Smackdown'!$B$2:$B889)-2))</f>
        <v/>
      </c>
      <c r="AM43" s="444" t="str">
        <f t="shared" si="6"/>
        <v/>
      </c>
      <c r="AN43" s="448" t="str">
        <f t="shared" si="7"/>
        <v/>
      </c>
    </row>
    <row r="44">
      <c r="A44" s="277"/>
      <c r="B44" s="277"/>
      <c r="C44" s="441"/>
      <c r="D44" s="277"/>
      <c r="E44" s="277"/>
      <c r="F44" s="277"/>
      <c r="G44" s="277"/>
      <c r="H44" s="277" t="b">
        <f t="shared" si="1"/>
        <v>0</v>
      </c>
      <c r="I44" s="277" t="str">
        <f>IFERROR(__xludf.DUMMYFUNCTION("""COMPUTED_VALUE"""),"A1 041")</f>
        <v>A1 041</v>
      </c>
      <c r="J44" s="277" t="str">
        <f>IFERROR(__xludf.DUMMYFUNCTION("""COMPUTED_VALUE"""),"Arcanine ex")</f>
        <v>Arcanine ex</v>
      </c>
      <c r="K44" s="277" t="str">
        <f>IFERROR(__xludf.DUMMYFUNCTION("""COMPUTED_VALUE"""),"A1-Pikachu")</f>
        <v>A1-Pikachu</v>
      </c>
      <c r="L44" s="277" t="str">
        <f>IFERROR(__xludf.DUMMYFUNCTION("""COMPUTED_VALUE"""),"♢♢♢♢")</f>
        <v>♢♢♢♢</v>
      </c>
      <c r="M44" s="440" t="b">
        <f t="shared" si="2"/>
        <v>1</v>
      </c>
      <c r="N44" s="441"/>
      <c r="O44" s="277"/>
      <c r="P44" s="277"/>
      <c r="Q44" s="278"/>
      <c r="R44" s="449" t="str">
        <f t="array" ref="R44">IFERROR(IFS(OR(P44="A1-Mewtwo", P44="A1-Pikachu", P44="A1-Charizard", P44="A1"), XLOOKUP(N44, 'Genetic Apex'!$C$2:$C889, 'Genetic Apex'!$B$2:$B889)-$B$4, P44="A1a", XLOOKUP(N44, 'Mythical Island'!$C$2:$C889, 'Mythical Island'!$B$2:$B889)-$B$4, OR(P44="A2-Dialga", P44="A2-Palkia", P44="A2"), XLOOKUP(N44, 'Space-Time Smackdown'!$C$2:$C889, 'Space-Time Smackdown'!$B$2:$B889)-$B$4))</f>
        <v/>
      </c>
      <c r="S44" s="277" t="str">
        <f>IFERROR(__xludf.DUMMYFUNCTION("""COMPUTED_VALUE"""),"A1 041")</f>
        <v>A1 041</v>
      </c>
      <c r="T44" s="277" t="str">
        <f>IFERROR(__xludf.DUMMYFUNCTION("""COMPUTED_VALUE"""),"Arcanine ex")</f>
        <v>Arcanine ex</v>
      </c>
      <c r="U44" s="277" t="str">
        <f>IFERROR(__xludf.DUMMYFUNCTION("""COMPUTED_VALUE"""),"A1-Pikachu")</f>
        <v>A1-Pikachu</v>
      </c>
      <c r="V44" s="278" t="str">
        <f>IFERROR(__xludf.DUMMYFUNCTION("""COMPUTED_VALUE"""),"♢♢♢♢")</f>
        <v>♢♢♢♢</v>
      </c>
      <c r="W44" s="443">
        <f t="array" ref="W44">IFERROR(IFS(OR(U44="A1-Mewtwo", U44="A1-Pikachu", U44="A1-Charizard", U44="A1"), $B$5-XLOOKUP(S44, 'Genetic Apex'!$C$2:$C889, 'Genetic Apex'!$B$2:$B889), U44="A1a", $B$5-XLOOKUP(S44, 'Mythical Island'!$C$2:$C889, 'Mythical Island'!$B$2:$B889), OR(U44="A2-Dialga", U44="A2-Palkia", U44="A2"), $B$5-XLOOKUP(S44, 'Space-Time Smackdown'!$C$2:$C889, 'Space-Time Smackdown'!$B$2:$B889)))</f>
        <v>1</v>
      </c>
      <c r="X44" s="444">
        <f t="shared" si="3"/>
        <v>500</v>
      </c>
      <c r="Y44" s="445">
        <f t="shared" si="4"/>
        <v>500</v>
      </c>
      <c r="Z44" s="278"/>
      <c r="AA44" s="466"/>
      <c r="AB44" s="278"/>
      <c r="AC44" s="278"/>
      <c r="AD44" s="278"/>
      <c r="AE44" s="278"/>
      <c r="AF44" s="278"/>
      <c r="AG44" s="278" t="b">
        <f t="shared" si="5"/>
        <v>0</v>
      </c>
      <c r="AH44" s="454"/>
      <c r="AI44" s="278"/>
      <c r="AJ44" s="278"/>
      <c r="AK44" s="278"/>
      <c r="AL44" s="444" t="str">
        <f t="array" ref="AL44">IFERROR(IFS(OR(AJ44="A1-Mewtwo", AJ44="A1-Pikachu", AJ44="A1-Charizard", AJ44="A1"), XLOOKUP(AH44, 'Genetic Apex'!$C$2:$C889, 'Genetic Apex'!$B$2:$B889)-2, AJ44="A1a", XLOOKUP(AH44, 'Mythical Island'!$C$2:$C889, 'Mythical Island'!$B$2:$B889)-2, OR(AJ44="A2-Dialga", AJ44="A2-Palkia", AJ44="A2"), XLOOKUP(AH44, 'Space-Time Smackdown'!$C$2:$C889, 'Space-Time Smackdown'!$B$2:$B889)-2))</f>
        <v/>
      </c>
      <c r="AM44" s="444" t="str">
        <f t="shared" si="6"/>
        <v/>
      </c>
      <c r="AN44" s="448" t="str">
        <f t="shared" si="7"/>
        <v/>
      </c>
    </row>
    <row r="45">
      <c r="A45" s="277"/>
      <c r="B45" s="277"/>
      <c r="C45" s="441"/>
      <c r="D45" s="277"/>
      <c r="E45" s="277"/>
      <c r="F45" s="277"/>
      <c r="G45" s="277"/>
      <c r="H45" s="277" t="b">
        <f t="shared" si="1"/>
        <v>0</v>
      </c>
      <c r="I45" s="277" t="str">
        <f>IFERROR(__xludf.DUMMYFUNCTION("""COMPUTED_VALUE"""),"A1 042")</f>
        <v>A1 042</v>
      </c>
      <c r="J45" s="277" t="str">
        <f>IFERROR(__xludf.DUMMYFUNCTION("""COMPUTED_VALUE"""),"Ponyta")</f>
        <v>Ponyta</v>
      </c>
      <c r="K45" s="277" t="str">
        <f>IFERROR(__xludf.DUMMYFUNCTION("""COMPUTED_VALUE"""),"A1")</f>
        <v>A1</v>
      </c>
      <c r="L45" s="277" t="str">
        <f>IFERROR(__xludf.DUMMYFUNCTION("""COMPUTED_VALUE"""),"♢")</f>
        <v>♢</v>
      </c>
      <c r="M45" s="440" t="b">
        <f t="shared" si="2"/>
        <v>1</v>
      </c>
      <c r="N45" s="441"/>
      <c r="O45" s="277"/>
      <c r="P45" s="277"/>
      <c r="Q45" s="278"/>
      <c r="R45" s="449" t="str">
        <f t="array" ref="R45">IFERROR(IFS(OR(P45="A1-Mewtwo", P45="A1-Pikachu", P45="A1-Charizard", P45="A1"), XLOOKUP(N45, 'Genetic Apex'!$C$2:$C889, 'Genetic Apex'!$B$2:$B889)-$B$4, P45="A1a", XLOOKUP(N45, 'Mythical Island'!$C$2:$C889, 'Mythical Island'!$B$2:$B889)-$B$4, OR(P45="A2-Dialga", P45="A2-Palkia", P45="A2"), XLOOKUP(N45, 'Space-Time Smackdown'!$C$2:$C889, 'Space-Time Smackdown'!$B$2:$B889)-$B$4))</f>
        <v/>
      </c>
      <c r="S45" s="277" t="str">
        <f>IFERROR(__xludf.DUMMYFUNCTION("""COMPUTED_VALUE"""),"A1 042")</f>
        <v>A1 042</v>
      </c>
      <c r="T45" s="277" t="str">
        <f>IFERROR(__xludf.DUMMYFUNCTION("""COMPUTED_VALUE"""),"Ponyta")</f>
        <v>Ponyta</v>
      </c>
      <c r="U45" s="277" t="str">
        <f>IFERROR(__xludf.DUMMYFUNCTION("""COMPUTED_VALUE"""),"A1")</f>
        <v>A1</v>
      </c>
      <c r="V45" s="278" t="str">
        <f>IFERROR(__xludf.DUMMYFUNCTION("""COMPUTED_VALUE"""),"♢")</f>
        <v>♢</v>
      </c>
      <c r="W45" s="443">
        <f t="array" ref="W45">IFERROR(IFS(OR(U45="A1-Mewtwo", U45="A1-Pikachu", U45="A1-Charizard", U45="A1"), $B$5-XLOOKUP(S45, 'Genetic Apex'!$C$2:$C889, 'Genetic Apex'!$B$2:$B889), U45="A1a", $B$5-XLOOKUP(S45, 'Mythical Island'!$C$2:$C889, 'Mythical Island'!$B$2:$B889), OR(U45="A2-Dialga", U45="A2-Palkia", U45="A2"), $B$5-XLOOKUP(S45, 'Space-Time Smackdown'!$C$2:$C889, 'Space-Time Smackdown'!$B$2:$B889)))</f>
        <v>1</v>
      </c>
      <c r="X45" s="444">
        <f t="shared" si="3"/>
        <v>0</v>
      </c>
      <c r="Y45" s="445" t="str">
        <f t="shared" si="4"/>
        <v/>
      </c>
      <c r="Z45" s="278"/>
      <c r="AA45" s="466"/>
      <c r="AB45" s="278"/>
      <c r="AC45" s="278"/>
      <c r="AD45" s="278"/>
      <c r="AE45" s="278"/>
      <c r="AF45" s="278"/>
      <c r="AG45" s="278" t="b">
        <f t="shared" si="5"/>
        <v>0</v>
      </c>
      <c r="AH45" s="454"/>
      <c r="AI45" s="278"/>
      <c r="AJ45" s="278"/>
      <c r="AK45" s="278"/>
      <c r="AL45" s="444" t="str">
        <f t="array" ref="AL45">IFERROR(IFS(OR(AJ45="A1-Mewtwo", AJ45="A1-Pikachu", AJ45="A1-Charizard", AJ45="A1"), XLOOKUP(AH45, 'Genetic Apex'!$C$2:$C889, 'Genetic Apex'!$B$2:$B889)-2, AJ45="A1a", XLOOKUP(AH45, 'Mythical Island'!$C$2:$C889, 'Mythical Island'!$B$2:$B889)-2, OR(AJ45="A2-Dialga", AJ45="A2-Palkia", AJ45="A2"), XLOOKUP(AH45, 'Space-Time Smackdown'!$C$2:$C889, 'Space-Time Smackdown'!$B$2:$B889)-2))</f>
        <v/>
      </c>
      <c r="AM45" s="444" t="str">
        <f t="shared" si="6"/>
        <v/>
      </c>
      <c r="AN45" s="448" t="str">
        <f t="shared" si="7"/>
        <v/>
      </c>
    </row>
    <row r="46">
      <c r="A46" s="277"/>
      <c r="B46" s="277"/>
      <c r="C46" s="441"/>
      <c r="D46" s="277"/>
      <c r="E46" s="277"/>
      <c r="F46" s="277"/>
      <c r="G46" s="277"/>
      <c r="H46" s="277" t="b">
        <f t="shared" si="1"/>
        <v>0</v>
      </c>
      <c r="I46" s="277" t="str">
        <f>IFERROR(__xludf.DUMMYFUNCTION("""COMPUTED_VALUE"""),"A1 043")</f>
        <v>A1 043</v>
      </c>
      <c r="J46" s="277" t="str">
        <f>IFERROR(__xludf.DUMMYFUNCTION("""COMPUTED_VALUE"""),"Rapidash")</f>
        <v>Rapidash</v>
      </c>
      <c r="K46" s="277" t="str">
        <f>IFERROR(__xludf.DUMMYFUNCTION("""COMPUTED_VALUE"""),"A1")</f>
        <v>A1</v>
      </c>
      <c r="L46" s="277" t="str">
        <f>IFERROR(__xludf.DUMMYFUNCTION("""COMPUTED_VALUE"""),"♢♢")</f>
        <v>♢♢</v>
      </c>
      <c r="M46" s="440" t="b">
        <f t="shared" si="2"/>
        <v>1</v>
      </c>
      <c r="N46" s="441"/>
      <c r="O46" s="277"/>
      <c r="P46" s="277"/>
      <c r="Q46" s="278"/>
      <c r="R46" s="449" t="str">
        <f t="array" ref="R46">IFERROR(IFS(OR(P46="A1-Mewtwo", P46="A1-Pikachu", P46="A1-Charizard", P46="A1"), XLOOKUP(N46, 'Genetic Apex'!$C$2:$C889, 'Genetic Apex'!$B$2:$B889)-$B$4, P46="A1a", XLOOKUP(N46, 'Mythical Island'!$C$2:$C889, 'Mythical Island'!$B$2:$B889)-$B$4, OR(P46="A2-Dialga", P46="A2-Palkia", P46="A2"), XLOOKUP(N46, 'Space-Time Smackdown'!$C$2:$C889, 'Space-Time Smackdown'!$B$2:$B889)-$B$4))</f>
        <v/>
      </c>
      <c r="S46" s="277" t="str">
        <f>IFERROR(__xludf.DUMMYFUNCTION("""COMPUTED_VALUE"""),"A1 043")</f>
        <v>A1 043</v>
      </c>
      <c r="T46" s="277" t="str">
        <f>IFERROR(__xludf.DUMMYFUNCTION("""COMPUTED_VALUE"""),"Rapidash")</f>
        <v>Rapidash</v>
      </c>
      <c r="U46" s="277" t="str">
        <f>IFERROR(__xludf.DUMMYFUNCTION("""COMPUTED_VALUE"""),"A1")</f>
        <v>A1</v>
      </c>
      <c r="V46" s="278" t="str">
        <f>IFERROR(__xludf.DUMMYFUNCTION("""COMPUTED_VALUE"""),"♢♢")</f>
        <v>♢♢</v>
      </c>
      <c r="W46" s="443">
        <f t="array" ref="W46">IFERROR(IFS(OR(U46="A1-Mewtwo", U46="A1-Pikachu", U46="A1-Charizard", U46="A1"), $B$5-XLOOKUP(S46, 'Genetic Apex'!$C$2:$C889, 'Genetic Apex'!$B$2:$B889), U46="A1a", $B$5-XLOOKUP(S46, 'Mythical Island'!$C$2:$C889, 'Mythical Island'!$B$2:$B889), OR(U46="A2-Dialga", U46="A2-Palkia", U46="A2"), $B$5-XLOOKUP(S46, 'Space-Time Smackdown'!$C$2:$C889, 'Space-Time Smackdown'!$B$2:$B889)))</f>
        <v>1</v>
      </c>
      <c r="X46" s="444">
        <f t="shared" si="3"/>
        <v>0</v>
      </c>
      <c r="Y46" s="445" t="str">
        <f t="shared" si="4"/>
        <v/>
      </c>
      <c r="Z46" s="278"/>
      <c r="AA46" s="466"/>
      <c r="AB46" s="278"/>
      <c r="AC46" s="278"/>
      <c r="AD46" s="278"/>
      <c r="AE46" s="278"/>
      <c r="AF46" s="278"/>
      <c r="AG46" s="278" t="b">
        <f t="shared" si="5"/>
        <v>0</v>
      </c>
      <c r="AH46" s="454"/>
      <c r="AI46" s="278"/>
      <c r="AJ46" s="278"/>
      <c r="AK46" s="278"/>
      <c r="AL46" s="444" t="str">
        <f t="array" ref="AL46">IFERROR(IFS(OR(AJ46="A1-Mewtwo", AJ46="A1-Pikachu", AJ46="A1-Charizard", AJ46="A1"), XLOOKUP(AH46, 'Genetic Apex'!$C$2:$C889, 'Genetic Apex'!$B$2:$B889)-2, AJ46="A1a", XLOOKUP(AH46, 'Mythical Island'!$C$2:$C889, 'Mythical Island'!$B$2:$B889)-2, OR(AJ46="A2-Dialga", AJ46="A2-Palkia", AJ46="A2"), XLOOKUP(AH46, 'Space-Time Smackdown'!$C$2:$C889, 'Space-Time Smackdown'!$B$2:$B889)-2))</f>
        <v/>
      </c>
      <c r="AM46" s="444" t="str">
        <f t="shared" si="6"/>
        <v/>
      </c>
      <c r="AN46" s="448" t="str">
        <f t="shared" si="7"/>
        <v/>
      </c>
    </row>
    <row r="47">
      <c r="A47" s="277"/>
      <c r="B47" s="277"/>
      <c r="C47" s="441"/>
      <c r="D47" s="277"/>
      <c r="E47" s="277"/>
      <c r="F47" s="277"/>
      <c r="G47" s="277"/>
      <c r="H47" s="277" t="b">
        <f t="shared" si="1"/>
        <v>0</v>
      </c>
      <c r="I47" s="277" t="str">
        <f>IFERROR(__xludf.DUMMYFUNCTION("""COMPUTED_VALUE"""),"A1 044")</f>
        <v>A1 044</v>
      </c>
      <c r="J47" s="277" t="str">
        <f>IFERROR(__xludf.DUMMYFUNCTION("""COMPUTED_VALUE"""),"Magmar")</f>
        <v>Magmar</v>
      </c>
      <c r="K47" s="277" t="str">
        <f>IFERROR(__xludf.DUMMYFUNCTION("""COMPUTED_VALUE"""),"A1-Charizard")</f>
        <v>A1-Charizard</v>
      </c>
      <c r="L47" s="277" t="str">
        <f>IFERROR(__xludf.DUMMYFUNCTION("""COMPUTED_VALUE"""),"♢")</f>
        <v>♢</v>
      </c>
      <c r="M47" s="440" t="b">
        <f t="shared" si="2"/>
        <v>1</v>
      </c>
      <c r="N47" s="441"/>
      <c r="O47" s="277"/>
      <c r="P47" s="277"/>
      <c r="Q47" s="278"/>
      <c r="R47" s="449" t="str">
        <f t="array" ref="R47">IFERROR(IFS(OR(P47="A1-Mewtwo", P47="A1-Pikachu", P47="A1-Charizard", P47="A1"), XLOOKUP(N47, 'Genetic Apex'!$C$2:$C889, 'Genetic Apex'!$B$2:$B889)-$B$4, P47="A1a", XLOOKUP(N47, 'Mythical Island'!$C$2:$C889, 'Mythical Island'!$B$2:$B889)-$B$4, OR(P47="A2-Dialga", P47="A2-Palkia", P47="A2"), XLOOKUP(N47, 'Space-Time Smackdown'!$C$2:$C889, 'Space-Time Smackdown'!$B$2:$B889)-$B$4))</f>
        <v/>
      </c>
      <c r="S47" s="277" t="str">
        <f>IFERROR(__xludf.DUMMYFUNCTION("""COMPUTED_VALUE"""),"A1 044")</f>
        <v>A1 044</v>
      </c>
      <c r="T47" s="277" t="str">
        <f>IFERROR(__xludf.DUMMYFUNCTION("""COMPUTED_VALUE"""),"Magmar")</f>
        <v>Magmar</v>
      </c>
      <c r="U47" s="277" t="str">
        <f>IFERROR(__xludf.DUMMYFUNCTION("""COMPUTED_VALUE"""),"A1-Charizard")</f>
        <v>A1-Charizard</v>
      </c>
      <c r="V47" s="278" t="str">
        <f>IFERROR(__xludf.DUMMYFUNCTION("""COMPUTED_VALUE"""),"♢")</f>
        <v>♢</v>
      </c>
      <c r="W47" s="443">
        <f t="array" ref="W47">IFERROR(IFS(OR(U47="A1-Mewtwo", U47="A1-Pikachu", U47="A1-Charizard", U47="A1"), $B$5-XLOOKUP(S47, 'Genetic Apex'!$C$2:$C889, 'Genetic Apex'!$B$2:$B889), U47="A1a", $B$5-XLOOKUP(S47, 'Mythical Island'!$C$2:$C889, 'Mythical Island'!$B$2:$B889), OR(U47="A2-Dialga", U47="A2-Palkia", U47="A2"), $B$5-XLOOKUP(S47, 'Space-Time Smackdown'!$C$2:$C889, 'Space-Time Smackdown'!$B$2:$B889)))</f>
        <v>1</v>
      </c>
      <c r="X47" s="444">
        <f t="shared" si="3"/>
        <v>0</v>
      </c>
      <c r="Y47" s="445" t="str">
        <f t="shared" si="4"/>
        <v/>
      </c>
      <c r="Z47" s="278"/>
      <c r="AA47" s="466"/>
      <c r="AB47" s="278"/>
      <c r="AC47" s="278"/>
      <c r="AD47" s="278"/>
      <c r="AE47" s="278"/>
      <c r="AF47" s="278"/>
      <c r="AG47" s="278" t="b">
        <f t="shared" si="5"/>
        <v>0</v>
      </c>
      <c r="AH47" s="454"/>
      <c r="AI47" s="278"/>
      <c r="AJ47" s="278"/>
      <c r="AK47" s="278"/>
      <c r="AL47" s="444" t="str">
        <f t="array" ref="AL47">IFERROR(IFS(OR(AJ47="A1-Mewtwo", AJ47="A1-Pikachu", AJ47="A1-Charizard", AJ47="A1"), XLOOKUP(AH47, 'Genetic Apex'!$C$2:$C889, 'Genetic Apex'!$B$2:$B889)-2, AJ47="A1a", XLOOKUP(AH47, 'Mythical Island'!$C$2:$C889, 'Mythical Island'!$B$2:$B889)-2, OR(AJ47="A2-Dialga", AJ47="A2-Palkia", AJ47="A2"), XLOOKUP(AH47, 'Space-Time Smackdown'!$C$2:$C889, 'Space-Time Smackdown'!$B$2:$B889)-2))</f>
        <v/>
      </c>
      <c r="AM47" s="444" t="str">
        <f t="shared" si="6"/>
        <v/>
      </c>
      <c r="AN47" s="448" t="str">
        <f t="shared" si="7"/>
        <v/>
      </c>
    </row>
    <row r="48">
      <c r="A48" s="277"/>
      <c r="B48" s="277"/>
      <c r="C48" s="441"/>
      <c r="D48" s="277"/>
      <c r="E48" s="277"/>
      <c r="F48" s="277"/>
      <c r="G48" s="277"/>
      <c r="H48" s="277" t="b">
        <f t="shared" si="1"/>
        <v>0</v>
      </c>
      <c r="I48" s="277" t="str">
        <f>IFERROR(__xludf.DUMMYFUNCTION("""COMPUTED_VALUE"""),"A1 045")</f>
        <v>A1 045</v>
      </c>
      <c r="J48" s="277" t="str">
        <f>IFERROR(__xludf.DUMMYFUNCTION("""COMPUTED_VALUE"""),"Flareon")</f>
        <v>Flareon</v>
      </c>
      <c r="K48" s="277" t="str">
        <f>IFERROR(__xludf.DUMMYFUNCTION("""COMPUTED_VALUE"""),"A1-Charizard")</f>
        <v>A1-Charizard</v>
      </c>
      <c r="L48" s="277" t="str">
        <f>IFERROR(__xludf.DUMMYFUNCTION("""COMPUTED_VALUE"""),"♢♢♢")</f>
        <v>♢♢♢</v>
      </c>
      <c r="M48" s="440" t="b">
        <f t="shared" si="2"/>
        <v>1</v>
      </c>
      <c r="N48" s="441"/>
      <c r="O48" s="277"/>
      <c r="P48" s="277"/>
      <c r="Q48" s="278"/>
      <c r="R48" s="449" t="str">
        <f t="array" ref="R48">IFERROR(IFS(OR(P48="A1-Mewtwo", P48="A1-Pikachu", P48="A1-Charizard", P48="A1"), XLOOKUP(N48, 'Genetic Apex'!$C$2:$C889, 'Genetic Apex'!$B$2:$B889)-$B$4, P48="A1a", XLOOKUP(N48, 'Mythical Island'!$C$2:$C889, 'Mythical Island'!$B$2:$B889)-$B$4, OR(P48="A2-Dialga", P48="A2-Palkia", P48="A2"), XLOOKUP(N48, 'Space-Time Smackdown'!$C$2:$C889, 'Space-Time Smackdown'!$B$2:$B889)-$B$4))</f>
        <v/>
      </c>
      <c r="S48" s="277" t="str">
        <f>IFERROR(__xludf.DUMMYFUNCTION("""COMPUTED_VALUE"""),"A1 045")</f>
        <v>A1 045</v>
      </c>
      <c r="T48" s="277" t="str">
        <f>IFERROR(__xludf.DUMMYFUNCTION("""COMPUTED_VALUE"""),"Flareon")</f>
        <v>Flareon</v>
      </c>
      <c r="U48" s="277" t="str">
        <f>IFERROR(__xludf.DUMMYFUNCTION("""COMPUTED_VALUE"""),"A1-Charizard")</f>
        <v>A1-Charizard</v>
      </c>
      <c r="V48" s="278" t="str">
        <f>IFERROR(__xludf.DUMMYFUNCTION("""COMPUTED_VALUE"""),"♢♢♢")</f>
        <v>♢♢♢</v>
      </c>
      <c r="W48" s="443">
        <f t="array" ref="W48">IFERROR(IFS(OR(U48="A1-Mewtwo", U48="A1-Pikachu", U48="A1-Charizard", U48="A1"), $B$5-XLOOKUP(S48, 'Genetic Apex'!$C$2:$C889, 'Genetic Apex'!$B$2:$B889), U48="A1a", $B$5-XLOOKUP(S48, 'Mythical Island'!$C$2:$C889, 'Mythical Island'!$B$2:$B889), OR(U48="A2-Dialga", U48="A2-Palkia", U48="A2"), $B$5-XLOOKUP(S48, 'Space-Time Smackdown'!$C$2:$C889, 'Space-Time Smackdown'!$B$2:$B889)))</f>
        <v>1</v>
      </c>
      <c r="X48" s="444">
        <f t="shared" si="3"/>
        <v>120</v>
      </c>
      <c r="Y48" s="445">
        <f t="shared" si="4"/>
        <v>120</v>
      </c>
      <c r="Z48" s="278"/>
      <c r="AA48" s="466"/>
      <c r="AB48" s="278"/>
      <c r="AC48" s="278"/>
      <c r="AD48" s="278"/>
      <c r="AE48" s="278"/>
      <c r="AF48" s="278"/>
      <c r="AG48" s="278" t="b">
        <f t="shared" si="5"/>
        <v>0</v>
      </c>
      <c r="AH48" s="454"/>
      <c r="AI48" s="278"/>
      <c r="AJ48" s="278"/>
      <c r="AK48" s="278"/>
      <c r="AL48" s="444" t="str">
        <f t="array" ref="AL48">IFERROR(IFS(OR(AJ48="A1-Mewtwo", AJ48="A1-Pikachu", AJ48="A1-Charizard", AJ48="A1"), XLOOKUP(AH48, 'Genetic Apex'!$C$2:$C889, 'Genetic Apex'!$B$2:$B889)-2, AJ48="A1a", XLOOKUP(AH48, 'Mythical Island'!$C$2:$C889, 'Mythical Island'!$B$2:$B889)-2, OR(AJ48="A2-Dialga", AJ48="A2-Palkia", AJ48="A2"), XLOOKUP(AH48, 'Space-Time Smackdown'!$C$2:$C889, 'Space-Time Smackdown'!$B$2:$B889)-2))</f>
        <v/>
      </c>
      <c r="AM48" s="444" t="str">
        <f t="shared" si="6"/>
        <v/>
      </c>
      <c r="AN48" s="448" t="str">
        <f t="shared" si="7"/>
        <v/>
      </c>
    </row>
    <row r="49">
      <c r="A49" s="277"/>
      <c r="B49" s="277"/>
      <c r="C49" s="441"/>
      <c r="D49" s="277"/>
      <c r="E49" s="277"/>
      <c r="F49" s="277"/>
      <c r="G49" s="277"/>
      <c r="H49" s="277" t="b">
        <f t="shared" si="1"/>
        <v>0</v>
      </c>
      <c r="I49" s="277" t="str">
        <f>IFERROR(__xludf.DUMMYFUNCTION("""COMPUTED_VALUE"""),"A1 046")</f>
        <v>A1 046</v>
      </c>
      <c r="J49" s="277" t="str">
        <f>IFERROR(__xludf.DUMMYFUNCTION("""COMPUTED_VALUE"""),"Moltres")</f>
        <v>Moltres</v>
      </c>
      <c r="K49" s="277" t="str">
        <f>IFERROR(__xludf.DUMMYFUNCTION("""COMPUTED_VALUE"""),"A1-Charizard")</f>
        <v>A1-Charizard</v>
      </c>
      <c r="L49" s="277" t="str">
        <f>IFERROR(__xludf.DUMMYFUNCTION("""COMPUTED_VALUE"""),"♢♢♢")</f>
        <v>♢♢♢</v>
      </c>
      <c r="M49" s="440" t="b">
        <f t="shared" si="2"/>
        <v>1</v>
      </c>
      <c r="N49" s="441"/>
      <c r="O49" s="277"/>
      <c r="P49" s="277"/>
      <c r="Q49" s="278"/>
      <c r="R49" s="449" t="str">
        <f t="array" ref="R49">IFERROR(IFS(OR(P49="A1-Mewtwo", P49="A1-Pikachu", P49="A1-Charizard", P49="A1"), XLOOKUP(N49, 'Genetic Apex'!$C$2:$C889, 'Genetic Apex'!$B$2:$B889)-$B$4, P49="A1a", XLOOKUP(N49, 'Mythical Island'!$C$2:$C889, 'Mythical Island'!$B$2:$B889)-$B$4, OR(P49="A2-Dialga", P49="A2-Palkia", P49="A2"), XLOOKUP(N49, 'Space-Time Smackdown'!$C$2:$C889, 'Space-Time Smackdown'!$B$2:$B889)-$B$4))</f>
        <v/>
      </c>
      <c r="S49" s="277" t="str">
        <f>IFERROR(__xludf.DUMMYFUNCTION("""COMPUTED_VALUE"""),"A1 046")</f>
        <v>A1 046</v>
      </c>
      <c r="T49" s="277" t="str">
        <f>IFERROR(__xludf.DUMMYFUNCTION("""COMPUTED_VALUE"""),"Moltres")</f>
        <v>Moltres</v>
      </c>
      <c r="U49" s="277" t="str">
        <f>IFERROR(__xludf.DUMMYFUNCTION("""COMPUTED_VALUE"""),"A1-Charizard")</f>
        <v>A1-Charizard</v>
      </c>
      <c r="V49" s="278" t="str">
        <f>IFERROR(__xludf.DUMMYFUNCTION("""COMPUTED_VALUE"""),"♢♢♢")</f>
        <v>♢♢♢</v>
      </c>
      <c r="W49" s="443">
        <f t="array" ref="W49">IFERROR(IFS(OR(U49="A1-Mewtwo", U49="A1-Pikachu", U49="A1-Charizard", U49="A1"), $B$5-XLOOKUP(S49, 'Genetic Apex'!$C$2:$C889, 'Genetic Apex'!$B$2:$B889), U49="A1a", $B$5-XLOOKUP(S49, 'Mythical Island'!$C$2:$C889, 'Mythical Island'!$B$2:$B889), OR(U49="A2-Dialga", U49="A2-Palkia", U49="A2"), $B$5-XLOOKUP(S49, 'Space-Time Smackdown'!$C$2:$C889, 'Space-Time Smackdown'!$B$2:$B889)))</f>
        <v>1</v>
      </c>
      <c r="X49" s="444">
        <f t="shared" si="3"/>
        <v>120</v>
      </c>
      <c r="Y49" s="445">
        <f t="shared" si="4"/>
        <v>120</v>
      </c>
      <c r="Z49" s="278"/>
      <c r="AA49" s="466"/>
      <c r="AB49" s="278"/>
      <c r="AC49" s="278"/>
      <c r="AD49" s="278"/>
      <c r="AE49" s="278"/>
      <c r="AF49" s="278"/>
      <c r="AG49" s="278" t="b">
        <f t="shared" si="5"/>
        <v>0</v>
      </c>
      <c r="AH49" s="454"/>
      <c r="AI49" s="278"/>
      <c r="AJ49" s="278"/>
      <c r="AK49" s="278"/>
      <c r="AL49" s="444" t="str">
        <f t="array" ref="AL49">IFERROR(IFS(OR(AJ49="A1-Mewtwo", AJ49="A1-Pikachu", AJ49="A1-Charizard", AJ49="A1"), XLOOKUP(AH49, 'Genetic Apex'!$C$2:$C889, 'Genetic Apex'!$B$2:$B889)-2, AJ49="A1a", XLOOKUP(AH49, 'Mythical Island'!$C$2:$C889, 'Mythical Island'!$B$2:$B889)-2, OR(AJ49="A2-Dialga", AJ49="A2-Palkia", AJ49="A2"), XLOOKUP(AH49, 'Space-Time Smackdown'!$C$2:$C889, 'Space-Time Smackdown'!$B$2:$B889)-2))</f>
        <v/>
      </c>
      <c r="AM49" s="444" t="str">
        <f t="shared" si="6"/>
        <v/>
      </c>
      <c r="AN49" s="448" t="str">
        <f t="shared" si="7"/>
        <v/>
      </c>
    </row>
    <row r="50">
      <c r="A50" s="277"/>
      <c r="B50" s="277"/>
      <c r="C50" s="441"/>
      <c r="D50" s="277"/>
      <c r="E50" s="277"/>
      <c r="F50" s="277"/>
      <c r="G50" s="277"/>
      <c r="H50" s="277" t="b">
        <f t="shared" si="1"/>
        <v>0</v>
      </c>
      <c r="I50" s="277" t="str">
        <f>IFERROR(__xludf.DUMMYFUNCTION("""COMPUTED_VALUE"""),"A1 047")</f>
        <v>A1 047</v>
      </c>
      <c r="J50" s="277" t="str">
        <f>IFERROR(__xludf.DUMMYFUNCTION("""COMPUTED_VALUE"""),"Moltres ex")</f>
        <v>Moltres ex</v>
      </c>
      <c r="K50" s="277" t="str">
        <f>IFERROR(__xludf.DUMMYFUNCTION("""COMPUTED_VALUE"""),"A1-Charizard")</f>
        <v>A1-Charizard</v>
      </c>
      <c r="L50" s="277" t="str">
        <f>IFERROR(__xludf.DUMMYFUNCTION("""COMPUTED_VALUE"""),"♢♢♢♢")</f>
        <v>♢♢♢♢</v>
      </c>
      <c r="M50" s="440" t="b">
        <f t="shared" si="2"/>
        <v>1</v>
      </c>
      <c r="N50" s="441"/>
      <c r="O50" s="277"/>
      <c r="P50" s="277"/>
      <c r="Q50" s="278"/>
      <c r="R50" s="449" t="str">
        <f t="array" ref="R50">IFERROR(IFS(OR(P50="A1-Mewtwo", P50="A1-Pikachu", P50="A1-Charizard", P50="A1"), XLOOKUP(N50, 'Genetic Apex'!$C$2:$C889, 'Genetic Apex'!$B$2:$B889)-$B$4, P50="A1a", XLOOKUP(N50, 'Mythical Island'!$C$2:$C889, 'Mythical Island'!$B$2:$B889)-$B$4, OR(P50="A2-Dialga", P50="A2-Palkia", P50="A2"), XLOOKUP(N50, 'Space-Time Smackdown'!$C$2:$C889, 'Space-Time Smackdown'!$B$2:$B889)-$B$4))</f>
        <v/>
      </c>
      <c r="S50" s="277" t="str">
        <f>IFERROR(__xludf.DUMMYFUNCTION("""COMPUTED_VALUE"""),"A1 047")</f>
        <v>A1 047</v>
      </c>
      <c r="T50" s="277" t="str">
        <f>IFERROR(__xludf.DUMMYFUNCTION("""COMPUTED_VALUE"""),"Moltres ex")</f>
        <v>Moltres ex</v>
      </c>
      <c r="U50" s="277" t="str">
        <f>IFERROR(__xludf.DUMMYFUNCTION("""COMPUTED_VALUE"""),"A1-Charizard")</f>
        <v>A1-Charizard</v>
      </c>
      <c r="V50" s="278" t="str">
        <f>IFERROR(__xludf.DUMMYFUNCTION("""COMPUTED_VALUE"""),"♢♢♢♢")</f>
        <v>♢♢♢♢</v>
      </c>
      <c r="W50" s="443">
        <f t="array" ref="W50">IFERROR(IFS(OR(U50="A1-Mewtwo", U50="A1-Pikachu", U50="A1-Charizard", U50="A1"), $B$5-XLOOKUP(S50, 'Genetic Apex'!$C$2:$C889, 'Genetic Apex'!$B$2:$B889), U50="A1a", $B$5-XLOOKUP(S50, 'Mythical Island'!$C$2:$C889, 'Mythical Island'!$B$2:$B889), OR(U50="A2-Dialga", U50="A2-Palkia", U50="A2"), $B$5-XLOOKUP(S50, 'Space-Time Smackdown'!$C$2:$C889, 'Space-Time Smackdown'!$B$2:$B889)))</f>
        <v>1</v>
      </c>
      <c r="X50" s="444">
        <f t="shared" si="3"/>
        <v>500</v>
      </c>
      <c r="Y50" s="445">
        <f t="shared" si="4"/>
        <v>500</v>
      </c>
      <c r="Z50" s="278"/>
      <c r="AA50" s="466"/>
      <c r="AB50" s="278"/>
      <c r="AC50" s="278"/>
      <c r="AD50" s="278"/>
      <c r="AE50" s="278"/>
      <c r="AF50" s="278"/>
      <c r="AG50" s="278" t="b">
        <f t="shared" si="5"/>
        <v>0</v>
      </c>
      <c r="AH50" s="454"/>
      <c r="AI50" s="278"/>
      <c r="AJ50" s="278"/>
      <c r="AK50" s="278"/>
      <c r="AL50" s="444" t="str">
        <f t="array" ref="AL50">IFERROR(IFS(OR(AJ50="A1-Mewtwo", AJ50="A1-Pikachu", AJ50="A1-Charizard", AJ50="A1"), XLOOKUP(AH50, 'Genetic Apex'!$C$2:$C889, 'Genetic Apex'!$B$2:$B889)-2, AJ50="A1a", XLOOKUP(AH50, 'Mythical Island'!$C$2:$C889, 'Mythical Island'!$B$2:$B889)-2, OR(AJ50="A2-Dialga", AJ50="A2-Palkia", AJ50="A2"), XLOOKUP(AH50, 'Space-Time Smackdown'!$C$2:$C889, 'Space-Time Smackdown'!$B$2:$B889)-2))</f>
        <v/>
      </c>
      <c r="AM50" s="444" t="str">
        <f t="shared" si="6"/>
        <v/>
      </c>
      <c r="AN50" s="448" t="str">
        <f t="shared" si="7"/>
        <v/>
      </c>
    </row>
    <row r="51">
      <c r="A51" s="277"/>
      <c r="B51" s="277"/>
      <c r="C51" s="441"/>
      <c r="D51" s="277"/>
      <c r="E51" s="277"/>
      <c r="F51" s="277"/>
      <c r="G51" s="277"/>
      <c r="H51" s="277" t="b">
        <f t="shared" si="1"/>
        <v>0</v>
      </c>
      <c r="I51" s="277" t="str">
        <f>IFERROR(__xludf.DUMMYFUNCTION("""COMPUTED_VALUE"""),"A1 048")</f>
        <v>A1 048</v>
      </c>
      <c r="J51" s="277" t="str">
        <f>IFERROR(__xludf.DUMMYFUNCTION("""COMPUTED_VALUE"""),"Heatmor")</f>
        <v>Heatmor</v>
      </c>
      <c r="K51" s="277" t="str">
        <f>IFERROR(__xludf.DUMMYFUNCTION("""COMPUTED_VALUE"""),"A1")</f>
        <v>A1</v>
      </c>
      <c r="L51" s="277" t="str">
        <f>IFERROR(__xludf.DUMMYFUNCTION("""COMPUTED_VALUE"""),"♢")</f>
        <v>♢</v>
      </c>
      <c r="M51" s="440" t="b">
        <f t="shared" si="2"/>
        <v>1</v>
      </c>
      <c r="N51" s="441"/>
      <c r="O51" s="277"/>
      <c r="P51" s="277"/>
      <c r="Q51" s="278"/>
      <c r="R51" s="449" t="str">
        <f t="array" ref="R51">IFERROR(IFS(OR(P51="A1-Mewtwo", P51="A1-Pikachu", P51="A1-Charizard", P51="A1"), XLOOKUP(N51, 'Genetic Apex'!$C$2:$C889, 'Genetic Apex'!$B$2:$B889)-$B$4, P51="A1a", XLOOKUP(N51, 'Mythical Island'!$C$2:$C889, 'Mythical Island'!$B$2:$B889)-$B$4, OR(P51="A2-Dialga", P51="A2-Palkia", P51="A2"), XLOOKUP(N51, 'Space-Time Smackdown'!$C$2:$C889, 'Space-Time Smackdown'!$B$2:$B889)-$B$4))</f>
        <v/>
      </c>
      <c r="S51" s="277" t="str">
        <f>IFERROR(__xludf.DUMMYFUNCTION("""COMPUTED_VALUE"""),"A1 048")</f>
        <v>A1 048</v>
      </c>
      <c r="T51" s="277" t="str">
        <f>IFERROR(__xludf.DUMMYFUNCTION("""COMPUTED_VALUE"""),"Heatmor")</f>
        <v>Heatmor</v>
      </c>
      <c r="U51" s="277" t="str">
        <f>IFERROR(__xludf.DUMMYFUNCTION("""COMPUTED_VALUE"""),"A1")</f>
        <v>A1</v>
      </c>
      <c r="V51" s="278" t="str">
        <f>IFERROR(__xludf.DUMMYFUNCTION("""COMPUTED_VALUE"""),"♢")</f>
        <v>♢</v>
      </c>
      <c r="W51" s="443">
        <f t="array" ref="W51">IFERROR(IFS(OR(U51="A1-Mewtwo", U51="A1-Pikachu", U51="A1-Charizard", U51="A1"), $B$5-XLOOKUP(S51, 'Genetic Apex'!$C$2:$C889, 'Genetic Apex'!$B$2:$B889), U51="A1a", $B$5-XLOOKUP(S51, 'Mythical Island'!$C$2:$C889, 'Mythical Island'!$B$2:$B889), OR(U51="A2-Dialga", U51="A2-Palkia", U51="A2"), $B$5-XLOOKUP(S51, 'Space-Time Smackdown'!$C$2:$C889, 'Space-Time Smackdown'!$B$2:$B889)))</f>
        <v>1</v>
      </c>
      <c r="X51" s="444">
        <f t="shared" si="3"/>
        <v>0</v>
      </c>
      <c r="Y51" s="445" t="str">
        <f t="shared" si="4"/>
        <v/>
      </c>
      <c r="Z51" s="278"/>
      <c r="AA51" s="466"/>
      <c r="AB51" s="278"/>
      <c r="AC51" s="278"/>
      <c r="AD51" s="278"/>
      <c r="AE51" s="278"/>
      <c r="AF51" s="278"/>
      <c r="AG51" s="278" t="b">
        <f t="shared" si="5"/>
        <v>0</v>
      </c>
      <c r="AH51" s="454"/>
      <c r="AI51" s="278"/>
      <c r="AJ51" s="278"/>
      <c r="AK51" s="278"/>
      <c r="AL51" s="444" t="str">
        <f t="array" ref="AL51">IFERROR(IFS(OR(AJ51="A1-Mewtwo", AJ51="A1-Pikachu", AJ51="A1-Charizard", AJ51="A1"), XLOOKUP(AH51, 'Genetic Apex'!$C$2:$C889, 'Genetic Apex'!$B$2:$B889)-2, AJ51="A1a", XLOOKUP(AH51, 'Mythical Island'!$C$2:$C889, 'Mythical Island'!$B$2:$B889)-2, OR(AJ51="A2-Dialga", AJ51="A2-Palkia", AJ51="A2"), XLOOKUP(AH51, 'Space-Time Smackdown'!$C$2:$C889, 'Space-Time Smackdown'!$B$2:$B889)-2))</f>
        <v/>
      </c>
      <c r="AM51" s="444" t="str">
        <f t="shared" si="6"/>
        <v/>
      </c>
      <c r="AN51" s="448" t="str">
        <f t="shared" si="7"/>
        <v/>
      </c>
    </row>
    <row r="52">
      <c r="A52" s="277"/>
      <c r="B52" s="277"/>
      <c r="C52" s="441"/>
      <c r="D52" s="277"/>
      <c r="E52" s="277"/>
      <c r="F52" s="277"/>
      <c r="G52" s="277"/>
      <c r="H52" s="277" t="b">
        <f t="shared" si="1"/>
        <v>0</v>
      </c>
      <c r="I52" s="277" t="str">
        <f>IFERROR(__xludf.DUMMYFUNCTION("""COMPUTED_VALUE"""),"A1 049")</f>
        <v>A1 049</v>
      </c>
      <c r="J52" s="277" t="str">
        <f>IFERROR(__xludf.DUMMYFUNCTION("""COMPUTED_VALUE"""),"Salandit")</f>
        <v>Salandit</v>
      </c>
      <c r="K52" s="277" t="str">
        <f>IFERROR(__xludf.DUMMYFUNCTION("""COMPUTED_VALUE"""),"A1-Mewtwo")</f>
        <v>A1-Mewtwo</v>
      </c>
      <c r="L52" s="277" t="str">
        <f>IFERROR(__xludf.DUMMYFUNCTION("""COMPUTED_VALUE"""),"♢")</f>
        <v>♢</v>
      </c>
      <c r="M52" s="440" t="b">
        <f t="shared" si="2"/>
        <v>1</v>
      </c>
      <c r="N52" s="441"/>
      <c r="O52" s="277"/>
      <c r="P52" s="277"/>
      <c r="Q52" s="278"/>
      <c r="R52" s="449" t="str">
        <f t="array" ref="R52">IFERROR(IFS(OR(P52="A1-Mewtwo", P52="A1-Pikachu", P52="A1-Charizard", P52="A1"), XLOOKUP(N52, 'Genetic Apex'!$C$2:$C889, 'Genetic Apex'!$B$2:$B889)-$B$4, P52="A1a", XLOOKUP(N52, 'Mythical Island'!$C$2:$C889, 'Mythical Island'!$B$2:$B889)-$B$4, OR(P52="A2-Dialga", P52="A2-Palkia", P52="A2"), XLOOKUP(N52, 'Space-Time Smackdown'!$C$2:$C889, 'Space-Time Smackdown'!$B$2:$B889)-$B$4))</f>
        <v/>
      </c>
      <c r="S52" s="277" t="str">
        <f>IFERROR(__xludf.DUMMYFUNCTION("""COMPUTED_VALUE"""),"A1 049")</f>
        <v>A1 049</v>
      </c>
      <c r="T52" s="277" t="str">
        <f>IFERROR(__xludf.DUMMYFUNCTION("""COMPUTED_VALUE"""),"Salandit")</f>
        <v>Salandit</v>
      </c>
      <c r="U52" s="277" t="str">
        <f>IFERROR(__xludf.DUMMYFUNCTION("""COMPUTED_VALUE"""),"A1-Mewtwo")</f>
        <v>A1-Mewtwo</v>
      </c>
      <c r="V52" s="278" t="str">
        <f>IFERROR(__xludf.DUMMYFUNCTION("""COMPUTED_VALUE"""),"♢")</f>
        <v>♢</v>
      </c>
      <c r="W52" s="443">
        <f t="array" ref="W52">IFERROR(IFS(OR(U52="A1-Mewtwo", U52="A1-Pikachu", U52="A1-Charizard", U52="A1"), $B$5-XLOOKUP(S52, 'Genetic Apex'!$C$2:$C889, 'Genetic Apex'!$B$2:$B889), U52="A1a", $B$5-XLOOKUP(S52, 'Mythical Island'!$C$2:$C889, 'Mythical Island'!$B$2:$B889), OR(U52="A2-Dialga", U52="A2-Palkia", U52="A2"), $B$5-XLOOKUP(S52, 'Space-Time Smackdown'!$C$2:$C889, 'Space-Time Smackdown'!$B$2:$B889)))</f>
        <v>1</v>
      </c>
      <c r="X52" s="444">
        <f t="shared" si="3"/>
        <v>0</v>
      </c>
      <c r="Y52" s="445" t="str">
        <f t="shared" si="4"/>
        <v/>
      </c>
      <c r="Z52" s="278"/>
      <c r="AA52" s="466"/>
      <c r="AB52" s="278"/>
      <c r="AC52" s="278"/>
      <c r="AD52" s="278"/>
      <c r="AE52" s="278"/>
      <c r="AF52" s="278"/>
      <c r="AG52" s="278" t="b">
        <f t="shared" si="5"/>
        <v>0</v>
      </c>
      <c r="AH52" s="454"/>
      <c r="AI52" s="278"/>
      <c r="AJ52" s="278"/>
      <c r="AK52" s="278"/>
      <c r="AL52" s="444" t="str">
        <f t="array" ref="AL52">IFERROR(IFS(OR(AJ52="A1-Mewtwo", AJ52="A1-Pikachu", AJ52="A1-Charizard", AJ52="A1"), XLOOKUP(AH52, 'Genetic Apex'!$C$2:$C889, 'Genetic Apex'!$B$2:$B889)-2, AJ52="A1a", XLOOKUP(AH52, 'Mythical Island'!$C$2:$C889, 'Mythical Island'!$B$2:$B889)-2, OR(AJ52="A2-Dialga", AJ52="A2-Palkia", AJ52="A2"), XLOOKUP(AH52, 'Space-Time Smackdown'!$C$2:$C889, 'Space-Time Smackdown'!$B$2:$B889)-2))</f>
        <v/>
      </c>
      <c r="AM52" s="444" t="str">
        <f t="shared" si="6"/>
        <v/>
      </c>
      <c r="AN52" s="448" t="str">
        <f t="shared" si="7"/>
        <v/>
      </c>
    </row>
    <row r="53">
      <c r="A53" s="277"/>
      <c r="B53" s="277"/>
      <c r="C53" s="441"/>
      <c r="D53" s="277"/>
      <c r="E53" s="277"/>
      <c r="F53" s="277"/>
      <c r="G53" s="277"/>
      <c r="H53" s="277" t="b">
        <f t="shared" si="1"/>
        <v>0</v>
      </c>
      <c r="I53" s="277" t="str">
        <f>IFERROR(__xludf.DUMMYFUNCTION("""COMPUTED_VALUE"""),"A1 050")</f>
        <v>A1 050</v>
      </c>
      <c r="J53" s="277" t="str">
        <f>IFERROR(__xludf.DUMMYFUNCTION("""COMPUTED_VALUE"""),"Salazzle")</f>
        <v>Salazzle</v>
      </c>
      <c r="K53" s="277" t="str">
        <f>IFERROR(__xludf.DUMMYFUNCTION("""COMPUTED_VALUE"""),"A1-Mewtwo")</f>
        <v>A1-Mewtwo</v>
      </c>
      <c r="L53" s="277" t="str">
        <f>IFERROR(__xludf.DUMMYFUNCTION("""COMPUTED_VALUE"""),"♢")</f>
        <v>♢</v>
      </c>
      <c r="M53" s="440" t="b">
        <f t="shared" si="2"/>
        <v>1</v>
      </c>
      <c r="N53" s="441"/>
      <c r="O53" s="277"/>
      <c r="P53" s="277"/>
      <c r="Q53" s="278"/>
      <c r="R53" s="449" t="str">
        <f t="array" ref="R53">IFERROR(IFS(OR(P53="A1-Mewtwo", P53="A1-Pikachu", P53="A1-Charizard", P53="A1"), XLOOKUP(N53, 'Genetic Apex'!$C$2:$C889, 'Genetic Apex'!$B$2:$B889)-$B$4, P53="A1a", XLOOKUP(N53, 'Mythical Island'!$C$2:$C889, 'Mythical Island'!$B$2:$B889)-$B$4, OR(P53="A2-Dialga", P53="A2-Palkia", P53="A2"), XLOOKUP(N53, 'Space-Time Smackdown'!$C$2:$C889, 'Space-Time Smackdown'!$B$2:$B889)-$B$4))</f>
        <v/>
      </c>
      <c r="S53" s="277" t="str">
        <f>IFERROR(__xludf.DUMMYFUNCTION("""COMPUTED_VALUE"""),"A1 050")</f>
        <v>A1 050</v>
      </c>
      <c r="T53" s="277" t="str">
        <f>IFERROR(__xludf.DUMMYFUNCTION("""COMPUTED_VALUE"""),"Salazzle")</f>
        <v>Salazzle</v>
      </c>
      <c r="U53" s="277" t="str">
        <f>IFERROR(__xludf.DUMMYFUNCTION("""COMPUTED_VALUE"""),"A1-Mewtwo")</f>
        <v>A1-Mewtwo</v>
      </c>
      <c r="V53" s="278" t="str">
        <f>IFERROR(__xludf.DUMMYFUNCTION("""COMPUTED_VALUE"""),"♢")</f>
        <v>♢</v>
      </c>
      <c r="W53" s="443">
        <f t="array" ref="W53">IFERROR(IFS(OR(U53="A1-Mewtwo", U53="A1-Pikachu", U53="A1-Charizard", U53="A1"), $B$5-XLOOKUP(S53, 'Genetic Apex'!$C$2:$C889, 'Genetic Apex'!$B$2:$B889), U53="A1a", $B$5-XLOOKUP(S53, 'Mythical Island'!$C$2:$C889, 'Mythical Island'!$B$2:$B889), OR(U53="A2-Dialga", U53="A2-Palkia", U53="A2"), $B$5-XLOOKUP(S53, 'Space-Time Smackdown'!$C$2:$C889, 'Space-Time Smackdown'!$B$2:$B889)))</f>
        <v>1</v>
      </c>
      <c r="X53" s="444">
        <f t="shared" si="3"/>
        <v>0</v>
      </c>
      <c r="Y53" s="445" t="str">
        <f t="shared" si="4"/>
        <v/>
      </c>
      <c r="Z53" s="278"/>
      <c r="AA53" s="466"/>
      <c r="AB53" s="278"/>
      <c r="AC53" s="278"/>
      <c r="AD53" s="278"/>
      <c r="AE53" s="278"/>
      <c r="AF53" s="278"/>
      <c r="AG53" s="278" t="b">
        <f t="shared" si="5"/>
        <v>0</v>
      </c>
      <c r="AH53" s="454"/>
      <c r="AI53" s="278"/>
      <c r="AJ53" s="278"/>
      <c r="AK53" s="278"/>
      <c r="AL53" s="444" t="str">
        <f t="array" ref="AL53">IFERROR(IFS(OR(AJ53="A1-Mewtwo", AJ53="A1-Pikachu", AJ53="A1-Charizard", AJ53="A1"), XLOOKUP(AH53, 'Genetic Apex'!$C$2:$C889, 'Genetic Apex'!$B$2:$B889)-2, AJ53="A1a", XLOOKUP(AH53, 'Mythical Island'!$C$2:$C889, 'Mythical Island'!$B$2:$B889)-2, OR(AJ53="A2-Dialga", AJ53="A2-Palkia", AJ53="A2"), XLOOKUP(AH53, 'Space-Time Smackdown'!$C$2:$C889, 'Space-Time Smackdown'!$B$2:$B889)-2))</f>
        <v/>
      </c>
      <c r="AM53" s="444" t="str">
        <f t="shared" si="6"/>
        <v/>
      </c>
      <c r="AN53" s="448" t="str">
        <f t="shared" si="7"/>
        <v/>
      </c>
    </row>
    <row r="54">
      <c r="A54" s="277"/>
      <c r="B54" s="277"/>
      <c r="C54" s="441"/>
      <c r="D54" s="277"/>
      <c r="E54" s="277"/>
      <c r="F54" s="277"/>
      <c r="G54" s="277"/>
      <c r="H54" s="277" t="b">
        <f t="shared" si="1"/>
        <v>0</v>
      </c>
      <c r="I54" s="277" t="str">
        <f>IFERROR(__xludf.DUMMYFUNCTION("""COMPUTED_VALUE"""),"A1 051")</f>
        <v>A1 051</v>
      </c>
      <c r="J54" s="277" t="str">
        <f>IFERROR(__xludf.DUMMYFUNCTION("""COMPUTED_VALUE"""),"Sizzlipede")</f>
        <v>Sizzlipede</v>
      </c>
      <c r="K54" s="277" t="str">
        <f>IFERROR(__xludf.DUMMYFUNCTION("""COMPUTED_VALUE"""),"A1")</f>
        <v>A1</v>
      </c>
      <c r="L54" s="277" t="str">
        <f>IFERROR(__xludf.DUMMYFUNCTION("""COMPUTED_VALUE"""),"♢")</f>
        <v>♢</v>
      </c>
      <c r="M54" s="440" t="b">
        <f t="shared" si="2"/>
        <v>1</v>
      </c>
      <c r="N54" s="441"/>
      <c r="O54" s="277"/>
      <c r="P54" s="277"/>
      <c r="Q54" s="278"/>
      <c r="R54" s="449" t="str">
        <f t="array" ref="R54">IFERROR(IFS(OR(P54="A1-Mewtwo", P54="A1-Pikachu", P54="A1-Charizard", P54="A1"), XLOOKUP(N54, 'Genetic Apex'!$C$2:$C889, 'Genetic Apex'!$B$2:$B889)-$B$4, P54="A1a", XLOOKUP(N54, 'Mythical Island'!$C$2:$C889, 'Mythical Island'!$B$2:$B889)-$B$4, OR(P54="A2-Dialga", P54="A2-Palkia", P54="A2"), XLOOKUP(N54, 'Space-Time Smackdown'!$C$2:$C889, 'Space-Time Smackdown'!$B$2:$B889)-$B$4))</f>
        <v/>
      </c>
      <c r="S54" s="277" t="str">
        <f>IFERROR(__xludf.DUMMYFUNCTION("""COMPUTED_VALUE"""),"A1 051")</f>
        <v>A1 051</v>
      </c>
      <c r="T54" s="277" t="str">
        <f>IFERROR(__xludf.DUMMYFUNCTION("""COMPUTED_VALUE"""),"Sizzlipede")</f>
        <v>Sizzlipede</v>
      </c>
      <c r="U54" s="277" t="str">
        <f>IFERROR(__xludf.DUMMYFUNCTION("""COMPUTED_VALUE"""),"A1")</f>
        <v>A1</v>
      </c>
      <c r="V54" s="278" t="str">
        <f>IFERROR(__xludf.DUMMYFUNCTION("""COMPUTED_VALUE"""),"♢")</f>
        <v>♢</v>
      </c>
      <c r="W54" s="443">
        <f t="array" ref="W54">IFERROR(IFS(OR(U54="A1-Mewtwo", U54="A1-Pikachu", U54="A1-Charizard", U54="A1"), $B$5-XLOOKUP(S54, 'Genetic Apex'!$C$2:$C889, 'Genetic Apex'!$B$2:$B889), U54="A1a", $B$5-XLOOKUP(S54, 'Mythical Island'!$C$2:$C889, 'Mythical Island'!$B$2:$B889), OR(U54="A2-Dialga", U54="A2-Palkia", U54="A2"), $B$5-XLOOKUP(S54, 'Space-Time Smackdown'!$C$2:$C889, 'Space-Time Smackdown'!$B$2:$B889)))</f>
        <v>1</v>
      </c>
      <c r="X54" s="444">
        <f t="shared" si="3"/>
        <v>0</v>
      </c>
      <c r="Y54" s="445" t="str">
        <f t="shared" si="4"/>
        <v/>
      </c>
      <c r="Z54" s="278"/>
      <c r="AA54" s="466"/>
      <c r="AB54" s="278"/>
      <c r="AC54" s="278"/>
      <c r="AD54" s="278"/>
      <c r="AE54" s="278"/>
      <c r="AF54" s="278"/>
      <c r="AG54" s="278" t="b">
        <f t="shared" si="5"/>
        <v>0</v>
      </c>
      <c r="AH54" s="454"/>
      <c r="AI54" s="278"/>
      <c r="AJ54" s="278"/>
      <c r="AK54" s="278"/>
      <c r="AL54" s="444" t="str">
        <f t="array" ref="AL54">IFERROR(IFS(OR(AJ54="A1-Mewtwo", AJ54="A1-Pikachu", AJ54="A1-Charizard", AJ54="A1"), XLOOKUP(AH54, 'Genetic Apex'!$C$2:$C889, 'Genetic Apex'!$B$2:$B889)-2, AJ54="A1a", XLOOKUP(AH54, 'Mythical Island'!$C$2:$C889, 'Mythical Island'!$B$2:$B889)-2, OR(AJ54="A2-Dialga", AJ54="A2-Palkia", AJ54="A2"), XLOOKUP(AH54, 'Space-Time Smackdown'!$C$2:$C889, 'Space-Time Smackdown'!$B$2:$B889)-2))</f>
        <v/>
      </c>
      <c r="AM54" s="444" t="str">
        <f t="shared" si="6"/>
        <v/>
      </c>
      <c r="AN54" s="448" t="str">
        <f t="shared" si="7"/>
        <v/>
      </c>
    </row>
    <row r="55">
      <c r="A55" s="277"/>
      <c r="B55" s="277"/>
      <c r="C55" s="441"/>
      <c r="D55" s="277"/>
      <c r="E55" s="277"/>
      <c r="F55" s="277"/>
      <c r="G55" s="277"/>
      <c r="H55" s="277" t="b">
        <f t="shared" si="1"/>
        <v>0</v>
      </c>
      <c r="I55" s="277" t="str">
        <f>IFERROR(__xludf.DUMMYFUNCTION("""COMPUTED_VALUE"""),"A1 052")</f>
        <v>A1 052</v>
      </c>
      <c r="J55" s="277" t="str">
        <f>IFERROR(__xludf.DUMMYFUNCTION("""COMPUTED_VALUE"""),"Centiskorch")</f>
        <v>Centiskorch</v>
      </c>
      <c r="K55" s="277" t="str">
        <f>IFERROR(__xludf.DUMMYFUNCTION("""COMPUTED_VALUE"""),"A1")</f>
        <v>A1</v>
      </c>
      <c r="L55" s="277" t="str">
        <f>IFERROR(__xludf.DUMMYFUNCTION("""COMPUTED_VALUE"""),"♢♢")</f>
        <v>♢♢</v>
      </c>
      <c r="M55" s="440" t="b">
        <f t="shared" si="2"/>
        <v>1</v>
      </c>
      <c r="N55" s="441"/>
      <c r="O55" s="277"/>
      <c r="P55" s="277"/>
      <c r="Q55" s="278"/>
      <c r="R55" s="449" t="str">
        <f t="array" ref="R55">IFERROR(IFS(OR(P55="A1-Mewtwo", P55="A1-Pikachu", P55="A1-Charizard", P55="A1"), XLOOKUP(N55, 'Genetic Apex'!$C$2:$C889, 'Genetic Apex'!$B$2:$B889)-$B$4, P55="A1a", XLOOKUP(N55, 'Mythical Island'!$C$2:$C889, 'Mythical Island'!$B$2:$B889)-$B$4, OR(P55="A2-Dialga", P55="A2-Palkia", P55="A2"), XLOOKUP(N55, 'Space-Time Smackdown'!$C$2:$C889, 'Space-Time Smackdown'!$B$2:$B889)-$B$4))</f>
        <v/>
      </c>
      <c r="S55" s="277" t="str">
        <f>IFERROR(__xludf.DUMMYFUNCTION("""COMPUTED_VALUE"""),"A1 052")</f>
        <v>A1 052</v>
      </c>
      <c r="T55" s="277" t="str">
        <f>IFERROR(__xludf.DUMMYFUNCTION("""COMPUTED_VALUE"""),"Centiskorch")</f>
        <v>Centiskorch</v>
      </c>
      <c r="U55" s="277" t="str">
        <f>IFERROR(__xludf.DUMMYFUNCTION("""COMPUTED_VALUE"""),"A1")</f>
        <v>A1</v>
      </c>
      <c r="V55" s="278" t="str">
        <f>IFERROR(__xludf.DUMMYFUNCTION("""COMPUTED_VALUE"""),"♢♢")</f>
        <v>♢♢</v>
      </c>
      <c r="W55" s="443">
        <f t="array" ref="W55">IFERROR(IFS(OR(U55="A1-Mewtwo", U55="A1-Pikachu", U55="A1-Charizard", U55="A1"), $B$5-XLOOKUP(S55, 'Genetic Apex'!$C$2:$C889, 'Genetic Apex'!$B$2:$B889), U55="A1a", $B$5-XLOOKUP(S55, 'Mythical Island'!$C$2:$C889, 'Mythical Island'!$B$2:$B889), OR(U55="A2-Dialga", U55="A2-Palkia", U55="A2"), $B$5-XLOOKUP(S55, 'Space-Time Smackdown'!$C$2:$C889, 'Space-Time Smackdown'!$B$2:$B889)))</f>
        <v>1</v>
      </c>
      <c r="X55" s="444">
        <f t="shared" si="3"/>
        <v>0</v>
      </c>
      <c r="Y55" s="445" t="str">
        <f t="shared" si="4"/>
        <v/>
      </c>
      <c r="Z55" s="278"/>
      <c r="AA55" s="466"/>
      <c r="AB55" s="278"/>
      <c r="AC55" s="278"/>
      <c r="AD55" s="278"/>
      <c r="AE55" s="278"/>
      <c r="AF55" s="278"/>
      <c r="AG55" s="278" t="b">
        <f t="shared" si="5"/>
        <v>0</v>
      </c>
      <c r="AH55" s="454"/>
      <c r="AI55" s="278"/>
      <c r="AJ55" s="278"/>
      <c r="AK55" s="278"/>
      <c r="AL55" s="444" t="str">
        <f t="array" ref="AL55">IFERROR(IFS(OR(AJ55="A1-Mewtwo", AJ55="A1-Pikachu", AJ55="A1-Charizard", AJ55="A1"), XLOOKUP(AH55, 'Genetic Apex'!$C$2:$C889, 'Genetic Apex'!$B$2:$B889)-2, AJ55="A1a", XLOOKUP(AH55, 'Mythical Island'!$C$2:$C889, 'Mythical Island'!$B$2:$B889)-2, OR(AJ55="A2-Dialga", AJ55="A2-Palkia", AJ55="A2"), XLOOKUP(AH55, 'Space-Time Smackdown'!$C$2:$C889, 'Space-Time Smackdown'!$B$2:$B889)-2))</f>
        <v/>
      </c>
      <c r="AM55" s="444" t="str">
        <f t="shared" si="6"/>
        <v/>
      </c>
      <c r="AN55" s="448" t="str">
        <f t="shared" si="7"/>
        <v/>
      </c>
    </row>
    <row r="56">
      <c r="A56" s="277"/>
      <c r="B56" s="277"/>
      <c r="C56" s="441"/>
      <c r="D56" s="277"/>
      <c r="E56" s="277"/>
      <c r="F56" s="277"/>
      <c r="G56" s="277"/>
      <c r="H56" s="277" t="b">
        <f t="shared" si="1"/>
        <v>0</v>
      </c>
      <c r="I56" s="277" t="str">
        <f>IFERROR(__xludf.DUMMYFUNCTION("""COMPUTED_VALUE"""),"A1 053")</f>
        <v>A1 053</v>
      </c>
      <c r="J56" s="277" t="str">
        <f>IFERROR(__xludf.DUMMYFUNCTION("""COMPUTED_VALUE"""),"Squirtle")</f>
        <v>Squirtle</v>
      </c>
      <c r="K56" s="277" t="str">
        <f>IFERROR(__xludf.DUMMYFUNCTION("""COMPUTED_VALUE"""),"A1-Pikachu")</f>
        <v>A1-Pikachu</v>
      </c>
      <c r="L56" s="277" t="str">
        <f>IFERROR(__xludf.DUMMYFUNCTION("""COMPUTED_VALUE"""),"♢")</f>
        <v>♢</v>
      </c>
      <c r="M56" s="440" t="b">
        <f t="shared" si="2"/>
        <v>1</v>
      </c>
      <c r="N56" s="441"/>
      <c r="O56" s="277"/>
      <c r="P56" s="277"/>
      <c r="Q56" s="278"/>
      <c r="R56" s="449" t="str">
        <f t="array" ref="R56">IFERROR(IFS(OR(P56="A1-Mewtwo", P56="A1-Pikachu", P56="A1-Charizard", P56="A1"), XLOOKUP(N56, 'Genetic Apex'!$C$2:$C889, 'Genetic Apex'!$B$2:$B889)-$B$4, P56="A1a", XLOOKUP(N56, 'Mythical Island'!$C$2:$C889, 'Mythical Island'!$B$2:$B889)-$B$4, OR(P56="A2-Dialga", P56="A2-Palkia", P56="A2"), XLOOKUP(N56, 'Space-Time Smackdown'!$C$2:$C889, 'Space-Time Smackdown'!$B$2:$B889)-$B$4))</f>
        <v/>
      </c>
      <c r="S56" s="277" t="str">
        <f>IFERROR(__xludf.DUMMYFUNCTION("""COMPUTED_VALUE"""),"A1 053")</f>
        <v>A1 053</v>
      </c>
      <c r="T56" s="277" t="str">
        <f>IFERROR(__xludf.DUMMYFUNCTION("""COMPUTED_VALUE"""),"Squirtle")</f>
        <v>Squirtle</v>
      </c>
      <c r="U56" s="277" t="str">
        <f>IFERROR(__xludf.DUMMYFUNCTION("""COMPUTED_VALUE"""),"A1-Pikachu")</f>
        <v>A1-Pikachu</v>
      </c>
      <c r="V56" s="278" t="str">
        <f>IFERROR(__xludf.DUMMYFUNCTION("""COMPUTED_VALUE"""),"♢")</f>
        <v>♢</v>
      </c>
      <c r="W56" s="443">
        <f t="array" ref="W56">IFERROR(IFS(OR(U56="A1-Mewtwo", U56="A1-Pikachu", U56="A1-Charizard", U56="A1"), $B$5-XLOOKUP(S56, 'Genetic Apex'!$C$2:$C889, 'Genetic Apex'!$B$2:$B889), U56="A1a", $B$5-XLOOKUP(S56, 'Mythical Island'!$C$2:$C889, 'Mythical Island'!$B$2:$B889), OR(U56="A2-Dialga", U56="A2-Palkia", U56="A2"), $B$5-XLOOKUP(S56, 'Space-Time Smackdown'!$C$2:$C889, 'Space-Time Smackdown'!$B$2:$B889)))</f>
        <v>1</v>
      </c>
      <c r="X56" s="444">
        <f t="shared" si="3"/>
        <v>0</v>
      </c>
      <c r="Y56" s="445" t="str">
        <f t="shared" si="4"/>
        <v/>
      </c>
      <c r="Z56" s="278"/>
      <c r="AA56" s="466"/>
      <c r="AB56" s="278"/>
      <c r="AC56" s="278"/>
      <c r="AD56" s="278"/>
      <c r="AE56" s="278"/>
      <c r="AF56" s="278"/>
      <c r="AG56" s="278" t="b">
        <f t="shared" si="5"/>
        <v>0</v>
      </c>
      <c r="AH56" s="454"/>
      <c r="AI56" s="278"/>
      <c r="AJ56" s="278"/>
      <c r="AK56" s="278"/>
      <c r="AL56" s="444" t="str">
        <f t="array" ref="AL56">IFERROR(IFS(OR(AJ56="A1-Mewtwo", AJ56="A1-Pikachu", AJ56="A1-Charizard", AJ56="A1"), XLOOKUP(AH56, 'Genetic Apex'!$C$2:$C889, 'Genetic Apex'!$B$2:$B889)-2, AJ56="A1a", XLOOKUP(AH56, 'Mythical Island'!$C$2:$C889, 'Mythical Island'!$B$2:$B889)-2, OR(AJ56="A2-Dialga", AJ56="A2-Palkia", AJ56="A2"), XLOOKUP(AH56, 'Space-Time Smackdown'!$C$2:$C889, 'Space-Time Smackdown'!$B$2:$B889)-2))</f>
        <v/>
      </c>
      <c r="AM56" s="444" t="str">
        <f t="shared" si="6"/>
        <v/>
      </c>
      <c r="AN56" s="448" t="str">
        <f t="shared" si="7"/>
        <v/>
      </c>
    </row>
    <row r="57">
      <c r="A57" s="277"/>
      <c r="B57" s="277"/>
      <c r="C57" s="441"/>
      <c r="D57" s="277"/>
      <c r="E57" s="277"/>
      <c r="F57" s="277"/>
      <c r="G57" s="277"/>
      <c r="H57" s="277" t="b">
        <f t="shared" si="1"/>
        <v>0</v>
      </c>
      <c r="I57" s="277" t="str">
        <f>IFERROR(__xludf.DUMMYFUNCTION("""COMPUTED_VALUE"""),"A1 054")</f>
        <v>A1 054</v>
      </c>
      <c r="J57" s="277" t="str">
        <f>IFERROR(__xludf.DUMMYFUNCTION("""COMPUTED_VALUE"""),"Wartortle")</f>
        <v>Wartortle</v>
      </c>
      <c r="K57" s="277" t="str">
        <f>IFERROR(__xludf.DUMMYFUNCTION("""COMPUTED_VALUE"""),"A1-Pikachu")</f>
        <v>A1-Pikachu</v>
      </c>
      <c r="L57" s="277" t="str">
        <f>IFERROR(__xludf.DUMMYFUNCTION("""COMPUTED_VALUE"""),"♢♢")</f>
        <v>♢♢</v>
      </c>
      <c r="M57" s="440" t="b">
        <f t="shared" si="2"/>
        <v>1</v>
      </c>
      <c r="N57" s="441"/>
      <c r="O57" s="277"/>
      <c r="P57" s="277"/>
      <c r="Q57" s="278"/>
      <c r="R57" s="449" t="str">
        <f t="array" ref="R57">IFERROR(IFS(OR(P57="A1-Mewtwo", P57="A1-Pikachu", P57="A1-Charizard", P57="A1"), XLOOKUP(N57, 'Genetic Apex'!$C$2:$C889, 'Genetic Apex'!$B$2:$B889)-$B$4, P57="A1a", XLOOKUP(N57, 'Mythical Island'!$C$2:$C889, 'Mythical Island'!$B$2:$B889)-$B$4, OR(P57="A2-Dialga", P57="A2-Palkia", P57="A2"), XLOOKUP(N57, 'Space-Time Smackdown'!$C$2:$C889, 'Space-Time Smackdown'!$B$2:$B889)-$B$4))</f>
        <v/>
      </c>
      <c r="S57" s="277" t="str">
        <f>IFERROR(__xludf.DUMMYFUNCTION("""COMPUTED_VALUE"""),"A1 054")</f>
        <v>A1 054</v>
      </c>
      <c r="T57" s="277" t="str">
        <f>IFERROR(__xludf.DUMMYFUNCTION("""COMPUTED_VALUE"""),"Wartortle")</f>
        <v>Wartortle</v>
      </c>
      <c r="U57" s="277" t="str">
        <f>IFERROR(__xludf.DUMMYFUNCTION("""COMPUTED_VALUE"""),"A1-Pikachu")</f>
        <v>A1-Pikachu</v>
      </c>
      <c r="V57" s="278" t="str">
        <f>IFERROR(__xludf.DUMMYFUNCTION("""COMPUTED_VALUE"""),"♢♢")</f>
        <v>♢♢</v>
      </c>
      <c r="W57" s="443">
        <f t="array" ref="W57">IFERROR(IFS(OR(U57="A1-Mewtwo", U57="A1-Pikachu", U57="A1-Charizard", U57="A1"), $B$5-XLOOKUP(S57, 'Genetic Apex'!$C$2:$C889, 'Genetic Apex'!$B$2:$B889), U57="A1a", $B$5-XLOOKUP(S57, 'Mythical Island'!$C$2:$C889, 'Mythical Island'!$B$2:$B889), OR(U57="A2-Dialga", U57="A2-Palkia", U57="A2"), $B$5-XLOOKUP(S57, 'Space-Time Smackdown'!$C$2:$C889, 'Space-Time Smackdown'!$B$2:$B889)))</f>
        <v>1</v>
      </c>
      <c r="X57" s="444">
        <f t="shared" si="3"/>
        <v>0</v>
      </c>
      <c r="Y57" s="445" t="str">
        <f t="shared" si="4"/>
        <v/>
      </c>
      <c r="Z57" s="278"/>
      <c r="AA57" s="466"/>
      <c r="AB57" s="278"/>
      <c r="AC57" s="278"/>
      <c r="AD57" s="278"/>
      <c r="AE57" s="278"/>
      <c r="AF57" s="278"/>
      <c r="AG57" s="278" t="b">
        <f t="shared" si="5"/>
        <v>0</v>
      </c>
      <c r="AH57" s="454"/>
      <c r="AI57" s="278"/>
      <c r="AJ57" s="278"/>
      <c r="AK57" s="278"/>
      <c r="AL57" s="444" t="str">
        <f t="array" ref="AL57">IFERROR(IFS(OR(AJ57="A1-Mewtwo", AJ57="A1-Pikachu", AJ57="A1-Charizard", AJ57="A1"), XLOOKUP(AH57, 'Genetic Apex'!$C$2:$C889, 'Genetic Apex'!$B$2:$B889)-2, AJ57="A1a", XLOOKUP(AH57, 'Mythical Island'!$C$2:$C889, 'Mythical Island'!$B$2:$B889)-2, OR(AJ57="A2-Dialga", AJ57="A2-Palkia", AJ57="A2"), XLOOKUP(AH57, 'Space-Time Smackdown'!$C$2:$C889, 'Space-Time Smackdown'!$B$2:$B889)-2))</f>
        <v/>
      </c>
      <c r="AM57" s="444" t="str">
        <f t="shared" si="6"/>
        <v/>
      </c>
      <c r="AN57" s="448" t="str">
        <f t="shared" si="7"/>
        <v/>
      </c>
    </row>
    <row r="58">
      <c r="A58" s="277"/>
      <c r="B58" s="277"/>
      <c r="C58" s="441"/>
      <c r="D58" s="277"/>
      <c r="E58" s="277"/>
      <c r="F58" s="277"/>
      <c r="G58" s="277"/>
      <c r="H58" s="277" t="b">
        <f t="shared" si="1"/>
        <v>0</v>
      </c>
      <c r="I58" s="277" t="str">
        <f>IFERROR(__xludf.DUMMYFUNCTION("""COMPUTED_VALUE"""),"A1 055")</f>
        <v>A1 055</v>
      </c>
      <c r="J58" s="277" t="str">
        <f>IFERROR(__xludf.DUMMYFUNCTION("""COMPUTED_VALUE"""),"Blastoise")</f>
        <v>Blastoise</v>
      </c>
      <c r="K58" s="277" t="str">
        <f>IFERROR(__xludf.DUMMYFUNCTION("""COMPUTED_VALUE"""),"A1-Pikachu")</f>
        <v>A1-Pikachu</v>
      </c>
      <c r="L58" s="277" t="str">
        <f>IFERROR(__xludf.DUMMYFUNCTION("""COMPUTED_VALUE"""),"♢♢♢")</f>
        <v>♢♢♢</v>
      </c>
      <c r="M58" s="440" t="b">
        <f t="shared" si="2"/>
        <v>1</v>
      </c>
      <c r="N58" s="441"/>
      <c r="O58" s="277"/>
      <c r="P58" s="277"/>
      <c r="Q58" s="278"/>
      <c r="R58" s="449" t="str">
        <f t="array" ref="R58">IFERROR(IFS(OR(P58="A1-Mewtwo", P58="A1-Pikachu", P58="A1-Charizard", P58="A1"), XLOOKUP(N58, 'Genetic Apex'!$C$2:$C889, 'Genetic Apex'!$B$2:$B889)-$B$4, P58="A1a", XLOOKUP(N58, 'Mythical Island'!$C$2:$C889, 'Mythical Island'!$B$2:$B889)-$B$4, OR(P58="A2-Dialga", P58="A2-Palkia", P58="A2"), XLOOKUP(N58, 'Space-Time Smackdown'!$C$2:$C889, 'Space-Time Smackdown'!$B$2:$B889)-$B$4))</f>
        <v/>
      </c>
      <c r="S58" s="277" t="str">
        <f>IFERROR(__xludf.DUMMYFUNCTION("""COMPUTED_VALUE"""),"A1 055")</f>
        <v>A1 055</v>
      </c>
      <c r="T58" s="277" t="str">
        <f>IFERROR(__xludf.DUMMYFUNCTION("""COMPUTED_VALUE"""),"Blastoise")</f>
        <v>Blastoise</v>
      </c>
      <c r="U58" s="277" t="str">
        <f>IFERROR(__xludf.DUMMYFUNCTION("""COMPUTED_VALUE"""),"A1-Pikachu")</f>
        <v>A1-Pikachu</v>
      </c>
      <c r="V58" s="278" t="str">
        <f>IFERROR(__xludf.DUMMYFUNCTION("""COMPUTED_VALUE"""),"♢♢♢")</f>
        <v>♢♢♢</v>
      </c>
      <c r="W58" s="443">
        <f t="array" ref="W58">IFERROR(IFS(OR(U58="A1-Mewtwo", U58="A1-Pikachu", U58="A1-Charizard", U58="A1"), $B$5-XLOOKUP(S58, 'Genetic Apex'!$C$2:$C889, 'Genetic Apex'!$B$2:$B889), U58="A1a", $B$5-XLOOKUP(S58, 'Mythical Island'!$C$2:$C889, 'Mythical Island'!$B$2:$B889), OR(U58="A2-Dialga", U58="A2-Palkia", U58="A2"), $B$5-XLOOKUP(S58, 'Space-Time Smackdown'!$C$2:$C889, 'Space-Time Smackdown'!$B$2:$B889)))</f>
        <v>1</v>
      </c>
      <c r="X58" s="444">
        <f t="shared" si="3"/>
        <v>120</v>
      </c>
      <c r="Y58" s="445">
        <f t="shared" si="4"/>
        <v>120</v>
      </c>
      <c r="Z58" s="278"/>
      <c r="AA58" s="466"/>
      <c r="AB58" s="278"/>
      <c r="AC58" s="278"/>
      <c r="AD58" s="278"/>
      <c r="AE58" s="278"/>
      <c r="AF58" s="278"/>
      <c r="AG58" s="278" t="b">
        <f t="shared" si="5"/>
        <v>0</v>
      </c>
      <c r="AH58" s="454"/>
      <c r="AI58" s="278"/>
      <c r="AJ58" s="278"/>
      <c r="AK58" s="278"/>
      <c r="AL58" s="444" t="str">
        <f t="array" ref="AL58">IFERROR(IFS(OR(AJ58="A1-Mewtwo", AJ58="A1-Pikachu", AJ58="A1-Charizard", AJ58="A1"), XLOOKUP(AH58, 'Genetic Apex'!$C$2:$C889, 'Genetic Apex'!$B$2:$B889)-2, AJ58="A1a", XLOOKUP(AH58, 'Mythical Island'!$C$2:$C889, 'Mythical Island'!$B$2:$B889)-2, OR(AJ58="A2-Dialga", AJ58="A2-Palkia", AJ58="A2"), XLOOKUP(AH58, 'Space-Time Smackdown'!$C$2:$C889, 'Space-Time Smackdown'!$B$2:$B889)-2))</f>
        <v/>
      </c>
      <c r="AM58" s="444" t="str">
        <f t="shared" si="6"/>
        <v/>
      </c>
      <c r="AN58" s="448" t="str">
        <f t="shared" si="7"/>
        <v/>
      </c>
    </row>
    <row r="59">
      <c r="A59" s="277"/>
      <c r="B59" s="277"/>
      <c r="C59" s="441"/>
      <c r="D59" s="277"/>
      <c r="E59" s="277"/>
      <c r="F59" s="277"/>
      <c r="G59" s="277"/>
      <c r="H59" s="277" t="b">
        <f t="shared" si="1"/>
        <v>0</v>
      </c>
      <c r="I59" s="277" t="str">
        <f>IFERROR(__xludf.DUMMYFUNCTION("""COMPUTED_VALUE"""),"A1 056")</f>
        <v>A1 056</v>
      </c>
      <c r="J59" s="277" t="str">
        <f>IFERROR(__xludf.DUMMYFUNCTION("""COMPUTED_VALUE"""),"Blastoise ex")</f>
        <v>Blastoise ex</v>
      </c>
      <c r="K59" s="277" t="str">
        <f>IFERROR(__xludf.DUMMYFUNCTION("""COMPUTED_VALUE"""),"A1-Pikachu")</f>
        <v>A1-Pikachu</v>
      </c>
      <c r="L59" s="277" t="str">
        <f>IFERROR(__xludf.DUMMYFUNCTION("""COMPUTED_VALUE"""),"♢♢♢♢")</f>
        <v>♢♢♢♢</v>
      </c>
      <c r="M59" s="440" t="b">
        <f t="shared" si="2"/>
        <v>1</v>
      </c>
      <c r="N59" s="441"/>
      <c r="O59" s="277"/>
      <c r="P59" s="277"/>
      <c r="Q59" s="278"/>
      <c r="R59" s="449" t="str">
        <f t="array" ref="R59">IFERROR(IFS(OR(P59="A1-Mewtwo", P59="A1-Pikachu", P59="A1-Charizard", P59="A1"), XLOOKUP(N59, 'Genetic Apex'!$C$2:$C889, 'Genetic Apex'!$B$2:$B889)-$B$4, P59="A1a", XLOOKUP(N59, 'Mythical Island'!$C$2:$C889, 'Mythical Island'!$B$2:$B889)-$B$4, OR(P59="A2-Dialga", P59="A2-Palkia", P59="A2"), XLOOKUP(N59, 'Space-Time Smackdown'!$C$2:$C889, 'Space-Time Smackdown'!$B$2:$B889)-$B$4))</f>
        <v/>
      </c>
      <c r="S59" s="277" t="str">
        <f>IFERROR(__xludf.DUMMYFUNCTION("""COMPUTED_VALUE"""),"A1 056")</f>
        <v>A1 056</v>
      </c>
      <c r="T59" s="277" t="str">
        <f>IFERROR(__xludf.DUMMYFUNCTION("""COMPUTED_VALUE"""),"Blastoise ex")</f>
        <v>Blastoise ex</v>
      </c>
      <c r="U59" s="277" t="str">
        <f>IFERROR(__xludf.DUMMYFUNCTION("""COMPUTED_VALUE"""),"A1-Pikachu")</f>
        <v>A1-Pikachu</v>
      </c>
      <c r="V59" s="278" t="str">
        <f>IFERROR(__xludf.DUMMYFUNCTION("""COMPUTED_VALUE"""),"♢♢♢♢")</f>
        <v>♢♢♢♢</v>
      </c>
      <c r="W59" s="443">
        <f t="array" ref="W59">IFERROR(IFS(OR(U59="A1-Mewtwo", U59="A1-Pikachu", U59="A1-Charizard", U59="A1"), $B$5-XLOOKUP(S59, 'Genetic Apex'!$C$2:$C889, 'Genetic Apex'!$B$2:$B889), U59="A1a", $B$5-XLOOKUP(S59, 'Mythical Island'!$C$2:$C889, 'Mythical Island'!$B$2:$B889), OR(U59="A2-Dialga", U59="A2-Palkia", U59="A2"), $B$5-XLOOKUP(S59, 'Space-Time Smackdown'!$C$2:$C889, 'Space-Time Smackdown'!$B$2:$B889)))</f>
        <v>1</v>
      </c>
      <c r="X59" s="444">
        <f t="shared" si="3"/>
        <v>500</v>
      </c>
      <c r="Y59" s="445">
        <f t="shared" si="4"/>
        <v>500</v>
      </c>
      <c r="Z59" s="278"/>
      <c r="AA59" s="466"/>
      <c r="AB59" s="278"/>
      <c r="AC59" s="278"/>
      <c r="AD59" s="278"/>
      <c r="AE59" s="278"/>
      <c r="AF59" s="278"/>
      <c r="AG59" s="278" t="b">
        <f t="shared" si="5"/>
        <v>0</v>
      </c>
      <c r="AH59" s="454"/>
      <c r="AI59" s="278"/>
      <c r="AJ59" s="278"/>
      <c r="AK59" s="278"/>
      <c r="AL59" s="444" t="str">
        <f t="array" ref="AL59">IFERROR(IFS(OR(AJ59="A1-Mewtwo", AJ59="A1-Pikachu", AJ59="A1-Charizard", AJ59="A1"), XLOOKUP(AH59, 'Genetic Apex'!$C$2:$C889, 'Genetic Apex'!$B$2:$B889)-2, AJ59="A1a", XLOOKUP(AH59, 'Mythical Island'!$C$2:$C889, 'Mythical Island'!$B$2:$B889)-2, OR(AJ59="A2-Dialga", AJ59="A2-Palkia", AJ59="A2"), XLOOKUP(AH59, 'Space-Time Smackdown'!$C$2:$C889, 'Space-Time Smackdown'!$B$2:$B889)-2))</f>
        <v/>
      </c>
      <c r="AM59" s="444" t="str">
        <f t="shared" si="6"/>
        <v/>
      </c>
      <c r="AN59" s="448" t="str">
        <f t="shared" si="7"/>
        <v/>
      </c>
    </row>
    <row r="60">
      <c r="A60" s="277"/>
      <c r="B60" s="277"/>
      <c r="C60" s="441"/>
      <c r="D60" s="277"/>
      <c r="E60" s="277"/>
      <c r="F60" s="277"/>
      <c r="G60" s="277"/>
      <c r="H60" s="277" t="b">
        <f t="shared" si="1"/>
        <v>0</v>
      </c>
      <c r="I60" s="277" t="str">
        <f>IFERROR(__xludf.DUMMYFUNCTION("""COMPUTED_VALUE"""),"A1 057")</f>
        <v>A1 057</v>
      </c>
      <c r="J60" s="277" t="str">
        <f>IFERROR(__xludf.DUMMYFUNCTION("""COMPUTED_VALUE"""),"Psyduck")</f>
        <v>Psyduck</v>
      </c>
      <c r="K60" s="277" t="str">
        <f>IFERROR(__xludf.DUMMYFUNCTION("""COMPUTED_VALUE"""),"A1")</f>
        <v>A1</v>
      </c>
      <c r="L60" s="277" t="str">
        <f>IFERROR(__xludf.DUMMYFUNCTION("""COMPUTED_VALUE"""),"♢")</f>
        <v>♢</v>
      </c>
      <c r="M60" s="440" t="b">
        <f t="shared" si="2"/>
        <v>1</v>
      </c>
      <c r="N60" s="441"/>
      <c r="O60" s="277"/>
      <c r="P60" s="277"/>
      <c r="Q60" s="278"/>
      <c r="R60" s="449" t="str">
        <f t="array" ref="R60">IFERROR(IFS(OR(P60="A1-Mewtwo", P60="A1-Pikachu", P60="A1-Charizard", P60="A1"), XLOOKUP(N60, 'Genetic Apex'!$C$2:$C889, 'Genetic Apex'!$B$2:$B889)-$B$4, P60="A1a", XLOOKUP(N60, 'Mythical Island'!$C$2:$C889, 'Mythical Island'!$B$2:$B889)-$B$4, OR(P60="A2-Dialga", P60="A2-Palkia", P60="A2"), XLOOKUP(N60, 'Space-Time Smackdown'!$C$2:$C889, 'Space-Time Smackdown'!$B$2:$B889)-$B$4))</f>
        <v/>
      </c>
      <c r="S60" s="277" t="str">
        <f>IFERROR(__xludf.DUMMYFUNCTION("""COMPUTED_VALUE"""),"A1 057")</f>
        <v>A1 057</v>
      </c>
      <c r="T60" s="277" t="str">
        <f>IFERROR(__xludf.DUMMYFUNCTION("""COMPUTED_VALUE"""),"Psyduck")</f>
        <v>Psyduck</v>
      </c>
      <c r="U60" s="277" t="str">
        <f>IFERROR(__xludf.DUMMYFUNCTION("""COMPUTED_VALUE"""),"A1")</f>
        <v>A1</v>
      </c>
      <c r="V60" s="278" t="str">
        <f>IFERROR(__xludf.DUMMYFUNCTION("""COMPUTED_VALUE"""),"♢")</f>
        <v>♢</v>
      </c>
      <c r="W60" s="443">
        <f t="array" ref="W60">IFERROR(IFS(OR(U60="A1-Mewtwo", U60="A1-Pikachu", U60="A1-Charizard", U60="A1"), $B$5-XLOOKUP(S60, 'Genetic Apex'!$C$2:$C889, 'Genetic Apex'!$B$2:$B889), U60="A1a", $B$5-XLOOKUP(S60, 'Mythical Island'!$C$2:$C889, 'Mythical Island'!$B$2:$B889), OR(U60="A2-Dialga", U60="A2-Palkia", U60="A2"), $B$5-XLOOKUP(S60, 'Space-Time Smackdown'!$C$2:$C889, 'Space-Time Smackdown'!$B$2:$B889)))</f>
        <v>1</v>
      </c>
      <c r="X60" s="444">
        <f t="shared" si="3"/>
        <v>0</v>
      </c>
      <c r="Y60" s="445" t="str">
        <f t="shared" si="4"/>
        <v/>
      </c>
      <c r="Z60" s="278"/>
      <c r="AA60" s="466"/>
      <c r="AB60" s="278"/>
      <c r="AC60" s="278"/>
      <c r="AD60" s="278"/>
      <c r="AE60" s="278"/>
      <c r="AF60" s="278"/>
      <c r="AG60" s="278" t="b">
        <f t="shared" si="5"/>
        <v>0</v>
      </c>
      <c r="AH60" s="454"/>
      <c r="AI60" s="278"/>
      <c r="AJ60" s="278"/>
      <c r="AK60" s="278"/>
      <c r="AL60" s="444" t="str">
        <f t="array" ref="AL60">IFERROR(IFS(OR(AJ60="A1-Mewtwo", AJ60="A1-Pikachu", AJ60="A1-Charizard", AJ60="A1"), XLOOKUP(AH60, 'Genetic Apex'!$C$2:$C889, 'Genetic Apex'!$B$2:$B889)-2, AJ60="A1a", XLOOKUP(AH60, 'Mythical Island'!$C$2:$C889, 'Mythical Island'!$B$2:$B889)-2, OR(AJ60="A2-Dialga", AJ60="A2-Palkia", AJ60="A2"), XLOOKUP(AH60, 'Space-Time Smackdown'!$C$2:$C889, 'Space-Time Smackdown'!$B$2:$B889)-2))</f>
        <v/>
      </c>
      <c r="AM60" s="444" t="str">
        <f t="shared" si="6"/>
        <v/>
      </c>
      <c r="AN60" s="448" t="str">
        <f t="shared" si="7"/>
        <v/>
      </c>
    </row>
    <row r="61">
      <c r="A61" s="277"/>
      <c r="B61" s="277"/>
      <c r="C61" s="441"/>
      <c r="D61" s="277"/>
      <c r="E61" s="277"/>
      <c r="F61" s="277"/>
      <c r="G61" s="277"/>
      <c r="H61" s="277" t="b">
        <f t="shared" si="1"/>
        <v>0</v>
      </c>
      <c r="I61" s="277" t="str">
        <f>IFERROR(__xludf.DUMMYFUNCTION("""COMPUTED_VALUE"""),"A1 058")</f>
        <v>A1 058</v>
      </c>
      <c r="J61" s="277" t="str">
        <f>IFERROR(__xludf.DUMMYFUNCTION("""COMPUTED_VALUE"""),"Golduck")</f>
        <v>Golduck</v>
      </c>
      <c r="K61" s="277" t="str">
        <f>IFERROR(__xludf.DUMMYFUNCTION("""COMPUTED_VALUE"""),"A1")</f>
        <v>A1</v>
      </c>
      <c r="L61" s="277" t="str">
        <f>IFERROR(__xludf.DUMMYFUNCTION("""COMPUTED_VALUE"""),"♢♢")</f>
        <v>♢♢</v>
      </c>
      <c r="M61" s="440" t="b">
        <f t="shared" si="2"/>
        <v>1</v>
      </c>
      <c r="N61" s="441"/>
      <c r="O61" s="277"/>
      <c r="P61" s="277"/>
      <c r="Q61" s="278"/>
      <c r="R61" s="449" t="str">
        <f t="array" ref="R61">IFERROR(IFS(OR(P61="A1-Mewtwo", P61="A1-Pikachu", P61="A1-Charizard", P61="A1"), XLOOKUP(N61, 'Genetic Apex'!$C$2:$C889, 'Genetic Apex'!$B$2:$B889)-$B$4, P61="A1a", XLOOKUP(N61, 'Mythical Island'!$C$2:$C889, 'Mythical Island'!$B$2:$B889)-$B$4, OR(P61="A2-Dialga", P61="A2-Palkia", P61="A2"), XLOOKUP(N61, 'Space-Time Smackdown'!$C$2:$C889, 'Space-Time Smackdown'!$B$2:$B889)-$B$4))</f>
        <v/>
      </c>
      <c r="S61" s="277" t="str">
        <f>IFERROR(__xludf.DUMMYFUNCTION("""COMPUTED_VALUE"""),"A1 058")</f>
        <v>A1 058</v>
      </c>
      <c r="T61" s="277" t="str">
        <f>IFERROR(__xludf.DUMMYFUNCTION("""COMPUTED_VALUE"""),"Golduck")</f>
        <v>Golduck</v>
      </c>
      <c r="U61" s="277" t="str">
        <f>IFERROR(__xludf.DUMMYFUNCTION("""COMPUTED_VALUE"""),"A1")</f>
        <v>A1</v>
      </c>
      <c r="V61" s="278" t="str">
        <f>IFERROR(__xludf.DUMMYFUNCTION("""COMPUTED_VALUE"""),"♢♢")</f>
        <v>♢♢</v>
      </c>
      <c r="W61" s="443">
        <f t="array" ref="W61">IFERROR(IFS(OR(U61="A1-Mewtwo", U61="A1-Pikachu", U61="A1-Charizard", U61="A1"), $B$5-XLOOKUP(S61, 'Genetic Apex'!$C$2:$C889, 'Genetic Apex'!$B$2:$B889), U61="A1a", $B$5-XLOOKUP(S61, 'Mythical Island'!$C$2:$C889, 'Mythical Island'!$B$2:$B889), OR(U61="A2-Dialga", U61="A2-Palkia", U61="A2"), $B$5-XLOOKUP(S61, 'Space-Time Smackdown'!$C$2:$C889, 'Space-Time Smackdown'!$B$2:$B889)))</f>
        <v>1</v>
      </c>
      <c r="X61" s="444">
        <f t="shared" si="3"/>
        <v>0</v>
      </c>
      <c r="Y61" s="445" t="str">
        <f t="shared" si="4"/>
        <v/>
      </c>
      <c r="Z61" s="278"/>
      <c r="AA61" s="466"/>
      <c r="AB61" s="278"/>
      <c r="AC61" s="278"/>
      <c r="AD61" s="278"/>
      <c r="AE61" s="278"/>
      <c r="AF61" s="278"/>
      <c r="AG61" s="278" t="b">
        <f t="shared" si="5"/>
        <v>0</v>
      </c>
      <c r="AH61" s="454"/>
      <c r="AI61" s="278"/>
      <c r="AJ61" s="278"/>
      <c r="AK61" s="278"/>
      <c r="AL61" s="444" t="str">
        <f t="array" ref="AL61">IFERROR(IFS(OR(AJ61="A1-Mewtwo", AJ61="A1-Pikachu", AJ61="A1-Charizard", AJ61="A1"), XLOOKUP(AH61, 'Genetic Apex'!$C$2:$C889, 'Genetic Apex'!$B$2:$B889)-2, AJ61="A1a", XLOOKUP(AH61, 'Mythical Island'!$C$2:$C889, 'Mythical Island'!$B$2:$B889)-2, OR(AJ61="A2-Dialga", AJ61="A2-Palkia", AJ61="A2"), XLOOKUP(AH61, 'Space-Time Smackdown'!$C$2:$C889, 'Space-Time Smackdown'!$B$2:$B889)-2))</f>
        <v/>
      </c>
      <c r="AM61" s="444" t="str">
        <f t="shared" si="6"/>
        <v/>
      </c>
      <c r="AN61" s="448" t="str">
        <f t="shared" si="7"/>
        <v/>
      </c>
    </row>
    <row r="62">
      <c r="A62" s="277"/>
      <c r="B62" s="277"/>
      <c r="C62" s="441"/>
      <c r="D62" s="277"/>
      <c r="E62" s="277"/>
      <c r="F62" s="277"/>
      <c r="G62" s="277"/>
      <c r="H62" s="277" t="b">
        <f t="shared" si="1"/>
        <v>0</v>
      </c>
      <c r="I62" s="277" t="str">
        <f>IFERROR(__xludf.DUMMYFUNCTION("""COMPUTED_VALUE"""),"A1 059")</f>
        <v>A1 059</v>
      </c>
      <c r="J62" s="277" t="str">
        <f>IFERROR(__xludf.DUMMYFUNCTION("""COMPUTED_VALUE"""),"Poliwag")</f>
        <v>Poliwag</v>
      </c>
      <c r="K62" s="277" t="str">
        <f>IFERROR(__xludf.DUMMYFUNCTION("""COMPUTED_VALUE"""),"A1-Charizard")</f>
        <v>A1-Charizard</v>
      </c>
      <c r="L62" s="277" t="str">
        <f>IFERROR(__xludf.DUMMYFUNCTION("""COMPUTED_VALUE"""),"♢")</f>
        <v>♢</v>
      </c>
      <c r="M62" s="440" t="b">
        <f t="shared" si="2"/>
        <v>1</v>
      </c>
      <c r="N62" s="441"/>
      <c r="O62" s="277"/>
      <c r="P62" s="277"/>
      <c r="Q62" s="278"/>
      <c r="R62" s="449" t="str">
        <f t="array" ref="R62">IFERROR(IFS(OR(P62="A1-Mewtwo", P62="A1-Pikachu", P62="A1-Charizard", P62="A1"), XLOOKUP(N62, 'Genetic Apex'!$C$2:$C889, 'Genetic Apex'!$B$2:$B889)-$B$4, P62="A1a", XLOOKUP(N62, 'Mythical Island'!$C$2:$C889, 'Mythical Island'!$B$2:$B889)-$B$4, OR(P62="A2-Dialga", P62="A2-Palkia", P62="A2"), XLOOKUP(N62, 'Space-Time Smackdown'!$C$2:$C889, 'Space-Time Smackdown'!$B$2:$B889)-$B$4))</f>
        <v/>
      </c>
      <c r="S62" s="277" t="str">
        <f>IFERROR(__xludf.DUMMYFUNCTION("""COMPUTED_VALUE"""),"A1 059")</f>
        <v>A1 059</v>
      </c>
      <c r="T62" s="277" t="str">
        <f>IFERROR(__xludf.DUMMYFUNCTION("""COMPUTED_VALUE"""),"Poliwag")</f>
        <v>Poliwag</v>
      </c>
      <c r="U62" s="277" t="str">
        <f>IFERROR(__xludf.DUMMYFUNCTION("""COMPUTED_VALUE"""),"A1-Charizard")</f>
        <v>A1-Charizard</v>
      </c>
      <c r="V62" s="278" t="str">
        <f>IFERROR(__xludf.DUMMYFUNCTION("""COMPUTED_VALUE"""),"♢")</f>
        <v>♢</v>
      </c>
      <c r="W62" s="443">
        <f t="array" ref="W62">IFERROR(IFS(OR(U62="A1-Mewtwo", U62="A1-Pikachu", U62="A1-Charizard", U62="A1"), $B$5-XLOOKUP(S62, 'Genetic Apex'!$C$2:$C889, 'Genetic Apex'!$B$2:$B889), U62="A1a", $B$5-XLOOKUP(S62, 'Mythical Island'!$C$2:$C889, 'Mythical Island'!$B$2:$B889), OR(U62="A2-Dialga", U62="A2-Palkia", U62="A2"), $B$5-XLOOKUP(S62, 'Space-Time Smackdown'!$C$2:$C889, 'Space-Time Smackdown'!$B$2:$B889)))</f>
        <v>1</v>
      </c>
      <c r="X62" s="444">
        <f t="shared" si="3"/>
        <v>0</v>
      </c>
      <c r="Y62" s="445" t="str">
        <f t="shared" si="4"/>
        <v/>
      </c>
      <c r="Z62" s="278"/>
      <c r="AA62" s="466"/>
      <c r="AB62" s="278"/>
      <c r="AC62" s="278"/>
      <c r="AD62" s="278"/>
      <c r="AE62" s="278"/>
      <c r="AF62" s="278"/>
      <c r="AG62" s="278" t="b">
        <f t="shared" si="5"/>
        <v>0</v>
      </c>
      <c r="AH62" s="454"/>
      <c r="AI62" s="278"/>
      <c r="AJ62" s="278"/>
      <c r="AK62" s="278"/>
      <c r="AL62" s="444" t="str">
        <f t="array" ref="AL62">IFERROR(IFS(OR(AJ62="A1-Mewtwo", AJ62="A1-Pikachu", AJ62="A1-Charizard", AJ62="A1"), XLOOKUP(AH62, 'Genetic Apex'!$C$2:$C889, 'Genetic Apex'!$B$2:$B889)-2, AJ62="A1a", XLOOKUP(AH62, 'Mythical Island'!$C$2:$C889, 'Mythical Island'!$B$2:$B889)-2, OR(AJ62="A2-Dialga", AJ62="A2-Palkia", AJ62="A2"), XLOOKUP(AH62, 'Space-Time Smackdown'!$C$2:$C889, 'Space-Time Smackdown'!$B$2:$B889)-2))</f>
        <v/>
      </c>
      <c r="AM62" s="444" t="str">
        <f t="shared" si="6"/>
        <v/>
      </c>
      <c r="AN62" s="448" t="str">
        <f t="shared" si="7"/>
        <v/>
      </c>
    </row>
    <row r="63">
      <c r="A63" s="277"/>
      <c r="B63" s="277"/>
      <c r="C63" s="441"/>
      <c r="D63" s="277"/>
      <c r="E63" s="277"/>
      <c r="F63" s="277"/>
      <c r="G63" s="277"/>
      <c r="H63" s="277" t="b">
        <f t="shared" si="1"/>
        <v>0</v>
      </c>
      <c r="I63" s="277" t="str">
        <f>IFERROR(__xludf.DUMMYFUNCTION("""COMPUTED_VALUE"""),"A1 060")</f>
        <v>A1 060</v>
      </c>
      <c r="J63" s="277" t="str">
        <f>IFERROR(__xludf.DUMMYFUNCTION("""COMPUTED_VALUE"""),"Poliwhirl")</f>
        <v>Poliwhirl</v>
      </c>
      <c r="K63" s="277" t="str">
        <f>IFERROR(__xludf.DUMMYFUNCTION("""COMPUTED_VALUE"""),"A1-Charizard")</f>
        <v>A1-Charizard</v>
      </c>
      <c r="L63" s="277" t="str">
        <f>IFERROR(__xludf.DUMMYFUNCTION("""COMPUTED_VALUE"""),"♢♢")</f>
        <v>♢♢</v>
      </c>
      <c r="M63" s="440" t="b">
        <f t="shared" si="2"/>
        <v>1</v>
      </c>
      <c r="N63" s="441"/>
      <c r="O63" s="277"/>
      <c r="P63" s="277"/>
      <c r="Q63" s="278"/>
      <c r="R63" s="449" t="str">
        <f t="array" ref="R63">IFERROR(IFS(OR(P63="A1-Mewtwo", P63="A1-Pikachu", P63="A1-Charizard", P63="A1"), XLOOKUP(N63, 'Genetic Apex'!$C$2:$C889, 'Genetic Apex'!$B$2:$B889)-$B$4, P63="A1a", XLOOKUP(N63, 'Mythical Island'!$C$2:$C889, 'Mythical Island'!$B$2:$B889)-$B$4, OR(P63="A2-Dialga", P63="A2-Palkia", P63="A2"), XLOOKUP(N63, 'Space-Time Smackdown'!$C$2:$C889, 'Space-Time Smackdown'!$B$2:$B889)-$B$4))</f>
        <v/>
      </c>
      <c r="S63" s="277" t="str">
        <f>IFERROR(__xludf.DUMMYFUNCTION("""COMPUTED_VALUE"""),"A1 060")</f>
        <v>A1 060</v>
      </c>
      <c r="T63" s="277" t="str">
        <f>IFERROR(__xludf.DUMMYFUNCTION("""COMPUTED_VALUE"""),"Poliwhirl")</f>
        <v>Poliwhirl</v>
      </c>
      <c r="U63" s="277" t="str">
        <f>IFERROR(__xludf.DUMMYFUNCTION("""COMPUTED_VALUE"""),"A1-Charizard")</f>
        <v>A1-Charizard</v>
      </c>
      <c r="V63" s="278" t="str">
        <f>IFERROR(__xludf.DUMMYFUNCTION("""COMPUTED_VALUE"""),"♢♢")</f>
        <v>♢♢</v>
      </c>
      <c r="W63" s="443">
        <f t="array" ref="W63">IFERROR(IFS(OR(U63="A1-Mewtwo", U63="A1-Pikachu", U63="A1-Charizard", U63="A1"), $B$5-XLOOKUP(S63, 'Genetic Apex'!$C$2:$C889, 'Genetic Apex'!$B$2:$B889), U63="A1a", $B$5-XLOOKUP(S63, 'Mythical Island'!$C$2:$C889, 'Mythical Island'!$B$2:$B889), OR(U63="A2-Dialga", U63="A2-Palkia", U63="A2"), $B$5-XLOOKUP(S63, 'Space-Time Smackdown'!$C$2:$C889, 'Space-Time Smackdown'!$B$2:$B889)))</f>
        <v>1</v>
      </c>
      <c r="X63" s="444">
        <f t="shared" si="3"/>
        <v>0</v>
      </c>
      <c r="Y63" s="445" t="str">
        <f t="shared" si="4"/>
        <v/>
      </c>
      <c r="Z63" s="278"/>
      <c r="AA63" s="466"/>
      <c r="AB63" s="278"/>
      <c r="AC63" s="278"/>
      <c r="AD63" s="278"/>
      <c r="AE63" s="278"/>
      <c r="AF63" s="278"/>
      <c r="AG63" s="278" t="b">
        <f t="shared" si="5"/>
        <v>0</v>
      </c>
      <c r="AH63" s="454"/>
      <c r="AI63" s="278"/>
      <c r="AJ63" s="278"/>
      <c r="AK63" s="278"/>
      <c r="AL63" s="444" t="str">
        <f t="array" ref="AL63">IFERROR(IFS(OR(AJ63="A1-Mewtwo", AJ63="A1-Pikachu", AJ63="A1-Charizard", AJ63="A1"), XLOOKUP(AH63, 'Genetic Apex'!$C$2:$C889, 'Genetic Apex'!$B$2:$B889)-2, AJ63="A1a", XLOOKUP(AH63, 'Mythical Island'!$C$2:$C889, 'Mythical Island'!$B$2:$B889)-2, OR(AJ63="A2-Dialga", AJ63="A2-Palkia", AJ63="A2"), XLOOKUP(AH63, 'Space-Time Smackdown'!$C$2:$C889, 'Space-Time Smackdown'!$B$2:$B889)-2))</f>
        <v/>
      </c>
      <c r="AM63" s="444" t="str">
        <f t="shared" si="6"/>
        <v/>
      </c>
      <c r="AN63" s="448" t="str">
        <f t="shared" si="7"/>
        <v/>
      </c>
    </row>
    <row r="64">
      <c r="A64" s="277"/>
      <c r="B64" s="277"/>
      <c r="C64" s="441"/>
      <c r="D64" s="277"/>
      <c r="E64" s="277"/>
      <c r="F64" s="277"/>
      <c r="G64" s="277"/>
      <c r="H64" s="277" t="b">
        <f t="shared" si="1"/>
        <v>0</v>
      </c>
      <c r="I64" s="277" t="str">
        <f>IFERROR(__xludf.DUMMYFUNCTION("""COMPUTED_VALUE"""),"A1 061")</f>
        <v>A1 061</v>
      </c>
      <c r="J64" s="277" t="str">
        <f>IFERROR(__xludf.DUMMYFUNCTION("""COMPUTED_VALUE"""),"Poliwrath")</f>
        <v>Poliwrath</v>
      </c>
      <c r="K64" s="277" t="str">
        <f>IFERROR(__xludf.DUMMYFUNCTION("""COMPUTED_VALUE"""),"A1-Charizard")</f>
        <v>A1-Charizard</v>
      </c>
      <c r="L64" s="277" t="str">
        <f>IFERROR(__xludf.DUMMYFUNCTION("""COMPUTED_VALUE"""),"♢♢♢")</f>
        <v>♢♢♢</v>
      </c>
      <c r="M64" s="440" t="b">
        <f t="shared" si="2"/>
        <v>1</v>
      </c>
      <c r="N64" s="441"/>
      <c r="O64" s="277"/>
      <c r="P64" s="277"/>
      <c r="Q64" s="278"/>
      <c r="R64" s="449" t="str">
        <f t="array" ref="R64">IFERROR(IFS(OR(P64="A1-Mewtwo", P64="A1-Pikachu", P64="A1-Charizard", P64="A1"), XLOOKUP(N64, 'Genetic Apex'!$C$2:$C889, 'Genetic Apex'!$B$2:$B889)-$B$4, P64="A1a", XLOOKUP(N64, 'Mythical Island'!$C$2:$C889, 'Mythical Island'!$B$2:$B889)-$B$4, OR(P64="A2-Dialga", P64="A2-Palkia", P64="A2"), XLOOKUP(N64, 'Space-Time Smackdown'!$C$2:$C889, 'Space-Time Smackdown'!$B$2:$B889)-$B$4))</f>
        <v/>
      </c>
      <c r="S64" s="277" t="str">
        <f>IFERROR(__xludf.DUMMYFUNCTION("""COMPUTED_VALUE"""),"A1 061")</f>
        <v>A1 061</v>
      </c>
      <c r="T64" s="277" t="str">
        <f>IFERROR(__xludf.DUMMYFUNCTION("""COMPUTED_VALUE"""),"Poliwrath")</f>
        <v>Poliwrath</v>
      </c>
      <c r="U64" s="277" t="str">
        <f>IFERROR(__xludf.DUMMYFUNCTION("""COMPUTED_VALUE"""),"A1-Charizard")</f>
        <v>A1-Charizard</v>
      </c>
      <c r="V64" s="278" t="str">
        <f>IFERROR(__xludf.DUMMYFUNCTION("""COMPUTED_VALUE"""),"♢♢♢")</f>
        <v>♢♢♢</v>
      </c>
      <c r="W64" s="443">
        <f t="array" ref="W64">IFERROR(IFS(OR(U64="A1-Mewtwo", U64="A1-Pikachu", U64="A1-Charizard", U64="A1"), $B$5-XLOOKUP(S64, 'Genetic Apex'!$C$2:$C889, 'Genetic Apex'!$B$2:$B889), U64="A1a", $B$5-XLOOKUP(S64, 'Mythical Island'!$C$2:$C889, 'Mythical Island'!$B$2:$B889), OR(U64="A2-Dialga", U64="A2-Palkia", U64="A2"), $B$5-XLOOKUP(S64, 'Space-Time Smackdown'!$C$2:$C889, 'Space-Time Smackdown'!$B$2:$B889)))</f>
        <v>1</v>
      </c>
      <c r="X64" s="444">
        <f t="shared" si="3"/>
        <v>120</v>
      </c>
      <c r="Y64" s="445">
        <f t="shared" si="4"/>
        <v>120</v>
      </c>
      <c r="Z64" s="278"/>
      <c r="AA64" s="466"/>
      <c r="AB64" s="278"/>
      <c r="AC64" s="278"/>
      <c r="AD64" s="278"/>
      <c r="AE64" s="278"/>
      <c r="AF64" s="278"/>
      <c r="AG64" s="278" t="b">
        <f t="shared" si="5"/>
        <v>0</v>
      </c>
      <c r="AH64" s="454"/>
      <c r="AI64" s="278"/>
      <c r="AJ64" s="278"/>
      <c r="AK64" s="278"/>
      <c r="AL64" s="444" t="str">
        <f t="array" ref="AL64">IFERROR(IFS(OR(AJ64="A1-Mewtwo", AJ64="A1-Pikachu", AJ64="A1-Charizard", AJ64="A1"), XLOOKUP(AH64, 'Genetic Apex'!$C$2:$C889, 'Genetic Apex'!$B$2:$B889)-2, AJ64="A1a", XLOOKUP(AH64, 'Mythical Island'!$C$2:$C889, 'Mythical Island'!$B$2:$B889)-2, OR(AJ64="A2-Dialga", AJ64="A2-Palkia", AJ64="A2"), XLOOKUP(AH64, 'Space-Time Smackdown'!$C$2:$C889, 'Space-Time Smackdown'!$B$2:$B889)-2))</f>
        <v/>
      </c>
      <c r="AM64" s="444" t="str">
        <f t="shared" si="6"/>
        <v/>
      </c>
      <c r="AN64" s="448" t="str">
        <f t="shared" si="7"/>
        <v/>
      </c>
    </row>
    <row r="65">
      <c r="A65" s="277"/>
      <c r="B65" s="277"/>
      <c r="C65" s="441"/>
      <c r="D65" s="277"/>
      <c r="E65" s="277"/>
      <c r="F65" s="277"/>
      <c r="G65" s="277"/>
      <c r="H65" s="277" t="b">
        <f t="shared" si="1"/>
        <v>0</v>
      </c>
      <c r="I65" s="277" t="str">
        <f>IFERROR(__xludf.DUMMYFUNCTION("""COMPUTED_VALUE"""),"A1 062")</f>
        <v>A1 062</v>
      </c>
      <c r="J65" s="277" t="str">
        <f>IFERROR(__xludf.DUMMYFUNCTION("""COMPUTED_VALUE"""),"Tentacool")</f>
        <v>Tentacool</v>
      </c>
      <c r="K65" s="277" t="str">
        <f>IFERROR(__xludf.DUMMYFUNCTION("""COMPUTED_VALUE"""),"A1-Mewtwo")</f>
        <v>A1-Mewtwo</v>
      </c>
      <c r="L65" s="277" t="str">
        <f>IFERROR(__xludf.DUMMYFUNCTION("""COMPUTED_VALUE"""),"♢")</f>
        <v>♢</v>
      </c>
      <c r="M65" s="440" t="b">
        <f t="shared" si="2"/>
        <v>1</v>
      </c>
      <c r="N65" s="441"/>
      <c r="O65" s="277"/>
      <c r="P65" s="277"/>
      <c r="Q65" s="278"/>
      <c r="R65" s="449" t="str">
        <f t="array" ref="R65">IFERROR(IFS(OR(P65="A1-Mewtwo", P65="A1-Pikachu", P65="A1-Charizard", P65="A1"), XLOOKUP(N65, 'Genetic Apex'!$C$2:$C889, 'Genetic Apex'!$B$2:$B889)-$B$4, P65="A1a", XLOOKUP(N65, 'Mythical Island'!$C$2:$C889, 'Mythical Island'!$B$2:$B889)-$B$4, OR(P65="A2-Dialga", P65="A2-Palkia", P65="A2"), XLOOKUP(N65, 'Space-Time Smackdown'!$C$2:$C889, 'Space-Time Smackdown'!$B$2:$B889)-$B$4))</f>
        <v/>
      </c>
      <c r="S65" s="277" t="str">
        <f>IFERROR(__xludf.DUMMYFUNCTION("""COMPUTED_VALUE"""),"A1 062")</f>
        <v>A1 062</v>
      </c>
      <c r="T65" s="277" t="str">
        <f>IFERROR(__xludf.DUMMYFUNCTION("""COMPUTED_VALUE"""),"Tentacool")</f>
        <v>Tentacool</v>
      </c>
      <c r="U65" s="277" t="str">
        <f>IFERROR(__xludf.DUMMYFUNCTION("""COMPUTED_VALUE"""),"A1-Mewtwo")</f>
        <v>A1-Mewtwo</v>
      </c>
      <c r="V65" s="278" t="str">
        <f>IFERROR(__xludf.DUMMYFUNCTION("""COMPUTED_VALUE"""),"♢")</f>
        <v>♢</v>
      </c>
      <c r="W65" s="443">
        <f t="array" ref="W65">IFERROR(IFS(OR(U65="A1-Mewtwo", U65="A1-Pikachu", U65="A1-Charizard", U65="A1"), $B$5-XLOOKUP(S65, 'Genetic Apex'!$C$2:$C889, 'Genetic Apex'!$B$2:$B889), U65="A1a", $B$5-XLOOKUP(S65, 'Mythical Island'!$C$2:$C889, 'Mythical Island'!$B$2:$B889), OR(U65="A2-Dialga", U65="A2-Palkia", U65="A2"), $B$5-XLOOKUP(S65, 'Space-Time Smackdown'!$C$2:$C889, 'Space-Time Smackdown'!$B$2:$B889)))</f>
        <v>1</v>
      </c>
      <c r="X65" s="444">
        <f t="shared" si="3"/>
        <v>0</v>
      </c>
      <c r="Y65" s="445" t="str">
        <f t="shared" si="4"/>
        <v/>
      </c>
      <c r="Z65" s="278"/>
      <c r="AA65" s="466"/>
      <c r="AB65" s="278"/>
      <c r="AC65" s="278"/>
      <c r="AD65" s="278"/>
      <c r="AE65" s="278"/>
      <c r="AF65" s="278"/>
      <c r="AG65" s="278" t="b">
        <f t="shared" si="5"/>
        <v>0</v>
      </c>
      <c r="AH65" s="454"/>
      <c r="AI65" s="278"/>
      <c r="AJ65" s="278"/>
      <c r="AK65" s="278"/>
      <c r="AL65" s="444" t="str">
        <f t="array" ref="AL65">IFERROR(IFS(OR(AJ65="A1-Mewtwo", AJ65="A1-Pikachu", AJ65="A1-Charizard", AJ65="A1"), XLOOKUP(AH65, 'Genetic Apex'!$C$2:$C889, 'Genetic Apex'!$B$2:$B889)-2, AJ65="A1a", XLOOKUP(AH65, 'Mythical Island'!$C$2:$C889, 'Mythical Island'!$B$2:$B889)-2, OR(AJ65="A2-Dialga", AJ65="A2-Palkia", AJ65="A2"), XLOOKUP(AH65, 'Space-Time Smackdown'!$C$2:$C889, 'Space-Time Smackdown'!$B$2:$B889)-2))</f>
        <v/>
      </c>
      <c r="AM65" s="444" t="str">
        <f t="shared" si="6"/>
        <v/>
      </c>
      <c r="AN65" s="448" t="str">
        <f t="shared" si="7"/>
        <v/>
      </c>
    </row>
    <row r="66">
      <c r="A66" s="277"/>
      <c r="B66" s="277"/>
      <c r="C66" s="441"/>
      <c r="D66" s="277"/>
      <c r="E66" s="277"/>
      <c r="F66" s="277"/>
      <c r="G66" s="277"/>
      <c r="H66" s="277" t="b">
        <f t="shared" si="1"/>
        <v>0</v>
      </c>
      <c r="I66" s="277" t="str">
        <f>IFERROR(__xludf.DUMMYFUNCTION("""COMPUTED_VALUE"""),"A1 063")</f>
        <v>A1 063</v>
      </c>
      <c r="J66" s="277" t="str">
        <f>IFERROR(__xludf.DUMMYFUNCTION("""COMPUTED_VALUE"""),"Tentacruel")</f>
        <v>Tentacruel</v>
      </c>
      <c r="K66" s="277" t="str">
        <f>IFERROR(__xludf.DUMMYFUNCTION("""COMPUTED_VALUE"""),"A1-Mewtwo")</f>
        <v>A1-Mewtwo</v>
      </c>
      <c r="L66" s="277" t="str">
        <f>IFERROR(__xludf.DUMMYFUNCTION("""COMPUTED_VALUE"""),"♢♢")</f>
        <v>♢♢</v>
      </c>
      <c r="M66" s="440" t="b">
        <f t="shared" si="2"/>
        <v>1</v>
      </c>
      <c r="N66" s="441"/>
      <c r="O66" s="277"/>
      <c r="P66" s="277"/>
      <c r="Q66" s="278"/>
      <c r="R66" s="449" t="str">
        <f t="array" ref="R66">IFERROR(IFS(OR(P66="A1-Mewtwo", P66="A1-Pikachu", P66="A1-Charizard", P66="A1"), XLOOKUP(N66, 'Genetic Apex'!$C$2:$C889, 'Genetic Apex'!$B$2:$B889)-$B$4, P66="A1a", XLOOKUP(N66, 'Mythical Island'!$C$2:$C889, 'Mythical Island'!$B$2:$B889)-$B$4, OR(P66="A2-Dialga", P66="A2-Palkia", P66="A2"), XLOOKUP(N66, 'Space-Time Smackdown'!$C$2:$C889, 'Space-Time Smackdown'!$B$2:$B889)-$B$4))</f>
        <v/>
      </c>
      <c r="S66" s="277" t="str">
        <f>IFERROR(__xludf.DUMMYFUNCTION("""COMPUTED_VALUE"""),"A1 063")</f>
        <v>A1 063</v>
      </c>
      <c r="T66" s="277" t="str">
        <f>IFERROR(__xludf.DUMMYFUNCTION("""COMPUTED_VALUE"""),"Tentacruel")</f>
        <v>Tentacruel</v>
      </c>
      <c r="U66" s="277" t="str">
        <f>IFERROR(__xludf.DUMMYFUNCTION("""COMPUTED_VALUE"""),"A1-Mewtwo")</f>
        <v>A1-Mewtwo</v>
      </c>
      <c r="V66" s="278" t="str">
        <f>IFERROR(__xludf.DUMMYFUNCTION("""COMPUTED_VALUE"""),"♢♢")</f>
        <v>♢♢</v>
      </c>
      <c r="W66" s="443">
        <f t="array" ref="W66">IFERROR(IFS(OR(U66="A1-Mewtwo", U66="A1-Pikachu", U66="A1-Charizard", U66="A1"), $B$5-XLOOKUP(S66, 'Genetic Apex'!$C$2:$C889, 'Genetic Apex'!$B$2:$B889), U66="A1a", $B$5-XLOOKUP(S66, 'Mythical Island'!$C$2:$C889, 'Mythical Island'!$B$2:$B889), OR(U66="A2-Dialga", U66="A2-Palkia", U66="A2"), $B$5-XLOOKUP(S66, 'Space-Time Smackdown'!$C$2:$C889, 'Space-Time Smackdown'!$B$2:$B889)))</f>
        <v>1</v>
      </c>
      <c r="X66" s="444">
        <f t="shared" si="3"/>
        <v>0</v>
      </c>
      <c r="Y66" s="445" t="str">
        <f t="shared" si="4"/>
        <v/>
      </c>
      <c r="Z66" s="278"/>
      <c r="AA66" s="466"/>
      <c r="AB66" s="278"/>
      <c r="AC66" s="278"/>
      <c r="AD66" s="278"/>
      <c r="AE66" s="278"/>
      <c r="AF66" s="278"/>
      <c r="AG66" s="278" t="b">
        <f t="shared" si="5"/>
        <v>0</v>
      </c>
      <c r="AH66" s="454"/>
      <c r="AI66" s="278"/>
      <c r="AJ66" s="278"/>
      <c r="AK66" s="278"/>
      <c r="AL66" s="444" t="str">
        <f t="array" ref="AL66">IFERROR(IFS(OR(AJ66="A1-Mewtwo", AJ66="A1-Pikachu", AJ66="A1-Charizard", AJ66="A1"), XLOOKUP(AH66, 'Genetic Apex'!$C$2:$C889, 'Genetic Apex'!$B$2:$B889)-2, AJ66="A1a", XLOOKUP(AH66, 'Mythical Island'!$C$2:$C889, 'Mythical Island'!$B$2:$B889)-2, OR(AJ66="A2-Dialga", AJ66="A2-Palkia", AJ66="A2"), XLOOKUP(AH66, 'Space-Time Smackdown'!$C$2:$C889, 'Space-Time Smackdown'!$B$2:$B889)-2))</f>
        <v/>
      </c>
      <c r="AM66" s="444" t="str">
        <f t="shared" si="6"/>
        <v/>
      </c>
      <c r="AN66" s="448" t="str">
        <f t="shared" si="7"/>
        <v/>
      </c>
    </row>
    <row r="67">
      <c r="A67" s="277"/>
      <c r="B67" s="277"/>
      <c r="C67" s="441"/>
      <c r="D67" s="277"/>
      <c r="E67" s="277"/>
      <c r="F67" s="277"/>
      <c r="G67" s="277"/>
      <c r="H67" s="277" t="b">
        <f t="shared" si="1"/>
        <v>0</v>
      </c>
      <c r="I67" s="277" t="str">
        <f>IFERROR(__xludf.DUMMYFUNCTION("""COMPUTED_VALUE"""),"A1 064")</f>
        <v>A1 064</v>
      </c>
      <c r="J67" s="277" t="str">
        <f>IFERROR(__xludf.DUMMYFUNCTION("""COMPUTED_VALUE"""),"Seel")</f>
        <v>Seel</v>
      </c>
      <c r="K67" s="277" t="str">
        <f>IFERROR(__xludf.DUMMYFUNCTION("""COMPUTED_VALUE"""),"A1-Pikachu")</f>
        <v>A1-Pikachu</v>
      </c>
      <c r="L67" s="277" t="str">
        <f>IFERROR(__xludf.DUMMYFUNCTION("""COMPUTED_VALUE"""),"♢")</f>
        <v>♢</v>
      </c>
      <c r="M67" s="440" t="b">
        <f t="shared" si="2"/>
        <v>1</v>
      </c>
      <c r="N67" s="441"/>
      <c r="O67" s="277"/>
      <c r="P67" s="277"/>
      <c r="Q67" s="278"/>
      <c r="R67" s="449" t="str">
        <f t="array" ref="R67">IFERROR(IFS(OR(P67="A1-Mewtwo", P67="A1-Pikachu", P67="A1-Charizard", P67="A1"), XLOOKUP(N67, 'Genetic Apex'!$C$2:$C889, 'Genetic Apex'!$B$2:$B889)-$B$4, P67="A1a", XLOOKUP(N67, 'Mythical Island'!$C$2:$C889, 'Mythical Island'!$B$2:$B889)-$B$4, OR(P67="A2-Dialga", P67="A2-Palkia", P67="A2"), XLOOKUP(N67, 'Space-Time Smackdown'!$C$2:$C889, 'Space-Time Smackdown'!$B$2:$B889)-$B$4))</f>
        <v/>
      </c>
      <c r="S67" s="277" t="str">
        <f>IFERROR(__xludf.DUMMYFUNCTION("""COMPUTED_VALUE"""),"A1 064")</f>
        <v>A1 064</v>
      </c>
      <c r="T67" s="277" t="str">
        <f>IFERROR(__xludf.DUMMYFUNCTION("""COMPUTED_VALUE"""),"Seel")</f>
        <v>Seel</v>
      </c>
      <c r="U67" s="277" t="str">
        <f>IFERROR(__xludf.DUMMYFUNCTION("""COMPUTED_VALUE"""),"A1-Pikachu")</f>
        <v>A1-Pikachu</v>
      </c>
      <c r="V67" s="278" t="str">
        <f>IFERROR(__xludf.DUMMYFUNCTION("""COMPUTED_VALUE"""),"♢")</f>
        <v>♢</v>
      </c>
      <c r="W67" s="443">
        <f t="array" ref="W67">IFERROR(IFS(OR(U67="A1-Mewtwo", U67="A1-Pikachu", U67="A1-Charizard", U67="A1"), $B$5-XLOOKUP(S67, 'Genetic Apex'!$C$2:$C889, 'Genetic Apex'!$B$2:$B889), U67="A1a", $B$5-XLOOKUP(S67, 'Mythical Island'!$C$2:$C889, 'Mythical Island'!$B$2:$B889), OR(U67="A2-Dialga", U67="A2-Palkia", U67="A2"), $B$5-XLOOKUP(S67, 'Space-Time Smackdown'!$C$2:$C889, 'Space-Time Smackdown'!$B$2:$B889)))</f>
        <v>1</v>
      </c>
      <c r="X67" s="444">
        <f t="shared" si="3"/>
        <v>0</v>
      </c>
      <c r="Y67" s="445" t="str">
        <f t="shared" si="4"/>
        <v/>
      </c>
      <c r="Z67" s="278"/>
      <c r="AA67" s="466"/>
      <c r="AB67" s="278"/>
      <c r="AC67" s="278"/>
      <c r="AD67" s="278"/>
      <c r="AE67" s="278"/>
      <c r="AF67" s="278"/>
      <c r="AG67" s="278" t="b">
        <f t="shared" si="5"/>
        <v>0</v>
      </c>
      <c r="AH67" s="454"/>
      <c r="AI67" s="278"/>
      <c r="AJ67" s="278"/>
      <c r="AK67" s="278"/>
      <c r="AL67" s="444" t="str">
        <f t="array" ref="AL67">IFERROR(IFS(OR(AJ67="A1-Mewtwo", AJ67="A1-Pikachu", AJ67="A1-Charizard", AJ67="A1"), XLOOKUP(AH67, 'Genetic Apex'!$C$2:$C889, 'Genetic Apex'!$B$2:$B889)-2, AJ67="A1a", XLOOKUP(AH67, 'Mythical Island'!$C$2:$C889, 'Mythical Island'!$B$2:$B889)-2, OR(AJ67="A2-Dialga", AJ67="A2-Palkia", AJ67="A2"), XLOOKUP(AH67, 'Space-Time Smackdown'!$C$2:$C889, 'Space-Time Smackdown'!$B$2:$B889)-2))</f>
        <v/>
      </c>
      <c r="AM67" s="444" t="str">
        <f t="shared" si="6"/>
        <v/>
      </c>
      <c r="AN67" s="448" t="str">
        <f t="shared" si="7"/>
        <v/>
      </c>
    </row>
    <row r="68">
      <c r="A68" s="277"/>
      <c r="B68" s="277"/>
      <c r="C68" s="441"/>
      <c r="D68" s="277"/>
      <c r="E68" s="277"/>
      <c r="F68" s="277"/>
      <c r="G68" s="277"/>
      <c r="H68" s="277" t="b">
        <f t="shared" si="1"/>
        <v>0</v>
      </c>
      <c r="I68" s="277" t="str">
        <f>IFERROR(__xludf.DUMMYFUNCTION("""COMPUTED_VALUE"""),"A1 065")</f>
        <v>A1 065</v>
      </c>
      <c r="J68" s="277" t="str">
        <f>IFERROR(__xludf.DUMMYFUNCTION("""COMPUTED_VALUE"""),"Dewgong")</f>
        <v>Dewgong</v>
      </c>
      <c r="K68" s="277" t="str">
        <f>IFERROR(__xludf.DUMMYFUNCTION("""COMPUTED_VALUE"""),"A1-Pikachu")</f>
        <v>A1-Pikachu</v>
      </c>
      <c r="L68" s="277" t="str">
        <f>IFERROR(__xludf.DUMMYFUNCTION("""COMPUTED_VALUE"""),"♢♢")</f>
        <v>♢♢</v>
      </c>
      <c r="M68" s="440" t="b">
        <f t="shared" si="2"/>
        <v>1</v>
      </c>
      <c r="N68" s="441"/>
      <c r="O68" s="277"/>
      <c r="P68" s="277"/>
      <c r="Q68" s="278"/>
      <c r="R68" s="449" t="str">
        <f t="array" ref="R68">IFERROR(IFS(OR(P68="A1-Mewtwo", P68="A1-Pikachu", P68="A1-Charizard", P68="A1"), XLOOKUP(N68, 'Genetic Apex'!$C$2:$C889, 'Genetic Apex'!$B$2:$B889)-$B$4, P68="A1a", XLOOKUP(N68, 'Mythical Island'!$C$2:$C889, 'Mythical Island'!$B$2:$B889)-$B$4, OR(P68="A2-Dialga", P68="A2-Palkia", P68="A2"), XLOOKUP(N68, 'Space-Time Smackdown'!$C$2:$C889, 'Space-Time Smackdown'!$B$2:$B889)-$B$4))</f>
        <v/>
      </c>
      <c r="S68" s="277" t="str">
        <f>IFERROR(__xludf.DUMMYFUNCTION("""COMPUTED_VALUE"""),"A1 065")</f>
        <v>A1 065</v>
      </c>
      <c r="T68" s="277" t="str">
        <f>IFERROR(__xludf.DUMMYFUNCTION("""COMPUTED_VALUE"""),"Dewgong")</f>
        <v>Dewgong</v>
      </c>
      <c r="U68" s="277" t="str">
        <f>IFERROR(__xludf.DUMMYFUNCTION("""COMPUTED_VALUE"""),"A1-Pikachu")</f>
        <v>A1-Pikachu</v>
      </c>
      <c r="V68" s="278" t="str">
        <f>IFERROR(__xludf.DUMMYFUNCTION("""COMPUTED_VALUE"""),"♢♢")</f>
        <v>♢♢</v>
      </c>
      <c r="W68" s="443">
        <f t="array" ref="W68">IFERROR(IFS(OR(U68="A1-Mewtwo", U68="A1-Pikachu", U68="A1-Charizard", U68="A1"), $B$5-XLOOKUP(S68, 'Genetic Apex'!$C$2:$C889, 'Genetic Apex'!$B$2:$B889), U68="A1a", $B$5-XLOOKUP(S68, 'Mythical Island'!$C$2:$C889, 'Mythical Island'!$B$2:$B889), OR(U68="A2-Dialga", U68="A2-Palkia", U68="A2"), $B$5-XLOOKUP(S68, 'Space-Time Smackdown'!$C$2:$C889, 'Space-Time Smackdown'!$B$2:$B889)))</f>
        <v>1</v>
      </c>
      <c r="X68" s="444">
        <f t="shared" si="3"/>
        <v>0</v>
      </c>
      <c r="Y68" s="445" t="str">
        <f t="shared" si="4"/>
        <v/>
      </c>
      <c r="Z68" s="278"/>
      <c r="AA68" s="466"/>
      <c r="AB68" s="278"/>
      <c r="AC68" s="278"/>
      <c r="AD68" s="278"/>
      <c r="AE68" s="278"/>
      <c r="AF68" s="278"/>
      <c r="AG68" s="278" t="b">
        <f t="shared" si="5"/>
        <v>0</v>
      </c>
      <c r="AH68" s="454"/>
      <c r="AI68" s="278"/>
      <c r="AJ68" s="278"/>
      <c r="AK68" s="278"/>
      <c r="AL68" s="444" t="str">
        <f t="array" ref="AL68">IFERROR(IFS(OR(AJ68="A1-Mewtwo", AJ68="A1-Pikachu", AJ68="A1-Charizard", AJ68="A1"), XLOOKUP(AH68, 'Genetic Apex'!$C$2:$C889, 'Genetic Apex'!$B$2:$B889)-2, AJ68="A1a", XLOOKUP(AH68, 'Mythical Island'!$C$2:$C889, 'Mythical Island'!$B$2:$B889)-2, OR(AJ68="A2-Dialga", AJ68="A2-Palkia", AJ68="A2"), XLOOKUP(AH68, 'Space-Time Smackdown'!$C$2:$C889, 'Space-Time Smackdown'!$B$2:$B889)-2))</f>
        <v/>
      </c>
      <c r="AM68" s="444" t="str">
        <f t="shared" si="6"/>
        <v/>
      </c>
      <c r="AN68" s="448" t="str">
        <f t="shared" si="7"/>
        <v/>
      </c>
    </row>
    <row r="69">
      <c r="A69" s="277"/>
      <c r="B69" s="277"/>
      <c r="C69" s="441"/>
      <c r="D69" s="277"/>
      <c r="E69" s="277"/>
      <c r="F69" s="277"/>
      <c r="G69" s="277"/>
      <c r="H69" s="277" t="b">
        <f t="shared" si="1"/>
        <v>0</v>
      </c>
      <c r="I69" s="277" t="str">
        <f>IFERROR(__xludf.DUMMYFUNCTION("""COMPUTED_VALUE"""),"A1 066")</f>
        <v>A1 066</v>
      </c>
      <c r="J69" s="277" t="str">
        <f>IFERROR(__xludf.DUMMYFUNCTION("""COMPUTED_VALUE"""),"Shellder")</f>
        <v>Shellder</v>
      </c>
      <c r="K69" s="277" t="str">
        <f>IFERROR(__xludf.DUMMYFUNCTION("""COMPUTED_VALUE"""),"A1-Mewtwo")</f>
        <v>A1-Mewtwo</v>
      </c>
      <c r="L69" s="277" t="str">
        <f>IFERROR(__xludf.DUMMYFUNCTION("""COMPUTED_VALUE"""),"♢")</f>
        <v>♢</v>
      </c>
      <c r="M69" s="440" t="b">
        <f t="shared" si="2"/>
        <v>1</v>
      </c>
      <c r="N69" s="441"/>
      <c r="O69" s="277"/>
      <c r="P69" s="277"/>
      <c r="Q69" s="278"/>
      <c r="R69" s="449" t="str">
        <f t="array" ref="R69">IFERROR(IFS(OR(P69="A1-Mewtwo", P69="A1-Pikachu", P69="A1-Charizard", P69="A1"), XLOOKUP(N69, 'Genetic Apex'!$C$2:$C889, 'Genetic Apex'!$B$2:$B889)-$B$4, P69="A1a", XLOOKUP(N69, 'Mythical Island'!$C$2:$C889, 'Mythical Island'!$B$2:$B889)-$B$4, OR(P69="A2-Dialga", P69="A2-Palkia", P69="A2"), XLOOKUP(N69, 'Space-Time Smackdown'!$C$2:$C889, 'Space-Time Smackdown'!$B$2:$B889)-$B$4))</f>
        <v/>
      </c>
      <c r="S69" s="277" t="str">
        <f>IFERROR(__xludf.DUMMYFUNCTION("""COMPUTED_VALUE"""),"A1 066")</f>
        <v>A1 066</v>
      </c>
      <c r="T69" s="277" t="str">
        <f>IFERROR(__xludf.DUMMYFUNCTION("""COMPUTED_VALUE"""),"Shellder")</f>
        <v>Shellder</v>
      </c>
      <c r="U69" s="277" t="str">
        <f>IFERROR(__xludf.DUMMYFUNCTION("""COMPUTED_VALUE"""),"A1-Mewtwo")</f>
        <v>A1-Mewtwo</v>
      </c>
      <c r="V69" s="278" t="str">
        <f>IFERROR(__xludf.DUMMYFUNCTION("""COMPUTED_VALUE"""),"♢")</f>
        <v>♢</v>
      </c>
      <c r="W69" s="443">
        <f t="array" ref="W69">IFERROR(IFS(OR(U69="A1-Mewtwo", U69="A1-Pikachu", U69="A1-Charizard", U69="A1"), $B$5-XLOOKUP(S69, 'Genetic Apex'!$C$2:$C889, 'Genetic Apex'!$B$2:$B889), U69="A1a", $B$5-XLOOKUP(S69, 'Mythical Island'!$C$2:$C889, 'Mythical Island'!$B$2:$B889), OR(U69="A2-Dialga", U69="A2-Palkia", U69="A2"), $B$5-XLOOKUP(S69, 'Space-Time Smackdown'!$C$2:$C889, 'Space-Time Smackdown'!$B$2:$B889)))</f>
        <v>1</v>
      </c>
      <c r="X69" s="444">
        <f t="shared" si="3"/>
        <v>0</v>
      </c>
      <c r="Y69" s="445" t="str">
        <f t="shared" si="4"/>
        <v/>
      </c>
      <c r="Z69" s="278"/>
      <c r="AA69" s="466"/>
      <c r="AB69" s="278"/>
      <c r="AC69" s="278"/>
      <c r="AD69" s="278"/>
      <c r="AE69" s="278"/>
      <c r="AF69" s="278"/>
      <c r="AG69" s="278" t="b">
        <f t="shared" si="5"/>
        <v>0</v>
      </c>
      <c r="AH69" s="454"/>
      <c r="AI69" s="278"/>
      <c r="AJ69" s="278"/>
      <c r="AK69" s="278"/>
      <c r="AL69" s="444" t="str">
        <f t="array" ref="AL69">IFERROR(IFS(OR(AJ69="A1-Mewtwo", AJ69="A1-Pikachu", AJ69="A1-Charizard", AJ69="A1"), XLOOKUP(AH69, 'Genetic Apex'!$C$2:$C889, 'Genetic Apex'!$B$2:$B889)-2, AJ69="A1a", XLOOKUP(AH69, 'Mythical Island'!$C$2:$C889, 'Mythical Island'!$B$2:$B889)-2, OR(AJ69="A2-Dialga", AJ69="A2-Palkia", AJ69="A2"), XLOOKUP(AH69, 'Space-Time Smackdown'!$C$2:$C889, 'Space-Time Smackdown'!$B$2:$B889)-2))</f>
        <v/>
      </c>
      <c r="AM69" s="444" t="str">
        <f t="shared" si="6"/>
        <v/>
      </c>
      <c r="AN69" s="448" t="str">
        <f t="shared" si="7"/>
        <v/>
      </c>
    </row>
    <row r="70">
      <c r="A70" s="277"/>
      <c r="B70" s="277"/>
      <c r="C70" s="441"/>
      <c r="D70" s="277"/>
      <c r="E70" s="277"/>
      <c r="F70" s="277"/>
      <c r="G70" s="277"/>
      <c r="H70" s="277" t="b">
        <f t="shared" si="1"/>
        <v>0</v>
      </c>
      <c r="I70" s="277" t="str">
        <f>IFERROR(__xludf.DUMMYFUNCTION("""COMPUTED_VALUE"""),"A1 067")</f>
        <v>A1 067</v>
      </c>
      <c r="J70" s="277" t="str">
        <f>IFERROR(__xludf.DUMMYFUNCTION("""COMPUTED_VALUE"""),"Cloyster")</f>
        <v>Cloyster</v>
      </c>
      <c r="K70" s="277" t="str">
        <f>IFERROR(__xludf.DUMMYFUNCTION("""COMPUTED_VALUE"""),"A1-Mewtwo")</f>
        <v>A1-Mewtwo</v>
      </c>
      <c r="L70" s="277" t="str">
        <f>IFERROR(__xludf.DUMMYFUNCTION("""COMPUTED_VALUE"""),"♢♢")</f>
        <v>♢♢</v>
      </c>
      <c r="M70" s="440" t="b">
        <f t="shared" si="2"/>
        <v>1</v>
      </c>
      <c r="N70" s="441"/>
      <c r="O70" s="277"/>
      <c r="P70" s="277"/>
      <c r="Q70" s="278"/>
      <c r="R70" s="449" t="str">
        <f t="array" ref="R70">IFERROR(IFS(OR(P70="A1-Mewtwo", P70="A1-Pikachu", P70="A1-Charizard", P70="A1"), XLOOKUP(N70, 'Genetic Apex'!$C$2:$C889, 'Genetic Apex'!$B$2:$B889)-$B$4, P70="A1a", XLOOKUP(N70, 'Mythical Island'!$C$2:$C889, 'Mythical Island'!$B$2:$B889)-$B$4, OR(P70="A2-Dialga", P70="A2-Palkia", P70="A2"), XLOOKUP(N70, 'Space-Time Smackdown'!$C$2:$C889, 'Space-Time Smackdown'!$B$2:$B889)-$B$4))</f>
        <v/>
      </c>
      <c r="S70" s="277" t="str">
        <f>IFERROR(__xludf.DUMMYFUNCTION("""COMPUTED_VALUE"""),"A1 067")</f>
        <v>A1 067</v>
      </c>
      <c r="T70" s="277" t="str">
        <f>IFERROR(__xludf.DUMMYFUNCTION("""COMPUTED_VALUE"""),"Cloyster")</f>
        <v>Cloyster</v>
      </c>
      <c r="U70" s="277" t="str">
        <f>IFERROR(__xludf.DUMMYFUNCTION("""COMPUTED_VALUE"""),"A1-Mewtwo")</f>
        <v>A1-Mewtwo</v>
      </c>
      <c r="V70" s="278" t="str">
        <f>IFERROR(__xludf.DUMMYFUNCTION("""COMPUTED_VALUE"""),"♢♢")</f>
        <v>♢♢</v>
      </c>
      <c r="W70" s="443">
        <f t="array" ref="W70">IFERROR(IFS(OR(U70="A1-Mewtwo", U70="A1-Pikachu", U70="A1-Charizard", U70="A1"), $B$5-XLOOKUP(S70, 'Genetic Apex'!$C$2:$C889, 'Genetic Apex'!$B$2:$B889), U70="A1a", $B$5-XLOOKUP(S70, 'Mythical Island'!$C$2:$C889, 'Mythical Island'!$B$2:$B889), OR(U70="A2-Dialga", U70="A2-Palkia", U70="A2"), $B$5-XLOOKUP(S70, 'Space-Time Smackdown'!$C$2:$C889, 'Space-Time Smackdown'!$B$2:$B889)))</f>
        <v>1</v>
      </c>
      <c r="X70" s="444">
        <f t="shared" si="3"/>
        <v>0</v>
      </c>
      <c r="Y70" s="445" t="str">
        <f t="shared" si="4"/>
        <v/>
      </c>
      <c r="Z70" s="278"/>
      <c r="AA70" s="466"/>
      <c r="AB70" s="278"/>
      <c r="AC70" s="278"/>
      <c r="AD70" s="278"/>
      <c r="AE70" s="278"/>
      <c r="AF70" s="278"/>
      <c r="AG70" s="278" t="b">
        <f t="shared" si="5"/>
        <v>0</v>
      </c>
      <c r="AH70" s="454"/>
      <c r="AI70" s="278"/>
      <c r="AJ70" s="278"/>
      <c r="AK70" s="278"/>
      <c r="AL70" s="444" t="str">
        <f t="array" ref="AL70">IFERROR(IFS(OR(AJ70="A1-Mewtwo", AJ70="A1-Pikachu", AJ70="A1-Charizard", AJ70="A1"), XLOOKUP(AH70, 'Genetic Apex'!$C$2:$C889, 'Genetic Apex'!$B$2:$B889)-2, AJ70="A1a", XLOOKUP(AH70, 'Mythical Island'!$C$2:$C889, 'Mythical Island'!$B$2:$B889)-2, OR(AJ70="A2-Dialga", AJ70="A2-Palkia", AJ70="A2"), XLOOKUP(AH70, 'Space-Time Smackdown'!$C$2:$C889, 'Space-Time Smackdown'!$B$2:$B889)-2))</f>
        <v/>
      </c>
      <c r="AM70" s="444" t="str">
        <f t="shared" si="6"/>
        <v/>
      </c>
      <c r="AN70" s="448" t="str">
        <f t="shared" si="7"/>
        <v/>
      </c>
    </row>
    <row r="71">
      <c r="A71" s="277"/>
      <c r="B71" s="277"/>
      <c r="C71" s="441"/>
      <c r="D71" s="277"/>
      <c r="E71" s="277"/>
      <c r="F71" s="277"/>
      <c r="G71" s="277"/>
      <c r="H71" s="277" t="b">
        <f t="shared" si="1"/>
        <v>0</v>
      </c>
      <c r="I71" s="277" t="str">
        <f>IFERROR(__xludf.DUMMYFUNCTION("""COMPUTED_VALUE"""),"A1 068")</f>
        <v>A1 068</v>
      </c>
      <c r="J71" s="277" t="str">
        <f>IFERROR(__xludf.DUMMYFUNCTION("""COMPUTED_VALUE"""),"Krabby")</f>
        <v>Krabby</v>
      </c>
      <c r="K71" s="277" t="str">
        <f>IFERROR(__xludf.DUMMYFUNCTION("""COMPUTED_VALUE"""),"A1-Mewtwo")</f>
        <v>A1-Mewtwo</v>
      </c>
      <c r="L71" s="277" t="str">
        <f>IFERROR(__xludf.DUMMYFUNCTION("""COMPUTED_VALUE"""),"♢")</f>
        <v>♢</v>
      </c>
      <c r="M71" s="440" t="b">
        <f t="shared" si="2"/>
        <v>1</v>
      </c>
      <c r="N71" s="441"/>
      <c r="O71" s="277"/>
      <c r="P71" s="277"/>
      <c r="Q71" s="278"/>
      <c r="R71" s="449" t="str">
        <f t="array" ref="R71">IFERROR(IFS(OR(P71="A1-Mewtwo", P71="A1-Pikachu", P71="A1-Charizard", P71="A1"), XLOOKUP(N71, 'Genetic Apex'!$C$2:$C889, 'Genetic Apex'!$B$2:$B889)-$B$4, P71="A1a", XLOOKUP(N71, 'Mythical Island'!$C$2:$C889, 'Mythical Island'!$B$2:$B889)-$B$4, OR(P71="A2-Dialga", P71="A2-Palkia", P71="A2"), XLOOKUP(N71, 'Space-Time Smackdown'!$C$2:$C889, 'Space-Time Smackdown'!$B$2:$B889)-$B$4))</f>
        <v/>
      </c>
      <c r="S71" s="277" t="str">
        <f>IFERROR(__xludf.DUMMYFUNCTION("""COMPUTED_VALUE"""),"A1 068")</f>
        <v>A1 068</v>
      </c>
      <c r="T71" s="277" t="str">
        <f>IFERROR(__xludf.DUMMYFUNCTION("""COMPUTED_VALUE"""),"Krabby")</f>
        <v>Krabby</v>
      </c>
      <c r="U71" s="277" t="str">
        <f>IFERROR(__xludf.DUMMYFUNCTION("""COMPUTED_VALUE"""),"A1-Mewtwo")</f>
        <v>A1-Mewtwo</v>
      </c>
      <c r="V71" s="278" t="str">
        <f>IFERROR(__xludf.DUMMYFUNCTION("""COMPUTED_VALUE"""),"♢")</f>
        <v>♢</v>
      </c>
      <c r="W71" s="443">
        <f t="array" ref="W71">IFERROR(IFS(OR(U71="A1-Mewtwo", U71="A1-Pikachu", U71="A1-Charizard", U71="A1"), $B$5-XLOOKUP(S71, 'Genetic Apex'!$C$2:$C889, 'Genetic Apex'!$B$2:$B889), U71="A1a", $B$5-XLOOKUP(S71, 'Mythical Island'!$C$2:$C889, 'Mythical Island'!$B$2:$B889), OR(U71="A2-Dialga", U71="A2-Palkia", U71="A2"), $B$5-XLOOKUP(S71, 'Space-Time Smackdown'!$C$2:$C889, 'Space-Time Smackdown'!$B$2:$B889)))</f>
        <v>1</v>
      </c>
      <c r="X71" s="444">
        <f t="shared" si="3"/>
        <v>0</v>
      </c>
      <c r="Y71" s="445" t="str">
        <f t="shared" si="4"/>
        <v/>
      </c>
      <c r="Z71" s="278"/>
      <c r="AA71" s="466"/>
      <c r="AB71" s="278"/>
      <c r="AC71" s="278"/>
      <c r="AD71" s="278"/>
      <c r="AE71" s="278"/>
      <c r="AF71" s="278"/>
      <c r="AG71" s="278" t="b">
        <f t="shared" si="5"/>
        <v>0</v>
      </c>
      <c r="AH71" s="454"/>
      <c r="AI71" s="278"/>
      <c r="AJ71" s="278"/>
      <c r="AK71" s="278"/>
      <c r="AL71" s="444" t="str">
        <f t="array" ref="AL71">IFERROR(IFS(OR(AJ71="A1-Mewtwo", AJ71="A1-Pikachu", AJ71="A1-Charizard", AJ71="A1"), XLOOKUP(AH71, 'Genetic Apex'!$C$2:$C889, 'Genetic Apex'!$B$2:$B889)-2, AJ71="A1a", XLOOKUP(AH71, 'Mythical Island'!$C$2:$C889, 'Mythical Island'!$B$2:$B889)-2, OR(AJ71="A2-Dialga", AJ71="A2-Palkia", AJ71="A2"), XLOOKUP(AH71, 'Space-Time Smackdown'!$C$2:$C889, 'Space-Time Smackdown'!$B$2:$B889)-2))</f>
        <v/>
      </c>
      <c r="AM71" s="444" t="str">
        <f t="shared" si="6"/>
        <v/>
      </c>
      <c r="AN71" s="448" t="str">
        <f t="shared" si="7"/>
        <v/>
      </c>
    </row>
    <row r="72">
      <c r="A72" s="277"/>
      <c r="B72" s="277"/>
      <c r="C72" s="441"/>
      <c r="D72" s="277"/>
      <c r="E72" s="277"/>
      <c r="F72" s="277"/>
      <c r="G72" s="277"/>
      <c r="H72" s="277" t="b">
        <f t="shared" si="1"/>
        <v>0</v>
      </c>
      <c r="I72" s="277" t="str">
        <f>IFERROR(__xludf.DUMMYFUNCTION("""COMPUTED_VALUE"""),"A1 069")</f>
        <v>A1 069</v>
      </c>
      <c r="J72" s="277" t="str">
        <f>IFERROR(__xludf.DUMMYFUNCTION("""COMPUTED_VALUE"""),"Kingler")</f>
        <v>Kingler</v>
      </c>
      <c r="K72" s="277" t="str">
        <f>IFERROR(__xludf.DUMMYFUNCTION("""COMPUTED_VALUE"""),"A1-Mewtwo")</f>
        <v>A1-Mewtwo</v>
      </c>
      <c r="L72" s="277" t="str">
        <f>IFERROR(__xludf.DUMMYFUNCTION("""COMPUTED_VALUE"""),"♢♢")</f>
        <v>♢♢</v>
      </c>
      <c r="M72" s="440" t="b">
        <f t="shared" si="2"/>
        <v>1</v>
      </c>
      <c r="N72" s="441"/>
      <c r="O72" s="277"/>
      <c r="P72" s="277"/>
      <c r="Q72" s="278"/>
      <c r="R72" s="449" t="str">
        <f t="array" ref="R72">IFERROR(IFS(OR(P72="A1-Mewtwo", P72="A1-Pikachu", P72="A1-Charizard", P72="A1"), XLOOKUP(N72, 'Genetic Apex'!$C$2:$C889, 'Genetic Apex'!$B$2:$B889)-$B$4, P72="A1a", XLOOKUP(N72, 'Mythical Island'!$C$2:$C889, 'Mythical Island'!$B$2:$B889)-$B$4, OR(P72="A2-Dialga", P72="A2-Palkia", P72="A2"), XLOOKUP(N72, 'Space-Time Smackdown'!$C$2:$C889, 'Space-Time Smackdown'!$B$2:$B889)-$B$4))</f>
        <v/>
      </c>
      <c r="S72" s="277" t="str">
        <f>IFERROR(__xludf.DUMMYFUNCTION("""COMPUTED_VALUE"""),"A1 069")</f>
        <v>A1 069</v>
      </c>
      <c r="T72" s="277" t="str">
        <f>IFERROR(__xludf.DUMMYFUNCTION("""COMPUTED_VALUE"""),"Kingler")</f>
        <v>Kingler</v>
      </c>
      <c r="U72" s="277" t="str">
        <f>IFERROR(__xludf.DUMMYFUNCTION("""COMPUTED_VALUE"""),"A1-Mewtwo")</f>
        <v>A1-Mewtwo</v>
      </c>
      <c r="V72" s="278" t="str">
        <f>IFERROR(__xludf.DUMMYFUNCTION("""COMPUTED_VALUE"""),"♢♢")</f>
        <v>♢♢</v>
      </c>
      <c r="W72" s="443">
        <f t="array" ref="W72">IFERROR(IFS(OR(U72="A1-Mewtwo", U72="A1-Pikachu", U72="A1-Charizard", U72="A1"), $B$5-XLOOKUP(S72, 'Genetic Apex'!$C$2:$C889, 'Genetic Apex'!$B$2:$B889), U72="A1a", $B$5-XLOOKUP(S72, 'Mythical Island'!$C$2:$C889, 'Mythical Island'!$B$2:$B889), OR(U72="A2-Dialga", U72="A2-Palkia", U72="A2"), $B$5-XLOOKUP(S72, 'Space-Time Smackdown'!$C$2:$C889, 'Space-Time Smackdown'!$B$2:$B889)))</f>
        <v>1</v>
      </c>
      <c r="X72" s="444">
        <f t="shared" si="3"/>
        <v>0</v>
      </c>
      <c r="Y72" s="445" t="str">
        <f t="shared" si="4"/>
        <v/>
      </c>
      <c r="Z72" s="278"/>
      <c r="AA72" s="466"/>
      <c r="AB72" s="278"/>
      <c r="AC72" s="278"/>
      <c r="AD72" s="278"/>
      <c r="AE72" s="278"/>
      <c r="AF72" s="278"/>
      <c r="AG72" s="278" t="b">
        <f t="shared" si="5"/>
        <v>0</v>
      </c>
      <c r="AH72" s="454"/>
      <c r="AI72" s="278"/>
      <c r="AJ72" s="278"/>
      <c r="AK72" s="278"/>
      <c r="AL72" s="444" t="str">
        <f t="array" ref="AL72">IFERROR(IFS(OR(AJ72="A1-Mewtwo", AJ72="A1-Pikachu", AJ72="A1-Charizard", AJ72="A1"), XLOOKUP(AH72, 'Genetic Apex'!$C$2:$C889, 'Genetic Apex'!$B$2:$B889)-2, AJ72="A1a", XLOOKUP(AH72, 'Mythical Island'!$C$2:$C889, 'Mythical Island'!$B$2:$B889)-2, OR(AJ72="A2-Dialga", AJ72="A2-Palkia", AJ72="A2"), XLOOKUP(AH72, 'Space-Time Smackdown'!$C$2:$C889, 'Space-Time Smackdown'!$B$2:$B889)-2))</f>
        <v/>
      </c>
      <c r="AM72" s="444" t="str">
        <f t="shared" si="6"/>
        <v/>
      </c>
      <c r="AN72" s="448" t="str">
        <f t="shared" si="7"/>
        <v/>
      </c>
    </row>
    <row r="73">
      <c r="A73" s="277"/>
      <c r="B73" s="277"/>
      <c r="C73" s="441"/>
      <c r="D73" s="277"/>
      <c r="E73" s="277"/>
      <c r="F73" s="277"/>
      <c r="G73" s="277"/>
      <c r="H73" s="277" t="b">
        <f t="shared" si="1"/>
        <v>0</v>
      </c>
      <c r="I73" s="277" t="str">
        <f>IFERROR(__xludf.DUMMYFUNCTION("""COMPUTED_VALUE"""),"A1 070")</f>
        <v>A1 070</v>
      </c>
      <c r="J73" s="277" t="str">
        <f>IFERROR(__xludf.DUMMYFUNCTION("""COMPUTED_VALUE"""),"Horsea")</f>
        <v>Horsea</v>
      </c>
      <c r="K73" s="277" t="str">
        <f>IFERROR(__xludf.DUMMYFUNCTION("""COMPUTED_VALUE"""),"A1-Pikachu")</f>
        <v>A1-Pikachu</v>
      </c>
      <c r="L73" s="277" t="str">
        <f>IFERROR(__xludf.DUMMYFUNCTION("""COMPUTED_VALUE"""),"♢")</f>
        <v>♢</v>
      </c>
      <c r="M73" s="440" t="b">
        <f t="shared" si="2"/>
        <v>1</v>
      </c>
      <c r="N73" s="441"/>
      <c r="O73" s="277"/>
      <c r="P73" s="277"/>
      <c r="Q73" s="278"/>
      <c r="R73" s="449" t="str">
        <f t="array" ref="R73">IFERROR(IFS(OR(P73="A1-Mewtwo", P73="A1-Pikachu", P73="A1-Charizard", P73="A1"), XLOOKUP(N73, 'Genetic Apex'!$C$2:$C889, 'Genetic Apex'!$B$2:$B889)-$B$4, P73="A1a", XLOOKUP(N73, 'Mythical Island'!$C$2:$C889, 'Mythical Island'!$B$2:$B889)-$B$4, OR(P73="A2-Dialga", P73="A2-Palkia", P73="A2"), XLOOKUP(N73, 'Space-Time Smackdown'!$C$2:$C889, 'Space-Time Smackdown'!$B$2:$B889)-$B$4))</f>
        <v/>
      </c>
      <c r="S73" s="277" t="str">
        <f>IFERROR(__xludf.DUMMYFUNCTION("""COMPUTED_VALUE"""),"A1 070")</f>
        <v>A1 070</v>
      </c>
      <c r="T73" s="277" t="str">
        <f>IFERROR(__xludf.DUMMYFUNCTION("""COMPUTED_VALUE"""),"Horsea")</f>
        <v>Horsea</v>
      </c>
      <c r="U73" s="277" t="str">
        <f>IFERROR(__xludf.DUMMYFUNCTION("""COMPUTED_VALUE"""),"A1-Pikachu")</f>
        <v>A1-Pikachu</v>
      </c>
      <c r="V73" s="278" t="str">
        <f>IFERROR(__xludf.DUMMYFUNCTION("""COMPUTED_VALUE"""),"♢")</f>
        <v>♢</v>
      </c>
      <c r="W73" s="443">
        <f t="array" ref="W73">IFERROR(IFS(OR(U73="A1-Mewtwo", U73="A1-Pikachu", U73="A1-Charizard", U73="A1"), $B$5-XLOOKUP(S73, 'Genetic Apex'!$C$2:$C889, 'Genetic Apex'!$B$2:$B889), U73="A1a", $B$5-XLOOKUP(S73, 'Mythical Island'!$C$2:$C889, 'Mythical Island'!$B$2:$B889), OR(U73="A2-Dialga", U73="A2-Palkia", U73="A2"), $B$5-XLOOKUP(S73, 'Space-Time Smackdown'!$C$2:$C889, 'Space-Time Smackdown'!$B$2:$B889)))</f>
        <v>1</v>
      </c>
      <c r="X73" s="444">
        <f t="shared" si="3"/>
        <v>0</v>
      </c>
      <c r="Y73" s="445" t="str">
        <f t="shared" si="4"/>
        <v/>
      </c>
      <c r="Z73" s="278"/>
      <c r="AA73" s="466"/>
      <c r="AB73" s="278"/>
      <c r="AC73" s="278"/>
      <c r="AD73" s="278"/>
      <c r="AE73" s="278"/>
      <c r="AF73" s="278"/>
      <c r="AG73" s="278" t="b">
        <f t="shared" si="5"/>
        <v>0</v>
      </c>
      <c r="AH73" s="454"/>
      <c r="AI73" s="278"/>
      <c r="AJ73" s="278"/>
      <c r="AK73" s="278"/>
      <c r="AL73" s="444" t="str">
        <f t="array" ref="AL73">IFERROR(IFS(OR(AJ73="A1-Mewtwo", AJ73="A1-Pikachu", AJ73="A1-Charizard", AJ73="A1"), XLOOKUP(AH73, 'Genetic Apex'!$C$2:$C889, 'Genetic Apex'!$B$2:$B889)-2, AJ73="A1a", XLOOKUP(AH73, 'Mythical Island'!$C$2:$C889, 'Mythical Island'!$B$2:$B889)-2, OR(AJ73="A2-Dialga", AJ73="A2-Palkia", AJ73="A2"), XLOOKUP(AH73, 'Space-Time Smackdown'!$C$2:$C889, 'Space-Time Smackdown'!$B$2:$B889)-2))</f>
        <v/>
      </c>
      <c r="AM73" s="444" t="str">
        <f t="shared" si="6"/>
        <v/>
      </c>
      <c r="AN73" s="448" t="str">
        <f t="shared" si="7"/>
        <v/>
      </c>
    </row>
    <row r="74">
      <c r="A74" s="277"/>
      <c r="B74" s="277"/>
      <c r="C74" s="441"/>
      <c r="D74" s="277"/>
      <c r="E74" s="277"/>
      <c r="F74" s="277"/>
      <c r="G74" s="277"/>
      <c r="H74" s="277" t="b">
        <f t="shared" si="1"/>
        <v>0</v>
      </c>
      <c r="I74" s="277" t="str">
        <f>IFERROR(__xludf.DUMMYFUNCTION("""COMPUTED_VALUE"""),"A1 071")</f>
        <v>A1 071</v>
      </c>
      <c r="J74" s="277" t="str">
        <f>IFERROR(__xludf.DUMMYFUNCTION("""COMPUTED_VALUE"""),"Seadra")</f>
        <v>Seadra</v>
      </c>
      <c r="K74" s="277" t="str">
        <f>IFERROR(__xludf.DUMMYFUNCTION("""COMPUTED_VALUE"""),"A1-Pikachu")</f>
        <v>A1-Pikachu</v>
      </c>
      <c r="L74" s="277" t="str">
        <f>IFERROR(__xludf.DUMMYFUNCTION("""COMPUTED_VALUE"""),"♢♢")</f>
        <v>♢♢</v>
      </c>
      <c r="M74" s="440" t="b">
        <f t="shared" si="2"/>
        <v>1</v>
      </c>
      <c r="N74" s="441"/>
      <c r="O74" s="277"/>
      <c r="P74" s="277"/>
      <c r="Q74" s="278"/>
      <c r="R74" s="449" t="str">
        <f t="array" ref="R74">IFERROR(IFS(OR(P74="A1-Mewtwo", P74="A1-Pikachu", P74="A1-Charizard", P74="A1"), XLOOKUP(N74, 'Genetic Apex'!$C$2:$C889, 'Genetic Apex'!$B$2:$B889)-$B$4, P74="A1a", XLOOKUP(N74, 'Mythical Island'!$C$2:$C889, 'Mythical Island'!$B$2:$B889)-$B$4, OR(P74="A2-Dialga", P74="A2-Palkia", P74="A2"), XLOOKUP(N74, 'Space-Time Smackdown'!$C$2:$C889, 'Space-Time Smackdown'!$B$2:$B889)-$B$4))</f>
        <v/>
      </c>
      <c r="S74" s="277" t="str">
        <f>IFERROR(__xludf.DUMMYFUNCTION("""COMPUTED_VALUE"""),"A1 071")</f>
        <v>A1 071</v>
      </c>
      <c r="T74" s="277" t="str">
        <f>IFERROR(__xludf.DUMMYFUNCTION("""COMPUTED_VALUE"""),"Seadra")</f>
        <v>Seadra</v>
      </c>
      <c r="U74" s="277" t="str">
        <f>IFERROR(__xludf.DUMMYFUNCTION("""COMPUTED_VALUE"""),"A1-Pikachu")</f>
        <v>A1-Pikachu</v>
      </c>
      <c r="V74" s="278" t="str">
        <f>IFERROR(__xludf.DUMMYFUNCTION("""COMPUTED_VALUE"""),"♢♢")</f>
        <v>♢♢</v>
      </c>
      <c r="W74" s="443">
        <f t="array" ref="W74">IFERROR(IFS(OR(U74="A1-Mewtwo", U74="A1-Pikachu", U74="A1-Charizard", U74="A1"), $B$5-XLOOKUP(S74, 'Genetic Apex'!$C$2:$C889, 'Genetic Apex'!$B$2:$B889), U74="A1a", $B$5-XLOOKUP(S74, 'Mythical Island'!$C$2:$C889, 'Mythical Island'!$B$2:$B889), OR(U74="A2-Dialga", U74="A2-Palkia", U74="A2"), $B$5-XLOOKUP(S74, 'Space-Time Smackdown'!$C$2:$C889, 'Space-Time Smackdown'!$B$2:$B889)))</f>
        <v>1</v>
      </c>
      <c r="X74" s="444">
        <f t="shared" si="3"/>
        <v>0</v>
      </c>
      <c r="Y74" s="445" t="str">
        <f t="shared" si="4"/>
        <v/>
      </c>
      <c r="Z74" s="278"/>
      <c r="AA74" s="466"/>
      <c r="AB74" s="278"/>
      <c r="AC74" s="278"/>
      <c r="AD74" s="278"/>
      <c r="AE74" s="278"/>
      <c r="AF74" s="278"/>
      <c r="AG74" s="278" t="b">
        <f t="shared" si="5"/>
        <v>0</v>
      </c>
      <c r="AH74" s="454"/>
      <c r="AI74" s="278"/>
      <c r="AJ74" s="278"/>
      <c r="AK74" s="278"/>
      <c r="AL74" s="444" t="str">
        <f t="array" ref="AL74">IFERROR(IFS(OR(AJ74="A1-Mewtwo", AJ74="A1-Pikachu", AJ74="A1-Charizard", AJ74="A1"), XLOOKUP(AH74, 'Genetic Apex'!$C$2:$C889, 'Genetic Apex'!$B$2:$B889)-2, AJ74="A1a", XLOOKUP(AH74, 'Mythical Island'!$C$2:$C889, 'Mythical Island'!$B$2:$B889)-2, OR(AJ74="A2-Dialga", AJ74="A2-Palkia", AJ74="A2"), XLOOKUP(AH74, 'Space-Time Smackdown'!$C$2:$C889, 'Space-Time Smackdown'!$B$2:$B889)-2))</f>
        <v/>
      </c>
      <c r="AM74" s="444" t="str">
        <f t="shared" si="6"/>
        <v/>
      </c>
      <c r="AN74" s="448" t="str">
        <f t="shared" si="7"/>
        <v/>
      </c>
    </row>
    <row r="75">
      <c r="A75" s="277"/>
      <c r="B75" s="277"/>
      <c r="C75" s="441"/>
      <c r="D75" s="277"/>
      <c r="E75" s="277"/>
      <c r="F75" s="277"/>
      <c r="G75" s="277"/>
      <c r="H75" s="277" t="b">
        <f t="shared" si="1"/>
        <v>0</v>
      </c>
      <c r="I75" s="277" t="str">
        <f>IFERROR(__xludf.DUMMYFUNCTION("""COMPUTED_VALUE"""),"A1 072")</f>
        <v>A1 072</v>
      </c>
      <c r="J75" s="277" t="str">
        <f>IFERROR(__xludf.DUMMYFUNCTION("""COMPUTED_VALUE"""),"Goldeen")</f>
        <v>Goldeen</v>
      </c>
      <c r="K75" s="277" t="str">
        <f>IFERROR(__xludf.DUMMYFUNCTION("""COMPUTED_VALUE"""),"A1-Pikachu")</f>
        <v>A1-Pikachu</v>
      </c>
      <c r="L75" s="277" t="str">
        <f>IFERROR(__xludf.DUMMYFUNCTION("""COMPUTED_VALUE"""),"♢")</f>
        <v>♢</v>
      </c>
      <c r="M75" s="440" t="b">
        <f t="shared" si="2"/>
        <v>1</v>
      </c>
      <c r="N75" s="441"/>
      <c r="O75" s="277"/>
      <c r="P75" s="277"/>
      <c r="Q75" s="278"/>
      <c r="R75" s="449" t="str">
        <f t="array" ref="R75">IFERROR(IFS(OR(P75="A1-Mewtwo", P75="A1-Pikachu", P75="A1-Charizard", P75="A1"), XLOOKUP(N75, 'Genetic Apex'!$C$2:$C889, 'Genetic Apex'!$B$2:$B889)-$B$4, P75="A1a", XLOOKUP(N75, 'Mythical Island'!$C$2:$C889, 'Mythical Island'!$B$2:$B889)-$B$4, OR(P75="A2-Dialga", P75="A2-Palkia", P75="A2"), XLOOKUP(N75, 'Space-Time Smackdown'!$C$2:$C889, 'Space-Time Smackdown'!$B$2:$B889)-$B$4))</f>
        <v/>
      </c>
      <c r="S75" s="277" t="str">
        <f>IFERROR(__xludf.DUMMYFUNCTION("""COMPUTED_VALUE"""),"A1 072")</f>
        <v>A1 072</v>
      </c>
      <c r="T75" s="277" t="str">
        <f>IFERROR(__xludf.DUMMYFUNCTION("""COMPUTED_VALUE"""),"Goldeen")</f>
        <v>Goldeen</v>
      </c>
      <c r="U75" s="277" t="str">
        <f>IFERROR(__xludf.DUMMYFUNCTION("""COMPUTED_VALUE"""),"A1-Pikachu")</f>
        <v>A1-Pikachu</v>
      </c>
      <c r="V75" s="278" t="str">
        <f>IFERROR(__xludf.DUMMYFUNCTION("""COMPUTED_VALUE"""),"♢")</f>
        <v>♢</v>
      </c>
      <c r="W75" s="443">
        <f t="array" ref="W75">IFERROR(IFS(OR(U75="A1-Mewtwo", U75="A1-Pikachu", U75="A1-Charizard", U75="A1"), $B$5-XLOOKUP(S75, 'Genetic Apex'!$C$2:$C889, 'Genetic Apex'!$B$2:$B889), U75="A1a", $B$5-XLOOKUP(S75, 'Mythical Island'!$C$2:$C889, 'Mythical Island'!$B$2:$B889), OR(U75="A2-Dialga", U75="A2-Palkia", U75="A2"), $B$5-XLOOKUP(S75, 'Space-Time Smackdown'!$C$2:$C889, 'Space-Time Smackdown'!$B$2:$B889)))</f>
        <v>1</v>
      </c>
      <c r="X75" s="444">
        <f t="shared" si="3"/>
        <v>0</v>
      </c>
      <c r="Y75" s="445" t="str">
        <f t="shared" si="4"/>
        <v/>
      </c>
      <c r="Z75" s="278"/>
      <c r="AA75" s="466"/>
      <c r="AB75" s="278"/>
      <c r="AC75" s="278"/>
      <c r="AD75" s="278"/>
      <c r="AE75" s="278"/>
      <c r="AF75" s="278"/>
      <c r="AG75" s="278" t="b">
        <f t="shared" si="5"/>
        <v>0</v>
      </c>
      <c r="AH75" s="454"/>
      <c r="AI75" s="278"/>
      <c r="AJ75" s="278"/>
      <c r="AK75" s="278"/>
      <c r="AL75" s="444" t="str">
        <f t="array" ref="AL75">IFERROR(IFS(OR(AJ75="A1-Mewtwo", AJ75="A1-Pikachu", AJ75="A1-Charizard", AJ75="A1"), XLOOKUP(AH75, 'Genetic Apex'!$C$2:$C889, 'Genetic Apex'!$B$2:$B889)-2, AJ75="A1a", XLOOKUP(AH75, 'Mythical Island'!$C$2:$C889, 'Mythical Island'!$B$2:$B889)-2, OR(AJ75="A2-Dialga", AJ75="A2-Palkia", AJ75="A2"), XLOOKUP(AH75, 'Space-Time Smackdown'!$C$2:$C889, 'Space-Time Smackdown'!$B$2:$B889)-2))</f>
        <v/>
      </c>
      <c r="AM75" s="444" t="str">
        <f t="shared" si="6"/>
        <v/>
      </c>
      <c r="AN75" s="448" t="str">
        <f t="shared" si="7"/>
        <v/>
      </c>
    </row>
    <row r="76">
      <c r="A76" s="277"/>
      <c r="B76" s="277"/>
      <c r="C76" s="441"/>
      <c r="D76" s="277"/>
      <c r="E76" s="277"/>
      <c r="F76" s="277"/>
      <c r="G76" s="277"/>
      <c r="H76" s="277" t="b">
        <f t="shared" si="1"/>
        <v>0</v>
      </c>
      <c r="I76" s="277" t="str">
        <f>IFERROR(__xludf.DUMMYFUNCTION("""COMPUTED_VALUE"""),"A1 073")</f>
        <v>A1 073</v>
      </c>
      <c r="J76" s="277" t="str">
        <f>IFERROR(__xludf.DUMMYFUNCTION("""COMPUTED_VALUE"""),"Seaking")</f>
        <v>Seaking</v>
      </c>
      <c r="K76" s="277" t="str">
        <f>IFERROR(__xludf.DUMMYFUNCTION("""COMPUTED_VALUE"""),"A1-Pikachu")</f>
        <v>A1-Pikachu</v>
      </c>
      <c r="L76" s="277" t="str">
        <f>IFERROR(__xludf.DUMMYFUNCTION("""COMPUTED_VALUE"""),"♢")</f>
        <v>♢</v>
      </c>
      <c r="M76" s="440" t="b">
        <f t="shared" si="2"/>
        <v>1</v>
      </c>
      <c r="N76" s="441"/>
      <c r="O76" s="277"/>
      <c r="P76" s="277"/>
      <c r="Q76" s="278"/>
      <c r="R76" s="449" t="str">
        <f t="array" ref="R76">IFERROR(IFS(OR(P76="A1-Mewtwo", P76="A1-Pikachu", P76="A1-Charizard", P76="A1"), XLOOKUP(N76, 'Genetic Apex'!$C$2:$C889, 'Genetic Apex'!$B$2:$B889)-$B$4, P76="A1a", XLOOKUP(N76, 'Mythical Island'!$C$2:$C889, 'Mythical Island'!$B$2:$B889)-$B$4, OR(P76="A2-Dialga", P76="A2-Palkia", P76="A2"), XLOOKUP(N76, 'Space-Time Smackdown'!$C$2:$C889, 'Space-Time Smackdown'!$B$2:$B889)-$B$4))</f>
        <v/>
      </c>
      <c r="S76" s="277" t="str">
        <f>IFERROR(__xludf.DUMMYFUNCTION("""COMPUTED_VALUE"""),"A1 073")</f>
        <v>A1 073</v>
      </c>
      <c r="T76" s="277" t="str">
        <f>IFERROR(__xludf.DUMMYFUNCTION("""COMPUTED_VALUE"""),"Seaking")</f>
        <v>Seaking</v>
      </c>
      <c r="U76" s="277" t="str">
        <f>IFERROR(__xludf.DUMMYFUNCTION("""COMPUTED_VALUE"""),"A1-Pikachu")</f>
        <v>A1-Pikachu</v>
      </c>
      <c r="V76" s="278" t="str">
        <f>IFERROR(__xludf.DUMMYFUNCTION("""COMPUTED_VALUE"""),"♢")</f>
        <v>♢</v>
      </c>
      <c r="W76" s="443">
        <f t="array" ref="W76">IFERROR(IFS(OR(U76="A1-Mewtwo", U76="A1-Pikachu", U76="A1-Charizard", U76="A1"), $B$5-XLOOKUP(S76, 'Genetic Apex'!$C$2:$C889, 'Genetic Apex'!$B$2:$B889), U76="A1a", $B$5-XLOOKUP(S76, 'Mythical Island'!$C$2:$C889, 'Mythical Island'!$B$2:$B889), OR(U76="A2-Dialga", U76="A2-Palkia", U76="A2"), $B$5-XLOOKUP(S76, 'Space-Time Smackdown'!$C$2:$C889, 'Space-Time Smackdown'!$B$2:$B889)))</f>
        <v>1</v>
      </c>
      <c r="X76" s="444">
        <f t="shared" si="3"/>
        <v>0</v>
      </c>
      <c r="Y76" s="445" t="str">
        <f t="shared" si="4"/>
        <v/>
      </c>
      <c r="Z76" s="278"/>
      <c r="AA76" s="466"/>
      <c r="AB76" s="278"/>
      <c r="AC76" s="278"/>
      <c r="AD76" s="278"/>
      <c r="AE76" s="278"/>
      <c r="AF76" s="278"/>
      <c r="AG76" s="278" t="b">
        <f t="shared" si="5"/>
        <v>0</v>
      </c>
      <c r="AH76" s="454"/>
      <c r="AI76" s="278"/>
      <c r="AJ76" s="278"/>
      <c r="AK76" s="278"/>
      <c r="AL76" s="444" t="str">
        <f t="array" ref="AL76">IFERROR(IFS(OR(AJ76="A1-Mewtwo", AJ76="A1-Pikachu", AJ76="A1-Charizard", AJ76="A1"), XLOOKUP(AH76, 'Genetic Apex'!$C$2:$C889, 'Genetic Apex'!$B$2:$B889)-2, AJ76="A1a", XLOOKUP(AH76, 'Mythical Island'!$C$2:$C889, 'Mythical Island'!$B$2:$B889)-2, OR(AJ76="A2-Dialga", AJ76="A2-Palkia", AJ76="A2"), XLOOKUP(AH76, 'Space-Time Smackdown'!$C$2:$C889, 'Space-Time Smackdown'!$B$2:$B889)-2))</f>
        <v/>
      </c>
      <c r="AM76" s="444" t="str">
        <f t="shared" si="6"/>
        <v/>
      </c>
      <c r="AN76" s="448" t="str">
        <f t="shared" si="7"/>
        <v/>
      </c>
    </row>
    <row r="77">
      <c r="A77" s="277"/>
      <c r="B77" s="277"/>
      <c r="C77" s="441"/>
      <c r="D77" s="277"/>
      <c r="E77" s="277"/>
      <c r="F77" s="277"/>
      <c r="G77" s="277"/>
      <c r="H77" s="277" t="b">
        <f t="shared" si="1"/>
        <v>0</v>
      </c>
      <c r="I77" s="277" t="str">
        <f>IFERROR(__xludf.DUMMYFUNCTION("""COMPUTED_VALUE"""),"A1 074")</f>
        <v>A1 074</v>
      </c>
      <c r="J77" s="277" t="str">
        <f>IFERROR(__xludf.DUMMYFUNCTION("""COMPUTED_VALUE"""),"Staryu")</f>
        <v>Staryu</v>
      </c>
      <c r="K77" s="277" t="str">
        <f>IFERROR(__xludf.DUMMYFUNCTION("""COMPUTED_VALUE"""),"A1-Charizard")</f>
        <v>A1-Charizard</v>
      </c>
      <c r="L77" s="277" t="str">
        <f>IFERROR(__xludf.DUMMYFUNCTION("""COMPUTED_VALUE"""),"♢")</f>
        <v>♢</v>
      </c>
      <c r="M77" s="440" t="b">
        <f t="shared" si="2"/>
        <v>1</v>
      </c>
      <c r="N77" s="441"/>
      <c r="O77" s="277"/>
      <c r="P77" s="277"/>
      <c r="Q77" s="278"/>
      <c r="R77" s="449" t="str">
        <f t="array" ref="R77">IFERROR(IFS(OR(P77="A1-Mewtwo", P77="A1-Pikachu", P77="A1-Charizard", P77="A1"), XLOOKUP(N77, 'Genetic Apex'!$C$2:$C889, 'Genetic Apex'!$B$2:$B889)-$B$4, P77="A1a", XLOOKUP(N77, 'Mythical Island'!$C$2:$C889, 'Mythical Island'!$B$2:$B889)-$B$4, OR(P77="A2-Dialga", P77="A2-Palkia", P77="A2"), XLOOKUP(N77, 'Space-Time Smackdown'!$C$2:$C889, 'Space-Time Smackdown'!$B$2:$B889)-$B$4))</f>
        <v/>
      </c>
      <c r="S77" s="277" t="str">
        <f>IFERROR(__xludf.DUMMYFUNCTION("""COMPUTED_VALUE"""),"A1 074")</f>
        <v>A1 074</v>
      </c>
      <c r="T77" s="277" t="str">
        <f>IFERROR(__xludf.DUMMYFUNCTION("""COMPUTED_VALUE"""),"Staryu")</f>
        <v>Staryu</v>
      </c>
      <c r="U77" s="277" t="str">
        <f>IFERROR(__xludf.DUMMYFUNCTION("""COMPUTED_VALUE"""),"A1-Charizard")</f>
        <v>A1-Charizard</v>
      </c>
      <c r="V77" s="278" t="str">
        <f>IFERROR(__xludf.DUMMYFUNCTION("""COMPUTED_VALUE"""),"♢")</f>
        <v>♢</v>
      </c>
      <c r="W77" s="443">
        <f t="array" ref="W77">IFERROR(IFS(OR(U77="A1-Mewtwo", U77="A1-Pikachu", U77="A1-Charizard", U77="A1"), $B$5-XLOOKUP(S77, 'Genetic Apex'!$C$2:$C889, 'Genetic Apex'!$B$2:$B889), U77="A1a", $B$5-XLOOKUP(S77, 'Mythical Island'!$C$2:$C889, 'Mythical Island'!$B$2:$B889), OR(U77="A2-Dialga", U77="A2-Palkia", U77="A2"), $B$5-XLOOKUP(S77, 'Space-Time Smackdown'!$C$2:$C889, 'Space-Time Smackdown'!$B$2:$B889)))</f>
        <v>1</v>
      </c>
      <c r="X77" s="444">
        <f t="shared" si="3"/>
        <v>0</v>
      </c>
      <c r="Y77" s="445" t="str">
        <f t="shared" si="4"/>
        <v/>
      </c>
      <c r="Z77" s="278"/>
      <c r="AA77" s="466"/>
      <c r="AB77" s="278"/>
      <c r="AC77" s="278"/>
      <c r="AD77" s="278"/>
      <c r="AE77" s="278"/>
      <c r="AF77" s="278"/>
      <c r="AG77" s="278" t="b">
        <f t="shared" si="5"/>
        <v>0</v>
      </c>
      <c r="AH77" s="454"/>
      <c r="AI77" s="278"/>
      <c r="AJ77" s="278"/>
      <c r="AK77" s="278"/>
      <c r="AL77" s="444" t="str">
        <f t="array" ref="AL77">IFERROR(IFS(OR(AJ77="A1-Mewtwo", AJ77="A1-Pikachu", AJ77="A1-Charizard", AJ77="A1"), XLOOKUP(AH77, 'Genetic Apex'!$C$2:$C889, 'Genetic Apex'!$B$2:$B889)-2, AJ77="A1a", XLOOKUP(AH77, 'Mythical Island'!$C$2:$C889, 'Mythical Island'!$B$2:$B889)-2, OR(AJ77="A2-Dialga", AJ77="A2-Palkia", AJ77="A2"), XLOOKUP(AH77, 'Space-Time Smackdown'!$C$2:$C889, 'Space-Time Smackdown'!$B$2:$B889)-2))</f>
        <v/>
      </c>
      <c r="AM77" s="444" t="str">
        <f t="shared" si="6"/>
        <v/>
      </c>
      <c r="AN77" s="448" t="str">
        <f t="shared" si="7"/>
        <v/>
      </c>
    </row>
    <row r="78">
      <c r="A78" s="277"/>
      <c r="B78" s="277"/>
      <c r="C78" s="441"/>
      <c r="D78" s="277"/>
      <c r="E78" s="277"/>
      <c r="F78" s="277"/>
      <c r="G78" s="277"/>
      <c r="H78" s="277" t="b">
        <f t="shared" si="1"/>
        <v>0</v>
      </c>
      <c r="I78" s="277" t="str">
        <f>IFERROR(__xludf.DUMMYFUNCTION("""COMPUTED_VALUE"""),"A1 075")</f>
        <v>A1 075</v>
      </c>
      <c r="J78" s="277" t="str">
        <f>IFERROR(__xludf.DUMMYFUNCTION("""COMPUTED_VALUE"""),"Starmie")</f>
        <v>Starmie</v>
      </c>
      <c r="K78" s="277" t="str">
        <f>IFERROR(__xludf.DUMMYFUNCTION("""COMPUTED_VALUE"""),"A1-Charizard")</f>
        <v>A1-Charizard</v>
      </c>
      <c r="L78" s="277" t="str">
        <f>IFERROR(__xludf.DUMMYFUNCTION("""COMPUTED_VALUE"""),"♢♢")</f>
        <v>♢♢</v>
      </c>
      <c r="M78" s="440" t="b">
        <f t="shared" si="2"/>
        <v>1</v>
      </c>
      <c r="N78" s="441"/>
      <c r="O78" s="277"/>
      <c r="P78" s="277"/>
      <c r="Q78" s="278"/>
      <c r="R78" s="449" t="str">
        <f t="array" ref="R78">IFERROR(IFS(OR(P78="A1-Mewtwo", P78="A1-Pikachu", P78="A1-Charizard", P78="A1"), XLOOKUP(N78, 'Genetic Apex'!$C$2:$C889, 'Genetic Apex'!$B$2:$B889)-$B$4, P78="A1a", XLOOKUP(N78, 'Mythical Island'!$C$2:$C889, 'Mythical Island'!$B$2:$B889)-$B$4, OR(P78="A2-Dialga", P78="A2-Palkia", P78="A2"), XLOOKUP(N78, 'Space-Time Smackdown'!$C$2:$C889, 'Space-Time Smackdown'!$B$2:$B889)-$B$4))</f>
        <v/>
      </c>
      <c r="S78" s="277" t="str">
        <f>IFERROR(__xludf.DUMMYFUNCTION("""COMPUTED_VALUE"""),"A1 075")</f>
        <v>A1 075</v>
      </c>
      <c r="T78" s="277" t="str">
        <f>IFERROR(__xludf.DUMMYFUNCTION("""COMPUTED_VALUE"""),"Starmie")</f>
        <v>Starmie</v>
      </c>
      <c r="U78" s="277" t="str">
        <f>IFERROR(__xludf.DUMMYFUNCTION("""COMPUTED_VALUE"""),"A1-Charizard")</f>
        <v>A1-Charizard</v>
      </c>
      <c r="V78" s="278" t="str">
        <f>IFERROR(__xludf.DUMMYFUNCTION("""COMPUTED_VALUE"""),"♢♢")</f>
        <v>♢♢</v>
      </c>
      <c r="W78" s="443">
        <f t="array" ref="W78">IFERROR(IFS(OR(U78="A1-Mewtwo", U78="A1-Pikachu", U78="A1-Charizard", U78="A1"), $B$5-XLOOKUP(S78, 'Genetic Apex'!$C$2:$C889, 'Genetic Apex'!$B$2:$B889), U78="A1a", $B$5-XLOOKUP(S78, 'Mythical Island'!$C$2:$C889, 'Mythical Island'!$B$2:$B889), OR(U78="A2-Dialga", U78="A2-Palkia", U78="A2"), $B$5-XLOOKUP(S78, 'Space-Time Smackdown'!$C$2:$C889, 'Space-Time Smackdown'!$B$2:$B889)))</f>
        <v>1</v>
      </c>
      <c r="X78" s="444">
        <f t="shared" si="3"/>
        <v>0</v>
      </c>
      <c r="Y78" s="445" t="str">
        <f t="shared" si="4"/>
        <v/>
      </c>
      <c r="Z78" s="278"/>
      <c r="AA78" s="466"/>
      <c r="AB78" s="278"/>
      <c r="AC78" s="278"/>
      <c r="AD78" s="278"/>
      <c r="AE78" s="278"/>
      <c r="AF78" s="278"/>
      <c r="AG78" s="278" t="b">
        <f t="shared" si="5"/>
        <v>0</v>
      </c>
      <c r="AH78" s="454"/>
      <c r="AI78" s="278"/>
      <c r="AJ78" s="278"/>
      <c r="AK78" s="278"/>
      <c r="AL78" s="444" t="str">
        <f t="array" ref="AL78">IFERROR(IFS(OR(AJ78="A1-Mewtwo", AJ78="A1-Pikachu", AJ78="A1-Charizard", AJ78="A1"), XLOOKUP(AH78, 'Genetic Apex'!$C$2:$C889, 'Genetic Apex'!$B$2:$B889)-2, AJ78="A1a", XLOOKUP(AH78, 'Mythical Island'!$C$2:$C889, 'Mythical Island'!$B$2:$B889)-2, OR(AJ78="A2-Dialga", AJ78="A2-Palkia", AJ78="A2"), XLOOKUP(AH78, 'Space-Time Smackdown'!$C$2:$C889, 'Space-Time Smackdown'!$B$2:$B889)-2))</f>
        <v/>
      </c>
      <c r="AM78" s="444" t="str">
        <f t="shared" si="6"/>
        <v/>
      </c>
      <c r="AN78" s="448" t="str">
        <f t="shared" si="7"/>
        <v/>
      </c>
    </row>
    <row r="79">
      <c r="A79" s="277"/>
      <c r="B79" s="277"/>
      <c r="C79" s="441"/>
      <c r="D79" s="277"/>
      <c r="E79" s="277"/>
      <c r="F79" s="277"/>
      <c r="G79" s="277"/>
      <c r="H79" s="277" t="b">
        <f t="shared" si="1"/>
        <v>0</v>
      </c>
      <c r="I79" s="277" t="str">
        <f>IFERROR(__xludf.DUMMYFUNCTION("""COMPUTED_VALUE"""),"A1 076")</f>
        <v>A1 076</v>
      </c>
      <c r="J79" s="277" t="str">
        <f>IFERROR(__xludf.DUMMYFUNCTION("""COMPUTED_VALUE"""),"Starmie ex")</f>
        <v>Starmie ex</v>
      </c>
      <c r="K79" s="277" t="str">
        <f>IFERROR(__xludf.DUMMYFUNCTION("""COMPUTED_VALUE"""),"A1-Charizard")</f>
        <v>A1-Charizard</v>
      </c>
      <c r="L79" s="277" t="str">
        <f>IFERROR(__xludf.DUMMYFUNCTION("""COMPUTED_VALUE"""),"♢♢♢♢")</f>
        <v>♢♢♢♢</v>
      </c>
      <c r="M79" s="440" t="b">
        <f t="shared" si="2"/>
        <v>1</v>
      </c>
      <c r="N79" s="441"/>
      <c r="O79" s="277"/>
      <c r="P79" s="277"/>
      <c r="Q79" s="278"/>
      <c r="R79" s="449" t="str">
        <f t="array" ref="R79">IFERROR(IFS(OR(P79="A1-Mewtwo", P79="A1-Pikachu", P79="A1-Charizard", P79="A1"), XLOOKUP(N79, 'Genetic Apex'!$C$2:$C889, 'Genetic Apex'!$B$2:$B889)-$B$4, P79="A1a", XLOOKUP(N79, 'Mythical Island'!$C$2:$C889, 'Mythical Island'!$B$2:$B889)-$B$4, OR(P79="A2-Dialga", P79="A2-Palkia", P79="A2"), XLOOKUP(N79, 'Space-Time Smackdown'!$C$2:$C889, 'Space-Time Smackdown'!$B$2:$B889)-$B$4))</f>
        <v/>
      </c>
      <c r="S79" s="277" t="str">
        <f>IFERROR(__xludf.DUMMYFUNCTION("""COMPUTED_VALUE"""),"A1 076")</f>
        <v>A1 076</v>
      </c>
      <c r="T79" s="277" t="str">
        <f>IFERROR(__xludf.DUMMYFUNCTION("""COMPUTED_VALUE"""),"Starmie ex")</f>
        <v>Starmie ex</v>
      </c>
      <c r="U79" s="277" t="str">
        <f>IFERROR(__xludf.DUMMYFUNCTION("""COMPUTED_VALUE"""),"A1-Charizard")</f>
        <v>A1-Charizard</v>
      </c>
      <c r="V79" s="278" t="str">
        <f>IFERROR(__xludf.DUMMYFUNCTION("""COMPUTED_VALUE"""),"♢♢♢♢")</f>
        <v>♢♢♢♢</v>
      </c>
      <c r="W79" s="443">
        <f t="array" ref="W79">IFERROR(IFS(OR(U79="A1-Mewtwo", U79="A1-Pikachu", U79="A1-Charizard", U79="A1"), $B$5-XLOOKUP(S79, 'Genetic Apex'!$C$2:$C889, 'Genetic Apex'!$B$2:$B889), U79="A1a", $B$5-XLOOKUP(S79, 'Mythical Island'!$C$2:$C889, 'Mythical Island'!$B$2:$B889), OR(U79="A2-Dialga", U79="A2-Palkia", U79="A2"), $B$5-XLOOKUP(S79, 'Space-Time Smackdown'!$C$2:$C889, 'Space-Time Smackdown'!$B$2:$B889)))</f>
        <v>1</v>
      </c>
      <c r="X79" s="444">
        <f t="shared" si="3"/>
        <v>500</v>
      </c>
      <c r="Y79" s="445">
        <f t="shared" si="4"/>
        <v>500</v>
      </c>
      <c r="Z79" s="278"/>
      <c r="AA79" s="466"/>
      <c r="AB79" s="278"/>
      <c r="AC79" s="278"/>
      <c r="AD79" s="278"/>
      <c r="AE79" s="278"/>
      <c r="AF79" s="278"/>
      <c r="AG79" s="278" t="b">
        <f t="shared" si="5"/>
        <v>0</v>
      </c>
      <c r="AH79" s="454"/>
      <c r="AI79" s="278"/>
      <c r="AJ79" s="278"/>
      <c r="AK79" s="278"/>
      <c r="AL79" s="444" t="str">
        <f t="array" ref="AL79">IFERROR(IFS(OR(AJ79="A1-Mewtwo", AJ79="A1-Pikachu", AJ79="A1-Charizard", AJ79="A1"), XLOOKUP(AH79, 'Genetic Apex'!$C$2:$C889, 'Genetic Apex'!$B$2:$B889)-2, AJ79="A1a", XLOOKUP(AH79, 'Mythical Island'!$C$2:$C889, 'Mythical Island'!$B$2:$B889)-2, OR(AJ79="A2-Dialga", AJ79="A2-Palkia", AJ79="A2"), XLOOKUP(AH79, 'Space-Time Smackdown'!$C$2:$C889, 'Space-Time Smackdown'!$B$2:$B889)-2))</f>
        <v/>
      </c>
      <c r="AM79" s="444" t="str">
        <f t="shared" si="6"/>
        <v/>
      </c>
      <c r="AN79" s="448" t="str">
        <f t="shared" si="7"/>
        <v/>
      </c>
    </row>
    <row r="80">
      <c r="A80" s="277"/>
      <c r="B80" s="277"/>
      <c r="C80" s="441"/>
      <c r="D80" s="277"/>
      <c r="E80" s="277"/>
      <c r="F80" s="277"/>
      <c r="G80" s="277"/>
      <c r="H80" s="277" t="b">
        <f t="shared" si="1"/>
        <v>0</v>
      </c>
      <c r="I80" s="277" t="str">
        <f>IFERROR(__xludf.DUMMYFUNCTION("""COMPUTED_VALUE"""),"A1 077")</f>
        <v>A1 077</v>
      </c>
      <c r="J80" s="277" t="str">
        <f>IFERROR(__xludf.DUMMYFUNCTION("""COMPUTED_VALUE"""),"Magikarp")</f>
        <v>Magikarp</v>
      </c>
      <c r="K80" s="277" t="str">
        <f>IFERROR(__xludf.DUMMYFUNCTION("""COMPUTED_VALUE"""),"A1-Pikachu")</f>
        <v>A1-Pikachu</v>
      </c>
      <c r="L80" s="277" t="str">
        <f>IFERROR(__xludf.DUMMYFUNCTION("""COMPUTED_VALUE"""),"♢")</f>
        <v>♢</v>
      </c>
      <c r="M80" s="440" t="b">
        <f t="shared" si="2"/>
        <v>1</v>
      </c>
      <c r="N80" s="441"/>
      <c r="O80" s="277"/>
      <c r="P80" s="277"/>
      <c r="Q80" s="278"/>
      <c r="R80" s="449" t="str">
        <f t="array" ref="R80">IFERROR(IFS(OR(P80="A1-Mewtwo", P80="A1-Pikachu", P80="A1-Charizard", P80="A1"), XLOOKUP(N80, 'Genetic Apex'!$C$2:$C889, 'Genetic Apex'!$B$2:$B889)-$B$4, P80="A1a", XLOOKUP(N80, 'Mythical Island'!$C$2:$C889, 'Mythical Island'!$B$2:$B889)-$B$4, OR(P80="A2-Dialga", P80="A2-Palkia", P80="A2"), XLOOKUP(N80, 'Space-Time Smackdown'!$C$2:$C889, 'Space-Time Smackdown'!$B$2:$B889)-$B$4))</f>
        <v/>
      </c>
      <c r="S80" s="277" t="str">
        <f>IFERROR(__xludf.DUMMYFUNCTION("""COMPUTED_VALUE"""),"A1 077")</f>
        <v>A1 077</v>
      </c>
      <c r="T80" s="277" t="str">
        <f>IFERROR(__xludf.DUMMYFUNCTION("""COMPUTED_VALUE"""),"Magikarp")</f>
        <v>Magikarp</v>
      </c>
      <c r="U80" s="277" t="str">
        <f>IFERROR(__xludf.DUMMYFUNCTION("""COMPUTED_VALUE"""),"A1-Pikachu")</f>
        <v>A1-Pikachu</v>
      </c>
      <c r="V80" s="278" t="str">
        <f>IFERROR(__xludf.DUMMYFUNCTION("""COMPUTED_VALUE"""),"♢")</f>
        <v>♢</v>
      </c>
      <c r="W80" s="443">
        <f t="array" ref="W80">IFERROR(IFS(OR(U80="A1-Mewtwo", U80="A1-Pikachu", U80="A1-Charizard", U80="A1"), $B$5-XLOOKUP(S80, 'Genetic Apex'!$C$2:$C889, 'Genetic Apex'!$B$2:$B889), U80="A1a", $B$5-XLOOKUP(S80, 'Mythical Island'!$C$2:$C889, 'Mythical Island'!$B$2:$B889), OR(U80="A2-Dialga", U80="A2-Palkia", U80="A2"), $B$5-XLOOKUP(S80, 'Space-Time Smackdown'!$C$2:$C889, 'Space-Time Smackdown'!$B$2:$B889)))</f>
        <v>1</v>
      </c>
      <c r="X80" s="444">
        <f t="shared" si="3"/>
        <v>0</v>
      </c>
      <c r="Y80" s="445" t="str">
        <f t="shared" si="4"/>
        <v/>
      </c>
      <c r="Z80" s="278"/>
      <c r="AA80" s="466"/>
      <c r="AB80" s="278"/>
      <c r="AC80" s="278"/>
      <c r="AD80" s="278"/>
      <c r="AE80" s="278"/>
      <c r="AF80" s="278"/>
      <c r="AG80" s="278" t="b">
        <f t="shared" si="5"/>
        <v>0</v>
      </c>
      <c r="AH80" s="454"/>
      <c r="AI80" s="278"/>
      <c r="AJ80" s="278"/>
      <c r="AK80" s="278"/>
      <c r="AL80" s="444" t="str">
        <f t="array" ref="AL80">IFERROR(IFS(OR(AJ80="A1-Mewtwo", AJ80="A1-Pikachu", AJ80="A1-Charizard", AJ80="A1"), XLOOKUP(AH80, 'Genetic Apex'!$C$2:$C889, 'Genetic Apex'!$B$2:$B889)-2, AJ80="A1a", XLOOKUP(AH80, 'Mythical Island'!$C$2:$C889, 'Mythical Island'!$B$2:$B889)-2, OR(AJ80="A2-Dialga", AJ80="A2-Palkia", AJ80="A2"), XLOOKUP(AH80, 'Space-Time Smackdown'!$C$2:$C889, 'Space-Time Smackdown'!$B$2:$B889)-2))</f>
        <v/>
      </c>
      <c r="AM80" s="444" t="str">
        <f t="shared" si="6"/>
        <v/>
      </c>
      <c r="AN80" s="448" t="str">
        <f t="shared" si="7"/>
        <v/>
      </c>
    </row>
    <row r="81">
      <c r="A81" s="277"/>
      <c r="B81" s="277"/>
      <c r="C81" s="441"/>
      <c r="D81" s="277"/>
      <c r="E81" s="277"/>
      <c r="F81" s="277"/>
      <c r="G81" s="277"/>
      <c r="H81" s="277" t="b">
        <f t="shared" si="1"/>
        <v>0</v>
      </c>
      <c r="I81" s="277" t="str">
        <f>IFERROR(__xludf.DUMMYFUNCTION("""COMPUTED_VALUE"""),"A1 078")</f>
        <v>A1 078</v>
      </c>
      <c r="J81" s="277" t="str">
        <f>IFERROR(__xludf.DUMMYFUNCTION("""COMPUTED_VALUE"""),"Gyarados")</f>
        <v>Gyarados</v>
      </c>
      <c r="K81" s="277" t="str">
        <f>IFERROR(__xludf.DUMMYFUNCTION("""COMPUTED_VALUE"""),"A1-Pikachu")</f>
        <v>A1-Pikachu</v>
      </c>
      <c r="L81" s="277" t="str">
        <f>IFERROR(__xludf.DUMMYFUNCTION("""COMPUTED_VALUE"""),"♢♢♢")</f>
        <v>♢♢♢</v>
      </c>
      <c r="M81" s="440" t="b">
        <f t="shared" si="2"/>
        <v>1</v>
      </c>
      <c r="N81" s="441"/>
      <c r="O81" s="277"/>
      <c r="P81" s="277"/>
      <c r="Q81" s="278"/>
      <c r="R81" s="449" t="str">
        <f t="array" ref="R81">IFERROR(IFS(OR(P81="A1-Mewtwo", P81="A1-Pikachu", P81="A1-Charizard", P81="A1"), XLOOKUP(N81, 'Genetic Apex'!$C$2:$C889, 'Genetic Apex'!$B$2:$B889)-$B$4, P81="A1a", XLOOKUP(N81, 'Mythical Island'!$C$2:$C889, 'Mythical Island'!$B$2:$B889)-$B$4, OR(P81="A2-Dialga", P81="A2-Palkia", P81="A2"), XLOOKUP(N81, 'Space-Time Smackdown'!$C$2:$C889, 'Space-Time Smackdown'!$B$2:$B889)-$B$4))</f>
        <v/>
      </c>
      <c r="S81" s="277" t="str">
        <f>IFERROR(__xludf.DUMMYFUNCTION("""COMPUTED_VALUE"""),"A1 078")</f>
        <v>A1 078</v>
      </c>
      <c r="T81" s="277" t="str">
        <f>IFERROR(__xludf.DUMMYFUNCTION("""COMPUTED_VALUE"""),"Gyarados")</f>
        <v>Gyarados</v>
      </c>
      <c r="U81" s="277" t="str">
        <f>IFERROR(__xludf.DUMMYFUNCTION("""COMPUTED_VALUE"""),"A1-Pikachu")</f>
        <v>A1-Pikachu</v>
      </c>
      <c r="V81" s="278" t="str">
        <f>IFERROR(__xludf.DUMMYFUNCTION("""COMPUTED_VALUE"""),"♢♢♢")</f>
        <v>♢♢♢</v>
      </c>
      <c r="W81" s="443">
        <f t="array" ref="W81">IFERROR(IFS(OR(U81="A1-Mewtwo", U81="A1-Pikachu", U81="A1-Charizard", U81="A1"), $B$5-XLOOKUP(S81, 'Genetic Apex'!$C$2:$C889, 'Genetic Apex'!$B$2:$B889), U81="A1a", $B$5-XLOOKUP(S81, 'Mythical Island'!$C$2:$C889, 'Mythical Island'!$B$2:$B889), OR(U81="A2-Dialga", U81="A2-Palkia", U81="A2"), $B$5-XLOOKUP(S81, 'Space-Time Smackdown'!$C$2:$C889, 'Space-Time Smackdown'!$B$2:$B889)))</f>
        <v>1</v>
      </c>
      <c r="X81" s="444">
        <f t="shared" si="3"/>
        <v>120</v>
      </c>
      <c r="Y81" s="445">
        <f t="shared" si="4"/>
        <v>120</v>
      </c>
      <c r="Z81" s="278"/>
      <c r="AA81" s="466"/>
      <c r="AB81" s="278"/>
      <c r="AC81" s="278"/>
      <c r="AD81" s="278"/>
      <c r="AE81" s="278"/>
      <c r="AF81" s="278"/>
      <c r="AG81" s="278" t="b">
        <f t="shared" si="5"/>
        <v>0</v>
      </c>
      <c r="AH81" s="454"/>
      <c r="AI81" s="278"/>
      <c r="AJ81" s="278"/>
      <c r="AK81" s="278"/>
      <c r="AL81" s="444" t="str">
        <f t="array" ref="AL81">IFERROR(IFS(OR(AJ81="A1-Mewtwo", AJ81="A1-Pikachu", AJ81="A1-Charizard", AJ81="A1"), XLOOKUP(AH81, 'Genetic Apex'!$C$2:$C889, 'Genetic Apex'!$B$2:$B889)-2, AJ81="A1a", XLOOKUP(AH81, 'Mythical Island'!$C$2:$C889, 'Mythical Island'!$B$2:$B889)-2, OR(AJ81="A2-Dialga", AJ81="A2-Palkia", AJ81="A2"), XLOOKUP(AH81, 'Space-Time Smackdown'!$C$2:$C889, 'Space-Time Smackdown'!$B$2:$B889)-2))</f>
        <v/>
      </c>
      <c r="AM81" s="444" t="str">
        <f t="shared" si="6"/>
        <v/>
      </c>
      <c r="AN81" s="448" t="str">
        <f t="shared" si="7"/>
        <v/>
      </c>
    </row>
    <row r="82">
      <c r="A82" s="277"/>
      <c r="B82" s="277"/>
      <c r="C82" s="441"/>
      <c r="D82" s="277"/>
      <c r="E82" s="277"/>
      <c r="F82" s="277"/>
      <c r="G82" s="277"/>
      <c r="H82" s="277" t="b">
        <f t="shared" si="1"/>
        <v>0</v>
      </c>
      <c r="I82" s="277" t="str">
        <f>IFERROR(__xludf.DUMMYFUNCTION("""COMPUTED_VALUE"""),"A1 079")</f>
        <v>A1 079</v>
      </c>
      <c r="J82" s="277" t="str">
        <f>IFERROR(__xludf.DUMMYFUNCTION("""COMPUTED_VALUE"""),"Lapras")</f>
        <v>Lapras</v>
      </c>
      <c r="K82" s="277" t="str">
        <f>IFERROR(__xludf.DUMMYFUNCTION("""COMPUTED_VALUE"""),"A1-Charizard")</f>
        <v>A1-Charizard</v>
      </c>
      <c r="L82" s="277" t="str">
        <f>IFERROR(__xludf.DUMMYFUNCTION("""COMPUTED_VALUE"""),"♢♢♢")</f>
        <v>♢♢♢</v>
      </c>
      <c r="M82" s="440" t="b">
        <f t="shared" si="2"/>
        <v>1</v>
      </c>
      <c r="N82" s="441"/>
      <c r="O82" s="277"/>
      <c r="P82" s="277"/>
      <c r="Q82" s="278"/>
      <c r="R82" s="449" t="str">
        <f t="array" ref="R82">IFERROR(IFS(OR(P82="A1-Mewtwo", P82="A1-Pikachu", P82="A1-Charizard", P82="A1"), XLOOKUP(N82, 'Genetic Apex'!$C$2:$C889, 'Genetic Apex'!$B$2:$B889)-$B$4, P82="A1a", XLOOKUP(N82, 'Mythical Island'!$C$2:$C889, 'Mythical Island'!$B$2:$B889)-$B$4, OR(P82="A2-Dialga", P82="A2-Palkia", P82="A2"), XLOOKUP(N82, 'Space-Time Smackdown'!$C$2:$C889, 'Space-Time Smackdown'!$B$2:$B889)-$B$4))</f>
        <v/>
      </c>
      <c r="S82" s="277" t="str">
        <f>IFERROR(__xludf.DUMMYFUNCTION("""COMPUTED_VALUE"""),"A1 079")</f>
        <v>A1 079</v>
      </c>
      <c r="T82" s="277" t="str">
        <f>IFERROR(__xludf.DUMMYFUNCTION("""COMPUTED_VALUE"""),"Lapras")</f>
        <v>Lapras</v>
      </c>
      <c r="U82" s="277" t="str">
        <f>IFERROR(__xludf.DUMMYFUNCTION("""COMPUTED_VALUE"""),"A1-Charizard")</f>
        <v>A1-Charizard</v>
      </c>
      <c r="V82" s="278" t="str">
        <f>IFERROR(__xludf.DUMMYFUNCTION("""COMPUTED_VALUE"""),"♢♢♢")</f>
        <v>♢♢♢</v>
      </c>
      <c r="W82" s="443">
        <f t="array" ref="W82">IFERROR(IFS(OR(U82="A1-Mewtwo", U82="A1-Pikachu", U82="A1-Charizard", U82="A1"), $B$5-XLOOKUP(S82, 'Genetic Apex'!$C$2:$C889, 'Genetic Apex'!$B$2:$B889), U82="A1a", $B$5-XLOOKUP(S82, 'Mythical Island'!$C$2:$C889, 'Mythical Island'!$B$2:$B889), OR(U82="A2-Dialga", U82="A2-Palkia", U82="A2"), $B$5-XLOOKUP(S82, 'Space-Time Smackdown'!$C$2:$C889, 'Space-Time Smackdown'!$B$2:$B889)))</f>
        <v>1</v>
      </c>
      <c r="X82" s="444">
        <f t="shared" si="3"/>
        <v>120</v>
      </c>
      <c r="Y82" s="445">
        <f t="shared" si="4"/>
        <v>120</v>
      </c>
      <c r="Z82" s="278"/>
      <c r="AA82" s="466"/>
      <c r="AB82" s="278"/>
      <c r="AC82" s="278"/>
      <c r="AD82" s="278"/>
      <c r="AE82" s="278"/>
      <c r="AF82" s="278"/>
      <c r="AG82" s="278" t="b">
        <f t="shared" si="5"/>
        <v>0</v>
      </c>
      <c r="AH82" s="454"/>
      <c r="AI82" s="278"/>
      <c r="AJ82" s="278"/>
      <c r="AK82" s="278"/>
      <c r="AL82" s="444" t="str">
        <f t="array" ref="AL82">IFERROR(IFS(OR(AJ82="A1-Mewtwo", AJ82="A1-Pikachu", AJ82="A1-Charizard", AJ82="A1"), XLOOKUP(AH82, 'Genetic Apex'!$C$2:$C889, 'Genetic Apex'!$B$2:$B889)-2, AJ82="A1a", XLOOKUP(AH82, 'Mythical Island'!$C$2:$C889, 'Mythical Island'!$B$2:$B889)-2, OR(AJ82="A2-Dialga", AJ82="A2-Palkia", AJ82="A2"), XLOOKUP(AH82, 'Space-Time Smackdown'!$C$2:$C889, 'Space-Time Smackdown'!$B$2:$B889)-2))</f>
        <v/>
      </c>
      <c r="AM82" s="444" t="str">
        <f t="shared" si="6"/>
        <v/>
      </c>
      <c r="AN82" s="448" t="str">
        <f t="shared" si="7"/>
        <v/>
      </c>
    </row>
    <row r="83">
      <c r="A83" s="277"/>
      <c r="B83" s="277"/>
      <c r="C83" s="441"/>
      <c r="D83" s="277"/>
      <c r="E83" s="277"/>
      <c r="F83" s="277"/>
      <c r="G83" s="277"/>
      <c r="H83" s="277" t="b">
        <f t="shared" si="1"/>
        <v>0</v>
      </c>
      <c r="I83" s="277" t="str">
        <f>IFERROR(__xludf.DUMMYFUNCTION("""COMPUTED_VALUE"""),"A1 080")</f>
        <v>A1 080</v>
      </c>
      <c r="J83" s="277" t="str">
        <f>IFERROR(__xludf.DUMMYFUNCTION("""COMPUTED_VALUE"""),"Vaporeon")</f>
        <v>Vaporeon</v>
      </c>
      <c r="K83" s="277" t="str">
        <f>IFERROR(__xludf.DUMMYFUNCTION("""COMPUTED_VALUE"""),"A1-Mewtwo")</f>
        <v>A1-Mewtwo</v>
      </c>
      <c r="L83" s="277" t="str">
        <f>IFERROR(__xludf.DUMMYFUNCTION("""COMPUTED_VALUE"""),"♢♢♢")</f>
        <v>♢♢♢</v>
      </c>
      <c r="M83" s="440" t="b">
        <f t="shared" si="2"/>
        <v>1</v>
      </c>
      <c r="N83" s="441"/>
      <c r="O83" s="277"/>
      <c r="P83" s="277"/>
      <c r="Q83" s="278"/>
      <c r="R83" s="449" t="str">
        <f t="array" ref="R83">IFERROR(IFS(OR(P83="A1-Mewtwo", P83="A1-Pikachu", P83="A1-Charizard", P83="A1"), XLOOKUP(N83, 'Genetic Apex'!$C$2:$C889, 'Genetic Apex'!$B$2:$B889)-$B$4, P83="A1a", XLOOKUP(N83, 'Mythical Island'!$C$2:$C889, 'Mythical Island'!$B$2:$B889)-$B$4, OR(P83="A2-Dialga", P83="A2-Palkia", P83="A2"), XLOOKUP(N83, 'Space-Time Smackdown'!$C$2:$C889, 'Space-Time Smackdown'!$B$2:$B889)-$B$4))</f>
        <v/>
      </c>
      <c r="S83" s="277" t="str">
        <f>IFERROR(__xludf.DUMMYFUNCTION("""COMPUTED_VALUE"""),"A1 080")</f>
        <v>A1 080</v>
      </c>
      <c r="T83" s="277" t="str">
        <f>IFERROR(__xludf.DUMMYFUNCTION("""COMPUTED_VALUE"""),"Vaporeon")</f>
        <v>Vaporeon</v>
      </c>
      <c r="U83" s="277" t="str">
        <f>IFERROR(__xludf.DUMMYFUNCTION("""COMPUTED_VALUE"""),"A1-Mewtwo")</f>
        <v>A1-Mewtwo</v>
      </c>
      <c r="V83" s="278" t="str">
        <f>IFERROR(__xludf.DUMMYFUNCTION("""COMPUTED_VALUE"""),"♢♢♢")</f>
        <v>♢♢♢</v>
      </c>
      <c r="W83" s="443">
        <f t="array" ref="W83">IFERROR(IFS(OR(U83="A1-Mewtwo", U83="A1-Pikachu", U83="A1-Charizard", U83="A1"), $B$5-XLOOKUP(S83, 'Genetic Apex'!$C$2:$C889, 'Genetic Apex'!$B$2:$B889), U83="A1a", $B$5-XLOOKUP(S83, 'Mythical Island'!$C$2:$C889, 'Mythical Island'!$B$2:$B889), OR(U83="A2-Dialga", U83="A2-Palkia", U83="A2"), $B$5-XLOOKUP(S83, 'Space-Time Smackdown'!$C$2:$C889, 'Space-Time Smackdown'!$B$2:$B889)))</f>
        <v>1</v>
      </c>
      <c r="X83" s="444">
        <f t="shared" si="3"/>
        <v>120</v>
      </c>
      <c r="Y83" s="445">
        <f t="shared" si="4"/>
        <v>120</v>
      </c>
      <c r="Z83" s="278"/>
      <c r="AA83" s="466"/>
      <c r="AB83" s="278"/>
      <c r="AC83" s="278"/>
      <c r="AD83" s="278"/>
      <c r="AE83" s="278"/>
      <c r="AF83" s="278"/>
      <c r="AG83" s="278" t="b">
        <f t="shared" si="5"/>
        <v>0</v>
      </c>
      <c r="AH83" s="454"/>
      <c r="AI83" s="278"/>
      <c r="AJ83" s="278"/>
      <c r="AK83" s="278"/>
      <c r="AL83" s="444" t="str">
        <f t="array" ref="AL83">IFERROR(IFS(OR(AJ83="A1-Mewtwo", AJ83="A1-Pikachu", AJ83="A1-Charizard", AJ83="A1"), XLOOKUP(AH83, 'Genetic Apex'!$C$2:$C889, 'Genetic Apex'!$B$2:$B889)-2, AJ83="A1a", XLOOKUP(AH83, 'Mythical Island'!$C$2:$C889, 'Mythical Island'!$B$2:$B889)-2, OR(AJ83="A2-Dialga", AJ83="A2-Palkia", AJ83="A2"), XLOOKUP(AH83, 'Space-Time Smackdown'!$C$2:$C889, 'Space-Time Smackdown'!$B$2:$B889)-2))</f>
        <v/>
      </c>
      <c r="AM83" s="444" t="str">
        <f t="shared" si="6"/>
        <v/>
      </c>
      <c r="AN83" s="448" t="str">
        <f t="shared" si="7"/>
        <v/>
      </c>
    </row>
    <row r="84">
      <c r="A84" s="277"/>
      <c r="B84" s="277"/>
      <c r="C84" s="441"/>
      <c r="D84" s="277"/>
      <c r="E84" s="277"/>
      <c r="F84" s="277"/>
      <c r="G84" s="277"/>
      <c r="H84" s="277" t="b">
        <f t="shared" si="1"/>
        <v>0</v>
      </c>
      <c r="I84" s="277" t="str">
        <f>IFERROR(__xludf.DUMMYFUNCTION("""COMPUTED_VALUE"""),"A1 081")</f>
        <v>A1 081</v>
      </c>
      <c r="J84" s="277" t="str">
        <f>IFERROR(__xludf.DUMMYFUNCTION("""COMPUTED_VALUE"""),"Omanyte")</f>
        <v>Omanyte</v>
      </c>
      <c r="K84" s="277" t="str">
        <f>IFERROR(__xludf.DUMMYFUNCTION("""COMPUTED_VALUE"""),"A1-Pikachu")</f>
        <v>A1-Pikachu</v>
      </c>
      <c r="L84" s="277" t="str">
        <f>IFERROR(__xludf.DUMMYFUNCTION("""COMPUTED_VALUE"""),"♢♢")</f>
        <v>♢♢</v>
      </c>
      <c r="M84" s="440" t="b">
        <f t="shared" si="2"/>
        <v>1</v>
      </c>
      <c r="N84" s="441"/>
      <c r="O84" s="277"/>
      <c r="P84" s="277"/>
      <c r="Q84" s="278"/>
      <c r="R84" s="449" t="str">
        <f t="array" ref="R84">IFERROR(IFS(OR(P84="A1-Mewtwo", P84="A1-Pikachu", P84="A1-Charizard", P84="A1"), XLOOKUP(N84, 'Genetic Apex'!$C$2:$C889, 'Genetic Apex'!$B$2:$B889)-$B$4, P84="A1a", XLOOKUP(N84, 'Mythical Island'!$C$2:$C889, 'Mythical Island'!$B$2:$B889)-$B$4, OR(P84="A2-Dialga", P84="A2-Palkia", P84="A2"), XLOOKUP(N84, 'Space-Time Smackdown'!$C$2:$C889, 'Space-Time Smackdown'!$B$2:$B889)-$B$4))</f>
        <v/>
      </c>
      <c r="S84" s="277" t="str">
        <f>IFERROR(__xludf.DUMMYFUNCTION("""COMPUTED_VALUE"""),"A1 081")</f>
        <v>A1 081</v>
      </c>
      <c r="T84" s="277" t="str">
        <f>IFERROR(__xludf.DUMMYFUNCTION("""COMPUTED_VALUE"""),"Omanyte")</f>
        <v>Omanyte</v>
      </c>
      <c r="U84" s="277" t="str">
        <f>IFERROR(__xludf.DUMMYFUNCTION("""COMPUTED_VALUE"""),"A1-Pikachu")</f>
        <v>A1-Pikachu</v>
      </c>
      <c r="V84" s="278" t="str">
        <f>IFERROR(__xludf.DUMMYFUNCTION("""COMPUTED_VALUE"""),"♢♢")</f>
        <v>♢♢</v>
      </c>
      <c r="W84" s="443">
        <f t="array" ref="W84">IFERROR(IFS(OR(U84="A1-Mewtwo", U84="A1-Pikachu", U84="A1-Charizard", U84="A1"), $B$5-XLOOKUP(S84, 'Genetic Apex'!$C$2:$C889, 'Genetic Apex'!$B$2:$B889), U84="A1a", $B$5-XLOOKUP(S84, 'Mythical Island'!$C$2:$C889, 'Mythical Island'!$B$2:$B889), OR(U84="A2-Dialga", U84="A2-Palkia", U84="A2"), $B$5-XLOOKUP(S84, 'Space-Time Smackdown'!$C$2:$C889, 'Space-Time Smackdown'!$B$2:$B889)))</f>
        <v>1</v>
      </c>
      <c r="X84" s="444">
        <f t="shared" si="3"/>
        <v>0</v>
      </c>
      <c r="Y84" s="445" t="str">
        <f t="shared" si="4"/>
        <v/>
      </c>
      <c r="Z84" s="278"/>
      <c r="AA84" s="466"/>
      <c r="AB84" s="278"/>
      <c r="AC84" s="278"/>
      <c r="AD84" s="278"/>
      <c r="AE84" s="278"/>
      <c r="AF84" s="278"/>
      <c r="AG84" s="278" t="b">
        <f t="shared" si="5"/>
        <v>0</v>
      </c>
      <c r="AH84" s="454"/>
      <c r="AI84" s="278"/>
      <c r="AJ84" s="278"/>
      <c r="AK84" s="278"/>
      <c r="AL84" s="444" t="str">
        <f t="array" ref="AL84">IFERROR(IFS(OR(AJ84="A1-Mewtwo", AJ84="A1-Pikachu", AJ84="A1-Charizard", AJ84="A1"), XLOOKUP(AH84, 'Genetic Apex'!$C$2:$C889, 'Genetic Apex'!$B$2:$B889)-2, AJ84="A1a", XLOOKUP(AH84, 'Mythical Island'!$C$2:$C889, 'Mythical Island'!$B$2:$B889)-2, OR(AJ84="A2-Dialga", AJ84="A2-Palkia", AJ84="A2"), XLOOKUP(AH84, 'Space-Time Smackdown'!$C$2:$C889, 'Space-Time Smackdown'!$B$2:$B889)-2))</f>
        <v/>
      </c>
      <c r="AM84" s="444" t="str">
        <f t="shared" si="6"/>
        <v/>
      </c>
      <c r="AN84" s="448" t="str">
        <f t="shared" si="7"/>
        <v/>
      </c>
    </row>
    <row r="85">
      <c r="A85" s="277"/>
      <c r="B85" s="277"/>
      <c r="C85" s="441"/>
      <c r="D85" s="277"/>
      <c r="E85" s="277"/>
      <c r="F85" s="277"/>
      <c r="G85" s="277"/>
      <c r="H85" s="277" t="b">
        <f t="shared" si="1"/>
        <v>0</v>
      </c>
      <c r="I85" s="277" t="str">
        <f>IFERROR(__xludf.DUMMYFUNCTION("""COMPUTED_VALUE"""),"A1 082")</f>
        <v>A1 082</v>
      </c>
      <c r="J85" s="277" t="str">
        <f>IFERROR(__xludf.DUMMYFUNCTION("""COMPUTED_VALUE"""),"Omastar")</f>
        <v>Omastar</v>
      </c>
      <c r="K85" s="277" t="str">
        <f>IFERROR(__xludf.DUMMYFUNCTION("""COMPUTED_VALUE"""),"A1-Pikachu")</f>
        <v>A1-Pikachu</v>
      </c>
      <c r="L85" s="277" t="str">
        <f>IFERROR(__xludf.DUMMYFUNCTION("""COMPUTED_VALUE"""),"♢♢♢")</f>
        <v>♢♢♢</v>
      </c>
      <c r="M85" s="440" t="b">
        <f t="shared" si="2"/>
        <v>1</v>
      </c>
      <c r="N85" s="441"/>
      <c r="O85" s="277"/>
      <c r="P85" s="277"/>
      <c r="Q85" s="278"/>
      <c r="R85" s="449" t="str">
        <f t="array" ref="R85">IFERROR(IFS(OR(P85="A1-Mewtwo", P85="A1-Pikachu", P85="A1-Charizard", P85="A1"), XLOOKUP(N85, 'Genetic Apex'!$C$2:$C889, 'Genetic Apex'!$B$2:$B889)-$B$4, P85="A1a", XLOOKUP(N85, 'Mythical Island'!$C$2:$C889, 'Mythical Island'!$B$2:$B889)-$B$4, OR(P85="A2-Dialga", P85="A2-Palkia", P85="A2"), XLOOKUP(N85, 'Space-Time Smackdown'!$C$2:$C889, 'Space-Time Smackdown'!$B$2:$B889)-$B$4))</f>
        <v/>
      </c>
      <c r="S85" s="277" t="str">
        <f>IFERROR(__xludf.DUMMYFUNCTION("""COMPUTED_VALUE"""),"A1 082")</f>
        <v>A1 082</v>
      </c>
      <c r="T85" s="277" t="str">
        <f>IFERROR(__xludf.DUMMYFUNCTION("""COMPUTED_VALUE"""),"Omastar")</f>
        <v>Omastar</v>
      </c>
      <c r="U85" s="277" t="str">
        <f>IFERROR(__xludf.DUMMYFUNCTION("""COMPUTED_VALUE"""),"A1-Pikachu")</f>
        <v>A1-Pikachu</v>
      </c>
      <c r="V85" s="278" t="str">
        <f>IFERROR(__xludf.DUMMYFUNCTION("""COMPUTED_VALUE"""),"♢♢♢")</f>
        <v>♢♢♢</v>
      </c>
      <c r="W85" s="443">
        <f t="array" ref="W85">IFERROR(IFS(OR(U85="A1-Mewtwo", U85="A1-Pikachu", U85="A1-Charizard", U85="A1"), $B$5-XLOOKUP(S85, 'Genetic Apex'!$C$2:$C889, 'Genetic Apex'!$B$2:$B889), U85="A1a", $B$5-XLOOKUP(S85, 'Mythical Island'!$C$2:$C889, 'Mythical Island'!$B$2:$B889), OR(U85="A2-Dialga", U85="A2-Palkia", U85="A2"), $B$5-XLOOKUP(S85, 'Space-Time Smackdown'!$C$2:$C889, 'Space-Time Smackdown'!$B$2:$B889)))</f>
        <v>1</v>
      </c>
      <c r="X85" s="444">
        <f t="shared" si="3"/>
        <v>120</v>
      </c>
      <c r="Y85" s="445">
        <f t="shared" si="4"/>
        <v>120</v>
      </c>
      <c r="Z85" s="278"/>
      <c r="AA85" s="466"/>
      <c r="AB85" s="278"/>
      <c r="AC85" s="278"/>
      <c r="AD85" s="278"/>
      <c r="AE85" s="278"/>
      <c r="AF85" s="278"/>
      <c r="AG85" s="278" t="b">
        <f t="shared" si="5"/>
        <v>0</v>
      </c>
      <c r="AH85" s="454"/>
      <c r="AI85" s="278"/>
      <c r="AJ85" s="278"/>
      <c r="AK85" s="278"/>
      <c r="AL85" s="444" t="str">
        <f t="array" ref="AL85">IFERROR(IFS(OR(AJ85="A1-Mewtwo", AJ85="A1-Pikachu", AJ85="A1-Charizard", AJ85="A1"), XLOOKUP(AH85, 'Genetic Apex'!$C$2:$C889, 'Genetic Apex'!$B$2:$B889)-2, AJ85="A1a", XLOOKUP(AH85, 'Mythical Island'!$C$2:$C889, 'Mythical Island'!$B$2:$B889)-2, OR(AJ85="A2-Dialga", AJ85="A2-Palkia", AJ85="A2"), XLOOKUP(AH85, 'Space-Time Smackdown'!$C$2:$C889, 'Space-Time Smackdown'!$B$2:$B889)-2))</f>
        <v/>
      </c>
      <c r="AM85" s="444" t="str">
        <f t="shared" si="6"/>
        <v/>
      </c>
      <c r="AN85" s="448" t="str">
        <f t="shared" si="7"/>
        <v/>
      </c>
    </row>
    <row r="86">
      <c r="A86" s="277"/>
      <c r="B86" s="277"/>
      <c r="C86" s="441"/>
      <c r="D86" s="277"/>
      <c r="E86" s="277"/>
      <c r="F86" s="277"/>
      <c r="G86" s="277"/>
      <c r="H86" s="277" t="b">
        <f t="shared" si="1"/>
        <v>0</v>
      </c>
      <c r="I86" s="277" t="str">
        <f>IFERROR(__xludf.DUMMYFUNCTION("""COMPUTED_VALUE"""),"A1 083")</f>
        <v>A1 083</v>
      </c>
      <c r="J86" s="277" t="str">
        <f>IFERROR(__xludf.DUMMYFUNCTION("""COMPUTED_VALUE"""),"Articuno")</f>
        <v>Articuno</v>
      </c>
      <c r="K86" s="277" t="str">
        <f>IFERROR(__xludf.DUMMYFUNCTION("""COMPUTED_VALUE"""),"A1-Mewtwo")</f>
        <v>A1-Mewtwo</v>
      </c>
      <c r="L86" s="277" t="str">
        <f>IFERROR(__xludf.DUMMYFUNCTION("""COMPUTED_VALUE"""),"♢♢♢")</f>
        <v>♢♢♢</v>
      </c>
      <c r="M86" s="440" t="b">
        <f t="shared" si="2"/>
        <v>1</v>
      </c>
      <c r="N86" s="441"/>
      <c r="O86" s="277"/>
      <c r="P86" s="277"/>
      <c r="Q86" s="278"/>
      <c r="R86" s="449" t="str">
        <f t="array" ref="R86">IFERROR(IFS(OR(P86="A1-Mewtwo", P86="A1-Pikachu", P86="A1-Charizard", P86="A1"), XLOOKUP(N86, 'Genetic Apex'!$C$2:$C889, 'Genetic Apex'!$B$2:$B889)-$B$4, P86="A1a", XLOOKUP(N86, 'Mythical Island'!$C$2:$C889, 'Mythical Island'!$B$2:$B889)-$B$4, OR(P86="A2-Dialga", P86="A2-Palkia", P86="A2"), XLOOKUP(N86, 'Space-Time Smackdown'!$C$2:$C889, 'Space-Time Smackdown'!$B$2:$B889)-$B$4))</f>
        <v/>
      </c>
      <c r="S86" s="277" t="str">
        <f>IFERROR(__xludf.DUMMYFUNCTION("""COMPUTED_VALUE"""),"A1 083")</f>
        <v>A1 083</v>
      </c>
      <c r="T86" s="277" t="str">
        <f>IFERROR(__xludf.DUMMYFUNCTION("""COMPUTED_VALUE"""),"Articuno")</f>
        <v>Articuno</v>
      </c>
      <c r="U86" s="277" t="str">
        <f>IFERROR(__xludf.DUMMYFUNCTION("""COMPUTED_VALUE"""),"A1-Mewtwo")</f>
        <v>A1-Mewtwo</v>
      </c>
      <c r="V86" s="278" t="str">
        <f>IFERROR(__xludf.DUMMYFUNCTION("""COMPUTED_VALUE"""),"♢♢♢")</f>
        <v>♢♢♢</v>
      </c>
      <c r="W86" s="443">
        <f t="array" ref="W86">IFERROR(IFS(OR(U86="A1-Mewtwo", U86="A1-Pikachu", U86="A1-Charizard", U86="A1"), $B$5-XLOOKUP(S86, 'Genetic Apex'!$C$2:$C889, 'Genetic Apex'!$B$2:$B889), U86="A1a", $B$5-XLOOKUP(S86, 'Mythical Island'!$C$2:$C889, 'Mythical Island'!$B$2:$B889), OR(U86="A2-Dialga", U86="A2-Palkia", U86="A2"), $B$5-XLOOKUP(S86, 'Space-Time Smackdown'!$C$2:$C889, 'Space-Time Smackdown'!$B$2:$B889)))</f>
        <v>1</v>
      </c>
      <c r="X86" s="444">
        <f t="shared" si="3"/>
        <v>120</v>
      </c>
      <c r="Y86" s="445">
        <f t="shared" si="4"/>
        <v>120</v>
      </c>
      <c r="Z86" s="278"/>
      <c r="AA86" s="466"/>
      <c r="AB86" s="278"/>
      <c r="AC86" s="278"/>
      <c r="AD86" s="278"/>
      <c r="AE86" s="278"/>
      <c r="AF86" s="278"/>
      <c r="AG86" s="278" t="b">
        <f t="shared" si="5"/>
        <v>0</v>
      </c>
      <c r="AH86" s="454"/>
      <c r="AI86" s="278"/>
      <c r="AJ86" s="278"/>
      <c r="AK86" s="278"/>
      <c r="AL86" s="444" t="str">
        <f t="array" ref="AL86">IFERROR(IFS(OR(AJ86="A1-Mewtwo", AJ86="A1-Pikachu", AJ86="A1-Charizard", AJ86="A1"), XLOOKUP(AH86, 'Genetic Apex'!$C$2:$C889, 'Genetic Apex'!$B$2:$B889)-2, AJ86="A1a", XLOOKUP(AH86, 'Mythical Island'!$C$2:$C889, 'Mythical Island'!$B$2:$B889)-2, OR(AJ86="A2-Dialga", AJ86="A2-Palkia", AJ86="A2"), XLOOKUP(AH86, 'Space-Time Smackdown'!$C$2:$C889, 'Space-Time Smackdown'!$B$2:$B889)-2))</f>
        <v/>
      </c>
      <c r="AM86" s="444" t="str">
        <f t="shared" si="6"/>
        <v/>
      </c>
      <c r="AN86" s="448" t="str">
        <f t="shared" si="7"/>
        <v/>
      </c>
    </row>
    <row r="87">
      <c r="A87" s="277"/>
      <c r="B87" s="277"/>
      <c r="C87" s="441"/>
      <c r="D87" s="277"/>
      <c r="E87" s="277"/>
      <c r="F87" s="277"/>
      <c r="G87" s="277"/>
      <c r="H87" s="277" t="b">
        <f t="shared" si="1"/>
        <v>0</v>
      </c>
      <c r="I87" s="277" t="str">
        <f>IFERROR(__xludf.DUMMYFUNCTION("""COMPUTED_VALUE"""),"A1 084")</f>
        <v>A1 084</v>
      </c>
      <c r="J87" s="277" t="str">
        <f>IFERROR(__xludf.DUMMYFUNCTION("""COMPUTED_VALUE"""),"Articuno ex")</f>
        <v>Articuno ex</v>
      </c>
      <c r="K87" s="277" t="str">
        <f>IFERROR(__xludf.DUMMYFUNCTION("""COMPUTED_VALUE"""),"A1-Mewtwo")</f>
        <v>A1-Mewtwo</v>
      </c>
      <c r="L87" s="277" t="str">
        <f>IFERROR(__xludf.DUMMYFUNCTION("""COMPUTED_VALUE"""),"♢♢♢♢")</f>
        <v>♢♢♢♢</v>
      </c>
      <c r="M87" s="440" t="b">
        <f t="shared" si="2"/>
        <v>1</v>
      </c>
      <c r="N87" s="441"/>
      <c r="O87" s="277"/>
      <c r="P87" s="277"/>
      <c r="Q87" s="278"/>
      <c r="R87" s="449" t="str">
        <f t="array" ref="R87">IFERROR(IFS(OR(P87="A1-Mewtwo", P87="A1-Pikachu", P87="A1-Charizard", P87="A1"), XLOOKUP(N87, 'Genetic Apex'!$C$2:$C889, 'Genetic Apex'!$B$2:$B889)-$B$4, P87="A1a", XLOOKUP(N87, 'Mythical Island'!$C$2:$C889, 'Mythical Island'!$B$2:$B889)-$B$4, OR(P87="A2-Dialga", P87="A2-Palkia", P87="A2"), XLOOKUP(N87, 'Space-Time Smackdown'!$C$2:$C889, 'Space-Time Smackdown'!$B$2:$B889)-$B$4))</f>
        <v/>
      </c>
      <c r="S87" s="277" t="str">
        <f>IFERROR(__xludf.DUMMYFUNCTION("""COMPUTED_VALUE"""),"A1 084")</f>
        <v>A1 084</v>
      </c>
      <c r="T87" s="277" t="str">
        <f>IFERROR(__xludf.DUMMYFUNCTION("""COMPUTED_VALUE"""),"Articuno ex")</f>
        <v>Articuno ex</v>
      </c>
      <c r="U87" s="277" t="str">
        <f>IFERROR(__xludf.DUMMYFUNCTION("""COMPUTED_VALUE"""),"A1-Mewtwo")</f>
        <v>A1-Mewtwo</v>
      </c>
      <c r="V87" s="278" t="str">
        <f>IFERROR(__xludf.DUMMYFUNCTION("""COMPUTED_VALUE"""),"♢♢♢♢")</f>
        <v>♢♢♢♢</v>
      </c>
      <c r="W87" s="443">
        <f t="array" ref="W87">IFERROR(IFS(OR(U87="A1-Mewtwo", U87="A1-Pikachu", U87="A1-Charizard", U87="A1"), $B$5-XLOOKUP(S87, 'Genetic Apex'!$C$2:$C889, 'Genetic Apex'!$B$2:$B889), U87="A1a", $B$5-XLOOKUP(S87, 'Mythical Island'!$C$2:$C889, 'Mythical Island'!$B$2:$B889), OR(U87="A2-Dialga", U87="A2-Palkia", U87="A2"), $B$5-XLOOKUP(S87, 'Space-Time Smackdown'!$C$2:$C889, 'Space-Time Smackdown'!$B$2:$B889)))</f>
        <v>1</v>
      </c>
      <c r="X87" s="444">
        <f t="shared" si="3"/>
        <v>500</v>
      </c>
      <c r="Y87" s="445">
        <f t="shared" si="4"/>
        <v>500</v>
      </c>
      <c r="Z87" s="278"/>
      <c r="AA87" s="466"/>
      <c r="AB87" s="278"/>
      <c r="AC87" s="278"/>
      <c r="AD87" s="278"/>
      <c r="AE87" s="278"/>
      <c r="AF87" s="278"/>
      <c r="AG87" s="278" t="b">
        <f t="shared" si="5"/>
        <v>0</v>
      </c>
      <c r="AH87" s="454"/>
      <c r="AI87" s="278"/>
      <c r="AJ87" s="278"/>
      <c r="AK87" s="278"/>
      <c r="AL87" s="444" t="str">
        <f t="array" ref="AL87">IFERROR(IFS(OR(AJ87="A1-Mewtwo", AJ87="A1-Pikachu", AJ87="A1-Charizard", AJ87="A1"), XLOOKUP(AH87, 'Genetic Apex'!$C$2:$C889, 'Genetic Apex'!$B$2:$B889)-2, AJ87="A1a", XLOOKUP(AH87, 'Mythical Island'!$C$2:$C889, 'Mythical Island'!$B$2:$B889)-2, OR(AJ87="A2-Dialga", AJ87="A2-Palkia", AJ87="A2"), XLOOKUP(AH87, 'Space-Time Smackdown'!$C$2:$C889, 'Space-Time Smackdown'!$B$2:$B889)-2))</f>
        <v/>
      </c>
      <c r="AM87" s="444" t="str">
        <f t="shared" si="6"/>
        <v/>
      </c>
      <c r="AN87" s="448" t="str">
        <f t="shared" si="7"/>
        <v/>
      </c>
    </row>
    <row r="88">
      <c r="A88" s="277"/>
      <c r="B88" s="277"/>
      <c r="C88" s="441"/>
      <c r="D88" s="277"/>
      <c r="E88" s="277"/>
      <c r="F88" s="277"/>
      <c r="G88" s="277"/>
      <c r="H88" s="277" t="b">
        <f t="shared" si="1"/>
        <v>0</v>
      </c>
      <c r="I88" s="277" t="str">
        <f>IFERROR(__xludf.DUMMYFUNCTION("""COMPUTED_VALUE"""),"A1 085")</f>
        <v>A1 085</v>
      </c>
      <c r="J88" s="277" t="str">
        <f>IFERROR(__xludf.DUMMYFUNCTION("""COMPUTED_VALUE"""),"Ducklett")</f>
        <v>Ducklett</v>
      </c>
      <c r="K88" s="277" t="str">
        <f>IFERROR(__xludf.DUMMYFUNCTION("""COMPUTED_VALUE"""),"A1-Charizard")</f>
        <v>A1-Charizard</v>
      </c>
      <c r="L88" s="277" t="str">
        <f>IFERROR(__xludf.DUMMYFUNCTION("""COMPUTED_VALUE"""),"♢")</f>
        <v>♢</v>
      </c>
      <c r="M88" s="440" t="b">
        <f t="shared" si="2"/>
        <v>1</v>
      </c>
      <c r="N88" s="441"/>
      <c r="O88" s="277"/>
      <c r="P88" s="277"/>
      <c r="Q88" s="278"/>
      <c r="R88" s="449" t="str">
        <f t="array" ref="R88">IFERROR(IFS(OR(P88="A1-Mewtwo", P88="A1-Pikachu", P88="A1-Charizard", P88="A1"), XLOOKUP(N88, 'Genetic Apex'!$C$2:$C889, 'Genetic Apex'!$B$2:$B889)-$B$4, P88="A1a", XLOOKUP(N88, 'Mythical Island'!$C$2:$C889, 'Mythical Island'!$B$2:$B889)-$B$4, OR(P88="A2-Dialga", P88="A2-Palkia", P88="A2"), XLOOKUP(N88, 'Space-Time Smackdown'!$C$2:$C889, 'Space-Time Smackdown'!$B$2:$B889)-$B$4))</f>
        <v/>
      </c>
      <c r="S88" s="277" t="str">
        <f>IFERROR(__xludf.DUMMYFUNCTION("""COMPUTED_VALUE"""),"A1 085")</f>
        <v>A1 085</v>
      </c>
      <c r="T88" s="277" t="str">
        <f>IFERROR(__xludf.DUMMYFUNCTION("""COMPUTED_VALUE"""),"Ducklett")</f>
        <v>Ducklett</v>
      </c>
      <c r="U88" s="277" t="str">
        <f>IFERROR(__xludf.DUMMYFUNCTION("""COMPUTED_VALUE"""),"A1-Charizard")</f>
        <v>A1-Charizard</v>
      </c>
      <c r="V88" s="278" t="str">
        <f>IFERROR(__xludf.DUMMYFUNCTION("""COMPUTED_VALUE"""),"♢")</f>
        <v>♢</v>
      </c>
      <c r="W88" s="443">
        <f t="array" ref="W88">IFERROR(IFS(OR(U88="A1-Mewtwo", U88="A1-Pikachu", U88="A1-Charizard", U88="A1"), $B$5-XLOOKUP(S88, 'Genetic Apex'!$C$2:$C889, 'Genetic Apex'!$B$2:$B889), U88="A1a", $B$5-XLOOKUP(S88, 'Mythical Island'!$C$2:$C889, 'Mythical Island'!$B$2:$B889), OR(U88="A2-Dialga", U88="A2-Palkia", U88="A2"), $B$5-XLOOKUP(S88, 'Space-Time Smackdown'!$C$2:$C889, 'Space-Time Smackdown'!$B$2:$B889)))</f>
        <v>1</v>
      </c>
      <c r="X88" s="444">
        <f t="shared" si="3"/>
        <v>0</v>
      </c>
      <c r="Y88" s="445" t="str">
        <f t="shared" si="4"/>
        <v/>
      </c>
      <c r="Z88" s="278"/>
      <c r="AA88" s="466"/>
      <c r="AB88" s="278"/>
      <c r="AC88" s="278"/>
      <c r="AD88" s="278"/>
      <c r="AE88" s="278"/>
      <c r="AF88" s="278"/>
      <c r="AG88" s="278" t="b">
        <f t="shared" si="5"/>
        <v>0</v>
      </c>
      <c r="AH88" s="454"/>
      <c r="AI88" s="278"/>
      <c r="AJ88" s="278"/>
      <c r="AK88" s="278"/>
      <c r="AL88" s="444" t="str">
        <f t="array" ref="AL88">IFERROR(IFS(OR(AJ88="A1-Mewtwo", AJ88="A1-Pikachu", AJ88="A1-Charizard", AJ88="A1"), XLOOKUP(AH88, 'Genetic Apex'!$C$2:$C889, 'Genetic Apex'!$B$2:$B889)-2, AJ88="A1a", XLOOKUP(AH88, 'Mythical Island'!$C$2:$C889, 'Mythical Island'!$B$2:$B889)-2, OR(AJ88="A2-Dialga", AJ88="A2-Palkia", AJ88="A2"), XLOOKUP(AH88, 'Space-Time Smackdown'!$C$2:$C889, 'Space-Time Smackdown'!$B$2:$B889)-2))</f>
        <v/>
      </c>
      <c r="AM88" s="444" t="str">
        <f t="shared" si="6"/>
        <v/>
      </c>
      <c r="AN88" s="448" t="str">
        <f t="shared" si="7"/>
        <v/>
      </c>
    </row>
    <row r="89">
      <c r="A89" s="277"/>
      <c r="B89" s="277"/>
      <c r="C89" s="441"/>
      <c r="D89" s="277"/>
      <c r="E89" s="277"/>
      <c r="F89" s="277"/>
      <c r="G89" s="277"/>
      <c r="H89" s="277" t="b">
        <f t="shared" si="1"/>
        <v>0</v>
      </c>
      <c r="I89" s="277" t="str">
        <f>IFERROR(__xludf.DUMMYFUNCTION("""COMPUTED_VALUE"""),"A1 086")</f>
        <v>A1 086</v>
      </c>
      <c r="J89" s="277" t="str">
        <f>IFERROR(__xludf.DUMMYFUNCTION("""COMPUTED_VALUE"""),"Swanna")</f>
        <v>Swanna</v>
      </c>
      <c r="K89" s="277" t="str">
        <f>IFERROR(__xludf.DUMMYFUNCTION("""COMPUTED_VALUE"""),"A1-Charizard")</f>
        <v>A1-Charizard</v>
      </c>
      <c r="L89" s="277" t="str">
        <f>IFERROR(__xludf.DUMMYFUNCTION("""COMPUTED_VALUE"""),"♢♢")</f>
        <v>♢♢</v>
      </c>
      <c r="M89" s="440" t="b">
        <f t="shared" si="2"/>
        <v>1</v>
      </c>
      <c r="N89" s="441"/>
      <c r="O89" s="277"/>
      <c r="P89" s="277"/>
      <c r="Q89" s="278"/>
      <c r="R89" s="449" t="str">
        <f t="array" ref="R89">IFERROR(IFS(OR(P89="A1-Mewtwo", P89="A1-Pikachu", P89="A1-Charizard", P89="A1"), XLOOKUP(N89, 'Genetic Apex'!$C$2:$C889, 'Genetic Apex'!$B$2:$B889)-$B$4, P89="A1a", XLOOKUP(N89, 'Mythical Island'!$C$2:$C889, 'Mythical Island'!$B$2:$B889)-$B$4, OR(P89="A2-Dialga", P89="A2-Palkia", P89="A2"), XLOOKUP(N89, 'Space-Time Smackdown'!$C$2:$C889, 'Space-Time Smackdown'!$B$2:$B889)-$B$4))</f>
        <v/>
      </c>
      <c r="S89" s="277" t="str">
        <f>IFERROR(__xludf.DUMMYFUNCTION("""COMPUTED_VALUE"""),"A1 086")</f>
        <v>A1 086</v>
      </c>
      <c r="T89" s="277" t="str">
        <f>IFERROR(__xludf.DUMMYFUNCTION("""COMPUTED_VALUE"""),"Swanna")</f>
        <v>Swanna</v>
      </c>
      <c r="U89" s="277" t="str">
        <f>IFERROR(__xludf.DUMMYFUNCTION("""COMPUTED_VALUE"""),"A1-Charizard")</f>
        <v>A1-Charizard</v>
      </c>
      <c r="V89" s="278" t="str">
        <f>IFERROR(__xludf.DUMMYFUNCTION("""COMPUTED_VALUE"""),"♢♢")</f>
        <v>♢♢</v>
      </c>
      <c r="W89" s="443">
        <f t="array" ref="W89">IFERROR(IFS(OR(U89="A1-Mewtwo", U89="A1-Pikachu", U89="A1-Charizard", U89="A1"), $B$5-XLOOKUP(S89, 'Genetic Apex'!$C$2:$C889, 'Genetic Apex'!$B$2:$B889), U89="A1a", $B$5-XLOOKUP(S89, 'Mythical Island'!$C$2:$C889, 'Mythical Island'!$B$2:$B889), OR(U89="A2-Dialga", U89="A2-Palkia", U89="A2"), $B$5-XLOOKUP(S89, 'Space-Time Smackdown'!$C$2:$C889, 'Space-Time Smackdown'!$B$2:$B889)))</f>
        <v>1</v>
      </c>
      <c r="X89" s="444">
        <f t="shared" si="3"/>
        <v>0</v>
      </c>
      <c r="Y89" s="445" t="str">
        <f t="shared" si="4"/>
        <v/>
      </c>
      <c r="Z89" s="278"/>
      <c r="AA89" s="466"/>
      <c r="AB89" s="278"/>
      <c r="AC89" s="278"/>
      <c r="AD89" s="278"/>
      <c r="AE89" s="278"/>
      <c r="AF89" s="278"/>
      <c r="AG89" s="278" t="b">
        <f t="shared" si="5"/>
        <v>0</v>
      </c>
      <c r="AH89" s="454"/>
      <c r="AI89" s="278"/>
      <c r="AJ89" s="278"/>
      <c r="AK89" s="278"/>
      <c r="AL89" s="444" t="str">
        <f t="array" ref="AL89">IFERROR(IFS(OR(AJ89="A1-Mewtwo", AJ89="A1-Pikachu", AJ89="A1-Charizard", AJ89="A1"), XLOOKUP(AH89, 'Genetic Apex'!$C$2:$C889, 'Genetic Apex'!$B$2:$B889)-2, AJ89="A1a", XLOOKUP(AH89, 'Mythical Island'!$C$2:$C889, 'Mythical Island'!$B$2:$B889)-2, OR(AJ89="A2-Dialga", AJ89="A2-Palkia", AJ89="A2"), XLOOKUP(AH89, 'Space-Time Smackdown'!$C$2:$C889, 'Space-Time Smackdown'!$B$2:$B889)-2))</f>
        <v/>
      </c>
      <c r="AM89" s="444" t="str">
        <f t="shared" si="6"/>
        <v/>
      </c>
      <c r="AN89" s="448" t="str">
        <f t="shared" si="7"/>
        <v/>
      </c>
    </row>
    <row r="90">
      <c r="A90" s="277"/>
      <c r="B90" s="277"/>
      <c r="C90" s="441"/>
      <c r="D90" s="277"/>
      <c r="E90" s="277"/>
      <c r="F90" s="277"/>
      <c r="G90" s="277"/>
      <c r="H90" s="277" t="b">
        <f t="shared" si="1"/>
        <v>0</v>
      </c>
      <c r="I90" s="277" t="str">
        <f>IFERROR(__xludf.DUMMYFUNCTION("""COMPUTED_VALUE"""),"A1 087")</f>
        <v>A1 087</v>
      </c>
      <c r="J90" s="277" t="str">
        <f>IFERROR(__xludf.DUMMYFUNCTION("""COMPUTED_VALUE"""),"Froakie")</f>
        <v>Froakie</v>
      </c>
      <c r="K90" s="277" t="str">
        <f>IFERROR(__xludf.DUMMYFUNCTION("""COMPUTED_VALUE"""),"A1-Charizard")</f>
        <v>A1-Charizard</v>
      </c>
      <c r="L90" s="277" t="str">
        <f>IFERROR(__xludf.DUMMYFUNCTION("""COMPUTED_VALUE"""),"♢")</f>
        <v>♢</v>
      </c>
      <c r="M90" s="440" t="b">
        <f t="shared" si="2"/>
        <v>1</v>
      </c>
      <c r="N90" s="441"/>
      <c r="O90" s="277"/>
      <c r="P90" s="277"/>
      <c r="Q90" s="278"/>
      <c r="R90" s="449" t="str">
        <f t="array" ref="R90">IFERROR(IFS(OR(P90="A1-Mewtwo", P90="A1-Pikachu", P90="A1-Charizard", P90="A1"), XLOOKUP(N90, 'Genetic Apex'!$C$2:$C889, 'Genetic Apex'!$B$2:$B889)-$B$4, P90="A1a", XLOOKUP(N90, 'Mythical Island'!$C$2:$C889, 'Mythical Island'!$B$2:$B889)-$B$4, OR(P90="A2-Dialga", P90="A2-Palkia", P90="A2"), XLOOKUP(N90, 'Space-Time Smackdown'!$C$2:$C889, 'Space-Time Smackdown'!$B$2:$B889)-$B$4))</f>
        <v/>
      </c>
      <c r="S90" s="277" t="str">
        <f>IFERROR(__xludf.DUMMYFUNCTION("""COMPUTED_VALUE"""),"A1 087")</f>
        <v>A1 087</v>
      </c>
      <c r="T90" s="277" t="str">
        <f>IFERROR(__xludf.DUMMYFUNCTION("""COMPUTED_VALUE"""),"Froakie")</f>
        <v>Froakie</v>
      </c>
      <c r="U90" s="277" t="str">
        <f>IFERROR(__xludf.DUMMYFUNCTION("""COMPUTED_VALUE"""),"A1-Charizard")</f>
        <v>A1-Charizard</v>
      </c>
      <c r="V90" s="278" t="str">
        <f>IFERROR(__xludf.DUMMYFUNCTION("""COMPUTED_VALUE"""),"♢")</f>
        <v>♢</v>
      </c>
      <c r="W90" s="443">
        <f t="array" ref="W90">IFERROR(IFS(OR(U90="A1-Mewtwo", U90="A1-Pikachu", U90="A1-Charizard", U90="A1"), $B$5-XLOOKUP(S90, 'Genetic Apex'!$C$2:$C889, 'Genetic Apex'!$B$2:$B889), U90="A1a", $B$5-XLOOKUP(S90, 'Mythical Island'!$C$2:$C889, 'Mythical Island'!$B$2:$B889), OR(U90="A2-Dialga", U90="A2-Palkia", U90="A2"), $B$5-XLOOKUP(S90, 'Space-Time Smackdown'!$C$2:$C889, 'Space-Time Smackdown'!$B$2:$B889)))</f>
        <v>1</v>
      </c>
      <c r="X90" s="444">
        <f t="shared" si="3"/>
        <v>0</v>
      </c>
      <c r="Y90" s="445" t="str">
        <f t="shared" si="4"/>
        <v/>
      </c>
      <c r="Z90" s="278"/>
      <c r="AA90" s="466"/>
      <c r="AB90" s="278"/>
      <c r="AC90" s="278"/>
      <c r="AD90" s="278"/>
      <c r="AE90" s="278"/>
      <c r="AF90" s="278"/>
      <c r="AG90" s="278" t="b">
        <f t="shared" si="5"/>
        <v>0</v>
      </c>
      <c r="AH90" s="454"/>
      <c r="AI90" s="278"/>
      <c r="AJ90" s="278"/>
      <c r="AK90" s="278"/>
      <c r="AL90" s="444" t="str">
        <f t="array" ref="AL90">IFERROR(IFS(OR(AJ90="A1-Mewtwo", AJ90="A1-Pikachu", AJ90="A1-Charizard", AJ90="A1"), XLOOKUP(AH90, 'Genetic Apex'!$C$2:$C889, 'Genetic Apex'!$B$2:$B889)-2, AJ90="A1a", XLOOKUP(AH90, 'Mythical Island'!$C$2:$C889, 'Mythical Island'!$B$2:$B889)-2, OR(AJ90="A2-Dialga", AJ90="A2-Palkia", AJ90="A2"), XLOOKUP(AH90, 'Space-Time Smackdown'!$C$2:$C889, 'Space-Time Smackdown'!$B$2:$B889)-2))</f>
        <v/>
      </c>
      <c r="AM90" s="444" t="str">
        <f t="shared" si="6"/>
        <v/>
      </c>
      <c r="AN90" s="448" t="str">
        <f t="shared" si="7"/>
        <v/>
      </c>
    </row>
    <row r="91">
      <c r="A91" s="277"/>
      <c r="B91" s="277"/>
      <c r="C91" s="441"/>
      <c r="D91" s="277"/>
      <c r="E91" s="277"/>
      <c r="F91" s="277"/>
      <c r="G91" s="277"/>
      <c r="H91" s="277" t="b">
        <f t="shared" si="1"/>
        <v>0</v>
      </c>
      <c r="I91" s="277" t="str">
        <f>IFERROR(__xludf.DUMMYFUNCTION("""COMPUTED_VALUE"""),"A1 088")</f>
        <v>A1 088</v>
      </c>
      <c r="J91" s="277" t="str">
        <f>IFERROR(__xludf.DUMMYFUNCTION("""COMPUTED_VALUE"""),"Frogadier")</f>
        <v>Frogadier</v>
      </c>
      <c r="K91" s="277" t="str">
        <f>IFERROR(__xludf.DUMMYFUNCTION("""COMPUTED_VALUE"""),"A1-Charizard")</f>
        <v>A1-Charizard</v>
      </c>
      <c r="L91" s="277" t="str">
        <f>IFERROR(__xludf.DUMMYFUNCTION("""COMPUTED_VALUE"""),"♢♢")</f>
        <v>♢♢</v>
      </c>
      <c r="M91" s="440" t="b">
        <f t="shared" si="2"/>
        <v>1</v>
      </c>
      <c r="N91" s="441"/>
      <c r="O91" s="277"/>
      <c r="P91" s="277"/>
      <c r="Q91" s="278"/>
      <c r="R91" s="449" t="str">
        <f t="array" ref="R91">IFERROR(IFS(OR(P91="A1-Mewtwo", P91="A1-Pikachu", P91="A1-Charizard", P91="A1"), XLOOKUP(N91, 'Genetic Apex'!$C$2:$C889, 'Genetic Apex'!$B$2:$B889)-$B$4, P91="A1a", XLOOKUP(N91, 'Mythical Island'!$C$2:$C889, 'Mythical Island'!$B$2:$B889)-$B$4, OR(P91="A2-Dialga", P91="A2-Palkia", P91="A2"), XLOOKUP(N91, 'Space-Time Smackdown'!$C$2:$C889, 'Space-Time Smackdown'!$B$2:$B889)-$B$4))</f>
        <v/>
      </c>
      <c r="S91" s="277" t="str">
        <f>IFERROR(__xludf.DUMMYFUNCTION("""COMPUTED_VALUE"""),"A1 088")</f>
        <v>A1 088</v>
      </c>
      <c r="T91" s="277" t="str">
        <f>IFERROR(__xludf.DUMMYFUNCTION("""COMPUTED_VALUE"""),"Frogadier")</f>
        <v>Frogadier</v>
      </c>
      <c r="U91" s="277" t="str">
        <f>IFERROR(__xludf.DUMMYFUNCTION("""COMPUTED_VALUE"""),"A1-Charizard")</f>
        <v>A1-Charizard</v>
      </c>
      <c r="V91" s="278" t="str">
        <f>IFERROR(__xludf.DUMMYFUNCTION("""COMPUTED_VALUE"""),"♢♢")</f>
        <v>♢♢</v>
      </c>
      <c r="W91" s="443">
        <f t="array" ref="W91">IFERROR(IFS(OR(U91="A1-Mewtwo", U91="A1-Pikachu", U91="A1-Charizard", U91="A1"), $B$5-XLOOKUP(S91, 'Genetic Apex'!$C$2:$C889, 'Genetic Apex'!$B$2:$B889), U91="A1a", $B$5-XLOOKUP(S91, 'Mythical Island'!$C$2:$C889, 'Mythical Island'!$B$2:$B889), OR(U91="A2-Dialga", U91="A2-Palkia", U91="A2"), $B$5-XLOOKUP(S91, 'Space-Time Smackdown'!$C$2:$C889, 'Space-Time Smackdown'!$B$2:$B889)))</f>
        <v>1</v>
      </c>
      <c r="X91" s="444">
        <f t="shared" si="3"/>
        <v>0</v>
      </c>
      <c r="Y91" s="445" t="str">
        <f t="shared" si="4"/>
        <v/>
      </c>
      <c r="Z91" s="278"/>
      <c r="AA91" s="466"/>
      <c r="AB91" s="278"/>
      <c r="AC91" s="278"/>
      <c r="AD91" s="278"/>
      <c r="AE91" s="278"/>
      <c r="AF91" s="278"/>
      <c r="AG91" s="278" t="b">
        <f t="shared" si="5"/>
        <v>0</v>
      </c>
      <c r="AH91" s="454"/>
      <c r="AI91" s="278"/>
      <c r="AJ91" s="278"/>
      <c r="AK91" s="278"/>
      <c r="AL91" s="444" t="str">
        <f t="array" ref="AL91">IFERROR(IFS(OR(AJ91="A1-Mewtwo", AJ91="A1-Pikachu", AJ91="A1-Charizard", AJ91="A1"), XLOOKUP(AH91, 'Genetic Apex'!$C$2:$C889, 'Genetic Apex'!$B$2:$B889)-2, AJ91="A1a", XLOOKUP(AH91, 'Mythical Island'!$C$2:$C889, 'Mythical Island'!$B$2:$B889)-2, OR(AJ91="A2-Dialga", AJ91="A2-Palkia", AJ91="A2"), XLOOKUP(AH91, 'Space-Time Smackdown'!$C$2:$C889, 'Space-Time Smackdown'!$B$2:$B889)-2))</f>
        <v/>
      </c>
      <c r="AM91" s="444" t="str">
        <f t="shared" si="6"/>
        <v/>
      </c>
      <c r="AN91" s="448" t="str">
        <f t="shared" si="7"/>
        <v/>
      </c>
    </row>
    <row r="92">
      <c r="A92" s="277"/>
      <c r="B92" s="277"/>
      <c r="C92" s="441"/>
      <c r="D92" s="277"/>
      <c r="E92" s="277"/>
      <c r="F92" s="277"/>
      <c r="G92" s="277"/>
      <c r="H92" s="277" t="b">
        <f t="shared" si="1"/>
        <v>0</v>
      </c>
      <c r="I92" s="277" t="str">
        <f>IFERROR(__xludf.DUMMYFUNCTION("""COMPUTED_VALUE"""),"A1 089")</f>
        <v>A1 089</v>
      </c>
      <c r="J92" s="277" t="str">
        <f>IFERROR(__xludf.DUMMYFUNCTION("""COMPUTED_VALUE"""),"Greninja")</f>
        <v>Greninja</v>
      </c>
      <c r="K92" s="277" t="str">
        <f>IFERROR(__xludf.DUMMYFUNCTION("""COMPUTED_VALUE"""),"A1-Charizard")</f>
        <v>A1-Charizard</v>
      </c>
      <c r="L92" s="277" t="str">
        <f>IFERROR(__xludf.DUMMYFUNCTION("""COMPUTED_VALUE"""),"♢♢♢")</f>
        <v>♢♢♢</v>
      </c>
      <c r="M92" s="440" t="b">
        <f t="shared" si="2"/>
        <v>1</v>
      </c>
      <c r="N92" s="441"/>
      <c r="O92" s="277"/>
      <c r="P92" s="277"/>
      <c r="Q92" s="278"/>
      <c r="R92" s="449" t="str">
        <f t="array" ref="R92">IFERROR(IFS(OR(P92="A1-Mewtwo", P92="A1-Pikachu", P92="A1-Charizard", P92="A1"), XLOOKUP(N92, 'Genetic Apex'!$C$2:$C889, 'Genetic Apex'!$B$2:$B889)-$B$4, P92="A1a", XLOOKUP(N92, 'Mythical Island'!$C$2:$C889, 'Mythical Island'!$B$2:$B889)-$B$4, OR(P92="A2-Dialga", P92="A2-Palkia", P92="A2"), XLOOKUP(N92, 'Space-Time Smackdown'!$C$2:$C889, 'Space-Time Smackdown'!$B$2:$B889)-$B$4))</f>
        <v/>
      </c>
      <c r="S92" s="277" t="str">
        <f>IFERROR(__xludf.DUMMYFUNCTION("""COMPUTED_VALUE"""),"A1 089")</f>
        <v>A1 089</v>
      </c>
      <c r="T92" s="277" t="str">
        <f>IFERROR(__xludf.DUMMYFUNCTION("""COMPUTED_VALUE"""),"Greninja")</f>
        <v>Greninja</v>
      </c>
      <c r="U92" s="277" t="str">
        <f>IFERROR(__xludf.DUMMYFUNCTION("""COMPUTED_VALUE"""),"A1-Charizard")</f>
        <v>A1-Charizard</v>
      </c>
      <c r="V92" s="278" t="str">
        <f>IFERROR(__xludf.DUMMYFUNCTION("""COMPUTED_VALUE"""),"♢♢♢")</f>
        <v>♢♢♢</v>
      </c>
      <c r="W92" s="443">
        <f t="array" ref="W92">IFERROR(IFS(OR(U92="A1-Mewtwo", U92="A1-Pikachu", U92="A1-Charizard", U92="A1"), $B$5-XLOOKUP(S92, 'Genetic Apex'!$C$2:$C889, 'Genetic Apex'!$B$2:$B889), U92="A1a", $B$5-XLOOKUP(S92, 'Mythical Island'!$C$2:$C889, 'Mythical Island'!$B$2:$B889), OR(U92="A2-Dialga", U92="A2-Palkia", U92="A2"), $B$5-XLOOKUP(S92, 'Space-Time Smackdown'!$C$2:$C889, 'Space-Time Smackdown'!$B$2:$B889)))</f>
        <v>1</v>
      </c>
      <c r="X92" s="444">
        <f t="shared" si="3"/>
        <v>120</v>
      </c>
      <c r="Y92" s="445">
        <f t="shared" si="4"/>
        <v>120</v>
      </c>
      <c r="Z92" s="278"/>
      <c r="AA92" s="466"/>
      <c r="AB92" s="278"/>
      <c r="AC92" s="278"/>
      <c r="AD92" s="278"/>
      <c r="AE92" s="278"/>
      <c r="AF92" s="278"/>
      <c r="AG92" s="278" t="b">
        <f t="shared" si="5"/>
        <v>0</v>
      </c>
      <c r="AH92" s="454"/>
      <c r="AI92" s="278"/>
      <c r="AJ92" s="278"/>
      <c r="AK92" s="278"/>
      <c r="AL92" s="444" t="str">
        <f t="array" ref="AL92">IFERROR(IFS(OR(AJ92="A1-Mewtwo", AJ92="A1-Pikachu", AJ92="A1-Charizard", AJ92="A1"), XLOOKUP(AH92, 'Genetic Apex'!$C$2:$C889, 'Genetic Apex'!$B$2:$B889)-2, AJ92="A1a", XLOOKUP(AH92, 'Mythical Island'!$C$2:$C889, 'Mythical Island'!$B$2:$B889)-2, OR(AJ92="A2-Dialga", AJ92="A2-Palkia", AJ92="A2"), XLOOKUP(AH92, 'Space-Time Smackdown'!$C$2:$C889, 'Space-Time Smackdown'!$B$2:$B889)-2))</f>
        <v/>
      </c>
      <c r="AM92" s="444" t="str">
        <f t="shared" si="6"/>
        <v/>
      </c>
      <c r="AN92" s="448" t="str">
        <f t="shared" si="7"/>
        <v/>
      </c>
    </row>
    <row r="93">
      <c r="A93" s="277"/>
      <c r="B93" s="277"/>
      <c r="C93" s="441"/>
      <c r="D93" s="277"/>
      <c r="E93" s="277"/>
      <c r="F93" s="277"/>
      <c r="G93" s="277"/>
      <c r="H93" s="277" t="b">
        <f t="shared" si="1"/>
        <v>0</v>
      </c>
      <c r="I93" s="277" t="str">
        <f>IFERROR(__xludf.DUMMYFUNCTION("""COMPUTED_VALUE"""),"A1 090")</f>
        <v>A1 090</v>
      </c>
      <c r="J93" s="277" t="str">
        <f>IFERROR(__xludf.DUMMYFUNCTION("""COMPUTED_VALUE"""),"Pyukumuku")</f>
        <v>Pyukumuku</v>
      </c>
      <c r="K93" s="277" t="str">
        <f>IFERROR(__xludf.DUMMYFUNCTION("""COMPUTED_VALUE"""),"A1-Charizard")</f>
        <v>A1-Charizard</v>
      </c>
      <c r="L93" s="277" t="str">
        <f>IFERROR(__xludf.DUMMYFUNCTION("""COMPUTED_VALUE"""),"♢")</f>
        <v>♢</v>
      </c>
      <c r="M93" s="440" t="b">
        <f t="shared" si="2"/>
        <v>1</v>
      </c>
      <c r="N93" s="441"/>
      <c r="O93" s="277"/>
      <c r="P93" s="277"/>
      <c r="Q93" s="278"/>
      <c r="R93" s="449" t="str">
        <f t="array" ref="R93">IFERROR(IFS(OR(P93="A1-Mewtwo", P93="A1-Pikachu", P93="A1-Charizard", P93="A1"), XLOOKUP(N93, 'Genetic Apex'!$C$2:$C889, 'Genetic Apex'!$B$2:$B889)-$B$4, P93="A1a", XLOOKUP(N93, 'Mythical Island'!$C$2:$C889, 'Mythical Island'!$B$2:$B889)-$B$4, OR(P93="A2-Dialga", P93="A2-Palkia", P93="A2"), XLOOKUP(N93, 'Space-Time Smackdown'!$C$2:$C889, 'Space-Time Smackdown'!$B$2:$B889)-$B$4))</f>
        <v/>
      </c>
      <c r="S93" s="277" t="str">
        <f>IFERROR(__xludf.DUMMYFUNCTION("""COMPUTED_VALUE"""),"A1 090")</f>
        <v>A1 090</v>
      </c>
      <c r="T93" s="277" t="str">
        <f>IFERROR(__xludf.DUMMYFUNCTION("""COMPUTED_VALUE"""),"Pyukumuku")</f>
        <v>Pyukumuku</v>
      </c>
      <c r="U93" s="277" t="str">
        <f>IFERROR(__xludf.DUMMYFUNCTION("""COMPUTED_VALUE"""),"A1-Charizard")</f>
        <v>A1-Charizard</v>
      </c>
      <c r="V93" s="278" t="str">
        <f>IFERROR(__xludf.DUMMYFUNCTION("""COMPUTED_VALUE"""),"♢")</f>
        <v>♢</v>
      </c>
      <c r="W93" s="443">
        <f t="array" ref="W93">IFERROR(IFS(OR(U93="A1-Mewtwo", U93="A1-Pikachu", U93="A1-Charizard", U93="A1"), $B$5-XLOOKUP(S93, 'Genetic Apex'!$C$2:$C889, 'Genetic Apex'!$B$2:$B889), U93="A1a", $B$5-XLOOKUP(S93, 'Mythical Island'!$C$2:$C889, 'Mythical Island'!$B$2:$B889), OR(U93="A2-Dialga", U93="A2-Palkia", U93="A2"), $B$5-XLOOKUP(S93, 'Space-Time Smackdown'!$C$2:$C889, 'Space-Time Smackdown'!$B$2:$B889)))</f>
        <v>1</v>
      </c>
      <c r="X93" s="444">
        <f t="shared" si="3"/>
        <v>0</v>
      </c>
      <c r="Y93" s="445" t="str">
        <f t="shared" si="4"/>
        <v/>
      </c>
      <c r="Z93" s="278"/>
      <c r="AA93" s="466"/>
      <c r="AB93" s="278"/>
      <c r="AC93" s="278"/>
      <c r="AD93" s="278"/>
      <c r="AE93" s="278"/>
      <c r="AF93" s="278"/>
      <c r="AG93" s="278" t="b">
        <f t="shared" si="5"/>
        <v>0</v>
      </c>
      <c r="AH93" s="454"/>
      <c r="AI93" s="278"/>
      <c r="AJ93" s="278"/>
      <c r="AK93" s="278"/>
      <c r="AL93" s="444" t="str">
        <f t="array" ref="AL93">IFERROR(IFS(OR(AJ93="A1-Mewtwo", AJ93="A1-Pikachu", AJ93="A1-Charizard", AJ93="A1"), XLOOKUP(AH93, 'Genetic Apex'!$C$2:$C889, 'Genetic Apex'!$B$2:$B889)-2, AJ93="A1a", XLOOKUP(AH93, 'Mythical Island'!$C$2:$C889, 'Mythical Island'!$B$2:$B889)-2, OR(AJ93="A2-Dialga", AJ93="A2-Palkia", AJ93="A2"), XLOOKUP(AH93, 'Space-Time Smackdown'!$C$2:$C889, 'Space-Time Smackdown'!$B$2:$B889)-2))</f>
        <v/>
      </c>
      <c r="AM93" s="444" t="str">
        <f t="shared" si="6"/>
        <v/>
      </c>
      <c r="AN93" s="448" t="str">
        <f t="shared" si="7"/>
        <v/>
      </c>
    </row>
    <row r="94">
      <c r="A94" s="277"/>
      <c r="B94" s="277"/>
      <c r="C94" s="441"/>
      <c r="D94" s="277"/>
      <c r="E94" s="277"/>
      <c r="F94" s="277"/>
      <c r="G94" s="277"/>
      <c r="H94" s="277" t="b">
        <f t="shared" si="1"/>
        <v>0</v>
      </c>
      <c r="I94" s="277" t="str">
        <f>IFERROR(__xludf.DUMMYFUNCTION("""COMPUTED_VALUE"""),"A1 091")</f>
        <v>A1 091</v>
      </c>
      <c r="J94" s="277" t="str">
        <f>IFERROR(__xludf.DUMMYFUNCTION("""COMPUTED_VALUE"""),"Bruxish")</f>
        <v>Bruxish</v>
      </c>
      <c r="K94" s="277" t="str">
        <f>IFERROR(__xludf.DUMMYFUNCTION("""COMPUTED_VALUE"""),"A1")</f>
        <v>A1</v>
      </c>
      <c r="L94" s="277" t="str">
        <f>IFERROR(__xludf.DUMMYFUNCTION("""COMPUTED_VALUE"""),"♢♢")</f>
        <v>♢♢</v>
      </c>
      <c r="M94" s="440" t="b">
        <f t="shared" si="2"/>
        <v>1</v>
      </c>
      <c r="N94" s="441"/>
      <c r="O94" s="277"/>
      <c r="P94" s="277"/>
      <c r="Q94" s="278"/>
      <c r="R94" s="449" t="str">
        <f t="array" ref="R94">IFERROR(IFS(OR(P94="A1-Mewtwo", P94="A1-Pikachu", P94="A1-Charizard", P94="A1"), XLOOKUP(N94, 'Genetic Apex'!$C$2:$C889, 'Genetic Apex'!$B$2:$B889)-$B$4, P94="A1a", XLOOKUP(N94, 'Mythical Island'!$C$2:$C889, 'Mythical Island'!$B$2:$B889)-$B$4, OR(P94="A2-Dialga", P94="A2-Palkia", P94="A2"), XLOOKUP(N94, 'Space-Time Smackdown'!$C$2:$C889, 'Space-Time Smackdown'!$B$2:$B889)-$B$4))</f>
        <v/>
      </c>
      <c r="S94" s="277" t="str">
        <f>IFERROR(__xludf.DUMMYFUNCTION("""COMPUTED_VALUE"""),"A1 091")</f>
        <v>A1 091</v>
      </c>
      <c r="T94" s="277" t="str">
        <f>IFERROR(__xludf.DUMMYFUNCTION("""COMPUTED_VALUE"""),"Bruxish")</f>
        <v>Bruxish</v>
      </c>
      <c r="U94" s="277" t="str">
        <f>IFERROR(__xludf.DUMMYFUNCTION("""COMPUTED_VALUE"""),"A1")</f>
        <v>A1</v>
      </c>
      <c r="V94" s="278" t="str">
        <f>IFERROR(__xludf.DUMMYFUNCTION("""COMPUTED_VALUE"""),"♢♢")</f>
        <v>♢♢</v>
      </c>
      <c r="W94" s="443">
        <f t="array" ref="W94">IFERROR(IFS(OR(U94="A1-Mewtwo", U94="A1-Pikachu", U94="A1-Charizard", U94="A1"), $B$5-XLOOKUP(S94, 'Genetic Apex'!$C$2:$C889, 'Genetic Apex'!$B$2:$B889), U94="A1a", $B$5-XLOOKUP(S94, 'Mythical Island'!$C$2:$C889, 'Mythical Island'!$B$2:$B889), OR(U94="A2-Dialga", U94="A2-Palkia", U94="A2"), $B$5-XLOOKUP(S94, 'Space-Time Smackdown'!$C$2:$C889, 'Space-Time Smackdown'!$B$2:$B889)))</f>
        <v>1</v>
      </c>
      <c r="X94" s="444">
        <f t="shared" si="3"/>
        <v>0</v>
      </c>
      <c r="Y94" s="445" t="str">
        <f t="shared" si="4"/>
        <v/>
      </c>
      <c r="Z94" s="278"/>
      <c r="AA94" s="466"/>
      <c r="AB94" s="278"/>
      <c r="AC94" s="278"/>
      <c r="AD94" s="278"/>
      <c r="AE94" s="278"/>
      <c r="AF94" s="278"/>
      <c r="AG94" s="278" t="b">
        <f t="shared" si="5"/>
        <v>0</v>
      </c>
      <c r="AH94" s="454"/>
      <c r="AI94" s="278"/>
      <c r="AJ94" s="278"/>
      <c r="AK94" s="278"/>
      <c r="AL94" s="444" t="str">
        <f t="array" ref="AL94">IFERROR(IFS(OR(AJ94="A1-Mewtwo", AJ94="A1-Pikachu", AJ94="A1-Charizard", AJ94="A1"), XLOOKUP(AH94, 'Genetic Apex'!$C$2:$C889, 'Genetic Apex'!$B$2:$B889)-2, AJ94="A1a", XLOOKUP(AH94, 'Mythical Island'!$C$2:$C889, 'Mythical Island'!$B$2:$B889)-2, OR(AJ94="A2-Dialga", AJ94="A2-Palkia", AJ94="A2"), XLOOKUP(AH94, 'Space-Time Smackdown'!$C$2:$C889, 'Space-Time Smackdown'!$B$2:$B889)-2))</f>
        <v/>
      </c>
      <c r="AM94" s="444" t="str">
        <f t="shared" si="6"/>
        <v/>
      </c>
      <c r="AN94" s="448" t="str">
        <f t="shared" si="7"/>
        <v/>
      </c>
    </row>
    <row r="95">
      <c r="A95" s="277"/>
      <c r="B95" s="277"/>
      <c r="C95" s="441"/>
      <c r="D95" s="277"/>
      <c r="E95" s="277"/>
      <c r="F95" s="277"/>
      <c r="G95" s="277"/>
      <c r="H95" s="277" t="b">
        <f t="shared" si="1"/>
        <v>0</v>
      </c>
      <c r="I95" s="277" t="str">
        <f>IFERROR(__xludf.DUMMYFUNCTION("""COMPUTED_VALUE"""),"A1 092")</f>
        <v>A1 092</v>
      </c>
      <c r="J95" s="277" t="str">
        <f>IFERROR(__xludf.DUMMYFUNCTION("""COMPUTED_VALUE"""),"Snom")</f>
        <v>Snom</v>
      </c>
      <c r="K95" s="277" t="str">
        <f>IFERROR(__xludf.DUMMYFUNCTION("""COMPUTED_VALUE"""),"A1")</f>
        <v>A1</v>
      </c>
      <c r="L95" s="277" t="str">
        <f>IFERROR(__xludf.DUMMYFUNCTION("""COMPUTED_VALUE"""),"♢")</f>
        <v>♢</v>
      </c>
      <c r="M95" s="440" t="b">
        <f t="shared" si="2"/>
        <v>1</v>
      </c>
      <c r="N95" s="441"/>
      <c r="O95" s="277"/>
      <c r="P95" s="277"/>
      <c r="Q95" s="278"/>
      <c r="R95" s="449" t="str">
        <f t="array" ref="R95">IFERROR(IFS(OR(P95="A1-Mewtwo", P95="A1-Pikachu", P95="A1-Charizard", P95="A1"), XLOOKUP(N95, 'Genetic Apex'!$C$2:$C889, 'Genetic Apex'!$B$2:$B889)-$B$4, P95="A1a", XLOOKUP(N95, 'Mythical Island'!$C$2:$C889, 'Mythical Island'!$B$2:$B889)-$B$4, OR(P95="A2-Dialga", P95="A2-Palkia", P95="A2"), XLOOKUP(N95, 'Space-Time Smackdown'!$C$2:$C889, 'Space-Time Smackdown'!$B$2:$B889)-$B$4))</f>
        <v/>
      </c>
      <c r="S95" s="277" t="str">
        <f>IFERROR(__xludf.DUMMYFUNCTION("""COMPUTED_VALUE"""),"A1 092")</f>
        <v>A1 092</v>
      </c>
      <c r="T95" s="277" t="str">
        <f>IFERROR(__xludf.DUMMYFUNCTION("""COMPUTED_VALUE"""),"Snom")</f>
        <v>Snom</v>
      </c>
      <c r="U95" s="277" t="str">
        <f>IFERROR(__xludf.DUMMYFUNCTION("""COMPUTED_VALUE"""),"A1")</f>
        <v>A1</v>
      </c>
      <c r="V95" s="278" t="str">
        <f>IFERROR(__xludf.DUMMYFUNCTION("""COMPUTED_VALUE"""),"♢")</f>
        <v>♢</v>
      </c>
      <c r="W95" s="443">
        <f t="array" ref="W95">IFERROR(IFS(OR(U95="A1-Mewtwo", U95="A1-Pikachu", U95="A1-Charizard", U95="A1"), $B$5-XLOOKUP(S95, 'Genetic Apex'!$C$2:$C889, 'Genetic Apex'!$B$2:$B889), U95="A1a", $B$5-XLOOKUP(S95, 'Mythical Island'!$C$2:$C889, 'Mythical Island'!$B$2:$B889), OR(U95="A2-Dialga", U95="A2-Palkia", U95="A2"), $B$5-XLOOKUP(S95, 'Space-Time Smackdown'!$C$2:$C889, 'Space-Time Smackdown'!$B$2:$B889)))</f>
        <v>1</v>
      </c>
      <c r="X95" s="444">
        <f t="shared" si="3"/>
        <v>0</v>
      </c>
      <c r="Y95" s="445" t="str">
        <f t="shared" si="4"/>
        <v/>
      </c>
      <c r="Z95" s="278"/>
      <c r="AA95" s="466"/>
      <c r="AB95" s="278"/>
      <c r="AC95" s="278"/>
      <c r="AD95" s="278"/>
      <c r="AE95" s="278"/>
      <c r="AF95" s="278"/>
      <c r="AG95" s="278" t="b">
        <f t="shared" si="5"/>
        <v>0</v>
      </c>
      <c r="AH95" s="454"/>
      <c r="AI95" s="278"/>
      <c r="AJ95" s="278"/>
      <c r="AK95" s="278"/>
      <c r="AL95" s="444" t="str">
        <f t="array" ref="AL95">IFERROR(IFS(OR(AJ95="A1-Mewtwo", AJ95="A1-Pikachu", AJ95="A1-Charizard", AJ95="A1"), XLOOKUP(AH95, 'Genetic Apex'!$C$2:$C889, 'Genetic Apex'!$B$2:$B889)-2, AJ95="A1a", XLOOKUP(AH95, 'Mythical Island'!$C$2:$C889, 'Mythical Island'!$B$2:$B889)-2, OR(AJ95="A2-Dialga", AJ95="A2-Palkia", AJ95="A2"), XLOOKUP(AH95, 'Space-Time Smackdown'!$C$2:$C889, 'Space-Time Smackdown'!$B$2:$B889)-2))</f>
        <v/>
      </c>
      <c r="AM95" s="444" t="str">
        <f t="shared" si="6"/>
        <v/>
      </c>
      <c r="AN95" s="448" t="str">
        <f t="shared" si="7"/>
        <v/>
      </c>
    </row>
    <row r="96">
      <c r="A96" s="277"/>
      <c r="B96" s="277"/>
      <c r="C96" s="441"/>
      <c r="D96" s="277"/>
      <c r="E96" s="277"/>
      <c r="F96" s="277"/>
      <c r="G96" s="277"/>
      <c r="H96" s="277" t="b">
        <f t="shared" si="1"/>
        <v>0</v>
      </c>
      <c r="I96" s="277" t="str">
        <f>IFERROR(__xludf.DUMMYFUNCTION("""COMPUTED_VALUE"""),"A1 093")</f>
        <v>A1 093</v>
      </c>
      <c r="J96" s="277" t="str">
        <f>IFERROR(__xludf.DUMMYFUNCTION("""COMPUTED_VALUE"""),"Frosmoth")</f>
        <v>Frosmoth</v>
      </c>
      <c r="K96" s="277" t="str">
        <f>IFERROR(__xludf.DUMMYFUNCTION("""COMPUTED_VALUE"""),"A1")</f>
        <v>A1</v>
      </c>
      <c r="L96" s="277" t="str">
        <f>IFERROR(__xludf.DUMMYFUNCTION("""COMPUTED_VALUE"""),"♢♢")</f>
        <v>♢♢</v>
      </c>
      <c r="M96" s="440" t="b">
        <f t="shared" si="2"/>
        <v>1</v>
      </c>
      <c r="N96" s="441"/>
      <c r="O96" s="277"/>
      <c r="P96" s="277"/>
      <c r="Q96" s="278"/>
      <c r="R96" s="449" t="str">
        <f t="array" ref="R96">IFERROR(IFS(OR(P96="A1-Mewtwo", P96="A1-Pikachu", P96="A1-Charizard", P96="A1"), XLOOKUP(N96, 'Genetic Apex'!$C$2:$C889, 'Genetic Apex'!$B$2:$B889)-$B$4, P96="A1a", XLOOKUP(N96, 'Mythical Island'!$C$2:$C889, 'Mythical Island'!$B$2:$B889)-$B$4, OR(P96="A2-Dialga", P96="A2-Palkia", P96="A2"), XLOOKUP(N96, 'Space-Time Smackdown'!$C$2:$C889, 'Space-Time Smackdown'!$B$2:$B889)-$B$4))</f>
        <v/>
      </c>
      <c r="S96" s="277" t="str">
        <f>IFERROR(__xludf.DUMMYFUNCTION("""COMPUTED_VALUE"""),"A1 093")</f>
        <v>A1 093</v>
      </c>
      <c r="T96" s="277" t="str">
        <f>IFERROR(__xludf.DUMMYFUNCTION("""COMPUTED_VALUE"""),"Frosmoth")</f>
        <v>Frosmoth</v>
      </c>
      <c r="U96" s="277" t="str">
        <f>IFERROR(__xludf.DUMMYFUNCTION("""COMPUTED_VALUE"""),"A1")</f>
        <v>A1</v>
      </c>
      <c r="V96" s="278" t="str">
        <f>IFERROR(__xludf.DUMMYFUNCTION("""COMPUTED_VALUE"""),"♢♢")</f>
        <v>♢♢</v>
      </c>
      <c r="W96" s="443">
        <f t="array" ref="W96">IFERROR(IFS(OR(U96="A1-Mewtwo", U96="A1-Pikachu", U96="A1-Charizard", U96="A1"), $B$5-XLOOKUP(S96, 'Genetic Apex'!$C$2:$C889, 'Genetic Apex'!$B$2:$B889), U96="A1a", $B$5-XLOOKUP(S96, 'Mythical Island'!$C$2:$C889, 'Mythical Island'!$B$2:$B889), OR(U96="A2-Dialga", U96="A2-Palkia", U96="A2"), $B$5-XLOOKUP(S96, 'Space-Time Smackdown'!$C$2:$C889, 'Space-Time Smackdown'!$B$2:$B889)))</f>
        <v>1</v>
      </c>
      <c r="X96" s="444">
        <f t="shared" si="3"/>
        <v>0</v>
      </c>
      <c r="Y96" s="445" t="str">
        <f t="shared" si="4"/>
        <v/>
      </c>
      <c r="Z96" s="278"/>
      <c r="AA96" s="466"/>
      <c r="AB96" s="278"/>
      <c r="AC96" s="278"/>
      <c r="AD96" s="278"/>
      <c r="AE96" s="278"/>
      <c r="AF96" s="278"/>
      <c r="AG96" s="278" t="b">
        <f t="shared" si="5"/>
        <v>0</v>
      </c>
      <c r="AH96" s="454"/>
      <c r="AI96" s="278"/>
      <c r="AJ96" s="278"/>
      <c r="AK96" s="278"/>
      <c r="AL96" s="444" t="str">
        <f t="array" ref="AL96">IFERROR(IFS(OR(AJ96="A1-Mewtwo", AJ96="A1-Pikachu", AJ96="A1-Charizard", AJ96="A1"), XLOOKUP(AH96, 'Genetic Apex'!$C$2:$C889, 'Genetic Apex'!$B$2:$B889)-2, AJ96="A1a", XLOOKUP(AH96, 'Mythical Island'!$C$2:$C889, 'Mythical Island'!$B$2:$B889)-2, OR(AJ96="A2-Dialga", AJ96="A2-Palkia", AJ96="A2"), XLOOKUP(AH96, 'Space-Time Smackdown'!$C$2:$C889, 'Space-Time Smackdown'!$B$2:$B889)-2))</f>
        <v/>
      </c>
      <c r="AM96" s="444" t="str">
        <f t="shared" si="6"/>
        <v/>
      </c>
      <c r="AN96" s="448" t="str">
        <f t="shared" si="7"/>
        <v/>
      </c>
    </row>
    <row r="97">
      <c r="A97" s="277"/>
      <c r="B97" s="277"/>
      <c r="C97" s="441"/>
      <c r="D97" s="277"/>
      <c r="E97" s="277"/>
      <c r="F97" s="277"/>
      <c r="G97" s="277"/>
      <c r="H97" s="277" t="b">
        <f t="shared" si="1"/>
        <v>0</v>
      </c>
      <c r="I97" s="277" t="str">
        <f>IFERROR(__xludf.DUMMYFUNCTION("""COMPUTED_VALUE"""),"A1 094")</f>
        <v>A1 094</v>
      </c>
      <c r="J97" s="277" t="str">
        <f>IFERROR(__xludf.DUMMYFUNCTION("""COMPUTED_VALUE"""),"Pikachu")</f>
        <v>Pikachu</v>
      </c>
      <c r="K97" s="277" t="str">
        <f>IFERROR(__xludf.DUMMYFUNCTION("""COMPUTED_VALUE"""),"A1-Pikachu")</f>
        <v>A1-Pikachu</v>
      </c>
      <c r="L97" s="277" t="str">
        <f>IFERROR(__xludf.DUMMYFUNCTION("""COMPUTED_VALUE"""),"♢")</f>
        <v>♢</v>
      </c>
      <c r="M97" s="440" t="b">
        <f t="shared" si="2"/>
        <v>1</v>
      </c>
      <c r="N97" s="441"/>
      <c r="O97" s="277"/>
      <c r="P97" s="277"/>
      <c r="Q97" s="278"/>
      <c r="R97" s="449" t="str">
        <f t="array" ref="R97">IFERROR(IFS(OR(P97="A1-Mewtwo", P97="A1-Pikachu", P97="A1-Charizard", P97="A1"), XLOOKUP(N97, 'Genetic Apex'!$C$2:$C889, 'Genetic Apex'!$B$2:$B889)-$B$4, P97="A1a", XLOOKUP(N97, 'Mythical Island'!$C$2:$C889, 'Mythical Island'!$B$2:$B889)-$B$4, OR(P97="A2-Dialga", P97="A2-Palkia", P97="A2"), XLOOKUP(N97, 'Space-Time Smackdown'!$C$2:$C889, 'Space-Time Smackdown'!$B$2:$B889)-$B$4))</f>
        <v/>
      </c>
      <c r="S97" s="277" t="str">
        <f>IFERROR(__xludf.DUMMYFUNCTION("""COMPUTED_VALUE"""),"A1 094")</f>
        <v>A1 094</v>
      </c>
      <c r="T97" s="277" t="str">
        <f>IFERROR(__xludf.DUMMYFUNCTION("""COMPUTED_VALUE"""),"Pikachu")</f>
        <v>Pikachu</v>
      </c>
      <c r="U97" s="277" t="str">
        <f>IFERROR(__xludf.DUMMYFUNCTION("""COMPUTED_VALUE"""),"A1-Pikachu")</f>
        <v>A1-Pikachu</v>
      </c>
      <c r="V97" s="278" t="str">
        <f>IFERROR(__xludf.DUMMYFUNCTION("""COMPUTED_VALUE"""),"♢")</f>
        <v>♢</v>
      </c>
      <c r="W97" s="443">
        <f t="array" ref="W97">IFERROR(IFS(OR(U97="A1-Mewtwo", U97="A1-Pikachu", U97="A1-Charizard", U97="A1"), $B$5-XLOOKUP(S97, 'Genetic Apex'!$C$2:$C889, 'Genetic Apex'!$B$2:$B889), U97="A1a", $B$5-XLOOKUP(S97, 'Mythical Island'!$C$2:$C889, 'Mythical Island'!$B$2:$B889), OR(U97="A2-Dialga", U97="A2-Palkia", U97="A2"), $B$5-XLOOKUP(S97, 'Space-Time Smackdown'!$C$2:$C889, 'Space-Time Smackdown'!$B$2:$B889)))</f>
        <v>1</v>
      </c>
      <c r="X97" s="444">
        <f t="shared" si="3"/>
        <v>0</v>
      </c>
      <c r="Y97" s="445" t="str">
        <f t="shared" si="4"/>
        <v/>
      </c>
      <c r="Z97" s="278"/>
      <c r="AA97" s="466"/>
      <c r="AB97" s="278"/>
      <c r="AC97" s="278"/>
      <c r="AD97" s="278"/>
      <c r="AE97" s="278"/>
      <c r="AF97" s="278"/>
      <c r="AG97" s="278" t="b">
        <f t="shared" si="5"/>
        <v>0</v>
      </c>
      <c r="AH97" s="454"/>
      <c r="AI97" s="278"/>
      <c r="AJ97" s="278"/>
      <c r="AK97" s="278"/>
      <c r="AL97" s="444" t="str">
        <f t="array" ref="AL97">IFERROR(IFS(OR(AJ97="A1-Mewtwo", AJ97="A1-Pikachu", AJ97="A1-Charizard", AJ97="A1"), XLOOKUP(AH97, 'Genetic Apex'!$C$2:$C889, 'Genetic Apex'!$B$2:$B889)-2, AJ97="A1a", XLOOKUP(AH97, 'Mythical Island'!$C$2:$C889, 'Mythical Island'!$B$2:$B889)-2, OR(AJ97="A2-Dialga", AJ97="A2-Palkia", AJ97="A2"), XLOOKUP(AH97, 'Space-Time Smackdown'!$C$2:$C889, 'Space-Time Smackdown'!$B$2:$B889)-2))</f>
        <v/>
      </c>
      <c r="AM97" s="444" t="str">
        <f t="shared" si="6"/>
        <v/>
      </c>
      <c r="AN97" s="448" t="str">
        <f t="shared" si="7"/>
        <v/>
      </c>
    </row>
    <row r="98">
      <c r="A98" s="277"/>
      <c r="B98" s="277"/>
      <c r="C98" s="441"/>
      <c r="D98" s="277"/>
      <c r="E98" s="277"/>
      <c r="F98" s="277"/>
      <c r="G98" s="277"/>
      <c r="H98" s="277" t="b">
        <f t="shared" si="1"/>
        <v>0</v>
      </c>
      <c r="I98" s="277" t="str">
        <f>IFERROR(__xludf.DUMMYFUNCTION("""COMPUTED_VALUE"""),"A1 095")</f>
        <v>A1 095</v>
      </c>
      <c r="J98" s="277" t="str">
        <f>IFERROR(__xludf.DUMMYFUNCTION("""COMPUTED_VALUE"""),"Raichu")</f>
        <v>Raichu</v>
      </c>
      <c r="K98" s="277" t="str">
        <f>IFERROR(__xludf.DUMMYFUNCTION("""COMPUTED_VALUE"""),"A1-Pikachu")</f>
        <v>A1-Pikachu</v>
      </c>
      <c r="L98" s="277" t="str">
        <f>IFERROR(__xludf.DUMMYFUNCTION("""COMPUTED_VALUE"""),"♢♢♢")</f>
        <v>♢♢♢</v>
      </c>
      <c r="M98" s="440" t="b">
        <f t="shared" si="2"/>
        <v>1</v>
      </c>
      <c r="N98" s="441"/>
      <c r="O98" s="277"/>
      <c r="P98" s="277"/>
      <c r="Q98" s="278"/>
      <c r="R98" s="449" t="str">
        <f t="array" ref="R98">IFERROR(IFS(OR(P98="A1-Mewtwo", P98="A1-Pikachu", P98="A1-Charizard", P98="A1"), XLOOKUP(N98, 'Genetic Apex'!$C$2:$C889, 'Genetic Apex'!$B$2:$B889)-$B$4, P98="A1a", XLOOKUP(N98, 'Mythical Island'!$C$2:$C889, 'Mythical Island'!$B$2:$B889)-$B$4, OR(P98="A2-Dialga", P98="A2-Palkia", P98="A2"), XLOOKUP(N98, 'Space-Time Smackdown'!$C$2:$C889, 'Space-Time Smackdown'!$B$2:$B889)-$B$4))</f>
        <v/>
      </c>
      <c r="S98" s="277" t="str">
        <f>IFERROR(__xludf.DUMMYFUNCTION("""COMPUTED_VALUE"""),"A1 095")</f>
        <v>A1 095</v>
      </c>
      <c r="T98" s="277" t="str">
        <f>IFERROR(__xludf.DUMMYFUNCTION("""COMPUTED_VALUE"""),"Raichu")</f>
        <v>Raichu</v>
      </c>
      <c r="U98" s="277" t="str">
        <f>IFERROR(__xludf.DUMMYFUNCTION("""COMPUTED_VALUE"""),"A1-Pikachu")</f>
        <v>A1-Pikachu</v>
      </c>
      <c r="V98" s="278" t="str">
        <f>IFERROR(__xludf.DUMMYFUNCTION("""COMPUTED_VALUE"""),"♢♢♢")</f>
        <v>♢♢♢</v>
      </c>
      <c r="W98" s="443">
        <f t="array" ref="W98">IFERROR(IFS(OR(U98="A1-Mewtwo", U98="A1-Pikachu", U98="A1-Charizard", U98="A1"), $B$5-XLOOKUP(S98, 'Genetic Apex'!$C$2:$C889, 'Genetic Apex'!$B$2:$B889), U98="A1a", $B$5-XLOOKUP(S98, 'Mythical Island'!$C$2:$C889, 'Mythical Island'!$B$2:$B889), OR(U98="A2-Dialga", U98="A2-Palkia", U98="A2"), $B$5-XLOOKUP(S98, 'Space-Time Smackdown'!$C$2:$C889, 'Space-Time Smackdown'!$B$2:$B889)))</f>
        <v>1</v>
      </c>
      <c r="X98" s="444">
        <f t="shared" si="3"/>
        <v>120</v>
      </c>
      <c r="Y98" s="445">
        <f t="shared" si="4"/>
        <v>120</v>
      </c>
      <c r="Z98" s="278"/>
      <c r="AA98" s="466"/>
      <c r="AB98" s="278"/>
      <c r="AC98" s="278"/>
      <c r="AD98" s="278"/>
      <c r="AE98" s="278"/>
      <c r="AF98" s="278"/>
      <c r="AG98" s="278" t="b">
        <f t="shared" si="5"/>
        <v>0</v>
      </c>
      <c r="AH98" s="454"/>
      <c r="AI98" s="278"/>
      <c r="AJ98" s="278"/>
      <c r="AK98" s="278"/>
      <c r="AL98" s="444" t="str">
        <f t="array" ref="AL98">IFERROR(IFS(OR(AJ98="A1-Mewtwo", AJ98="A1-Pikachu", AJ98="A1-Charizard", AJ98="A1"), XLOOKUP(AH98, 'Genetic Apex'!$C$2:$C889, 'Genetic Apex'!$B$2:$B889)-2, AJ98="A1a", XLOOKUP(AH98, 'Mythical Island'!$C$2:$C889, 'Mythical Island'!$B$2:$B889)-2, OR(AJ98="A2-Dialga", AJ98="A2-Palkia", AJ98="A2"), XLOOKUP(AH98, 'Space-Time Smackdown'!$C$2:$C889, 'Space-Time Smackdown'!$B$2:$B889)-2))</f>
        <v/>
      </c>
      <c r="AM98" s="444" t="str">
        <f t="shared" si="6"/>
        <v/>
      </c>
      <c r="AN98" s="448" t="str">
        <f t="shared" si="7"/>
        <v/>
      </c>
    </row>
    <row r="99">
      <c r="A99" s="277"/>
      <c r="B99" s="277"/>
      <c r="C99" s="441"/>
      <c r="D99" s="277"/>
      <c r="E99" s="277"/>
      <c r="F99" s="277"/>
      <c r="G99" s="277"/>
      <c r="H99" s="277" t="b">
        <f t="shared" si="1"/>
        <v>0</v>
      </c>
      <c r="I99" s="277" t="str">
        <f>IFERROR(__xludf.DUMMYFUNCTION("""COMPUTED_VALUE"""),"A1 096")</f>
        <v>A1 096</v>
      </c>
      <c r="J99" s="277" t="str">
        <f>IFERROR(__xludf.DUMMYFUNCTION("""COMPUTED_VALUE"""),"Pikachu ex")</f>
        <v>Pikachu ex</v>
      </c>
      <c r="K99" s="277" t="str">
        <f>IFERROR(__xludf.DUMMYFUNCTION("""COMPUTED_VALUE"""),"A1-Pikachu")</f>
        <v>A1-Pikachu</v>
      </c>
      <c r="L99" s="277" t="str">
        <f>IFERROR(__xludf.DUMMYFUNCTION("""COMPUTED_VALUE"""),"♢♢♢♢")</f>
        <v>♢♢♢♢</v>
      </c>
      <c r="M99" s="440" t="b">
        <f t="shared" si="2"/>
        <v>1</v>
      </c>
      <c r="N99" s="441"/>
      <c r="O99" s="277"/>
      <c r="P99" s="277"/>
      <c r="Q99" s="278"/>
      <c r="R99" s="449" t="str">
        <f t="array" ref="R99">IFERROR(IFS(OR(P99="A1-Mewtwo", P99="A1-Pikachu", P99="A1-Charizard", P99="A1"), XLOOKUP(N99, 'Genetic Apex'!$C$2:$C889, 'Genetic Apex'!$B$2:$B889)-$B$4, P99="A1a", XLOOKUP(N99, 'Mythical Island'!$C$2:$C889, 'Mythical Island'!$B$2:$B889)-$B$4, OR(P99="A2-Dialga", P99="A2-Palkia", P99="A2"), XLOOKUP(N99, 'Space-Time Smackdown'!$C$2:$C889, 'Space-Time Smackdown'!$B$2:$B889)-$B$4))</f>
        <v/>
      </c>
      <c r="S99" s="277" t="str">
        <f>IFERROR(__xludf.DUMMYFUNCTION("""COMPUTED_VALUE"""),"A1 096")</f>
        <v>A1 096</v>
      </c>
      <c r="T99" s="277" t="str">
        <f>IFERROR(__xludf.DUMMYFUNCTION("""COMPUTED_VALUE"""),"Pikachu ex")</f>
        <v>Pikachu ex</v>
      </c>
      <c r="U99" s="277" t="str">
        <f>IFERROR(__xludf.DUMMYFUNCTION("""COMPUTED_VALUE"""),"A1-Pikachu")</f>
        <v>A1-Pikachu</v>
      </c>
      <c r="V99" s="278" t="str">
        <f>IFERROR(__xludf.DUMMYFUNCTION("""COMPUTED_VALUE"""),"♢♢♢♢")</f>
        <v>♢♢♢♢</v>
      </c>
      <c r="W99" s="443">
        <f t="array" ref="W99">IFERROR(IFS(OR(U99="A1-Mewtwo", U99="A1-Pikachu", U99="A1-Charizard", U99="A1"), $B$5-XLOOKUP(S99, 'Genetic Apex'!$C$2:$C889, 'Genetic Apex'!$B$2:$B889), U99="A1a", $B$5-XLOOKUP(S99, 'Mythical Island'!$C$2:$C889, 'Mythical Island'!$B$2:$B889), OR(U99="A2-Dialga", U99="A2-Palkia", U99="A2"), $B$5-XLOOKUP(S99, 'Space-Time Smackdown'!$C$2:$C889, 'Space-Time Smackdown'!$B$2:$B889)))</f>
        <v>1</v>
      </c>
      <c r="X99" s="444">
        <f t="shared" si="3"/>
        <v>500</v>
      </c>
      <c r="Y99" s="445">
        <f t="shared" si="4"/>
        <v>500</v>
      </c>
      <c r="Z99" s="278"/>
      <c r="AA99" s="466"/>
      <c r="AB99" s="278"/>
      <c r="AC99" s="278"/>
      <c r="AD99" s="278"/>
      <c r="AE99" s="278"/>
      <c r="AF99" s="278"/>
      <c r="AG99" s="278" t="b">
        <f t="shared" si="5"/>
        <v>0</v>
      </c>
      <c r="AH99" s="454"/>
      <c r="AI99" s="278"/>
      <c r="AJ99" s="278"/>
      <c r="AK99" s="278"/>
      <c r="AL99" s="444" t="str">
        <f t="array" ref="AL99">IFERROR(IFS(OR(AJ99="A1-Mewtwo", AJ99="A1-Pikachu", AJ99="A1-Charizard", AJ99="A1"), XLOOKUP(AH99, 'Genetic Apex'!$C$2:$C889, 'Genetic Apex'!$B$2:$B889)-2, AJ99="A1a", XLOOKUP(AH99, 'Mythical Island'!$C$2:$C889, 'Mythical Island'!$B$2:$B889)-2, OR(AJ99="A2-Dialga", AJ99="A2-Palkia", AJ99="A2"), XLOOKUP(AH99, 'Space-Time Smackdown'!$C$2:$C889, 'Space-Time Smackdown'!$B$2:$B889)-2))</f>
        <v/>
      </c>
      <c r="AM99" s="444" t="str">
        <f t="shared" si="6"/>
        <v/>
      </c>
      <c r="AN99" s="448" t="str">
        <f t="shared" si="7"/>
        <v/>
      </c>
    </row>
    <row r="100">
      <c r="A100" s="277"/>
      <c r="B100" s="277"/>
      <c r="C100" s="441"/>
      <c r="D100" s="277"/>
      <c r="E100" s="277"/>
      <c r="F100" s="277"/>
      <c r="G100" s="277"/>
      <c r="H100" s="277" t="b">
        <f t="shared" si="1"/>
        <v>0</v>
      </c>
      <c r="I100" s="277" t="str">
        <f>IFERROR(__xludf.DUMMYFUNCTION("""COMPUTED_VALUE"""),"A1 097")</f>
        <v>A1 097</v>
      </c>
      <c r="J100" s="277" t="str">
        <f>IFERROR(__xludf.DUMMYFUNCTION("""COMPUTED_VALUE"""),"Magnemite")</f>
        <v>Magnemite</v>
      </c>
      <c r="K100" s="277" t="str">
        <f>IFERROR(__xludf.DUMMYFUNCTION("""COMPUTED_VALUE"""),"A1-Pikachu")</f>
        <v>A1-Pikachu</v>
      </c>
      <c r="L100" s="277" t="str">
        <f>IFERROR(__xludf.DUMMYFUNCTION("""COMPUTED_VALUE"""),"♢")</f>
        <v>♢</v>
      </c>
      <c r="M100" s="440" t="b">
        <f t="shared" si="2"/>
        <v>1</v>
      </c>
      <c r="N100" s="441"/>
      <c r="O100" s="277"/>
      <c r="P100" s="277"/>
      <c r="Q100" s="278"/>
      <c r="R100" s="449" t="str">
        <f t="array" ref="R100">IFERROR(IFS(OR(P100="A1-Mewtwo", P100="A1-Pikachu", P100="A1-Charizard", P100="A1"), XLOOKUP(N100, 'Genetic Apex'!$C$2:$C889, 'Genetic Apex'!$B$2:$B889)-$B$4, P100="A1a", XLOOKUP(N100, 'Mythical Island'!$C$2:$C889, 'Mythical Island'!$B$2:$B889)-$B$4, OR(P100="A2-Dialga", P100="A2-Palkia", P100="A2"), XLOOKUP(N100, 'Space-Time Smackdown'!$C$2:$C889, 'Space-Time Smackdown'!$B$2:$B889)-$B$4))</f>
        <v/>
      </c>
      <c r="S100" s="277" t="str">
        <f>IFERROR(__xludf.DUMMYFUNCTION("""COMPUTED_VALUE"""),"A1 097")</f>
        <v>A1 097</v>
      </c>
      <c r="T100" s="277" t="str">
        <f>IFERROR(__xludf.DUMMYFUNCTION("""COMPUTED_VALUE"""),"Magnemite")</f>
        <v>Magnemite</v>
      </c>
      <c r="U100" s="277" t="str">
        <f>IFERROR(__xludf.DUMMYFUNCTION("""COMPUTED_VALUE"""),"A1-Pikachu")</f>
        <v>A1-Pikachu</v>
      </c>
      <c r="V100" s="278" t="str">
        <f>IFERROR(__xludf.DUMMYFUNCTION("""COMPUTED_VALUE"""),"♢")</f>
        <v>♢</v>
      </c>
      <c r="W100" s="443">
        <f t="array" ref="W100">IFERROR(IFS(OR(U100="A1-Mewtwo", U100="A1-Pikachu", U100="A1-Charizard", U100="A1"), $B$5-XLOOKUP(S100, 'Genetic Apex'!$C$2:$C889, 'Genetic Apex'!$B$2:$B889), U100="A1a", $B$5-XLOOKUP(S100, 'Mythical Island'!$C$2:$C889, 'Mythical Island'!$B$2:$B889), OR(U100="A2-Dialga", U100="A2-Palkia", U100="A2"), $B$5-XLOOKUP(S100, 'Space-Time Smackdown'!$C$2:$C889, 'Space-Time Smackdown'!$B$2:$B889)))</f>
        <v>1</v>
      </c>
      <c r="X100" s="444">
        <f t="shared" si="3"/>
        <v>0</v>
      </c>
      <c r="Y100" s="445" t="str">
        <f t="shared" si="4"/>
        <v/>
      </c>
      <c r="Z100" s="278"/>
      <c r="AA100" s="466"/>
      <c r="AB100" s="278"/>
      <c r="AC100" s="278"/>
      <c r="AD100" s="278"/>
      <c r="AE100" s="278"/>
      <c r="AF100" s="278"/>
      <c r="AG100" s="278" t="b">
        <f t="shared" si="5"/>
        <v>0</v>
      </c>
      <c r="AH100" s="454"/>
      <c r="AI100" s="278"/>
      <c r="AJ100" s="278"/>
      <c r="AK100" s="278"/>
      <c r="AL100" s="444" t="str">
        <f t="array" ref="AL100">IFERROR(IFS(OR(AJ100="A1-Mewtwo", AJ100="A1-Pikachu", AJ100="A1-Charizard", AJ100="A1"), XLOOKUP(AH100, 'Genetic Apex'!$C$2:$C889, 'Genetic Apex'!$B$2:$B889)-2, AJ100="A1a", XLOOKUP(AH100, 'Mythical Island'!$C$2:$C889, 'Mythical Island'!$B$2:$B889)-2, OR(AJ100="A2-Dialga", AJ100="A2-Palkia", AJ100="A2"), XLOOKUP(AH100, 'Space-Time Smackdown'!$C$2:$C889, 'Space-Time Smackdown'!$B$2:$B889)-2))</f>
        <v/>
      </c>
      <c r="AM100" s="444" t="str">
        <f t="shared" si="6"/>
        <v/>
      </c>
      <c r="AN100" s="448" t="str">
        <f t="shared" si="7"/>
        <v/>
      </c>
    </row>
    <row r="101">
      <c r="A101" s="277"/>
      <c r="B101" s="277"/>
      <c r="C101" s="441"/>
      <c r="D101" s="277"/>
      <c r="E101" s="277"/>
      <c r="F101" s="277"/>
      <c r="G101" s="277"/>
      <c r="H101" s="277" t="b">
        <f t="shared" si="1"/>
        <v>0</v>
      </c>
      <c r="I101" s="277" t="str">
        <f>IFERROR(__xludf.DUMMYFUNCTION("""COMPUTED_VALUE"""),"A1 098")</f>
        <v>A1 098</v>
      </c>
      <c r="J101" s="277" t="str">
        <f>IFERROR(__xludf.DUMMYFUNCTION("""COMPUTED_VALUE"""),"Magneton")</f>
        <v>Magneton</v>
      </c>
      <c r="K101" s="277" t="str">
        <f>IFERROR(__xludf.DUMMYFUNCTION("""COMPUTED_VALUE"""),"A1-Pikachu")</f>
        <v>A1-Pikachu</v>
      </c>
      <c r="L101" s="277" t="str">
        <f>IFERROR(__xludf.DUMMYFUNCTION("""COMPUTED_VALUE"""),"♢♢♢")</f>
        <v>♢♢♢</v>
      </c>
      <c r="M101" s="440" t="b">
        <f t="shared" si="2"/>
        <v>1</v>
      </c>
      <c r="N101" s="441"/>
      <c r="O101" s="277"/>
      <c r="P101" s="277"/>
      <c r="Q101" s="278"/>
      <c r="R101" s="449" t="str">
        <f t="array" ref="R101">IFERROR(IFS(OR(P101="A1-Mewtwo", P101="A1-Pikachu", P101="A1-Charizard", P101="A1"), XLOOKUP(N101, 'Genetic Apex'!$C$2:$C889, 'Genetic Apex'!$B$2:$B889)-$B$4, P101="A1a", XLOOKUP(N101, 'Mythical Island'!$C$2:$C889, 'Mythical Island'!$B$2:$B889)-$B$4, OR(P101="A2-Dialga", P101="A2-Palkia", P101="A2"), XLOOKUP(N101, 'Space-Time Smackdown'!$C$2:$C889, 'Space-Time Smackdown'!$B$2:$B889)-$B$4))</f>
        <v/>
      </c>
      <c r="S101" s="277" t="str">
        <f>IFERROR(__xludf.DUMMYFUNCTION("""COMPUTED_VALUE"""),"A1 098")</f>
        <v>A1 098</v>
      </c>
      <c r="T101" s="277" t="str">
        <f>IFERROR(__xludf.DUMMYFUNCTION("""COMPUTED_VALUE"""),"Magneton")</f>
        <v>Magneton</v>
      </c>
      <c r="U101" s="277" t="str">
        <f>IFERROR(__xludf.DUMMYFUNCTION("""COMPUTED_VALUE"""),"A1-Pikachu")</f>
        <v>A1-Pikachu</v>
      </c>
      <c r="V101" s="278" t="str">
        <f>IFERROR(__xludf.DUMMYFUNCTION("""COMPUTED_VALUE"""),"♢♢♢")</f>
        <v>♢♢♢</v>
      </c>
      <c r="W101" s="443">
        <f t="array" ref="W101">IFERROR(IFS(OR(U101="A1-Mewtwo", U101="A1-Pikachu", U101="A1-Charizard", U101="A1"), $B$5-XLOOKUP(S101, 'Genetic Apex'!$C$2:$C889, 'Genetic Apex'!$B$2:$B889), U101="A1a", $B$5-XLOOKUP(S101, 'Mythical Island'!$C$2:$C889, 'Mythical Island'!$B$2:$B889), OR(U101="A2-Dialga", U101="A2-Palkia", U101="A2"), $B$5-XLOOKUP(S101, 'Space-Time Smackdown'!$C$2:$C889, 'Space-Time Smackdown'!$B$2:$B889)))</f>
        <v>1</v>
      </c>
      <c r="X101" s="444">
        <f t="shared" si="3"/>
        <v>120</v>
      </c>
      <c r="Y101" s="445">
        <f t="shared" si="4"/>
        <v>120</v>
      </c>
      <c r="Z101" s="278"/>
      <c r="AA101" s="466"/>
      <c r="AB101" s="278"/>
      <c r="AC101" s="278"/>
      <c r="AD101" s="278"/>
      <c r="AE101" s="278"/>
      <c r="AF101" s="278"/>
      <c r="AG101" s="278" t="b">
        <f t="shared" si="5"/>
        <v>0</v>
      </c>
      <c r="AH101" s="454"/>
      <c r="AI101" s="278"/>
      <c r="AJ101" s="278"/>
      <c r="AK101" s="278"/>
      <c r="AL101" s="444" t="str">
        <f t="array" ref="AL101">IFERROR(IFS(OR(AJ101="A1-Mewtwo", AJ101="A1-Pikachu", AJ101="A1-Charizard", AJ101="A1"), XLOOKUP(AH101, 'Genetic Apex'!$C$2:$C889, 'Genetic Apex'!$B$2:$B889)-2, AJ101="A1a", XLOOKUP(AH101, 'Mythical Island'!$C$2:$C889, 'Mythical Island'!$B$2:$B889)-2, OR(AJ101="A2-Dialga", AJ101="A2-Palkia", AJ101="A2"), XLOOKUP(AH101, 'Space-Time Smackdown'!$C$2:$C889, 'Space-Time Smackdown'!$B$2:$B889)-2))</f>
        <v/>
      </c>
      <c r="AM101" s="444" t="str">
        <f t="shared" si="6"/>
        <v/>
      </c>
      <c r="AN101" s="448" t="str">
        <f t="shared" si="7"/>
        <v/>
      </c>
    </row>
    <row r="102">
      <c r="A102" s="277"/>
      <c r="B102" s="277"/>
      <c r="C102" s="441"/>
      <c r="D102" s="277"/>
      <c r="E102" s="277"/>
      <c r="F102" s="277"/>
      <c r="G102" s="277"/>
      <c r="H102" s="277" t="b">
        <f t="shared" si="1"/>
        <v>0</v>
      </c>
      <c r="I102" s="277" t="str">
        <f>IFERROR(__xludf.DUMMYFUNCTION("""COMPUTED_VALUE"""),"A1 099")</f>
        <v>A1 099</v>
      </c>
      <c r="J102" s="277" t="str">
        <f>IFERROR(__xludf.DUMMYFUNCTION("""COMPUTED_VALUE"""),"Voltorb")</f>
        <v>Voltorb</v>
      </c>
      <c r="K102" s="277" t="str">
        <f>IFERROR(__xludf.DUMMYFUNCTION("""COMPUTED_VALUE"""),"A1-Pikachu")</f>
        <v>A1-Pikachu</v>
      </c>
      <c r="L102" s="277" t="str">
        <f>IFERROR(__xludf.DUMMYFUNCTION("""COMPUTED_VALUE"""),"♢")</f>
        <v>♢</v>
      </c>
      <c r="M102" s="440" t="b">
        <f t="shared" si="2"/>
        <v>1</v>
      </c>
      <c r="N102" s="441"/>
      <c r="O102" s="277"/>
      <c r="P102" s="277"/>
      <c r="Q102" s="278"/>
      <c r="R102" s="449" t="str">
        <f t="array" ref="R102">IFERROR(IFS(OR(P102="A1-Mewtwo", P102="A1-Pikachu", P102="A1-Charizard", P102="A1"), XLOOKUP(N102, 'Genetic Apex'!$C$2:$C889, 'Genetic Apex'!$B$2:$B889)-$B$4, P102="A1a", XLOOKUP(N102, 'Mythical Island'!$C$2:$C889, 'Mythical Island'!$B$2:$B889)-$B$4, OR(P102="A2-Dialga", P102="A2-Palkia", P102="A2"), XLOOKUP(N102, 'Space-Time Smackdown'!$C$2:$C889, 'Space-Time Smackdown'!$B$2:$B889)-$B$4))</f>
        <v/>
      </c>
      <c r="S102" s="277" t="str">
        <f>IFERROR(__xludf.DUMMYFUNCTION("""COMPUTED_VALUE"""),"A1 099")</f>
        <v>A1 099</v>
      </c>
      <c r="T102" s="277" t="str">
        <f>IFERROR(__xludf.DUMMYFUNCTION("""COMPUTED_VALUE"""),"Voltorb")</f>
        <v>Voltorb</v>
      </c>
      <c r="U102" s="277" t="str">
        <f>IFERROR(__xludf.DUMMYFUNCTION("""COMPUTED_VALUE"""),"A1-Pikachu")</f>
        <v>A1-Pikachu</v>
      </c>
      <c r="V102" s="278" t="str">
        <f>IFERROR(__xludf.DUMMYFUNCTION("""COMPUTED_VALUE"""),"♢")</f>
        <v>♢</v>
      </c>
      <c r="W102" s="443">
        <f t="array" ref="W102">IFERROR(IFS(OR(U102="A1-Mewtwo", U102="A1-Pikachu", U102="A1-Charizard", U102="A1"), $B$5-XLOOKUP(S102, 'Genetic Apex'!$C$2:$C889, 'Genetic Apex'!$B$2:$B889), U102="A1a", $B$5-XLOOKUP(S102, 'Mythical Island'!$C$2:$C889, 'Mythical Island'!$B$2:$B889), OR(U102="A2-Dialga", U102="A2-Palkia", U102="A2"), $B$5-XLOOKUP(S102, 'Space-Time Smackdown'!$C$2:$C889, 'Space-Time Smackdown'!$B$2:$B889)))</f>
        <v>1</v>
      </c>
      <c r="X102" s="444">
        <f t="shared" si="3"/>
        <v>0</v>
      </c>
      <c r="Y102" s="445" t="str">
        <f t="shared" si="4"/>
        <v/>
      </c>
      <c r="Z102" s="278"/>
      <c r="AA102" s="466"/>
      <c r="AB102" s="278"/>
      <c r="AC102" s="278"/>
      <c r="AD102" s="278"/>
      <c r="AE102" s="278"/>
      <c r="AF102" s="278"/>
      <c r="AG102" s="278" t="b">
        <f t="shared" si="5"/>
        <v>0</v>
      </c>
      <c r="AH102" s="454"/>
      <c r="AI102" s="278"/>
      <c r="AJ102" s="278"/>
      <c r="AK102" s="278"/>
      <c r="AL102" s="444" t="str">
        <f t="array" ref="AL102">IFERROR(IFS(OR(AJ102="A1-Mewtwo", AJ102="A1-Pikachu", AJ102="A1-Charizard", AJ102="A1"), XLOOKUP(AH102, 'Genetic Apex'!$C$2:$C889, 'Genetic Apex'!$B$2:$B889)-2, AJ102="A1a", XLOOKUP(AH102, 'Mythical Island'!$C$2:$C889, 'Mythical Island'!$B$2:$B889)-2, OR(AJ102="A2-Dialga", AJ102="A2-Palkia", AJ102="A2"), XLOOKUP(AH102, 'Space-Time Smackdown'!$C$2:$C889, 'Space-Time Smackdown'!$B$2:$B889)-2))</f>
        <v/>
      </c>
      <c r="AM102" s="444" t="str">
        <f t="shared" si="6"/>
        <v/>
      </c>
      <c r="AN102" s="448" t="str">
        <f t="shared" si="7"/>
        <v/>
      </c>
    </row>
    <row r="103">
      <c r="A103" s="277"/>
      <c r="B103" s="277"/>
      <c r="C103" s="441"/>
      <c r="D103" s="277"/>
      <c r="E103" s="277"/>
      <c r="F103" s="277"/>
      <c r="G103" s="277"/>
      <c r="H103" s="277" t="b">
        <f t="shared" si="1"/>
        <v>0</v>
      </c>
      <c r="I103" s="277" t="str">
        <f>IFERROR(__xludf.DUMMYFUNCTION("""COMPUTED_VALUE"""),"A1 100")</f>
        <v>A1 100</v>
      </c>
      <c r="J103" s="277" t="str">
        <f>IFERROR(__xludf.DUMMYFUNCTION("""COMPUTED_VALUE"""),"Electrode")</f>
        <v>Electrode</v>
      </c>
      <c r="K103" s="277" t="str">
        <f>IFERROR(__xludf.DUMMYFUNCTION("""COMPUTED_VALUE"""),"A1-Pikachu")</f>
        <v>A1-Pikachu</v>
      </c>
      <c r="L103" s="277" t="str">
        <f>IFERROR(__xludf.DUMMYFUNCTION("""COMPUTED_VALUE"""),"♢♢")</f>
        <v>♢♢</v>
      </c>
      <c r="M103" s="440" t="b">
        <f t="shared" si="2"/>
        <v>1</v>
      </c>
      <c r="N103" s="441"/>
      <c r="O103" s="277"/>
      <c r="P103" s="277"/>
      <c r="Q103" s="278"/>
      <c r="R103" s="449" t="str">
        <f t="array" ref="R103">IFERROR(IFS(OR(P103="A1-Mewtwo", P103="A1-Pikachu", P103="A1-Charizard", P103="A1"), XLOOKUP(N103, 'Genetic Apex'!$C$2:$C889, 'Genetic Apex'!$B$2:$B889)-$B$4, P103="A1a", XLOOKUP(N103, 'Mythical Island'!$C$2:$C889, 'Mythical Island'!$B$2:$B889)-$B$4, OR(P103="A2-Dialga", P103="A2-Palkia", P103="A2"), XLOOKUP(N103, 'Space-Time Smackdown'!$C$2:$C889, 'Space-Time Smackdown'!$B$2:$B889)-$B$4))</f>
        <v/>
      </c>
      <c r="S103" s="277" t="str">
        <f>IFERROR(__xludf.DUMMYFUNCTION("""COMPUTED_VALUE"""),"A1 100")</f>
        <v>A1 100</v>
      </c>
      <c r="T103" s="277" t="str">
        <f>IFERROR(__xludf.DUMMYFUNCTION("""COMPUTED_VALUE"""),"Electrode")</f>
        <v>Electrode</v>
      </c>
      <c r="U103" s="277" t="str">
        <f>IFERROR(__xludf.DUMMYFUNCTION("""COMPUTED_VALUE"""),"A1-Pikachu")</f>
        <v>A1-Pikachu</v>
      </c>
      <c r="V103" s="278" t="str">
        <f>IFERROR(__xludf.DUMMYFUNCTION("""COMPUTED_VALUE"""),"♢♢")</f>
        <v>♢♢</v>
      </c>
      <c r="W103" s="443">
        <f t="array" ref="W103">IFERROR(IFS(OR(U103="A1-Mewtwo", U103="A1-Pikachu", U103="A1-Charizard", U103="A1"), $B$5-XLOOKUP(S103, 'Genetic Apex'!$C$2:$C889, 'Genetic Apex'!$B$2:$B889), U103="A1a", $B$5-XLOOKUP(S103, 'Mythical Island'!$C$2:$C889, 'Mythical Island'!$B$2:$B889), OR(U103="A2-Dialga", U103="A2-Palkia", U103="A2"), $B$5-XLOOKUP(S103, 'Space-Time Smackdown'!$C$2:$C889, 'Space-Time Smackdown'!$B$2:$B889)))</f>
        <v>1</v>
      </c>
      <c r="X103" s="444">
        <f t="shared" si="3"/>
        <v>0</v>
      </c>
      <c r="Y103" s="445" t="str">
        <f t="shared" si="4"/>
        <v/>
      </c>
      <c r="Z103" s="278"/>
      <c r="AA103" s="466"/>
      <c r="AB103" s="278"/>
      <c r="AC103" s="278"/>
      <c r="AD103" s="278"/>
      <c r="AE103" s="278"/>
      <c r="AF103" s="278"/>
      <c r="AG103" s="278" t="b">
        <f t="shared" si="5"/>
        <v>0</v>
      </c>
      <c r="AH103" s="454"/>
      <c r="AI103" s="278"/>
      <c r="AJ103" s="278"/>
      <c r="AK103" s="278"/>
      <c r="AL103" s="444" t="str">
        <f t="array" ref="AL103">IFERROR(IFS(OR(AJ103="A1-Mewtwo", AJ103="A1-Pikachu", AJ103="A1-Charizard", AJ103="A1"), XLOOKUP(AH103, 'Genetic Apex'!$C$2:$C889, 'Genetic Apex'!$B$2:$B889)-2, AJ103="A1a", XLOOKUP(AH103, 'Mythical Island'!$C$2:$C889, 'Mythical Island'!$B$2:$B889)-2, OR(AJ103="A2-Dialga", AJ103="A2-Palkia", AJ103="A2"), XLOOKUP(AH103, 'Space-Time Smackdown'!$C$2:$C889, 'Space-Time Smackdown'!$B$2:$B889)-2))</f>
        <v/>
      </c>
      <c r="AM103" s="444" t="str">
        <f t="shared" si="6"/>
        <v/>
      </c>
      <c r="AN103" s="448" t="str">
        <f t="shared" si="7"/>
        <v/>
      </c>
    </row>
    <row r="104">
      <c r="A104" s="277"/>
      <c r="B104" s="277"/>
      <c r="C104" s="441"/>
      <c r="D104" s="277"/>
      <c r="E104" s="277"/>
      <c r="F104" s="277"/>
      <c r="G104" s="277"/>
      <c r="H104" s="277" t="b">
        <f t="shared" si="1"/>
        <v>0</v>
      </c>
      <c r="I104" s="277" t="str">
        <f>IFERROR(__xludf.DUMMYFUNCTION("""COMPUTED_VALUE"""),"A1 101")</f>
        <v>A1 101</v>
      </c>
      <c r="J104" s="277" t="str">
        <f>IFERROR(__xludf.DUMMYFUNCTION("""COMPUTED_VALUE"""),"Electabuzz")</f>
        <v>Electabuzz</v>
      </c>
      <c r="K104" s="277" t="str">
        <f>IFERROR(__xludf.DUMMYFUNCTION("""COMPUTED_VALUE"""),"A1-Pikachu")</f>
        <v>A1-Pikachu</v>
      </c>
      <c r="L104" s="277" t="str">
        <f>IFERROR(__xludf.DUMMYFUNCTION("""COMPUTED_VALUE"""),"♢")</f>
        <v>♢</v>
      </c>
      <c r="M104" s="440" t="b">
        <f t="shared" si="2"/>
        <v>1</v>
      </c>
      <c r="N104" s="441"/>
      <c r="O104" s="277"/>
      <c r="P104" s="277"/>
      <c r="Q104" s="278"/>
      <c r="R104" s="449" t="str">
        <f t="array" ref="R104">IFERROR(IFS(OR(P104="A1-Mewtwo", P104="A1-Pikachu", P104="A1-Charizard", P104="A1"), XLOOKUP(N104, 'Genetic Apex'!$C$2:$C889, 'Genetic Apex'!$B$2:$B889)-$B$4, P104="A1a", XLOOKUP(N104, 'Mythical Island'!$C$2:$C889, 'Mythical Island'!$B$2:$B889)-$B$4, OR(P104="A2-Dialga", P104="A2-Palkia", P104="A2"), XLOOKUP(N104, 'Space-Time Smackdown'!$C$2:$C889, 'Space-Time Smackdown'!$B$2:$B889)-$B$4))</f>
        <v/>
      </c>
      <c r="S104" s="277" t="str">
        <f>IFERROR(__xludf.DUMMYFUNCTION("""COMPUTED_VALUE"""),"A1 101")</f>
        <v>A1 101</v>
      </c>
      <c r="T104" s="277" t="str">
        <f>IFERROR(__xludf.DUMMYFUNCTION("""COMPUTED_VALUE"""),"Electabuzz")</f>
        <v>Electabuzz</v>
      </c>
      <c r="U104" s="277" t="str">
        <f>IFERROR(__xludf.DUMMYFUNCTION("""COMPUTED_VALUE"""),"A1-Pikachu")</f>
        <v>A1-Pikachu</v>
      </c>
      <c r="V104" s="278" t="str">
        <f>IFERROR(__xludf.DUMMYFUNCTION("""COMPUTED_VALUE"""),"♢")</f>
        <v>♢</v>
      </c>
      <c r="W104" s="443">
        <f t="array" ref="W104">IFERROR(IFS(OR(U104="A1-Mewtwo", U104="A1-Pikachu", U104="A1-Charizard", U104="A1"), $B$5-XLOOKUP(S104, 'Genetic Apex'!$C$2:$C889, 'Genetic Apex'!$B$2:$B889), U104="A1a", $B$5-XLOOKUP(S104, 'Mythical Island'!$C$2:$C889, 'Mythical Island'!$B$2:$B889), OR(U104="A2-Dialga", U104="A2-Palkia", U104="A2"), $B$5-XLOOKUP(S104, 'Space-Time Smackdown'!$C$2:$C889, 'Space-Time Smackdown'!$B$2:$B889)))</f>
        <v>1</v>
      </c>
      <c r="X104" s="444">
        <f t="shared" si="3"/>
        <v>0</v>
      </c>
      <c r="Y104" s="445" t="str">
        <f t="shared" si="4"/>
        <v/>
      </c>
      <c r="Z104" s="278"/>
      <c r="AA104" s="466"/>
      <c r="AB104" s="278"/>
      <c r="AC104" s="278"/>
      <c r="AD104" s="278"/>
      <c r="AE104" s="278"/>
      <c r="AF104" s="278"/>
      <c r="AG104" s="278" t="b">
        <f t="shared" si="5"/>
        <v>0</v>
      </c>
      <c r="AH104" s="454"/>
      <c r="AI104" s="278"/>
      <c r="AJ104" s="278"/>
      <c r="AK104" s="278"/>
      <c r="AL104" s="444" t="str">
        <f t="array" ref="AL104">IFERROR(IFS(OR(AJ104="A1-Mewtwo", AJ104="A1-Pikachu", AJ104="A1-Charizard", AJ104="A1"), XLOOKUP(AH104, 'Genetic Apex'!$C$2:$C889, 'Genetic Apex'!$B$2:$B889)-2, AJ104="A1a", XLOOKUP(AH104, 'Mythical Island'!$C$2:$C889, 'Mythical Island'!$B$2:$B889)-2, OR(AJ104="A2-Dialga", AJ104="A2-Palkia", AJ104="A2"), XLOOKUP(AH104, 'Space-Time Smackdown'!$C$2:$C889, 'Space-Time Smackdown'!$B$2:$B889)-2))</f>
        <v/>
      </c>
      <c r="AM104" s="444" t="str">
        <f t="shared" si="6"/>
        <v/>
      </c>
      <c r="AN104" s="448" t="str">
        <f t="shared" si="7"/>
        <v/>
      </c>
    </row>
    <row r="105">
      <c r="A105" s="277"/>
      <c r="B105" s="277"/>
      <c r="C105" s="441"/>
      <c r="D105" s="277"/>
      <c r="E105" s="277"/>
      <c r="F105" s="277"/>
      <c r="G105" s="277"/>
      <c r="H105" s="277" t="b">
        <f t="shared" si="1"/>
        <v>0</v>
      </c>
      <c r="I105" s="277" t="str">
        <f>IFERROR(__xludf.DUMMYFUNCTION("""COMPUTED_VALUE"""),"A1 102")</f>
        <v>A1 102</v>
      </c>
      <c r="J105" s="277" t="str">
        <f>IFERROR(__xludf.DUMMYFUNCTION("""COMPUTED_VALUE"""),"Jolteon")</f>
        <v>Jolteon</v>
      </c>
      <c r="K105" s="277" t="str">
        <f>IFERROR(__xludf.DUMMYFUNCTION("""COMPUTED_VALUE"""),"A1-Pikachu")</f>
        <v>A1-Pikachu</v>
      </c>
      <c r="L105" s="277" t="str">
        <f>IFERROR(__xludf.DUMMYFUNCTION("""COMPUTED_VALUE"""),"♢♢♢")</f>
        <v>♢♢♢</v>
      </c>
      <c r="M105" s="440" t="b">
        <f t="shared" si="2"/>
        <v>1</v>
      </c>
      <c r="N105" s="441"/>
      <c r="O105" s="277"/>
      <c r="P105" s="277"/>
      <c r="Q105" s="278"/>
      <c r="R105" s="449" t="str">
        <f t="array" ref="R105">IFERROR(IFS(OR(P105="A1-Mewtwo", P105="A1-Pikachu", P105="A1-Charizard", P105="A1"), XLOOKUP(N105, 'Genetic Apex'!$C$2:$C889, 'Genetic Apex'!$B$2:$B889)-$B$4, P105="A1a", XLOOKUP(N105, 'Mythical Island'!$C$2:$C889, 'Mythical Island'!$B$2:$B889)-$B$4, OR(P105="A2-Dialga", P105="A2-Palkia", P105="A2"), XLOOKUP(N105, 'Space-Time Smackdown'!$C$2:$C889, 'Space-Time Smackdown'!$B$2:$B889)-$B$4))</f>
        <v/>
      </c>
      <c r="S105" s="277" t="str">
        <f>IFERROR(__xludf.DUMMYFUNCTION("""COMPUTED_VALUE"""),"A1 102")</f>
        <v>A1 102</v>
      </c>
      <c r="T105" s="277" t="str">
        <f>IFERROR(__xludf.DUMMYFUNCTION("""COMPUTED_VALUE"""),"Jolteon")</f>
        <v>Jolteon</v>
      </c>
      <c r="U105" s="277" t="str">
        <f>IFERROR(__xludf.DUMMYFUNCTION("""COMPUTED_VALUE"""),"A1-Pikachu")</f>
        <v>A1-Pikachu</v>
      </c>
      <c r="V105" s="278" t="str">
        <f>IFERROR(__xludf.DUMMYFUNCTION("""COMPUTED_VALUE"""),"♢♢♢")</f>
        <v>♢♢♢</v>
      </c>
      <c r="W105" s="443">
        <f t="array" ref="W105">IFERROR(IFS(OR(U105="A1-Mewtwo", U105="A1-Pikachu", U105="A1-Charizard", U105="A1"), $B$5-XLOOKUP(S105, 'Genetic Apex'!$C$2:$C889, 'Genetic Apex'!$B$2:$B889), U105="A1a", $B$5-XLOOKUP(S105, 'Mythical Island'!$C$2:$C889, 'Mythical Island'!$B$2:$B889), OR(U105="A2-Dialga", U105="A2-Palkia", U105="A2"), $B$5-XLOOKUP(S105, 'Space-Time Smackdown'!$C$2:$C889, 'Space-Time Smackdown'!$B$2:$B889)))</f>
        <v>1</v>
      </c>
      <c r="X105" s="444">
        <f t="shared" si="3"/>
        <v>120</v>
      </c>
      <c r="Y105" s="445">
        <f t="shared" si="4"/>
        <v>120</v>
      </c>
      <c r="Z105" s="278"/>
      <c r="AA105" s="466"/>
      <c r="AB105" s="278"/>
      <c r="AC105" s="278"/>
      <c r="AD105" s="278"/>
      <c r="AE105" s="278"/>
      <c r="AF105" s="278"/>
      <c r="AG105" s="278" t="b">
        <f t="shared" si="5"/>
        <v>0</v>
      </c>
      <c r="AH105" s="454"/>
      <c r="AI105" s="278"/>
      <c r="AJ105" s="278"/>
      <c r="AK105" s="278"/>
      <c r="AL105" s="444" t="str">
        <f t="array" ref="AL105">IFERROR(IFS(OR(AJ105="A1-Mewtwo", AJ105="A1-Pikachu", AJ105="A1-Charizard", AJ105="A1"), XLOOKUP(AH105, 'Genetic Apex'!$C$2:$C889, 'Genetic Apex'!$B$2:$B889)-2, AJ105="A1a", XLOOKUP(AH105, 'Mythical Island'!$C$2:$C889, 'Mythical Island'!$B$2:$B889)-2, OR(AJ105="A2-Dialga", AJ105="A2-Palkia", AJ105="A2"), XLOOKUP(AH105, 'Space-Time Smackdown'!$C$2:$C889, 'Space-Time Smackdown'!$B$2:$B889)-2))</f>
        <v/>
      </c>
      <c r="AM105" s="444" t="str">
        <f t="shared" si="6"/>
        <v/>
      </c>
      <c r="AN105" s="448" t="str">
        <f t="shared" si="7"/>
        <v/>
      </c>
    </row>
    <row r="106">
      <c r="A106" s="277"/>
      <c r="B106" s="277"/>
      <c r="C106" s="441"/>
      <c r="D106" s="277"/>
      <c r="E106" s="277"/>
      <c r="F106" s="277"/>
      <c r="G106" s="277"/>
      <c r="H106" s="277" t="b">
        <f t="shared" si="1"/>
        <v>0</v>
      </c>
      <c r="I106" s="277" t="str">
        <f>IFERROR(__xludf.DUMMYFUNCTION("""COMPUTED_VALUE"""),"A1 103")</f>
        <v>A1 103</v>
      </c>
      <c r="J106" s="277" t="str">
        <f>IFERROR(__xludf.DUMMYFUNCTION("""COMPUTED_VALUE"""),"Zapdos")</f>
        <v>Zapdos</v>
      </c>
      <c r="K106" s="277" t="str">
        <f>IFERROR(__xludf.DUMMYFUNCTION("""COMPUTED_VALUE"""),"A1-Pikachu")</f>
        <v>A1-Pikachu</v>
      </c>
      <c r="L106" s="277" t="str">
        <f>IFERROR(__xludf.DUMMYFUNCTION("""COMPUTED_VALUE"""),"♢♢♢")</f>
        <v>♢♢♢</v>
      </c>
      <c r="M106" s="440" t="b">
        <f t="shared" si="2"/>
        <v>1</v>
      </c>
      <c r="N106" s="441"/>
      <c r="O106" s="277"/>
      <c r="P106" s="277"/>
      <c r="Q106" s="278"/>
      <c r="R106" s="449" t="str">
        <f t="array" ref="R106">IFERROR(IFS(OR(P106="A1-Mewtwo", P106="A1-Pikachu", P106="A1-Charizard", P106="A1"), XLOOKUP(N106, 'Genetic Apex'!$C$2:$C889, 'Genetic Apex'!$B$2:$B889)-$B$4, P106="A1a", XLOOKUP(N106, 'Mythical Island'!$C$2:$C889, 'Mythical Island'!$B$2:$B889)-$B$4, OR(P106="A2-Dialga", P106="A2-Palkia", P106="A2"), XLOOKUP(N106, 'Space-Time Smackdown'!$C$2:$C889, 'Space-Time Smackdown'!$B$2:$B889)-$B$4))</f>
        <v/>
      </c>
      <c r="S106" s="277" t="str">
        <f>IFERROR(__xludf.DUMMYFUNCTION("""COMPUTED_VALUE"""),"A1 103")</f>
        <v>A1 103</v>
      </c>
      <c r="T106" s="277" t="str">
        <f>IFERROR(__xludf.DUMMYFUNCTION("""COMPUTED_VALUE"""),"Zapdos")</f>
        <v>Zapdos</v>
      </c>
      <c r="U106" s="277" t="str">
        <f>IFERROR(__xludf.DUMMYFUNCTION("""COMPUTED_VALUE"""),"A1-Pikachu")</f>
        <v>A1-Pikachu</v>
      </c>
      <c r="V106" s="278" t="str">
        <f>IFERROR(__xludf.DUMMYFUNCTION("""COMPUTED_VALUE"""),"♢♢♢")</f>
        <v>♢♢♢</v>
      </c>
      <c r="W106" s="443">
        <f t="array" ref="W106">IFERROR(IFS(OR(U106="A1-Mewtwo", U106="A1-Pikachu", U106="A1-Charizard", U106="A1"), $B$5-XLOOKUP(S106, 'Genetic Apex'!$C$2:$C889, 'Genetic Apex'!$B$2:$B889), U106="A1a", $B$5-XLOOKUP(S106, 'Mythical Island'!$C$2:$C889, 'Mythical Island'!$B$2:$B889), OR(U106="A2-Dialga", U106="A2-Palkia", U106="A2"), $B$5-XLOOKUP(S106, 'Space-Time Smackdown'!$C$2:$C889, 'Space-Time Smackdown'!$B$2:$B889)))</f>
        <v>1</v>
      </c>
      <c r="X106" s="444">
        <f t="shared" si="3"/>
        <v>120</v>
      </c>
      <c r="Y106" s="445">
        <f t="shared" si="4"/>
        <v>120</v>
      </c>
      <c r="Z106" s="278"/>
      <c r="AA106" s="466"/>
      <c r="AB106" s="278"/>
      <c r="AC106" s="278"/>
      <c r="AD106" s="278"/>
      <c r="AE106" s="278"/>
      <c r="AF106" s="278"/>
      <c r="AG106" s="278" t="b">
        <f t="shared" si="5"/>
        <v>0</v>
      </c>
      <c r="AH106" s="454"/>
      <c r="AI106" s="278"/>
      <c r="AJ106" s="278"/>
      <c r="AK106" s="278"/>
      <c r="AL106" s="444" t="str">
        <f t="array" ref="AL106">IFERROR(IFS(OR(AJ106="A1-Mewtwo", AJ106="A1-Pikachu", AJ106="A1-Charizard", AJ106="A1"), XLOOKUP(AH106, 'Genetic Apex'!$C$2:$C889, 'Genetic Apex'!$B$2:$B889)-2, AJ106="A1a", XLOOKUP(AH106, 'Mythical Island'!$C$2:$C889, 'Mythical Island'!$B$2:$B889)-2, OR(AJ106="A2-Dialga", AJ106="A2-Palkia", AJ106="A2"), XLOOKUP(AH106, 'Space-Time Smackdown'!$C$2:$C889, 'Space-Time Smackdown'!$B$2:$B889)-2))</f>
        <v/>
      </c>
      <c r="AM106" s="444" t="str">
        <f t="shared" si="6"/>
        <v/>
      </c>
      <c r="AN106" s="448" t="str">
        <f t="shared" si="7"/>
        <v/>
      </c>
    </row>
    <row r="107">
      <c r="A107" s="277"/>
      <c r="B107" s="277"/>
      <c r="C107" s="441"/>
      <c r="D107" s="277"/>
      <c r="E107" s="277"/>
      <c r="F107" s="277"/>
      <c r="G107" s="277"/>
      <c r="H107" s="277" t="b">
        <f t="shared" si="1"/>
        <v>0</v>
      </c>
      <c r="I107" s="277" t="str">
        <f>IFERROR(__xludf.DUMMYFUNCTION("""COMPUTED_VALUE"""),"A1 104")</f>
        <v>A1 104</v>
      </c>
      <c r="J107" s="277" t="str">
        <f>IFERROR(__xludf.DUMMYFUNCTION("""COMPUTED_VALUE"""),"Zapdos ex")</f>
        <v>Zapdos ex</v>
      </c>
      <c r="K107" s="277" t="str">
        <f>IFERROR(__xludf.DUMMYFUNCTION("""COMPUTED_VALUE"""),"A1-Pikachu")</f>
        <v>A1-Pikachu</v>
      </c>
      <c r="L107" s="277" t="str">
        <f>IFERROR(__xludf.DUMMYFUNCTION("""COMPUTED_VALUE"""),"♢♢♢♢")</f>
        <v>♢♢♢♢</v>
      </c>
      <c r="M107" s="440" t="b">
        <f t="shared" si="2"/>
        <v>1</v>
      </c>
      <c r="N107" s="441"/>
      <c r="O107" s="277"/>
      <c r="P107" s="277"/>
      <c r="Q107" s="278"/>
      <c r="R107" s="449" t="str">
        <f t="array" ref="R107">IFERROR(IFS(OR(P107="A1-Mewtwo", P107="A1-Pikachu", P107="A1-Charizard", P107="A1"), XLOOKUP(N107, 'Genetic Apex'!$C$2:$C889, 'Genetic Apex'!$B$2:$B889)-$B$4, P107="A1a", XLOOKUP(N107, 'Mythical Island'!$C$2:$C889, 'Mythical Island'!$B$2:$B889)-$B$4, OR(P107="A2-Dialga", P107="A2-Palkia", P107="A2"), XLOOKUP(N107, 'Space-Time Smackdown'!$C$2:$C889, 'Space-Time Smackdown'!$B$2:$B889)-$B$4))</f>
        <v/>
      </c>
      <c r="S107" s="277" t="str">
        <f>IFERROR(__xludf.DUMMYFUNCTION("""COMPUTED_VALUE"""),"A1 104")</f>
        <v>A1 104</v>
      </c>
      <c r="T107" s="277" t="str">
        <f>IFERROR(__xludf.DUMMYFUNCTION("""COMPUTED_VALUE"""),"Zapdos ex")</f>
        <v>Zapdos ex</v>
      </c>
      <c r="U107" s="277" t="str">
        <f>IFERROR(__xludf.DUMMYFUNCTION("""COMPUTED_VALUE"""),"A1-Pikachu")</f>
        <v>A1-Pikachu</v>
      </c>
      <c r="V107" s="278" t="str">
        <f>IFERROR(__xludf.DUMMYFUNCTION("""COMPUTED_VALUE"""),"♢♢♢♢")</f>
        <v>♢♢♢♢</v>
      </c>
      <c r="W107" s="443">
        <f t="array" ref="W107">IFERROR(IFS(OR(U107="A1-Mewtwo", U107="A1-Pikachu", U107="A1-Charizard", U107="A1"), $B$5-XLOOKUP(S107, 'Genetic Apex'!$C$2:$C889, 'Genetic Apex'!$B$2:$B889), U107="A1a", $B$5-XLOOKUP(S107, 'Mythical Island'!$C$2:$C889, 'Mythical Island'!$B$2:$B889), OR(U107="A2-Dialga", U107="A2-Palkia", U107="A2"), $B$5-XLOOKUP(S107, 'Space-Time Smackdown'!$C$2:$C889, 'Space-Time Smackdown'!$B$2:$B889)))</f>
        <v>1</v>
      </c>
      <c r="X107" s="444">
        <f t="shared" si="3"/>
        <v>500</v>
      </c>
      <c r="Y107" s="445">
        <f t="shared" si="4"/>
        <v>500</v>
      </c>
      <c r="Z107" s="278"/>
      <c r="AA107" s="466"/>
      <c r="AB107" s="278"/>
      <c r="AC107" s="278"/>
      <c r="AD107" s="278"/>
      <c r="AE107" s="278"/>
      <c r="AF107" s="278"/>
      <c r="AG107" s="278" t="b">
        <f t="shared" si="5"/>
        <v>0</v>
      </c>
      <c r="AH107" s="454"/>
      <c r="AI107" s="278"/>
      <c r="AJ107" s="278"/>
      <c r="AK107" s="278"/>
      <c r="AL107" s="444" t="str">
        <f t="array" ref="AL107">IFERROR(IFS(OR(AJ107="A1-Mewtwo", AJ107="A1-Pikachu", AJ107="A1-Charizard", AJ107="A1"), XLOOKUP(AH107, 'Genetic Apex'!$C$2:$C889, 'Genetic Apex'!$B$2:$B889)-2, AJ107="A1a", XLOOKUP(AH107, 'Mythical Island'!$C$2:$C889, 'Mythical Island'!$B$2:$B889)-2, OR(AJ107="A2-Dialga", AJ107="A2-Palkia", AJ107="A2"), XLOOKUP(AH107, 'Space-Time Smackdown'!$C$2:$C889, 'Space-Time Smackdown'!$B$2:$B889)-2))</f>
        <v/>
      </c>
      <c r="AM107" s="444" t="str">
        <f t="shared" si="6"/>
        <v/>
      </c>
      <c r="AN107" s="448" t="str">
        <f t="shared" si="7"/>
        <v/>
      </c>
    </row>
    <row r="108">
      <c r="A108" s="277"/>
      <c r="B108" s="277"/>
      <c r="C108" s="441"/>
      <c r="D108" s="277"/>
      <c r="E108" s="277"/>
      <c r="F108" s="277"/>
      <c r="G108" s="277"/>
      <c r="H108" s="277" t="b">
        <f t="shared" si="1"/>
        <v>0</v>
      </c>
      <c r="I108" s="277" t="str">
        <f>IFERROR(__xludf.DUMMYFUNCTION("""COMPUTED_VALUE"""),"A1 105")</f>
        <v>A1 105</v>
      </c>
      <c r="J108" s="277" t="str">
        <f>IFERROR(__xludf.DUMMYFUNCTION("""COMPUTED_VALUE"""),"Blitzle")</f>
        <v>Blitzle</v>
      </c>
      <c r="K108" s="277" t="str">
        <f>IFERROR(__xludf.DUMMYFUNCTION("""COMPUTED_VALUE"""),"A1")</f>
        <v>A1</v>
      </c>
      <c r="L108" s="277" t="str">
        <f>IFERROR(__xludf.DUMMYFUNCTION("""COMPUTED_VALUE"""),"♢")</f>
        <v>♢</v>
      </c>
      <c r="M108" s="440" t="b">
        <f t="shared" si="2"/>
        <v>1</v>
      </c>
      <c r="N108" s="441"/>
      <c r="O108" s="277"/>
      <c r="P108" s="277"/>
      <c r="Q108" s="278"/>
      <c r="R108" s="449" t="str">
        <f t="array" ref="R108">IFERROR(IFS(OR(P108="A1-Mewtwo", P108="A1-Pikachu", P108="A1-Charizard", P108="A1"), XLOOKUP(N108, 'Genetic Apex'!$C$2:$C889, 'Genetic Apex'!$B$2:$B889)-$B$4, P108="A1a", XLOOKUP(N108, 'Mythical Island'!$C$2:$C889, 'Mythical Island'!$B$2:$B889)-$B$4, OR(P108="A2-Dialga", P108="A2-Palkia", P108="A2"), XLOOKUP(N108, 'Space-Time Smackdown'!$C$2:$C889, 'Space-Time Smackdown'!$B$2:$B889)-$B$4))</f>
        <v/>
      </c>
      <c r="S108" s="277" t="str">
        <f>IFERROR(__xludf.DUMMYFUNCTION("""COMPUTED_VALUE"""),"A1 105")</f>
        <v>A1 105</v>
      </c>
      <c r="T108" s="277" t="str">
        <f>IFERROR(__xludf.DUMMYFUNCTION("""COMPUTED_VALUE"""),"Blitzle")</f>
        <v>Blitzle</v>
      </c>
      <c r="U108" s="277" t="str">
        <f>IFERROR(__xludf.DUMMYFUNCTION("""COMPUTED_VALUE"""),"A1")</f>
        <v>A1</v>
      </c>
      <c r="V108" s="278" t="str">
        <f>IFERROR(__xludf.DUMMYFUNCTION("""COMPUTED_VALUE"""),"♢")</f>
        <v>♢</v>
      </c>
      <c r="W108" s="443">
        <f t="array" ref="W108">IFERROR(IFS(OR(U108="A1-Mewtwo", U108="A1-Pikachu", U108="A1-Charizard", U108="A1"), $B$5-XLOOKUP(S108, 'Genetic Apex'!$C$2:$C889, 'Genetic Apex'!$B$2:$B889), U108="A1a", $B$5-XLOOKUP(S108, 'Mythical Island'!$C$2:$C889, 'Mythical Island'!$B$2:$B889), OR(U108="A2-Dialga", U108="A2-Palkia", U108="A2"), $B$5-XLOOKUP(S108, 'Space-Time Smackdown'!$C$2:$C889, 'Space-Time Smackdown'!$B$2:$B889)))</f>
        <v>1</v>
      </c>
      <c r="X108" s="444">
        <f t="shared" si="3"/>
        <v>0</v>
      </c>
      <c r="Y108" s="445" t="str">
        <f t="shared" si="4"/>
        <v/>
      </c>
      <c r="Z108" s="278"/>
      <c r="AA108" s="466"/>
      <c r="AB108" s="278"/>
      <c r="AC108" s="278"/>
      <c r="AD108" s="278"/>
      <c r="AE108" s="278"/>
      <c r="AF108" s="278"/>
      <c r="AG108" s="278" t="b">
        <f t="shared" si="5"/>
        <v>0</v>
      </c>
      <c r="AH108" s="454"/>
      <c r="AI108" s="278"/>
      <c r="AJ108" s="278"/>
      <c r="AK108" s="278"/>
      <c r="AL108" s="444" t="str">
        <f t="array" ref="AL108">IFERROR(IFS(OR(AJ108="A1-Mewtwo", AJ108="A1-Pikachu", AJ108="A1-Charizard", AJ108="A1"), XLOOKUP(AH108, 'Genetic Apex'!$C$2:$C889, 'Genetic Apex'!$B$2:$B889)-2, AJ108="A1a", XLOOKUP(AH108, 'Mythical Island'!$C$2:$C889, 'Mythical Island'!$B$2:$B889)-2, OR(AJ108="A2-Dialga", AJ108="A2-Palkia", AJ108="A2"), XLOOKUP(AH108, 'Space-Time Smackdown'!$C$2:$C889, 'Space-Time Smackdown'!$B$2:$B889)-2))</f>
        <v/>
      </c>
      <c r="AM108" s="444" t="str">
        <f t="shared" si="6"/>
        <v/>
      </c>
      <c r="AN108" s="448" t="str">
        <f t="shared" si="7"/>
        <v/>
      </c>
    </row>
    <row r="109">
      <c r="A109" s="277"/>
      <c r="B109" s="277"/>
      <c r="C109" s="441"/>
      <c r="D109" s="277"/>
      <c r="E109" s="277"/>
      <c r="F109" s="277"/>
      <c r="G109" s="277"/>
      <c r="H109" s="277" t="b">
        <f t="shared" si="1"/>
        <v>0</v>
      </c>
      <c r="I109" s="277" t="str">
        <f>IFERROR(__xludf.DUMMYFUNCTION("""COMPUTED_VALUE"""),"A1 106")</f>
        <v>A1 106</v>
      </c>
      <c r="J109" s="277" t="str">
        <f>IFERROR(__xludf.DUMMYFUNCTION("""COMPUTED_VALUE"""),"Zebstrika")</f>
        <v>Zebstrika</v>
      </c>
      <c r="K109" s="277" t="str">
        <f>IFERROR(__xludf.DUMMYFUNCTION("""COMPUTED_VALUE"""),"A1")</f>
        <v>A1</v>
      </c>
      <c r="L109" s="277" t="str">
        <f>IFERROR(__xludf.DUMMYFUNCTION("""COMPUTED_VALUE"""),"♢♢")</f>
        <v>♢♢</v>
      </c>
      <c r="M109" s="440" t="b">
        <f t="shared" si="2"/>
        <v>1</v>
      </c>
      <c r="N109" s="441"/>
      <c r="O109" s="277"/>
      <c r="P109" s="277"/>
      <c r="Q109" s="278"/>
      <c r="R109" s="449" t="str">
        <f t="array" ref="R109">IFERROR(IFS(OR(P109="A1-Mewtwo", P109="A1-Pikachu", P109="A1-Charizard", P109="A1"), XLOOKUP(N109, 'Genetic Apex'!$C$2:$C889, 'Genetic Apex'!$B$2:$B889)-$B$4, P109="A1a", XLOOKUP(N109, 'Mythical Island'!$C$2:$C889, 'Mythical Island'!$B$2:$B889)-$B$4, OR(P109="A2-Dialga", P109="A2-Palkia", P109="A2"), XLOOKUP(N109, 'Space-Time Smackdown'!$C$2:$C889, 'Space-Time Smackdown'!$B$2:$B889)-$B$4))</f>
        <v/>
      </c>
      <c r="S109" s="277" t="str">
        <f>IFERROR(__xludf.DUMMYFUNCTION("""COMPUTED_VALUE"""),"A1 106")</f>
        <v>A1 106</v>
      </c>
      <c r="T109" s="277" t="str">
        <f>IFERROR(__xludf.DUMMYFUNCTION("""COMPUTED_VALUE"""),"Zebstrika")</f>
        <v>Zebstrika</v>
      </c>
      <c r="U109" s="277" t="str">
        <f>IFERROR(__xludf.DUMMYFUNCTION("""COMPUTED_VALUE"""),"A1")</f>
        <v>A1</v>
      </c>
      <c r="V109" s="278" t="str">
        <f>IFERROR(__xludf.DUMMYFUNCTION("""COMPUTED_VALUE"""),"♢♢")</f>
        <v>♢♢</v>
      </c>
      <c r="W109" s="443">
        <f t="array" ref="W109">IFERROR(IFS(OR(U109="A1-Mewtwo", U109="A1-Pikachu", U109="A1-Charizard", U109="A1"), $B$5-XLOOKUP(S109, 'Genetic Apex'!$C$2:$C889, 'Genetic Apex'!$B$2:$B889), U109="A1a", $B$5-XLOOKUP(S109, 'Mythical Island'!$C$2:$C889, 'Mythical Island'!$B$2:$B889), OR(U109="A2-Dialga", U109="A2-Palkia", U109="A2"), $B$5-XLOOKUP(S109, 'Space-Time Smackdown'!$C$2:$C889, 'Space-Time Smackdown'!$B$2:$B889)))</f>
        <v>1</v>
      </c>
      <c r="X109" s="444">
        <f t="shared" si="3"/>
        <v>0</v>
      </c>
      <c r="Y109" s="445" t="str">
        <f t="shared" si="4"/>
        <v/>
      </c>
      <c r="Z109" s="278"/>
      <c r="AA109" s="466"/>
      <c r="AB109" s="278"/>
      <c r="AC109" s="278"/>
      <c r="AD109" s="278"/>
      <c r="AE109" s="278"/>
      <c r="AF109" s="278"/>
      <c r="AG109" s="278" t="b">
        <f t="shared" si="5"/>
        <v>0</v>
      </c>
      <c r="AH109" s="454"/>
      <c r="AI109" s="278"/>
      <c r="AJ109" s="278"/>
      <c r="AK109" s="278"/>
      <c r="AL109" s="444" t="str">
        <f t="array" ref="AL109">IFERROR(IFS(OR(AJ109="A1-Mewtwo", AJ109="A1-Pikachu", AJ109="A1-Charizard", AJ109="A1"), XLOOKUP(AH109, 'Genetic Apex'!$C$2:$C889, 'Genetic Apex'!$B$2:$B889)-2, AJ109="A1a", XLOOKUP(AH109, 'Mythical Island'!$C$2:$C889, 'Mythical Island'!$B$2:$B889)-2, OR(AJ109="A2-Dialga", AJ109="A2-Palkia", AJ109="A2"), XLOOKUP(AH109, 'Space-Time Smackdown'!$C$2:$C889, 'Space-Time Smackdown'!$B$2:$B889)-2))</f>
        <v/>
      </c>
      <c r="AM109" s="444" t="str">
        <f t="shared" si="6"/>
        <v/>
      </c>
      <c r="AN109" s="448" t="str">
        <f t="shared" si="7"/>
        <v/>
      </c>
    </row>
    <row r="110">
      <c r="A110" s="277"/>
      <c r="B110" s="277"/>
      <c r="C110" s="441"/>
      <c r="D110" s="277"/>
      <c r="E110" s="277"/>
      <c r="F110" s="277"/>
      <c r="G110" s="277"/>
      <c r="H110" s="277" t="b">
        <f t="shared" si="1"/>
        <v>0</v>
      </c>
      <c r="I110" s="277" t="str">
        <f>IFERROR(__xludf.DUMMYFUNCTION("""COMPUTED_VALUE"""),"A1 107")</f>
        <v>A1 107</v>
      </c>
      <c r="J110" s="277" t="str">
        <f>IFERROR(__xludf.DUMMYFUNCTION("""COMPUTED_VALUE"""),"Tynamo")</f>
        <v>Tynamo</v>
      </c>
      <c r="K110" s="277" t="str">
        <f>IFERROR(__xludf.DUMMYFUNCTION("""COMPUTED_VALUE"""),"A1-Mewtwo")</f>
        <v>A1-Mewtwo</v>
      </c>
      <c r="L110" s="277" t="str">
        <f>IFERROR(__xludf.DUMMYFUNCTION("""COMPUTED_VALUE"""),"♢")</f>
        <v>♢</v>
      </c>
      <c r="M110" s="440" t="b">
        <f t="shared" si="2"/>
        <v>1</v>
      </c>
      <c r="N110" s="441"/>
      <c r="O110" s="277"/>
      <c r="P110" s="277"/>
      <c r="Q110" s="278"/>
      <c r="R110" s="449" t="str">
        <f t="array" ref="R110">IFERROR(IFS(OR(P110="A1-Mewtwo", P110="A1-Pikachu", P110="A1-Charizard", P110="A1"), XLOOKUP(N110, 'Genetic Apex'!$C$2:$C889, 'Genetic Apex'!$B$2:$B889)-$B$4, P110="A1a", XLOOKUP(N110, 'Mythical Island'!$C$2:$C889, 'Mythical Island'!$B$2:$B889)-$B$4, OR(P110="A2-Dialga", P110="A2-Palkia", P110="A2"), XLOOKUP(N110, 'Space-Time Smackdown'!$C$2:$C889, 'Space-Time Smackdown'!$B$2:$B889)-$B$4))</f>
        <v/>
      </c>
      <c r="S110" s="277" t="str">
        <f>IFERROR(__xludf.DUMMYFUNCTION("""COMPUTED_VALUE"""),"A1 107")</f>
        <v>A1 107</v>
      </c>
      <c r="T110" s="277" t="str">
        <f>IFERROR(__xludf.DUMMYFUNCTION("""COMPUTED_VALUE"""),"Tynamo")</f>
        <v>Tynamo</v>
      </c>
      <c r="U110" s="277" t="str">
        <f>IFERROR(__xludf.DUMMYFUNCTION("""COMPUTED_VALUE"""),"A1-Mewtwo")</f>
        <v>A1-Mewtwo</v>
      </c>
      <c r="V110" s="278" t="str">
        <f>IFERROR(__xludf.DUMMYFUNCTION("""COMPUTED_VALUE"""),"♢")</f>
        <v>♢</v>
      </c>
      <c r="W110" s="443">
        <f t="array" ref="W110">IFERROR(IFS(OR(U110="A1-Mewtwo", U110="A1-Pikachu", U110="A1-Charizard", U110="A1"), $B$5-XLOOKUP(S110, 'Genetic Apex'!$C$2:$C889, 'Genetic Apex'!$B$2:$B889), U110="A1a", $B$5-XLOOKUP(S110, 'Mythical Island'!$C$2:$C889, 'Mythical Island'!$B$2:$B889), OR(U110="A2-Dialga", U110="A2-Palkia", U110="A2"), $B$5-XLOOKUP(S110, 'Space-Time Smackdown'!$C$2:$C889, 'Space-Time Smackdown'!$B$2:$B889)))</f>
        <v>1</v>
      </c>
      <c r="X110" s="444">
        <f t="shared" si="3"/>
        <v>0</v>
      </c>
      <c r="Y110" s="445" t="str">
        <f t="shared" si="4"/>
        <v/>
      </c>
      <c r="Z110" s="278"/>
      <c r="AA110" s="466"/>
      <c r="AB110" s="278"/>
      <c r="AC110" s="278"/>
      <c r="AD110" s="278"/>
      <c r="AE110" s="278"/>
      <c r="AF110" s="278"/>
      <c r="AG110" s="278" t="b">
        <f t="shared" si="5"/>
        <v>0</v>
      </c>
      <c r="AH110" s="454"/>
      <c r="AI110" s="278"/>
      <c r="AJ110" s="278"/>
      <c r="AK110" s="278"/>
      <c r="AL110" s="444" t="str">
        <f t="array" ref="AL110">IFERROR(IFS(OR(AJ110="A1-Mewtwo", AJ110="A1-Pikachu", AJ110="A1-Charizard", AJ110="A1"), XLOOKUP(AH110, 'Genetic Apex'!$C$2:$C889, 'Genetic Apex'!$B$2:$B889)-2, AJ110="A1a", XLOOKUP(AH110, 'Mythical Island'!$C$2:$C889, 'Mythical Island'!$B$2:$B889)-2, OR(AJ110="A2-Dialga", AJ110="A2-Palkia", AJ110="A2"), XLOOKUP(AH110, 'Space-Time Smackdown'!$C$2:$C889, 'Space-Time Smackdown'!$B$2:$B889)-2))</f>
        <v/>
      </c>
      <c r="AM110" s="444" t="str">
        <f t="shared" si="6"/>
        <v/>
      </c>
      <c r="AN110" s="448" t="str">
        <f t="shared" si="7"/>
        <v/>
      </c>
    </row>
    <row r="111">
      <c r="A111" s="277"/>
      <c r="B111" s="277"/>
      <c r="C111" s="441"/>
      <c r="D111" s="277"/>
      <c r="E111" s="277"/>
      <c r="F111" s="277"/>
      <c r="G111" s="277"/>
      <c r="H111" s="277" t="b">
        <f t="shared" si="1"/>
        <v>0</v>
      </c>
      <c r="I111" s="277" t="str">
        <f>IFERROR(__xludf.DUMMYFUNCTION("""COMPUTED_VALUE"""),"A1 108")</f>
        <v>A1 108</v>
      </c>
      <c r="J111" s="277" t="str">
        <f>IFERROR(__xludf.DUMMYFUNCTION("""COMPUTED_VALUE"""),"Eelektrik")</f>
        <v>Eelektrik</v>
      </c>
      <c r="K111" s="277" t="str">
        <f>IFERROR(__xludf.DUMMYFUNCTION("""COMPUTED_VALUE"""),"A1-Mewtwo")</f>
        <v>A1-Mewtwo</v>
      </c>
      <c r="L111" s="277" t="str">
        <f>IFERROR(__xludf.DUMMYFUNCTION("""COMPUTED_VALUE"""),"♢♢")</f>
        <v>♢♢</v>
      </c>
      <c r="M111" s="440" t="b">
        <f t="shared" si="2"/>
        <v>1</v>
      </c>
      <c r="N111" s="441"/>
      <c r="O111" s="277"/>
      <c r="P111" s="277"/>
      <c r="Q111" s="278"/>
      <c r="R111" s="449" t="str">
        <f t="array" ref="R111">IFERROR(IFS(OR(P111="A1-Mewtwo", P111="A1-Pikachu", P111="A1-Charizard", P111="A1"), XLOOKUP(N111, 'Genetic Apex'!$C$2:$C889, 'Genetic Apex'!$B$2:$B889)-$B$4, P111="A1a", XLOOKUP(N111, 'Mythical Island'!$C$2:$C889, 'Mythical Island'!$B$2:$B889)-$B$4, OR(P111="A2-Dialga", P111="A2-Palkia", P111="A2"), XLOOKUP(N111, 'Space-Time Smackdown'!$C$2:$C889, 'Space-Time Smackdown'!$B$2:$B889)-$B$4))</f>
        <v/>
      </c>
      <c r="S111" s="277" t="str">
        <f>IFERROR(__xludf.DUMMYFUNCTION("""COMPUTED_VALUE"""),"A1 108")</f>
        <v>A1 108</v>
      </c>
      <c r="T111" s="277" t="str">
        <f>IFERROR(__xludf.DUMMYFUNCTION("""COMPUTED_VALUE"""),"Eelektrik")</f>
        <v>Eelektrik</v>
      </c>
      <c r="U111" s="277" t="str">
        <f>IFERROR(__xludf.DUMMYFUNCTION("""COMPUTED_VALUE"""),"A1-Mewtwo")</f>
        <v>A1-Mewtwo</v>
      </c>
      <c r="V111" s="278" t="str">
        <f>IFERROR(__xludf.DUMMYFUNCTION("""COMPUTED_VALUE"""),"♢♢")</f>
        <v>♢♢</v>
      </c>
      <c r="W111" s="443">
        <f t="array" ref="W111">IFERROR(IFS(OR(U111="A1-Mewtwo", U111="A1-Pikachu", U111="A1-Charizard", U111="A1"), $B$5-XLOOKUP(S111, 'Genetic Apex'!$C$2:$C889, 'Genetic Apex'!$B$2:$B889), U111="A1a", $B$5-XLOOKUP(S111, 'Mythical Island'!$C$2:$C889, 'Mythical Island'!$B$2:$B889), OR(U111="A2-Dialga", U111="A2-Palkia", U111="A2"), $B$5-XLOOKUP(S111, 'Space-Time Smackdown'!$C$2:$C889, 'Space-Time Smackdown'!$B$2:$B889)))</f>
        <v>1</v>
      </c>
      <c r="X111" s="444">
        <f t="shared" si="3"/>
        <v>0</v>
      </c>
      <c r="Y111" s="445" t="str">
        <f t="shared" si="4"/>
        <v/>
      </c>
      <c r="Z111" s="278"/>
      <c r="AA111" s="466"/>
      <c r="AB111" s="278"/>
      <c r="AC111" s="278"/>
      <c r="AD111" s="278"/>
      <c r="AE111" s="278"/>
      <c r="AF111" s="278"/>
      <c r="AG111" s="278" t="b">
        <f t="shared" si="5"/>
        <v>0</v>
      </c>
      <c r="AH111" s="454"/>
      <c r="AI111" s="278"/>
      <c r="AJ111" s="278"/>
      <c r="AK111" s="278"/>
      <c r="AL111" s="444" t="str">
        <f t="array" ref="AL111">IFERROR(IFS(OR(AJ111="A1-Mewtwo", AJ111="A1-Pikachu", AJ111="A1-Charizard", AJ111="A1"), XLOOKUP(AH111, 'Genetic Apex'!$C$2:$C889, 'Genetic Apex'!$B$2:$B889)-2, AJ111="A1a", XLOOKUP(AH111, 'Mythical Island'!$C$2:$C889, 'Mythical Island'!$B$2:$B889)-2, OR(AJ111="A2-Dialga", AJ111="A2-Palkia", AJ111="A2"), XLOOKUP(AH111, 'Space-Time Smackdown'!$C$2:$C889, 'Space-Time Smackdown'!$B$2:$B889)-2))</f>
        <v/>
      </c>
      <c r="AM111" s="444" t="str">
        <f t="shared" si="6"/>
        <v/>
      </c>
      <c r="AN111" s="448" t="str">
        <f t="shared" si="7"/>
        <v/>
      </c>
    </row>
    <row r="112">
      <c r="A112" s="277"/>
      <c r="B112" s="277"/>
      <c r="C112" s="441"/>
      <c r="D112" s="277"/>
      <c r="E112" s="277"/>
      <c r="F112" s="277"/>
      <c r="G112" s="277"/>
      <c r="H112" s="277" t="b">
        <f t="shared" si="1"/>
        <v>0</v>
      </c>
      <c r="I112" s="277" t="str">
        <f>IFERROR(__xludf.DUMMYFUNCTION("""COMPUTED_VALUE"""),"A1 109")</f>
        <v>A1 109</v>
      </c>
      <c r="J112" s="277" t="str">
        <f>IFERROR(__xludf.DUMMYFUNCTION("""COMPUTED_VALUE"""),"Eelektross")</f>
        <v>Eelektross</v>
      </c>
      <c r="K112" s="277" t="str">
        <f>IFERROR(__xludf.DUMMYFUNCTION("""COMPUTED_VALUE"""),"A1-Mewtwo")</f>
        <v>A1-Mewtwo</v>
      </c>
      <c r="L112" s="277" t="str">
        <f>IFERROR(__xludf.DUMMYFUNCTION("""COMPUTED_VALUE"""),"♢♢♢")</f>
        <v>♢♢♢</v>
      </c>
      <c r="M112" s="440" t="b">
        <f t="shared" si="2"/>
        <v>1</v>
      </c>
      <c r="N112" s="441"/>
      <c r="O112" s="277"/>
      <c r="P112" s="277"/>
      <c r="Q112" s="278"/>
      <c r="R112" s="449" t="str">
        <f t="array" ref="R112">IFERROR(IFS(OR(P112="A1-Mewtwo", P112="A1-Pikachu", P112="A1-Charizard", P112="A1"), XLOOKUP(N112, 'Genetic Apex'!$C$2:$C889, 'Genetic Apex'!$B$2:$B889)-$B$4, P112="A1a", XLOOKUP(N112, 'Mythical Island'!$C$2:$C889, 'Mythical Island'!$B$2:$B889)-$B$4, OR(P112="A2-Dialga", P112="A2-Palkia", P112="A2"), XLOOKUP(N112, 'Space-Time Smackdown'!$C$2:$C889, 'Space-Time Smackdown'!$B$2:$B889)-$B$4))</f>
        <v/>
      </c>
      <c r="S112" s="277" t="str">
        <f>IFERROR(__xludf.DUMMYFUNCTION("""COMPUTED_VALUE"""),"A1 109")</f>
        <v>A1 109</v>
      </c>
      <c r="T112" s="277" t="str">
        <f>IFERROR(__xludf.DUMMYFUNCTION("""COMPUTED_VALUE"""),"Eelektross")</f>
        <v>Eelektross</v>
      </c>
      <c r="U112" s="277" t="str">
        <f>IFERROR(__xludf.DUMMYFUNCTION("""COMPUTED_VALUE"""),"A1-Mewtwo")</f>
        <v>A1-Mewtwo</v>
      </c>
      <c r="V112" s="278" t="str">
        <f>IFERROR(__xludf.DUMMYFUNCTION("""COMPUTED_VALUE"""),"♢♢♢")</f>
        <v>♢♢♢</v>
      </c>
      <c r="W112" s="443">
        <f t="array" ref="W112">IFERROR(IFS(OR(U112="A1-Mewtwo", U112="A1-Pikachu", U112="A1-Charizard", U112="A1"), $B$5-XLOOKUP(S112, 'Genetic Apex'!$C$2:$C889, 'Genetic Apex'!$B$2:$B889), U112="A1a", $B$5-XLOOKUP(S112, 'Mythical Island'!$C$2:$C889, 'Mythical Island'!$B$2:$B889), OR(U112="A2-Dialga", U112="A2-Palkia", U112="A2"), $B$5-XLOOKUP(S112, 'Space-Time Smackdown'!$C$2:$C889, 'Space-Time Smackdown'!$B$2:$B889)))</f>
        <v>1</v>
      </c>
      <c r="X112" s="444">
        <f t="shared" si="3"/>
        <v>120</v>
      </c>
      <c r="Y112" s="445">
        <f t="shared" si="4"/>
        <v>120</v>
      </c>
      <c r="Z112" s="278"/>
      <c r="AA112" s="466"/>
      <c r="AB112" s="278"/>
      <c r="AC112" s="278"/>
      <c r="AD112" s="278"/>
      <c r="AE112" s="278"/>
      <c r="AF112" s="278"/>
      <c r="AG112" s="278" t="b">
        <f t="shared" si="5"/>
        <v>0</v>
      </c>
      <c r="AH112" s="454"/>
      <c r="AI112" s="278"/>
      <c r="AJ112" s="278"/>
      <c r="AK112" s="278"/>
      <c r="AL112" s="444" t="str">
        <f t="array" ref="AL112">IFERROR(IFS(OR(AJ112="A1-Mewtwo", AJ112="A1-Pikachu", AJ112="A1-Charizard", AJ112="A1"), XLOOKUP(AH112, 'Genetic Apex'!$C$2:$C889, 'Genetic Apex'!$B$2:$B889)-2, AJ112="A1a", XLOOKUP(AH112, 'Mythical Island'!$C$2:$C889, 'Mythical Island'!$B$2:$B889)-2, OR(AJ112="A2-Dialga", AJ112="A2-Palkia", AJ112="A2"), XLOOKUP(AH112, 'Space-Time Smackdown'!$C$2:$C889, 'Space-Time Smackdown'!$B$2:$B889)-2))</f>
        <v/>
      </c>
      <c r="AM112" s="444" t="str">
        <f t="shared" si="6"/>
        <v/>
      </c>
      <c r="AN112" s="448" t="str">
        <f t="shared" si="7"/>
        <v/>
      </c>
    </row>
    <row r="113">
      <c r="A113" s="277"/>
      <c r="B113" s="277"/>
      <c r="C113" s="441"/>
      <c r="D113" s="277"/>
      <c r="E113" s="277"/>
      <c r="F113" s="277"/>
      <c r="G113" s="277"/>
      <c r="H113" s="277" t="b">
        <f t="shared" si="1"/>
        <v>0</v>
      </c>
      <c r="I113" s="277" t="str">
        <f>IFERROR(__xludf.DUMMYFUNCTION("""COMPUTED_VALUE"""),"A1 110")</f>
        <v>A1 110</v>
      </c>
      <c r="J113" s="277" t="str">
        <f>IFERROR(__xludf.DUMMYFUNCTION("""COMPUTED_VALUE"""),"Helioptile")</f>
        <v>Helioptile</v>
      </c>
      <c r="K113" s="277" t="str">
        <f>IFERROR(__xludf.DUMMYFUNCTION("""COMPUTED_VALUE"""),"A1")</f>
        <v>A1</v>
      </c>
      <c r="L113" s="277" t="str">
        <f>IFERROR(__xludf.DUMMYFUNCTION("""COMPUTED_VALUE"""),"♢")</f>
        <v>♢</v>
      </c>
      <c r="M113" s="440" t="b">
        <f t="shared" si="2"/>
        <v>1</v>
      </c>
      <c r="N113" s="441"/>
      <c r="O113" s="277"/>
      <c r="P113" s="277"/>
      <c r="Q113" s="278"/>
      <c r="R113" s="449" t="str">
        <f t="array" ref="R113">IFERROR(IFS(OR(P113="A1-Mewtwo", P113="A1-Pikachu", P113="A1-Charizard", P113="A1"), XLOOKUP(N113, 'Genetic Apex'!$C$2:$C889, 'Genetic Apex'!$B$2:$B889)-$B$4, P113="A1a", XLOOKUP(N113, 'Mythical Island'!$C$2:$C889, 'Mythical Island'!$B$2:$B889)-$B$4, OR(P113="A2-Dialga", P113="A2-Palkia", P113="A2"), XLOOKUP(N113, 'Space-Time Smackdown'!$C$2:$C889, 'Space-Time Smackdown'!$B$2:$B889)-$B$4))</f>
        <v/>
      </c>
      <c r="S113" s="277" t="str">
        <f>IFERROR(__xludf.DUMMYFUNCTION("""COMPUTED_VALUE"""),"A1 110")</f>
        <v>A1 110</v>
      </c>
      <c r="T113" s="277" t="str">
        <f>IFERROR(__xludf.DUMMYFUNCTION("""COMPUTED_VALUE"""),"Helioptile")</f>
        <v>Helioptile</v>
      </c>
      <c r="U113" s="277" t="str">
        <f>IFERROR(__xludf.DUMMYFUNCTION("""COMPUTED_VALUE"""),"A1")</f>
        <v>A1</v>
      </c>
      <c r="V113" s="278" t="str">
        <f>IFERROR(__xludf.DUMMYFUNCTION("""COMPUTED_VALUE"""),"♢")</f>
        <v>♢</v>
      </c>
      <c r="W113" s="443">
        <f t="array" ref="W113">IFERROR(IFS(OR(U113="A1-Mewtwo", U113="A1-Pikachu", U113="A1-Charizard", U113="A1"), $B$5-XLOOKUP(S113, 'Genetic Apex'!$C$2:$C889, 'Genetic Apex'!$B$2:$B889), U113="A1a", $B$5-XLOOKUP(S113, 'Mythical Island'!$C$2:$C889, 'Mythical Island'!$B$2:$B889), OR(U113="A2-Dialga", U113="A2-Palkia", U113="A2"), $B$5-XLOOKUP(S113, 'Space-Time Smackdown'!$C$2:$C889, 'Space-Time Smackdown'!$B$2:$B889)))</f>
        <v>1</v>
      </c>
      <c r="X113" s="444">
        <f t="shared" si="3"/>
        <v>0</v>
      </c>
      <c r="Y113" s="445" t="str">
        <f t="shared" si="4"/>
        <v/>
      </c>
      <c r="Z113" s="278"/>
      <c r="AA113" s="466"/>
      <c r="AB113" s="278"/>
      <c r="AC113" s="278"/>
      <c r="AD113" s="278"/>
      <c r="AE113" s="278"/>
      <c r="AF113" s="278"/>
      <c r="AG113" s="278" t="b">
        <f t="shared" si="5"/>
        <v>0</v>
      </c>
      <c r="AH113" s="454"/>
      <c r="AI113" s="278"/>
      <c r="AJ113" s="278"/>
      <c r="AK113" s="278"/>
      <c r="AL113" s="444" t="str">
        <f t="array" ref="AL113">IFERROR(IFS(OR(AJ113="A1-Mewtwo", AJ113="A1-Pikachu", AJ113="A1-Charizard", AJ113="A1"), XLOOKUP(AH113, 'Genetic Apex'!$C$2:$C889, 'Genetic Apex'!$B$2:$B889)-2, AJ113="A1a", XLOOKUP(AH113, 'Mythical Island'!$C$2:$C889, 'Mythical Island'!$B$2:$B889)-2, OR(AJ113="A2-Dialga", AJ113="A2-Palkia", AJ113="A2"), XLOOKUP(AH113, 'Space-Time Smackdown'!$C$2:$C889, 'Space-Time Smackdown'!$B$2:$B889)-2))</f>
        <v/>
      </c>
      <c r="AM113" s="444" t="str">
        <f t="shared" si="6"/>
        <v/>
      </c>
      <c r="AN113" s="448" t="str">
        <f t="shared" si="7"/>
        <v/>
      </c>
    </row>
    <row r="114">
      <c r="A114" s="277"/>
      <c r="B114" s="277"/>
      <c r="C114" s="441"/>
      <c r="D114" s="277"/>
      <c r="E114" s="277"/>
      <c r="F114" s="277"/>
      <c r="G114" s="277"/>
      <c r="H114" s="277" t="b">
        <f t="shared" si="1"/>
        <v>0</v>
      </c>
      <c r="I114" s="277" t="str">
        <f>IFERROR(__xludf.DUMMYFUNCTION("""COMPUTED_VALUE"""),"A1 111")</f>
        <v>A1 111</v>
      </c>
      <c r="J114" s="277" t="str">
        <f>IFERROR(__xludf.DUMMYFUNCTION("""COMPUTED_VALUE"""),"Heliolisk")</f>
        <v>Heliolisk</v>
      </c>
      <c r="K114" s="277" t="str">
        <f>IFERROR(__xludf.DUMMYFUNCTION("""COMPUTED_VALUE"""),"A1")</f>
        <v>A1</v>
      </c>
      <c r="L114" s="277" t="str">
        <f>IFERROR(__xludf.DUMMYFUNCTION("""COMPUTED_VALUE"""),"♢")</f>
        <v>♢</v>
      </c>
      <c r="M114" s="440" t="b">
        <f t="shared" si="2"/>
        <v>1</v>
      </c>
      <c r="N114" s="441"/>
      <c r="O114" s="277"/>
      <c r="P114" s="277"/>
      <c r="Q114" s="278"/>
      <c r="R114" s="449" t="str">
        <f t="array" ref="R114">IFERROR(IFS(OR(P114="A1-Mewtwo", P114="A1-Pikachu", P114="A1-Charizard", P114="A1"), XLOOKUP(N114, 'Genetic Apex'!$C$2:$C889, 'Genetic Apex'!$B$2:$B889)-$B$4, P114="A1a", XLOOKUP(N114, 'Mythical Island'!$C$2:$C889, 'Mythical Island'!$B$2:$B889)-$B$4, OR(P114="A2-Dialga", P114="A2-Palkia", P114="A2"), XLOOKUP(N114, 'Space-Time Smackdown'!$C$2:$C889, 'Space-Time Smackdown'!$B$2:$B889)-$B$4))</f>
        <v/>
      </c>
      <c r="S114" s="277" t="str">
        <f>IFERROR(__xludf.DUMMYFUNCTION("""COMPUTED_VALUE"""),"A1 111")</f>
        <v>A1 111</v>
      </c>
      <c r="T114" s="277" t="str">
        <f>IFERROR(__xludf.DUMMYFUNCTION("""COMPUTED_VALUE"""),"Heliolisk")</f>
        <v>Heliolisk</v>
      </c>
      <c r="U114" s="277" t="str">
        <f>IFERROR(__xludf.DUMMYFUNCTION("""COMPUTED_VALUE"""),"A1")</f>
        <v>A1</v>
      </c>
      <c r="V114" s="278" t="str">
        <f>IFERROR(__xludf.DUMMYFUNCTION("""COMPUTED_VALUE"""),"♢")</f>
        <v>♢</v>
      </c>
      <c r="W114" s="443">
        <f t="array" ref="W114">IFERROR(IFS(OR(U114="A1-Mewtwo", U114="A1-Pikachu", U114="A1-Charizard", U114="A1"), $B$5-XLOOKUP(S114, 'Genetic Apex'!$C$2:$C889, 'Genetic Apex'!$B$2:$B889), U114="A1a", $B$5-XLOOKUP(S114, 'Mythical Island'!$C$2:$C889, 'Mythical Island'!$B$2:$B889), OR(U114="A2-Dialga", U114="A2-Palkia", U114="A2"), $B$5-XLOOKUP(S114, 'Space-Time Smackdown'!$C$2:$C889, 'Space-Time Smackdown'!$B$2:$B889)))</f>
        <v>1</v>
      </c>
      <c r="X114" s="444">
        <f t="shared" si="3"/>
        <v>0</v>
      </c>
      <c r="Y114" s="445" t="str">
        <f t="shared" si="4"/>
        <v/>
      </c>
      <c r="Z114" s="278"/>
      <c r="AA114" s="466"/>
      <c r="AB114" s="278"/>
      <c r="AC114" s="278"/>
      <c r="AD114" s="278"/>
      <c r="AE114" s="278"/>
      <c r="AF114" s="278"/>
      <c r="AG114" s="278" t="b">
        <f t="shared" si="5"/>
        <v>0</v>
      </c>
      <c r="AH114" s="454"/>
      <c r="AI114" s="278"/>
      <c r="AJ114" s="278"/>
      <c r="AK114" s="278"/>
      <c r="AL114" s="444" t="str">
        <f t="array" ref="AL114">IFERROR(IFS(OR(AJ114="A1-Mewtwo", AJ114="A1-Pikachu", AJ114="A1-Charizard", AJ114="A1"), XLOOKUP(AH114, 'Genetic Apex'!$C$2:$C889, 'Genetic Apex'!$B$2:$B889)-2, AJ114="A1a", XLOOKUP(AH114, 'Mythical Island'!$C$2:$C889, 'Mythical Island'!$B$2:$B889)-2, OR(AJ114="A2-Dialga", AJ114="A2-Palkia", AJ114="A2"), XLOOKUP(AH114, 'Space-Time Smackdown'!$C$2:$C889, 'Space-Time Smackdown'!$B$2:$B889)-2))</f>
        <v/>
      </c>
      <c r="AM114" s="444" t="str">
        <f t="shared" si="6"/>
        <v/>
      </c>
      <c r="AN114" s="448" t="str">
        <f t="shared" si="7"/>
        <v/>
      </c>
    </row>
    <row r="115">
      <c r="A115" s="277"/>
      <c r="B115" s="277"/>
      <c r="C115" s="441"/>
      <c r="D115" s="277"/>
      <c r="E115" s="277"/>
      <c r="F115" s="277"/>
      <c r="G115" s="277"/>
      <c r="H115" s="277" t="b">
        <f t="shared" si="1"/>
        <v>0</v>
      </c>
      <c r="I115" s="277" t="str">
        <f>IFERROR(__xludf.DUMMYFUNCTION("""COMPUTED_VALUE"""),"A1 112")</f>
        <v>A1 112</v>
      </c>
      <c r="J115" s="277" t="str">
        <f>IFERROR(__xludf.DUMMYFUNCTION("""COMPUTED_VALUE"""),"Pincurchin")</f>
        <v>Pincurchin</v>
      </c>
      <c r="K115" s="277" t="str">
        <f>IFERROR(__xludf.DUMMYFUNCTION("""COMPUTED_VALUE"""),"A1")</f>
        <v>A1</v>
      </c>
      <c r="L115" s="277" t="str">
        <f>IFERROR(__xludf.DUMMYFUNCTION("""COMPUTED_VALUE"""),"♢♢")</f>
        <v>♢♢</v>
      </c>
      <c r="M115" s="440" t="b">
        <f t="shared" si="2"/>
        <v>1</v>
      </c>
      <c r="N115" s="441"/>
      <c r="O115" s="277"/>
      <c r="P115" s="277"/>
      <c r="Q115" s="278"/>
      <c r="R115" s="449" t="str">
        <f t="array" ref="R115">IFERROR(IFS(OR(P115="A1-Mewtwo", P115="A1-Pikachu", P115="A1-Charizard", P115="A1"), XLOOKUP(N115, 'Genetic Apex'!$C$2:$C889, 'Genetic Apex'!$B$2:$B889)-$B$4, P115="A1a", XLOOKUP(N115, 'Mythical Island'!$C$2:$C889, 'Mythical Island'!$B$2:$B889)-$B$4, OR(P115="A2-Dialga", P115="A2-Palkia", P115="A2"), XLOOKUP(N115, 'Space-Time Smackdown'!$C$2:$C889, 'Space-Time Smackdown'!$B$2:$B889)-$B$4))</f>
        <v/>
      </c>
      <c r="S115" s="277" t="str">
        <f>IFERROR(__xludf.DUMMYFUNCTION("""COMPUTED_VALUE"""),"A1 112")</f>
        <v>A1 112</v>
      </c>
      <c r="T115" s="277" t="str">
        <f>IFERROR(__xludf.DUMMYFUNCTION("""COMPUTED_VALUE"""),"Pincurchin")</f>
        <v>Pincurchin</v>
      </c>
      <c r="U115" s="277" t="str">
        <f>IFERROR(__xludf.DUMMYFUNCTION("""COMPUTED_VALUE"""),"A1")</f>
        <v>A1</v>
      </c>
      <c r="V115" s="278" t="str">
        <f>IFERROR(__xludf.DUMMYFUNCTION("""COMPUTED_VALUE"""),"♢♢")</f>
        <v>♢♢</v>
      </c>
      <c r="W115" s="443">
        <f t="array" ref="W115">IFERROR(IFS(OR(U115="A1-Mewtwo", U115="A1-Pikachu", U115="A1-Charizard", U115="A1"), $B$5-XLOOKUP(S115, 'Genetic Apex'!$C$2:$C889, 'Genetic Apex'!$B$2:$B889), U115="A1a", $B$5-XLOOKUP(S115, 'Mythical Island'!$C$2:$C889, 'Mythical Island'!$B$2:$B889), OR(U115="A2-Dialga", U115="A2-Palkia", U115="A2"), $B$5-XLOOKUP(S115, 'Space-Time Smackdown'!$C$2:$C889, 'Space-Time Smackdown'!$B$2:$B889)))</f>
        <v>1</v>
      </c>
      <c r="X115" s="444">
        <f t="shared" si="3"/>
        <v>0</v>
      </c>
      <c r="Y115" s="445" t="str">
        <f t="shared" si="4"/>
        <v/>
      </c>
      <c r="Z115" s="278"/>
      <c r="AA115" s="466"/>
      <c r="AB115" s="278"/>
      <c r="AC115" s="278"/>
      <c r="AD115" s="278"/>
      <c r="AE115" s="278"/>
      <c r="AF115" s="278"/>
      <c r="AG115" s="278" t="b">
        <f t="shared" si="5"/>
        <v>0</v>
      </c>
      <c r="AH115" s="454"/>
      <c r="AI115" s="278"/>
      <c r="AJ115" s="278"/>
      <c r="AK115" s="278"/>
      <c r="AL115" s="444" t="str">
        <f t="array" ref="AL115">IFERROR(IFS(OR(AJ115="A1-Mewtwo", AJ115="A1-Pikachu", AJ115="A1-Charizard", AJ115="A1"), XLOOKUP(AH115, 'Genetic Apex'!$C$2:$C889, 'Genetic Apex'!$B$2:$B889)-2, AJ115="A1a", XLOOKUP(AH115, 'Mythical Island'!$C$2:$C889, 'Mythical Island'!$B$2:$B889)-2, OR(AJ115="A2-Dialga", AJ115="A2-Palkia", AJ115="A2"), XLOOKUP(AH115, 'Space-Time Smackdown'!$C$2:$C889, 'Space-Time Smackdown'!$B$2:$B889)-2))</f>
        <v/>
      </c>
      <c r="AM115" s="444" t="str">
        <f t="shared" si="6"/>
        <v/>
      </c>
      <c r="AN115" s="448" t="str">
        <f t="shared" si="7"/>
        <v/>
      </c>
    </row>
    <row r="116">
      <c r="A116" s="277"/>
      <c r="B116" s="277"/>
      <c r="C116" s="441"/>
      <c r="D116" s="277"/>
      <c r="E116" s="277"/>
      <c r="F116" s="277"/>
      <c r="G116" s="277"/>
      <c r="H116" s="277" t="b">
        <f t="shared" si="1"/>
        <v>0</v>
      </c>
      <c r="I116" s="277" t="str">
        <f>IFERROR(__xludf.DUMMYFUNCTION("""COMPUTED_VALUE"""),"A1 113")</f>
        <v>A1 113</v>
      </c>
      <c r="J116" s="277" t="str">
        <f>IFERROR(__xludf.DUMMYFUNCTION("""COMPUTED_VALUE"""),"Clefairy")</f>
        <v>Clefairy</v>
      </c>
      <c r="K116" s="277" t="str">
        <f>IFERROR(__xludf.DUMMYFUNCTION("""COMPUTED_VALUE"""),"A1-Pikachu")</f>
        <v>A1-Pikachu</v>
      </c>
      <c r="L116" s="277" t="str">
        <f>IFERROR(__xludf.DUMMYFUNCTION("""COMPUTED_VALUE"""),"♢")</f>
        <v>♢</v>
      </c>
      <c r="M116" s="440" t="b">
        <f t="shared" si="2"/>
        <v>1</v>
      </c>
      <c r="N116" s="441"/>
      <c r="O116" s="277"/>
      <c r="P116" s="277"/>
      <c r="Q116" s="278"/>
      <c r="R116" s="449" t="str">
        <f t="array" ref="R116">IFERROR(IFS(OR(P116="A1-Mewtwo", P116="A1-Pikachu", P116="A1-Charizard", P116="A1"), XLOOKUP(N116, 'Genetic Apex'!$C$2:$C889, 'Genetic Apex'!$B$2:$B889)-$B$4, P116="A1a", XLOOKUP(N116, 'Mythical Island'!$C$2:$C889, 'Mythical Island'!$B$2:$B889)-$B$4, OR(P116="A2-Dialga", P116="A2-Palkia", P116="A2"), XLOOKUP(N116, 'Space-Time Smackdown'!$C$2:$C889, 'Space-Time Smackdown'!$B$2:$B889)-$B$4))</f>
        <v/>
      </c>
      <c r="S116" s="277" t="str">
        <f>IFERROR(__xludf.DUMMYFUNCTION("""COMPUTED_VALUE"""),"A1 113")</f>
        <v>A1 113</v>
      </c>
      <c r="T116" s="277" t="str">
        <f>IFERROR(__xludf.DUMMYFUNCTION("""COMPUTED_VALUE"""),"Clefairy")</f>
        <v>Clefairy</v>
      </c>
      <c r="U116" s="277" t="str">
        <f>IFERROR(__xludf.DUMMYFUNCTION("""COMPUTED_VALUE"""),"A1-Pikachu")</f>
        <v>A1-Pikachu</v>
      </c>
      <c r="V116" s="278" t="str">
        <f>IFERROR(__xludf.DUMMYFUNCTION("""COMPUTED_VALUE"""),"♢")</f>
        <v>♢</v>
      </c>
      <c r="W116" s="443">
        <f t="array" ref="W116">IFERROR(IFS(OR(U116="A1-Mewtwo", U116="A1-Pikachu", U116="A1-Charizard", U116="A1"), $B$5-XLOOKUP(S116, 'Genetic Apex'!$C$2:$C889, 'Genetic Apex'!$B$2:$B889), U116="A1a", $B$5-XLOOKUP(S116, 'Mythical Island'!$C$2:$C889, 'Mythical Island'!$B$2:$B889), OR(U116="A2-Dialga", U116="A2-Palkia", U116="A2"), $B$5-XLOOKUP(S116, 'Space-Time Smackdown'!$C$2:$C889, 'Space-Time Smackdown'!$B$2:$B889)))</f>
        <v>1</v>
      </c>
      <c r="X116" s="444">
        <f t="shared" si="3"/>
        <v>0</v>
      </c>
      <c r="Y116" s="445" t="str">
        <f t="shared" si="4"/>
        <v/>
      </c>
      <c r="Z116" s="278"/>
      <c r="AA116" s="466"/>
      <c r="AB116" s="278"/>
      <c r="AC116" s="278"/>
      <c r="AD116" s="278"/>
      <c r="AE116" s="278"/>
      <c r="AF116" s="278"/>
      <c r="AG116" s="278" t="b">
        <f t="shared" si="5"/>
        <v>0</v>
      </c>
      <c r="AH116" s="454"/>
      <c r="AI116" s="278"/>
      <c r="AJ116" s="278"/>
      <c r="AK116" s="278"/>
      <c r="AL116" s="444" t="str">
        <f t="array" ref="AL116">IFERROR(IFS(OR(AJ116="A1-Mewtwo", AJ116="A1-Pikachu", AJ116="A1-Charizard", AJ116="A1"), XLOOKUP(AH116, 'Genetic Apex'!$C$2:$C889, 'Genetic Apex'!$B$2:$B889)-2, AJ116="A1a", XLOOKUP(AH116, 'Mythical Island'!$C$2:$C889, 'Mythical Island'!$B$2:$B889)-2, OR(AJ116="A2-Dialga", AJ116="A2-Palkia", AJ116="A2"), XLOOKUP(AH116, 'Space-Time Smackdown'!$C$2:$C889, 'Space-Time Smackdown'!$B$2:$B889)-2))</f>
        <v/>
      </c>
      <c r="AM116" s="444" t="str">
        <f t="shared" si="6"/>
        <v/>
      </c>
      <c r="AN116" s="448" t="str">
        <f t="shared" si="7"/>
        <v/>
      </c>
    </row>
    <row r="117">
      <c r="A117" s="277"/>
      <c r="B117" s="277"/>
      <c r="C117" s="441"/>
      <c r="D117" s="277"/>
      <c r="E117" s="277"/>
      <c r="F117" s="277"/>
      <c r="G117" s="277"/>
      <c r="H117" s="277" t="b">
        <f t="shared" si="1"/>
        <v>0</v>
      </c>
      <c r="I117" s="277" t="str">
        <f>IFERROR(__xludf.DUMMYFUNCTION("""COMPUTED_VALUE"""),"A1 114")</f>
        <v>A1 114</v>
      </c>
      <c r="J117" s="277" t="str">
        <f>IFERROR(__xludf.DUMMYFUNCTION("""COMPUTED_VALUE"""),"Clefable")</f>
        <v>Clefable</v>
      </c>
      <c r="K117" s="277" t="str">
        <f>IFERROR(__xludf.DUMMYFUNCTION("""COMPUTED_VALUE"""),"A1-Pikachu")</f>
        <v>A1-Pikachu</v>
      </c>
      <c r="L117" s="277" t="str">
        <f>IFERROR(__xludf.DUMMYFUNCTION("""COMPUTED_VALUE"""),"♢♢")</f>
        <v>♢♢</v>
      </c>
      <c r="M117" s="440" t="b">
        <f t="shared" si="2"/>
        <v>1</v>
      </c>
      <c r="N117" s="441"/>
      <c r="O117" s="277"/>
      <c r="P117" s="277"/>
      <c r="Q117" s="278"/>
      <c r="R117" s="449" t="str">
        <f t="array" ref="R117">IFERROR(IFS(OR(P117="A1-Mewtwo", P117="A1-Pikachu", P117="A1-Charizard", P117="A1"), XLOOKUP(N117, 'Genetic Apex'!$C$2:$C889, 'Genetic Apex'!$B$2:$B889)-$B$4, P117="A1a", XLOOKUP(N117, 'Mythical Island'!$C$2:$C889, 'Mythical Island'!$B$2:$B889)-$B$4, OR(P117="A2-Dialga", P117="A2-Palkia", P117="A2"), XLOOKUP(N117, 'Space-Time Smackdown'!$C$2:$C889, 'Space-Time Smackdown'!$B$2:$B889)-$B$4))</f>
        <v/>
      </c>
      <c r="S117" s="277" t="str">
        <f>IFERROR(__xludf.DUMMYFUNCTION("""COMPUTED_VALUE"""),"A1 114")</f>
        <v>A1 114</v>
      </c>
      <c r="T117" s="277" t="str">
        <f>IFERROR(__xludf.DUMMYFUNCTION("""COMPUTED_VALUE"""),"Clefable")</f>
        <v>Clefable</v>
      </c>
      <c r="U117" s="277" t="str">
        <f>IFERROR(__xludf.DUMMYFUNCTION("""COMPUTED_VALUE"""),"A1-Pikachu")</f>
        <v>A1-Pikachu</v>
      </c>
      <c r="V117" s="278" t="str">
        <f>IFERROR(__xludf.DUMMYFUNCTION("""COMPUTED_VALUE"""),"♢♢")</f>
        <v>♢♢</v>
      </c>
      <c r="W117" s="443">
        <f t="array" ref="W117">IFERROR(IFS(OR(U117="A1-Mewtwo", U117="A1-Pikachu", U117="A1-Charizard", U117="A1"), $B$5-XLOOKUP(S117, 'Genetic Apex'!$C$2:$C889, 'Genetic Apex'!$B$2:$B889), U117="A1a", $B$5-XLOOKUP(S117, 'Mythical Island'!$C$2:$C889, 'Mythical Island'!$B$2:$B889), OR(U117="A2-Dialga", U117="A2-Palkia", U117="A2"), $B$5-XLOOKUP(S117, 'Space-Time Smackdown'!$C$2:$C889, 'Space-Time Smackdown'!$B$2:$B889)))</f>
        <v>1</v>
      </c>
      <c r="X117" s="444">
        <f t="shared" si="3"/>
        <v>0</v>
      </c>
      <c r="Y117" s="445" t="str">
        <f t="shared" si="4"/>
        <v/>
      </c>
      <c r="Z117" s="278"/>
      <c r="AA117" s="466"/>
      <c r="AB117" s="278"/>
      <c r="AC117" s="278"/>
      <c r="AD117" s="278"/>
      <c r="AE117" s="278"/>
      <c r="AF117" s="278"/>
      <c r="AG117" s="278" t="b">
        <f t="shared" si="5"/>
        <v>0</v>
      </c>
      <c r="AH117" s="454"/>
      <c r="AI117" s="278"/>
      <c r="AJ117" s="278"/>
      <c r="AK117" s="278"/>
      <c r="AL117" s="444" t="str">
        <f t="array" ref="AL117">IFERROR(IFS(OR(AJ117="A1-Mewtwo", AJ117="A1-Pikachu", AJ117="A1-Charizard", AJ117="A1"), XLOOKUP(AH117, 'Genetic Apex'!$C$2:$C889, 'Genetic Apex'!$B$2:$B889)-2, AJ117="A1a", XLOOKUP(AH117, 'Mythical Island'!$C$2:$C889, 'Mythical Island'!$B$2:$B889)-2, OR(AJ117="A2-Dialga", AJ117="A2-Palkia", AJ117="A2"), XLOOKUP(AH117, 'Space-Time Smackdown'!$C$2:$C889, 'Space-Time Smackdown'!$B$2:$B889)-2))</f>
        <v/>
      </c>
      <c r="AM117" s="444" t="str">
        <f t="shared" si="6"/>
        <v/>
      </c>
      <c r="AN117" s="448" t="str">
        <f t="shared" si="7"/>
        <v/>
      </c>
    </row>
    <row r="118">
      <c r="A118" s="277"/>
      <c r="B118" s="277"/>
      <c r="C118" s="441"/>
      <c r="D118" s="277"/>
      <c r="E118" s="277"/>
      <c r="F118" s="277"/>
      <c r="G118" s="277"/>
      <c r="H118" s="277" t="b">
        <f t="shared" si="1"/>
        <v>0</v>
      </c>
      <c r="I118" s="277" t="str">
        <f>IFERROR(__xludf.DUMMYFUNCTION("""COMPUTED_VALUE"""),"A1 115")</f>
        <v>A1 115</v>
      </c>
      <c r="J118" s="277" t="str">
        <f>IFERROR(__xludf.DUMMYFUNCTION("""COMPUTED_VALUE"""),"Abra")</f>
        <v>Abra</v>
      </c>
      <c r="K118" s="277" t="str">
        <f>IFERROR(__xludf.DUMMYFUNCTION("""COMPUTED_VALUE"""),"A1-Charizard")</f>
        <v>A1-Charizard</v>
      </c>
      <c r="L118" s="277" t="str">
        <f>IFERROR(__xludf.DUMMYFUNCTION("""COMPUTED_VALUE"""),"♢")</f>
        <v>♢</v>
      </c>
      <c r="M118" s="440" t="b">
        <f t="shared" si="2"/>
        <v>1</v>
      </c>
      <c r="N118" s="441"/>
      <c r="O118" s="277"/>
      <c r="P118" s="277"/>
      <c r="Q118" s="278"/>
      <c r="R118" s="449" t="str">
        <f t="array" ref="R118">IFERROR(IFS(OR(P118="A1-Mewtwo", P118="A1-Pikachu", P118="A1-Charizard", P118="A1"), XLOOKUP(N118, 'Genetic Apex'!$C$2:$C889, 'Genetic Apex'!$B$2:$B889)-$B$4, P118="A1a", XLOOKUP(N118, 'Mythical Island'!$C$2:$C889, 'Mythical Island'!$B$2:$B889)-$B$4, OR(P118="A2-Dialga", P118="A2-Palkia", P118="A2"), XLOOKUP(N118, 'Space-Time Smackdown'!$C$2:$C889, 'Space-Time Smackdown'!$B$2:$B889)-$B$4))</f>
        <v/>
      </c>
      <c r="S118" s="277" t="str">
        <f>IFERROR(__xludf.DUMMYFUNCTION("""COMPUTED_VALUE"""),"A1 115")</f>
        <v>A1 115</v>
      </c>
      <c r="T118" s="277" t="str">
        <f>IFERROR(__xludf.DUMMYFUNCTION("""COMPUTED_VALUE"""),"Abra")</f>
        <v>Abra</v>
      </c>
      <c r="U118" s="277" t="str">
        <f>IFERROR(__xludf.DUMMYFUNCTION("""COMPUTED_VALUE"""),"A1-Charizard")</f>
        <v>A1-Charizard</v>
      </c>
      <c r="V118" s="278" t="str">
        <f>IFERROR(__xludf.DUMMYFUNCTION("""COMPUTED_VALUE"""),"♢")</f>
        <v>♢</v>
      </c>
      <c r="W118" s="443">
        <f t="array" ref="W118">IFERROR(IFS(OR(U118="A1-Mewtwo", U118="A1-Pikachu", U118="A1-Charizard", U118="A1"), $B$5-XLOOKUP(S118, 'Genetic Apex'!$C$2:$C889, 'Genetic Apex'!$B$2:$B889), U118="A1a", $B$5-XLOOKUP(S118, 'Mythical Island'!$C$2:$C889, 'Mythical Island'!$B$2:$B889), OR(U118="A2-Dialga", U118="A2-Palkia", U118="A2"), $B$5-XLOOKUP(S118, 'Space-Time Smackdown'!$C$2:$C889, 'Space-Time Smackdown'!$B$2:$B889)))</f>
        <v>1</v>
      </c>
      <c r="X118" s="444">
        <f t="shared" si="3"/>
        <v>0</v>
      </c>
      <c r="Y118" s="445" t="str">
        <f t="shared" si="4"/>
        <v/>
      </c>
      <c r="Z118" s="278"/>
      <c r="AA118" s="466"/>
      <c r="AB118" s="278"/>
      <c r="AC118" s="278"/>
      <c r="AD118" s="278"/>
      <c r="AE118" s="278"/>
      <c r="AF118" s="278"/>
      <c r="AG118" s="278" t="b">
        <f t="shared" si="5"/>
        <v>0</v>
      </c>
      <c r="AH118" s="454"/>
      <c r="AI118" s="278"/>
      <c r="AJ118" s="278"/>
      <c r="AK118" s="278"/>
      <c r="AL118" s="444" t="str">
        <f t="array" ref="AL118">IFERROR(IFS(OR(AJ118="A1-Mewtwo", AJ118="A1-Pikachu", AJ118="A1-Charizard", AJ118="A1"), XLOOKUP(AH118, 'Genetic Apex'!$C$2:$C889, 'Genetic Apex'!$B$2:$B889)-2, AJ118="A1a", XLOOKUP(AH118, 'Mythical Island'!$C$2:$C889, 'Mythical Island'!$B$2:$B889)-2, OR(AJ118="A2-Dialga", AJ118="A2-Palkia", AJ118="A2"), XLOOKUP(AH118, 'Space-Time Smackdown'!$C$2:$C889, 'Space-Time Smackdown'!$B$2:$B889)-2))</f>
        <v/>
      </c>
      <c r="AM118" s="444" t="str">
        <f t="shared" si="6"/>
        <v/>
      </c>
      <c r="AN118" s="448" t="str">
        <f t="shared" si="7"/>
        <v/>
      </c>
    </row>
    <row r="119">
      <c r="A119" s="277"/>
      <c r="B119" s="277"/>
      <c r="C119" s="441"/>
      <c r="D119" s="277"/>
      <c r="E119" s="277"/>
      <c r="F119" s="277"/>
      <c r="G119" s="277"/>
      <c r="H119" s="277" t="b">
        <f t="shared" si="1"/>
        <v>0</v>
      </c>
      <c r="I119" s="277" t="str">
        <f>IFERROR(__xludf.DUMMYFUNCTION("""COMPUTED_VALUE"""),"A1 116")</f>
        <v>A1 116</v>
      </c>
      <c r="J119" s="277" t="str">
        <f>IFERROR(__xludf.DUMMYFUNCTION("""COMPUTED_VALUE"""),"Kadabra")</f>
        <v>Kadabra</v>
      </c>
      <c r="K119" s="277" t="str">
        <f>IFERROR(__xludf.DUMMYFUNCTION("""COMPUTED_VALUE"""),"A1-Charizard")</f>
        <v>A1-Charizard</v>
      </c>
      <c r="L119" s="277" t="str">
        <f>IFERROR(__xludf.DUMMYFUNCTION("""COMPUTED_VALUE"""),"♢♢")</f>
        <v>♢♢</v>
      </c>
      <c r="M119" s="440" t="b">
        <f t="shared" si="2"/>
        <v>1</v>
      </c>
      <c r="N119" s="441"/>
      <c r="O119" s="277"/>
      <c r="P119" s="277"/>
      <c r="Q119" s="278"/>
      <c r="R119" s="449" t="str">
        <f t="array" ref="R119">IFERROR(IFS(OR(P119="A1-Mewtwo", P119="A1-Pikachu", P119="A1-Charizard", P119="A1"), XLOOKUP(N119, 'Genetic Apex'!$C$2:$C889, 'Genetic Apex'!$B$2:$B889)-$B$4, P119="A1a", XLOOKUP(N119, 'Mythical Island'!$C$2:$C889, 'Mythical Island'!$B$2:$B889)-$B$4, OR(P119="A2-Dialga", P119="A2-Palkia", P119="A2"), XLOOKUP(N119, 'Space-Time Smackdown'!$C$2:$C889, 'Space-Time Smackdown'!$B$2:$B889)-$B$4))</f>
        <v/>
      </c>
      <c r="S119" s="277" t="str">
        <f>IFERROR(__xludf.DUMMYFUNCTION("""COMPUTED_VALUE"""),"A1 116")</f>
        <v>A1 116</v>
      </c>
      <c r="T119" s="277" t="str">
        <f>IFERROR(__xludf.DUMMYFUNCTION("""COMPUTED_VALUE"""),"Kadabra")</f>
        <v>Kadabra</v>
      </c>
      <c r="U119" s="277" t="str">
        <f>IFERROR(__xludf.DUMMYFUNCTION("""COMPUTED_VALUE"""),"A1-Charizard")</f>
        <v>A1-Charizard</v>
      </c>
      <c r="V119" s="278" t="str">
        <f>IFERROR(__xludf.DUMMYFUNCTION("""COMPUTED_VALUE"""),"♢♢")</f>
        <v>♢♢</v>
      </c>
      <c r="W119" s="443">
        <f t="array" ref="W119">IFERROR(IFS(OR(U119="A1-Mewtwo", U119="A1-Pikachu", U119="A1-Charizard", U119="A1"), $B$5-XLOOKUP(S119, 'Genetic Apex'!$C$2:$C889, 'Genetic Apex'!$B$2:$B889), U119="A1a", $B$5-XLOOKUP(S119, 'Mythical Island'!$C$2:$C889, 'Mythical Island'!$B$2:$B889), OR(U119="A2-Dialga", U119="A2-Palkia", U119="A2"), $B$5-XLOOKUP(S119, 'Space-Time Smackdown'!$C$2:$C889, 'Space-Time Smackdown'!$B$2:$B889)))</f>
        <v>1</v>
      </c>
      <c r="X119" s="444">
        <f t="shared" si="3"/>
        <v>0</v>
      </c>
      <c r="Y119" s="445" t="str">
        <f t="shared" si="4"/>
        <v/>
      </c>
      <c r="Z119" s="278"/>
      <c r="AA119" s="466"/>
      <c r="AB119" s="278"/>
      <c r="AC119" s="278"/>
      <c r="AD119" s="278"/>
      <c r="AE119" s="278"/>
      <c r="AF119" s="278"/>
      <c r="AG119" s="278" t="b">
        <f t="shared" si="5"/>
        <v>0</v>
      </c>
      <c r="AH119" s="454"/>
      <c r="AI119" s="278"/>
      <c r="AJ119" s="278"/>
      <c r="AK119" s="278"/>
      <c r="AL119" s="444" t="str">
        <f t="array" ref="AL119">IFERROR(IFS(OR(AJ119="A1-Mewtwo", AJ119="A1-Pikachu", AJ119="A1-Charizard", AJ119="A1"), XLOOKUP(AH119, 'Genetic Apex'!$C$2:$C889, 'Genetic Apex'!$B$2:$B889)-2, AJ119="A1a", XLOOKUP(AH119, 'Mythical Island'!$C$2:$C889, 'Mythical Island'!$B$2:$B889)-2, OR(AJ119="A2-Dialga", AJ119="A2-Palkia", AJ119="A2"), XLOOKUP(AH119, 'Space-Time Smackdown'!$C$2:$C889, 'Space-Time Smackdown'!$B$2:$B889)-2))</f>
        <v/>
      </c>
      <c r="AM119" s="444" t="str">
        <f t="shared" si="6"/>
        <v/>
      </c>
      <c r="AN119" s="448" t="str">
        <f t="shared" si="7"/>
        <v/>
      </c>
    </row>
    <row r="120">
      <c r="A120" s="277"/>
      <c r="B120" s="277"/>
      <c r="C120" s="441"/>
      <c r="D120" s="277"/>
      <c r="E120" s="277"/>
      <c r="F120" s="277"/>
      <c r="G120" s="277"/>
      <c r="H120" s="277" t="b">
        <f t="shared" si="1"/>
        <v>0</v>
      </c>
      <c r="I120" s="277" t="str">
        <f>IFERROR(__xludf.DUMMYFUNCTION("""COMPUTED_VALUE"""),"A1 117")</f>
        <v>A1 117</v>
      </c>
      <c r="J120" s="277" t="str">
        <f>IFERROR(__xludf.DUMMYFUNCTION("""COMPUTED_VALUE"""),"Alakazam")</f>
        <v>Alakazam</v>
      </c>
      <c r="K120" s="277" t="str">
        <f>IFERROR(__xludf.DUMMYFUNCTION("""COMPUTED_VALUE"""),"A1-Charizard")</f>
        <v>A1-Charizard</v>
      </c>
      <c r="L120" s="277" t="str">
        <f>IFERROR(__xludf.DUMMYFUNCTION("""COMPUTED_VALUE"""),"♢♢♢")</f>
        <v>♢♢♢</v>
      </c>
      <c r="M120" s="440" t="b">
        <f t="shared" si="2"/>
        <v>1</v>
      </c>
      <c r="N120" s="441"/>
      <c r="O120" s="277"/>
      <c r="P120" s="277"/>
      <c r="Q120" s="278"/>
      <c r="R120" s="449" t="str">
        <f t="array" ref="R120">IFERROR(IFS(OR(P120="A1-Mewtwo", P120="A1-Pikachu", P120="A1-Charizard", P120="A1"), XLOOKUP(N120, 'Genetic Apex'!$C$2:$C889, 'Genetic Apex'!$B$2:$B889)-$B$4, P120="A1a", XLOOKUP(N120, 'Mythical Island'!$C$2:$C889, 'Mythical Island'!$B$2:$B889)-$B$4, OR(P120="A2-Dialga", P120="A2-Palkia", P120="A2"), XLOOKUP(N120, 'Space-Time Smackdown'!$C$2:$C889, 'Space-Time Smackdown'!$B$2:$B889)-$B$4))</f>
        <v/>
      </c>
      <c r="S120" s="277" t="str">
        <f>IFERROR(__xludf.DUMMYFUNCTION("""COMPUTED_VALUE"""),"A1 117")</f>
        <v>A1 117</v>
      </c>
      <c r="T120" s="277" t="str">
        <f>IFERROR(__xludf.DUMMYFUNCTION("""COMPUTED_VALUE"""),"Alakazam")</f>
        <v>Alakazam</v>
      </c>
      <c r="U120" s="277" t="str">
        <f>IFERROR(__xludf.DUMMYFUNCTION("""COMPUTED_VALUE"""),"A1-Charizard")</f>
        <v>A1-Charizard</v>
      </c>
      <c r="V120" s="278" t="str">
        <f>IFERROR(__xludf.DUMMYFUNCTION("""COMPUTED_VALUE"""),"♢♢♢")</f>
        <v>♢♢♢</v>
      </c>
      <c r="W120" s="443">
        <f t="array" ref="W120">IFERROR(IFS(OR(U120="A1-Mewtwo", U120="A1-Pikachu", U120="A1-Charizard", U120="A1"), $B$5-XLOOKUP(S120, 'Genetic Apex'!$C$2:$C889, 'Genetic Apex'!$B$2:$B889), U120="A1a", $B$5-XLOOKUP(S120, 'Mythical Island'!$C$2:$C889, 'Mythical Island'!$B$2:$B889), OR(U120="A2-Dialga", U120="A2-Palkia", U120="A2"), $B$5-XLOOKUP(S120, 'Space-Time Smackdown'!$C$2:$C889, 'Space-Time Smackdown'!$B$2:$B889)))</f>
        <v>1</v>
      </c>
      <c r="X120" s="444">
        <f t="shared" si="3"/>
        <v>120</v>
      </c>
      <c r="Y120" s="445">
        <f t="shared" si="4"/>
        <v>120</v>
      </c>
      <c r="Z120" s="278"/>
      <c r="AA120" s="466"/>
      <c r="AB120" s="278"/>
      <c r="AC120" s="278"/>
      <c r="AD120" s="278"/>
      <c r="AE120" s="278"/>
      <c r="AF120" s="278"/>
      <c r="AG120" s="278" t="b">
        <f t="shared" si="5"/>
        <v>0</v>
      </c>
      <c r="AH120" s="454"/>
      <c r="AI120" s="278"/>
      <c r="AJ120" s="278"/>
      <c r="AK120" s="278"/>
      <c r="AL120" s="444" t="str">
        <f t="array" ref="AL120">IFERROR(IFS(OR(AJ120="A1-Mewtwo", AJ120="A1-Pikachu", AJ120="A1-Charizard", AJ120="A1"), XLOOKUP(AH120, 'Genetic Apex'!$C$2:$C889, 'Genetic Apex'!$B$2:$B889)-2, AJ120="A1a", XLOOKUP(AH120, 'Mythical Island'!$C$2:$C889, 'Mythical Island'!$B$2:$B889)-2, OR(AJ120="A2-Dialga", AJ120="A2-Palkia", AJ120="A2"), XLOOKUP(AH120, 'Space-Time Smackdown'!$C$2:$C889, 'Space-Time Smackdown'!$B$2:$B889)-2))</f>
        <v/>
      </c>
      <c r="AM120" s="444" t="str">
        <f t="shared" si="6"/>
        <v/>
      </c>
      <c r="AN120" s="448" t="str">
        <f t="shared" si="7"/>
        <v/>
      </c>
    </row>
    <row r="121">
      <c r="A121" s="277"/>
      <c r="B121" s="277"/>
      <c r="C121" s="441"/>
      <c r="D121" s="277"/>
      <c r="E121" s="277"/>
      <c r="F121" s="277"/>
      <c r="G121" s="277"/>
      <c r="H121" s="277" t="b">
        <f t="shared" si="1"/>
        <v>0</v>
      </c>
      <c r="I121" s="277" t="str">
        <f>IFERROR(__xludf.DUMMYFUNCTION("""COMPUTED_VALUE"""),"A1 118")</f>
        <v>A1 118</v>
      </c>
      <c r="J121" s="277" t="str">
        <f>IFERROR(__xludf.DUMMYFUNCTION("""COMPUTED_VALUE"""),"Slowpoke")</f>
        <v>Slowpoke</v>
      </c>
      <c r="K121" s="277" t="str">
        <f>IFERROR(__xludf.DUMMYFUNCTION("""COMPUTED_VALUE"""),"A1")</f>
        <v>A1</v>
      </c>
      <c r="L121" s="277" t="str">
        <f>IFERROR(__xludf.DUMMYFUNCTION("""COMPUTED_VALUE"""),"♢")</f>
        <v>♢</v>
      </c>
      <c r="M121" s="440" t="b">
        <f t="shared" si="2"/>
        <v>1</v>
      </c>
      <c r="N121" s="441"/>
      <c r="O121" s="277"/>
      <c r="P121" s="277"/>
      <c r="Q121" s="278"/>
      <c r="R121" s="449" t="str">
        <f t="array" ref="R121">IFERROR(IFS(OR(P121="A1-Mewtwo", P121="A1-Pikachu", P121="A1-Charizard", P121="A1"), XLOOKUP(N121, 'Genetic Apex'!$C$2:$C889, 'Genetic Apex'!$B$2:$B889)-$B$4, P121="A1a", XLOOKUP(N121, 'Mythical Island'!$C$2:$C889, 'Mythical Island'!$B$2:$B889)-$B$4, OR(P121="A2-Dialga", P121="A2-Palkia", P121="A2"), XLOOKUP(N121, 'Space-Time Smackdown'!$C$2:$C889, 'Space-Time Smackdown'!$B$2:$B889)-$B$4))</f>
        <v/>
      </c>
      <c r="S121" s="277" t="str">
        <f>IFERROR(__xludf.DUMMYFUNCTION("""COMPUTED_VALUE"""),"A1 118")</f>
        <v>A1 118</v>
      </c>
      <c r="T121" s="277" t="str">
        <f>IFERROR(__xludf.DUMMYFUNCTION("""COMPUTED_VALUE"""),"Slowpoke")</f>
        <v>Slowpoke</v>
      </c>
      <c r="U121" s="277" t="str">
        <f>IFERROR(__xludf.DUMMYFUNCTION("""COMPUTED_VALUE"""),"A1")</f>
        <v>A1</v>
      </c>
      <c r="V121" s="278" t="str">
        <f>IFERROR(__xludf.DUMMYFUNCTION("""COMPUTED_VALUE"""),"♢")</f>
        <v>♢</v>
      </c>
      <c r="W121" s="443">
        <f t="array" ref="W121">IFERROR(IFS(OR(U121="A1-Mewtwo", U121="A1-Pikachu", U121="A1-Charizard", U121="A1"), $B$5-XLOOKUP(S121, 'Genetic Apex'!$C$2:$C889, 'Genetic Apex'!$B$2:$B889), U121="A1a", $B$5-XLOOKUP(S121, 'Mythical Island'!$C$2:$C889, 'Mythical Island'!$B$2:$B889), OR(U121="A2-Dialga", U121="A2-Palkia", U121="A2"), $B$5-XLOOKUP(S121, 'Space-Time Smackdown'!$C$2:$C889, 'Space-Time Smackdown'!$B$2:$B889)))</f>
        <v>1</v>
      </c>
      <c r="X121" s="444">
        <f t="shared" si="3"/>
        <v>0</v>
      </c>
      <c r="Y121" s="445" t="str">
        <f t="shared" si="4"/>
        <v/>
      </c>
      <c r="Z121" s="278"/>
      <c r="AA121" s="466"/>
      <c r="AB121" s="278"/>
      <c r="AC121" s="278"/>
      <c r="AD121" s="278"/>
      <c r="AE121" s="278"/>
      <c r="AF121" s="278"/>
      <c r="AG121" s="278" t="b">
        <f t="shared" si="5"/>
        <v>0</v>
      </c>
      <c r="AH121" s="454"/>
      <c r="AI121" s="278"/>
      <c r="AJ121" s="278"/>
      <c r="AK121" s="278"/>
      <c r="AL121" s="444" t="str">
        <f t="array" ref="AL121">IFERROR(IFS(OR(AJ121="A1-Mewtwo", AJ121="A1-Pikachu", AJ121="A1-Charizard", AJ121="A1"), XLOOKUP(AH121, 'Genetic Apex'!$C$2:$C889, 'Genetic Apex'!$B$2:$B889)-2, AJ121="A1a", XLOOKUP(AH121, 'Mythical Island'!$C$2:$C889, 'Mythical Island'!$B$2:$B889)-2, OR(AJ121="A2-Dialga", AJ121="A2-Palkia", AJ121="A2"), XLOOKUP(AH121, 'Space-Time Smackdown'!$C$2:$C889, 'Space-Time Smackdown'!$B$2:$B889)-2))</f>
        <v/>
      </c>
      <c r="AM121" s="444" t="str">
        <f t="shared" si="6"/>
        <v/>
      </c>
      <c r="AN121" s="448" t="str">
        <f t="shared" si="7"/>
        <v/>
      </c>
    </row>
    <row r="122">
      <c r="A122" s="277"/>
      <c r="B122" s="277"/>
      <c r="C122" s="441"/>
      <c r="D122" s="277"/>
      <c r="E122" s="277"/>
      <c r="F122" s="277"/>
      <c r="G122" s="277"/>
      <c r="H122" s="277" t="b">
        <f t="shared" si="1"/>
        <v>0</v>
      </c>
      <c r="I122" s="277" t="str">
        <f>IFERROR(__xludf.DUMMYFUNCTION("""COMPUTED_VALUE"""),"A1 119")</f>
        <v>A1 119</v>
      </c>
      <c r="J122" s="277" t="str">
        <f>IFERROR(__xludf.DUMMYFUNCTION("""COMPUTED_VALUE"""),"Slowbro")</f>
        <v>Slowbro</v>
      </c>
      <c r="K122" s="277" t="str">
        <f>IFERROR(__xludf.DUMMYFUNCTION("""COMPUTED_VALUE"""),"A1")</f>
        <v>A1</v>
      </c>
      <c r="L122" s="277" t="str">
        <f>IFERROR(__xludf.DUMMYFUNCTION("""COMPUTED_VALUE"""),"♢♢")</f>
        <v>♢♢</v>
      </c>
      <c r="M122" s="440" t="b">
        <f t="shared" si="2"/>
        <v>1</v>
      </c>
      <c r="N122" s="441"/>
      <c r="O122" s="277"/>
      <c r="P122" s="277"/>
      <c r="Q122" s="278"/>
      <c r="R122" s="449" t="str">
        <f t="array" ref="R122">IFERROR(IFS(OR(P122="A1-Mewtwo", P122="A1-Pikachu", P122="A1-Charizard", P122="A1"), XLOOKUP(N122, 'Genetic Apex'!$C$2:$C889, 'Genetic Apex'!$B$2:$B889)-$B$4, P122="A1a", XLOOKUP(N122, 'Mythical Island'!$C$2:$C889, 'Mythical Island'!$B$2:$B889)-$B$4, OR(P122="A2-Dialga", P122="A2-Palkia", P122="A2"), XLOOKUP(N122, 'Space-Time Smackdown'!$C$2:$C889, 'Space-Time Smackdown'!$B$2:$B889)-$B$4))</f>
        <v/>
      </c>
      <c r="S122" s="277" t="str">
        <f>IFERROR(__xludf.DUMMYFUNCTION("""COMPUTED_VALUE"""),"A1 119")</f>
        <v>A1 119</v>
      </c>
      <c r="T122" s="277" t="str">
        <f>IFERROR(__xludf.DUMMYFUNCTION("""COMPUTED_VALUE"""),"Slowbro")</f>
        <v>Slowbro</v>
      </c>
      <c r="U122" s="277" t="str">
        <f>IFERROR(__xludf.DUMMYFUNCTION("""COMPUTED_VALUE"""),"A1")</f>
        <v>A1</v>
      </c>
      <c r="V122" s="278" t="str">
        <f>IFERROR(__xludf.DUMMYFUNCTION("""COMPUTED_VALUE"""),"♢♢")</f>
        <v>♢♢</v>
      </c>
      <c r="W122" s="443">
        <f t="array" ref="W122">IFERROR(IFS(OR(U122="A1-Mewtwo", U122="A1-Pikachu", U122="A1-Charizard", U122="A1"), $B$5-XLOOKUP(S122, 'Genetic Apex'!$C$2:$C889, 'Genetic Apex'!$B$2:$B889), U122="A1a", $B$5-XLOOKUP(S122, 'Mythical Island'!$C$2:$C889, 'Mythical Island'!$B$2:$B889), OR(U122="A2-Dialga", U122="A2-Palkia", U122="A2"), $B$5-XLOOKUP(S122, 'Space-Time Smackdown'!$C$2:$C889, 'Space-Time Smackdown'!$B$2:$B889)))</f>
        <v>1</v>
      </c>
      <c r="X122" s="444">
        <f t="shared" si="3"/>
        <v>0</v>
      </c>
      <c r="Y122" s="445" t="str">
        <f t="shared" si="4"/>
        <v/>
      </c>
      <c r="Z122" s="278"/>
      <c r="AA122" s="466"/>
      <c r="AB122" s="278"/>
      <c r="AC122" s="278"/>
      <c r="AD122" s="278"/>
      <c r="AE122" s="278"/>
      <c r="AF122" s="278"/>
      <c r="AG122" s="278" t="b">
        <f t="shared" si="5"/>
        <v>0</v>
      </c>
      <c r="AH122" s="454"/>
      <c r="AI122" s="278"/>
      <c r="AJ122" s="278"/>
      <c r="AK122" s="278"/>
      <c r="AL122" s="444" t="str">
        <f t="array" ref="AL122">IFERROR(IFS(OR(AJ122="A1-Mewtwo", AJ122="A1-Pikachu", AJ122="A1-Charizard", AJ122="A1"), XLOOKUP(AH122, 'Genetic Apex'!$C$2:$C889, 'Genetic Apex'!$B$2:$B889)-2, AJ122="A1a", XLOOKUP(AH122, 'Mythical Island'!$C$2:$C889, 'Mythical Island'!$B$2:$B889)-2, OR(AJ122="A2-Dialga", AJ122="A2-Palkia", AJ122="A2"), XLOOKUP(AH122, 'Space-Time Smackdown'!$C$2:$C889, 'Space-Time Smackdown'!$B$2:$B889)-2))</f>
        <v/>
      </c>
      <c r="AM122" s="444" t="str">
        <f t="shared" si="6"/>
        <v/>
      </c>
      <c r="AN122" s="448" t="str">
        <f t="shared" si="7"/>
        <v/>
      </c>
    </row>
    <row r="123">
      <c r="A123" s="277"/>
      <c r="B123" s="277"/>
      <c r="C123" s="441"/>
      <c r="D123" s="277"/>
      <c r="E123" s="277"/>
      <c r="F123" s="277"/>
      <c r="G123" s="277"/>
      <c r="H123" s="277" t="b">
        <f t="shared" si="1"/>
        <v>0</v>
      </c>
      <c r="I123" s="277" t="str">
        <f>IFERROR(__xludf.DUMMYFUNCTION("""COMPUTED_VALUE"""),"A1 120")</f>
        <v>A1 120</v>
      </c>
      <c r="J123" s="277" t="str">
        <f>IFERROR(__xludf.DUMMYFUNCTION("""COMPUTED_VALUE"""),"Gastly")</f>
        <v>Gastly</v>
      </c>
      <c r="K123" s="277" t="str">
        <f>IFERROR(__xludf.DUMMYFUNCTION("""COMPUTED_VALUE"""),"A1-Mewtwo")</f>
        <v>A1-Mewtwo</v>
      </c>
      <c r="L123" s="277" t="str">
        <f>IFERROR(__xludf.DUMMYFUNCTION("""COMPUTED_VALUE"""),"♢")</f>
        <v>♢</v>
      </c>
      <c r="M123" s="440" t="b">
        <f t="shared" si="2"/>
        <v>1</v>
      </c>
      <c r="N123" s="441"/>
      <c r="O123" s="277"/>
      <c r="P123" s="277"/>
      <c r="Q123" s="278"/>
      <c r="R123" s="449" t="str">
        <f t="array" ref="R123">IFERROR(IFS(OR(P123="A1-Mewtwo", P123="A1-Pikachu", P123="A1-Charizard", P123="A1"), XLOOKUP(N123, 'Genetic Apex'!$C$2:$C889, 'Genetic Apex'!$B$2:$B889)-$B$4, P123="A1a", XLOOKUP(N123, 'Mythical Island'!$C$2:$C889, 'Mythical Island'!$B$2:$B889)-$B$4, OR(P123="A2-Dialga", P123="A2-Palkia", P123="A2"), XLOOKUP(N123, 'Space-Time Smackdown'!$C$2:$C889, 'Space-Time Smackdown'!$B$2:$B889)-$B$4))</f>
        <v/>
      </c>
      <c r="S123" s="277" t="str">
        <f>IFERROR(__xludf.DUMMYFUNCTION("""COMPUTED_VALUE"""),"A1 120")</f>
        <v>A1 120</v>
      </c>
      <c r="T123" s="277" t="str">
        <f>IFERROR(__xludf.DUMMYFUNCTION("""COMPUTED_VALUE"""),"Gastly")</f>
        <v>Gastly</v>
      </c>
      <c r="U123" s="277" t="str">
        <f>IFERROR(__xludf.DUMMYFUNCTION("""COMPUTED_VALUE"""),"A1-Mewtwo")</f>
        <v>A1-Mewtwo</v>
      </c>
      <c r="V123" s="278" t="str">
        <f>IFERROR(__xludf.DUMMYFUNCTION("""COMPUTED_VALUE"""),"♢")</f>
        <v>♢</v>
      </c>
      <c r="W123" s="443">
        <f t="array" ref="W123">IFERROR(IFS(OR(U123="A1-Mewtwo", U123="A1-Pikachu", U123="A1-Charizard", U123="A1"), $B$5-XLOOKUP(S123, 'Genetic Apex'!$C$2:$C889, 'Genetic Apex'!$B$2:$B889), U123="A1a", $B$5-XLOOKUP(S123, 'Mythical Island'!$C$2:$C889, 'Mythical Island'!$B$2:$B889), OR(U123="A2-Dialga", U123="A2-Palkia", U123="A2"), $B$5-XLOOKUP(S123, 'Space-Time Smackdown'!$C$2:$C889, 'Space-Time Smackdown'!$B$2:$B889)))</f>
        <v>1</v>
      </c>
      <c r="X123" s="444">
        <f t="shared" si="3"/>
        <v>0</v>
      </c>
      <c r="Y123" s="445" t="str">
        <f t="shared" si="4"/>
        <v/>
      </c>
      <c r="Z123" s="278"/>
      <c r="AA123" s="466"/>
      <c r="AB123" s="278"/>
      <c r="AC123" s="278"/>
      <c r="AD123" s="278"/>
      <c r="AE123" s="278"/>
      <c r="AF123" s="278"/>
      <c r="AG123" s="278" t="b">
        <f t="shared" si="5"/>
        <v>0</v>
      </c>
      <c r="AH123" s="454"/>
      <c r="AI123" s="278"/>
      <c r="AJ123" s="278"/>
      <c r="AK123" s="278"/>
      <c r="AL123" s="444" t="str">
        <f t="array" ref="AL123">IFERROR(IFS(OR(AJ123="A1-Mewtwo", AJ123="A1-Pikachu", AJ123="A1-Charizard", AJ123="A1"), XLOOKUP(AH123, 'Genetic Apex'!$C$2:$C889, 'Genetic Apex'!$B$2:$B889)-2, AJ123="A1a", XLOOKUP(AH123, 'Mythical Island'!$C$2:$C889, 'Mythical Island'!$B$2:$B889)-2, OR(AJ123="A2-Dialga", AJ123="A2-Palkia", AJ123="A2"), XLOOKUP(AH123, 'Space-Time Smackdown'!$C$2:$C889, 'Space-Time Smackdown'!$B$2:$B889)-2))</f>
        <v/>
      </c>
      <c r="AM123" s="444" t="str">
        <f t="shared" si="6"/>
        <v/>
      </c>
      <c r="AN123" s="448" t="str">
        <f t="shared" si="7"/>
        <v/>
      </c>
    </row>
    <row r="124">
      <c r="A124" s="277"/>
      <c r="B124" s="277"/>
      <c r="C124" s="441"/>
      <c r="D124" s="277"/>
      <c r="E124" s="277"/>
      <c r="F124" s="277"/>
      <c r="G124" s="277"/>
      <c r="H124" s="277" t="b">
        <f t="shared" si="1"/>
        <v>0</v>
      </c>
      <c r="I124" s="277" t="str">
        <f>IFERROR(__xludf.DUMMYFUNCTION("""COMPUTED_VALUE"""),"A1 121")</f>
        <v>A1 121</v>
      </c>
      <c r="J124" s="277" t="str">
        <f>IFERROR(__xludf.DUMMYFUNCTION("""COMPUTED_VALUE"""),"Haunter")</f>
        <v>Haunter</v>
      </c>
      <c r="K124" s="277" t="str">
        <f>IFERROR(__xludf.DUMMYFUNCTION("""COMPUTED_VALUE"""),"A1-Mewtwo")</f>
        <v>A1-Mewtwo</v>
      </c>
      <c r="L124" s="277" t="str">
        <f>IFERROR(__xludf.DUMMYFUNCTION("""COMPUTED_VALUE"""),"♢♢")</f>
        <v>♢♢</v>
      </c>
      <c r="M124" s="440" t="b">
        <f t="shared" si="2"/>
        <v>1</v>
      </c>
      <c r="N124" s="441"/>
      <c r="O124" s="277"/>
      <c r="P124" s="277"/>
      <c r="Q124" s="278"/>
      <c r="R124" s="449" t="str">
        <f t="array" ref="R124">IFERROR(IFS(OR(P124="A1-Mewtwo", P124="A1-Pikachu", P124="A1-Charizard", P124="A1"), XLOOKUP(N124, 'Genetic Apex'!$C$2:$C889, 'Genetic Apex'!$B$2:$B889)-$B$4, P124="A1a", XLOOKUP(N124, 'Mythical Island'!$C$2:$C889, 'Mythical Island'!$B$2:$B889)-$B$4, OR(P124="A2-Dialga", P124="A2-Palkia", P124="A2"), XLOOKUP(N124, 'Space-Time Smackdown'!$C$2:$C889, 'Space-Time Smackdown'!$B$2:$B889)-$B$4))</f>
        <v/>
      </c>
      <c r="S124" s="277" t="str">
        <f>IFERROR(__xludf.DUMMYFUNCTION("""COMPUTED_VALUE"""),"A1 121")</f>
        <v>A1 121</v>
      </c>
      <c r="T124" s="277" t="str">
        <f>IFERROR(__xludf.DUMMYFUNCTION("""COMPUTED_VALUE"""),"Haunter")</f>
        <v>Haunter</v>
      </c>
      <c r="U124" s="277" t="str">
        <f>IFERROR(__xludf.DUMMYFUNCTION("""COMPUTED_VALUE"""),"A1-Mewtwo")</f>
        <v>A1-Mewtwo</v>
      </c>
      <c r="V124" s="278" t="str">
        <f>IFERROR(__xludf.DUMMYFUNCTION("""COMPUTED_VALUE"""),"♢♢")</f>
        <v>♢♢</v>
      </c>
      <c r="W124" s="443">
        <f t="array" ref="W124">IFERROR(IFS(OR(U124="A1-Mewtwo", U124="A1-Pikachu", U124="A1-Charizard", U124="A1"), $B$5-XLOOKUP(S124, 'Genetic Apex'!$C$2:$C889, 'Genetic Apex'!$B$2:$B889), U124="A1a", $B$5-XLOOKUP(S124, 'Mythical Island'!$C$2:$C889, 'Mythical Island'!$B$2:$B889), OR(U124="A2-Dialga", U124="A2-Palkia", U124="A2"), $B$5-XLOOKUP(S124, 'Space-Time Smackdown'!$C$2:$C889, 'Space-Time Smackdown'!$B$2:$B889)))</f>
        <v>1</v>
      </c>
      <c r="X124" s="444">
        <f t="shared" si="3"/>
        <v>0</v>
      </c>
      <c r="Y124" s="445" t="str">
        <f t="shared" si="4"/>
        <v/>
      </c>
      <c r="Z124" s="278"/>
      <c r="AA124" s="466"/>
      <c r="AB124" s="278"/>
      <c r="AC124" s="278"/>
      <c r="AD124" s="278"/>
      <c r="AE124" s="278"/>
      <c r="AF124" s="278"/>
      <c r="AG124" s="278" t="b">
        <f t="shared" si="5"/>
        <v>0</v>
      </c>
      <c r="AH124" s="454"/>
      <c r="AI124" s="278"/>
      <c r="AJ124" s="278"/>
      <c r="AK124" s="278"/>
      <c r="AL124" s="444" t="str">
        <f t="array" ref="AL124">IFERROR(IFS(OR(AJ124="A1-Mewtwo", AJ124="A1-Pikachu", AJ124="A1-Charizard", AJ124="A1"), XLOOKUP(AH124, 'Genetic Apex'!$C$2:$C889, 'Genetic Apex'!$B$2:$B889)-2, AJ124="A1a", XLOOKUP(AH124, 'Mythical Island'!$C$2:$C889, 'Mythical Island'!$B$2:$B889)-2, OR(AJ124="A2-Dialga", AJ124="A2-Palkia", AJ124="A2"), XLOOKUP(AH124, 'Space-Time Smackdown'!$C$2:$C889, 'Space-Time Smackdown'!$B$2:$B889)-2))</f>
        <v/>
      </c>
      <c r="AM124" s="444" t="str">
        <f t="shared" si="6"/>
        <v/>
      </c>
      <c r="AN124" s="448" t="str">
        <f t="shared" si="7"/>
        <v/>
      </c>
    </row>
    <row r="125">
      <c r="A125" s="277"/>
      <c r="B125" s="277"/>
      <c r="C125" s="441"/>
      <c r="D125" s="277"/>
      <c r="E125" s="277"/>
      <c r="F125" s="277"/>
      <c r="G125" s="277"/>
      <c r="H125" s="277" t="b">
        <f t="shared" si="1"/>
        <v>0</v>
      </c>
      <c r="I125" s="277" t="str">
        <f>IFERROR(__xludf.DUMMYFUNCTION("""COMPUTED_VALUE"""),"A1 122")</f>
        <v>A1 122</v>
      </c>
      <c r="J125" s="277" t="str">
        <f>IFERROR(__xludf.DUMMYFUNCTION("""COMPUTED_VALUE"""),"Gengar")</f>
        <v>Gengar</v>
      </c>
      <c r="K125" s="277" t="str">
        <f>IFERROR(__xludf.DUMMYFUNCTION("""COMPUTED_VALUE"""),"A1-Mewtwo")</f>
        <v>A1-Mewtwo</v>
      </c>
      <c r="L125" s="277" t="str">
        <f>IFERROR(__xludf.DUMMYFUNCTION("""COMPUTED_VALUE"""),"♢♢♢")</f>
        <v>♢♢♢</v>
      </c>
      <c r="M125" s="440" t="b">
        <f t="shared" si="2"/>
        <v>1</v>
      </c>
      <c r="N125" s="441"/>
      <c r="O125" s="277"/>
      <c r="P125" s="277"/>
      <c r="Q125" s="278"/>
      <c r="R125" s="449" t="str">
        <f t="array" ref="R125">IFERROR(IFS(OR(P125="A1-Mewtwo", P125="A1-Pikachu", P125="A1-Charizard", P125="A1"), XLOOKUP(N125, 'Genetic Apex'!$C$2:$C889, 'Genetic Apex'!$B$2:$B889)-$B$4, P125="A1a", XLOOKUP(N125, 'Mythical Island'!$C$2:$C889, 'Mythical Island'!$B$2:$B889)-$B$4, OR(P125="A2-Dialga", P125="A2-Palkia", P125="A2"), XLOOKUP(N125, 'Space-Time Smackdown'!$C$2:$C889, 'Space-Time Smackdown'!$B$2:$B889)-$B$4))</f>
        <v/>
      </c>
      <c r="S125" s="277" t="str">
        <f>IFERROR(__xludf.DUMMYFUNCTION("""COMPUTED_VALUE"""),"A1 122")</f>
        <v>A1 122</v>
      </c>
      <c r="T125" s="277" t="str">
        <f>IFERROR(__xludf.DUMMYFUNCTION("""COMPUTED_VALUE"""),"Gengar")</f>
        <v>Gengar</v>
      </c>
      <c r="U125" s="277" t="str">
        <f>IFERROR(__xludf.DUMMYFUNCTION("""COMPUTED_VALUE"""),"A1-Mewtwo")</f>
        <v>A1-Mewtwo</v>
      </c>
      <c r="V125" s="278" t="str">
        <f>IFERROR(__xludf.DUMMYFUNCTION("""COMPUTED_VALUE"""),"♢♢♢")</f>
        <v>♢♢♢</v>
      </c>
      <c r="W125" s="443">
        <f t="array" ref="W125">IFERROR(IFS(OR(U125="A1-Mewtwo", U125="A1-Pikachu", U125="A1-Charizard", U125="A1"), $B$5-XLOOKUP(S125, 'Genetic Apex'!$C$2:$C889, 'Genetic Apex'!$B$2:$B889), U125="A1a", $B$5-XLOOKUP(S125, 'Mythical Island'!$C$2:$C889, 'Mythical Island'!$B$2:$B889), OR(U125="A2-Dialga", U125="A2-Palkia", U125="A2"), $B$5-XLOOKUP(S125, 'Space-Time Smackdown'!$C$2:$C889, 'Space-Time Smackdown'!$B$2:$B889)))</f>
        <v>1</v>
      </c>
      <c r="X125" s="444">
        <f t="shared" si="3"/>
        <v>120</v>
      </c>
      <c r="Y125" s="445">
        <f t="shared" si="4"/>
        <v>120</v>
      </c>
      <c r="Z125" s="278"/>
      <c r="AA125" s="466"/>
      <c r="AB125" s="278"/>
      <c r="AC125" s="278"/>
      <c r="AD125" s="278"/>
      <c r="AE125" s="278"/>
      <c r="AF125" s="278"/>
      <c r="AG125" s="278" t="b">
        <f t="shared" si="5"/>
        <v>0</v>
      </c>
      <c r="AH125" s="454"/>
      <c r="AI125" s="278"/>
      <c r="AJ125" s="278"/>
      <c r="AK125" s="278"/>
      <c r="AL125" s="444" t="str">
        <f t="array" ref="AL125">IFERROR(IFS(OR(AJ125="A1-Mewtwo", AJ125="A1-Pikachu", AJ125="A1-Charizard", AJ125="A1"), XLOOKUP(AH125, 'Genetic Apex'!$C$2:$C889, 'Genetic Apex'!$B$2:$B889)-2, AJ125="A1a", XLOOKUP(AH125, 'Mythical Island'!$C$2:$C889, 'Mythical Island'!$B$2:$B889)-2, OR(AJ125="A2-Dialga", AJ125="A2-Palkia", AJ125="A2"), XLOOKUP(AH125, 'Space-Time Smackdown'!$C$2:$C889, 'Space-Time Smackdown'!$B$2:$B889)-2))</f>
        <v/>
      </c>
      <c r="AM125" s="444" t="str">
        <f t="shared" si="6"/>
        <v/>
      </c>
      <c r="AN125" s="448" t="str">
        <f t="shared" si="7"/>
        <v/>
      </c>
    </row>
    <row r="126">
      <c r="A126" s="277"/>
      <c r="B126" s="277"/>
      <c r="C126" s="441"/>
      <c r="D126" s="277"/>
      <c r="E126" s="277"/>
      <c r="F126" s="277"/>
      <c r="G126" s="277"/>
      <c r="H126" s="277" t="b">
        <f t="shared" si="1"/>
        <v>0</v>
      </c>
      <c r="I126" s="277" t="str">
        <f>IFERROR(__xludf.DUMMYFUNCTION("""COMPUTED_VALUE"""),"A1 123")</f>
        <v>A1 123</v>
      </c>
      <c r="J126" s="277" t="str">
        <f>IFERROR(__xludf.DUMMYFUNCTION("""COMPUTED_VALUE"""),"Gengar ex")</f>
        <v>Gengar ex</v>
      </c>
      <c r="K126" s="277" t="str">
        <f>IFERROR(__xludf.DUMMYFUNCTION("""COMPUTED_VALUE"""),"A1-Mewtwo")</f>
        <v>A1-Mewtwo</v>
      </c>
      <c r="L126" s="277" t="str">
        <f>IFERROR(__xludf.DUMMYFUNCTION("""COMPUTED_VALUE"""),"♢♢♢♢")</f>
        <v>♢♢♢♢</v>
      </c>
      <c r="M126" s="440" t="b">
        <f t="shared" si="2"/>
        <v>1</v>
      </c>
      <c r="N126" s="441"/>
      <c r="O126" s="277"/>
      <c r="P126" s="277"/>
      <c r="Q126" s="278"/>
      <c r="R126" s="449" t="str">
        <f t="array" ref="R126">IFERROR(IFS(OR(P126="A1-Mewtwo", P126="A1-Pikachu", P126="A1-Charizard", P126="A1"), XLOOKUP(N126, 'Genetic Apex'!$C$2:$C889, 'Genetic Apex'!$B$2:$B889)-$B$4, P126="A1a", XLOOKUP(N126, 'Mythical Island'!$C$2:$C889, 'Mythical Island'!$B$2:$B889)-$B$4, OR(P126="A2-Dialga", P126="A2-Palkia", P126="A2"), XLOOKUP(N126, 'Space-Time Smackdown'!$C$2:$C889, 'Space-Time Smackdown'!$B$2:$B889)-$B$4))</f>
        <v/>
      </c>
      <c r="S126" s="277" t="str">
        <f>IFERROR(__xludf.DUMMYFUNCTION("""COMPUTED_VALUE"""),"A1 123")</f>
        <v>A1 123</v>
      </c>
      <c r="T126" s="277" t="str">
        <f>IFERROR(__xludf.DUMMYFUNCTION("""COMPUTED_VALUE"""),"Gengar ex")</f>
        <v>Gengar ex</v>
      </c>
      <c r="U126" s="277" t="str">
        <f>IFERROR(__xludf.DUMMYFUNCTION("""COMPUTED_VALUE"""),"A1-Mewtwo")</f>
        <v>A1-Mewtwo</v>
      </c>
      <c r="V126" s="278" t="str">
        <f>IFERROR(__xludf.DUMMYFUNCTION("""COMPUTED_VALUE"""),"♢♢♢♢")</f>
        <v>♢♢♢♢</v>
      </c>
      <c r="W126" s="443">
        <f t="array" ref="W126">IFERROR(IFS(OR(U126="A1-Mewtwo", U126="A1-Pikachu", U126="A1-Charizard", U126="A1"), $B$5-XLOOKUP(S126, 'Genetic Apex'!$C$2:$C889, 'Genetic Apex'!$B$2:$B889), U126="A1a", $B$5-XLOOKUP(S126, 'Mythical Island'!$C$2:$C889, 'Mythical Island'!$B$2:$B889), OR(U126="A2-Dialga", U126="A2-Palkia", U126="A2"), $B$5-XLOOKUP(S126, 'Space-Time Smackdown'!$C$2:$C889, 'Space-Time Smackdown'!$B$2:$B889)))</f>
        <v>1</v>
      </c>
      <c r="X126" s="444">
        <f t="shared" si="3"/>
        <v>500</v>
      </c>
      <c r="Y126" s="445">
        <f t="shared" si="4"/>
        <v>500</v>
      </c>
      <c r="Z126" s="278"/>
      <c r="AA126" s="466"/>
      <c r="AB126" s="278"/>
      <c r="AC126" s="278"/>
      <c r="AD126" s="278"/>
      <c r="AE126" s="278"/>
      <c r="AF126" s="278"/>
      <c r="AG126" s="278" t="b">
        <f t="shared" si="5"/>
        <v>0</v>
      </c>
      <c r="AH126" s="454"/>
      <c r="AI126" s="278"/>
      <c r="AJ126" s="278"/>
      <c r="AK126" s="278"/>
      <c r="AL126" s="444" t="str">
        <f t="array" ref="AL126">IFERROR(IFS(OR(AJ126="A1-Mewtwo", AJ126="A1-Pikachu", AJ126="A1-Charizard", AJ126="A1"), XLOOKUP(AH126, 'Genetic Apex'!$C$2:$C889, 'Genetic Apex'!$B$2:$B889)-2, AJ126="A1a", XLOOKUP(AH126, 'Mythical Island'!$C$2:$C889, 'Mythical Island'!$B$2:$B889)-2, OR(AJ126="A2-Dialga", AJ126="A2-Palkia", AJ126="A2"), XLOOKUP(AH126, 'Space-Time Smackdown'!$C$2:$C889, 'Space-Time Smackdown'!$B$2:$B889)-2))</f>
        <v/>
      </c>
      <c r="AM126" s="444" t="str">
        <f t="shared" si="6"/>
        <v/>
      </c>
      <c r="AN126" s="448" t="str">
        <f t="shared" si="7"/>
        <v/>
      </c>
    </row>
    <row r="127">
      <c r="A127" s="277"/>
      <c r="B127" s="277"/>
      <c r="C127" s="441"/>
      <c r="D127" s="277"/>
      <c r="E127" s="277"/>
      <c r="F127" s="277"/>
      <c r="G127" s="277"/>
      <c r="H127" s="277" t="b">
        <f t="shared" si="1"/>
        <v>0</v>
      </c>
      <c r="I127" s="277" t="str">
        <f>IFERROR(__xludf.DUMMYFUNCTION("""COMPUTED_VALUE"""),"A1 124")</f>
        <v>A1 124</v>
      </c>
      <c r="J127" s="277" t="str">
        <f>IFERROR(__xludf.DUMMYFUNCTION("""COMPUTED_VALUE"""),"Drowzee")</f>
        <v>Drowzee</v>
      </c>
      <c r="K127" s="277" t="str">
        <f>IFERROR(__xludf.DUMMYFUNCTION("""COMPUTED_VALUE"""),"A1-Pikachu")</f>
        <v>A1-Pikachu</v>
      </c>
      <c r="L127" s="277" t="str">
        <f>IFERROR(__xludf.DUMMYFUNCTION("""COMPUTED_VALUE"""),"♢")</f>
        <v>♢</v>
      </c>
      <c r="M127" s="440" t="b">
        <f t="shared" si="2"/>
        <v>1</v>
      </c>
      <c r="N127" s="441"/>
      <c r="O127" s="277"/>
      <c r="P127" s="277"/>
      <c r="Q127" s="278"/>
      <c r="R127" s="449" t="str">
        <f t="array" ref="R127">IFERROR(IFS(OR(P127="A1-Mewtwo", P127="A1-Pikachu", P127="A1-Charizard", P127="A1"), XLOOKUP(N127, 'Genetic Apex'!$C$2:$C889, 'Genetic Apex'!$B$2:$B889)-$B$4, P127="A1a", XLOOKUP(N127, 'Mythical Island'!$C$2:$C889, 'Mythical Island'!$B$2:$B889)-$B$4, OR(P127="A2-Dialga", P127="A2-Palkia", P127="A2"), XLOOKUP(N127, 'Space-Time Smackdown'!$C$2:$C889, 'Space-Time Smackdown'!$B$2:$B889)-$B$4))</f>
        <v/>
      </c>
      <c r="S127" s="277" t="str">
        <f>IFERROR(__xludf.DUMMYFUNCTION("""COMPUTED_VALUE"""),"A1 124")</f>
        <v>A1 124</v>
      </c>
      <c r="T127" s="277" t="str">
        <f>IFERROR(__xludf.DUMMYFUNCTION("""COMPUTED_VALUE"""),"Drowzee")</f>
        <v>Drowzee</v>
      </c>
      <c r="U127" s="277" t="str">
        <f>IFERROR(__xludf.DUMMYFUNCTION("""COMPUTED_VALUE"""),"A1-Pikachu")</f>
        <v>A1-Pikachu</v>
      </c>
      <c r="V127" s="278" t="str">
        <f>IFERROR(__xludf.DUMMYFUNCTION("""COMPUTED_VALUE"""),"♢")</f>
        <v>♢</v>
      </c>
      <c r="W127" s="443">
        <f t="array" ref="W127">IFERROR(IFS(OR(U127="A1-Mewtwo", U127="A1-Pikachu", U127="A1-Charizard", U127="A1"), $B$5-XLOOKUP(S127, 'Genetic Apex'!$C$2:$C889, 'Genetic Apex'!$B$2:$B889), U127="A1a", $B$5-XLOOKUP(S127, 'Mythical Island'!$C$2:$C889, 'Mythical Island'!$B$2:$B889), OR(U127="A2-Dialga", U127="A2-Palkia", U127="A2"), $B$5-XLOOKUP(S127, 'Space-Time Smackdown'!$C$2:$C889, 'Space-Time Smackdown'!$B$2:$B889)))</f>
        <v>1</v>
      </c>
      <c r="X127" s="444">
        <f t="shared" si="3"/>
        <v>0</v>
      </c>
      <c r="Y127" s="445" t="str">
        <f t="shared" si="4"/>
        <v/>
      </c>
      <c r="Z127" s="278"/>
      <c r="AA127" s="466"/>
      <c r="AB127" s="278"/>
      <c r="AC127" s="278"/>
      <c r="AD127" s="278"/>
      <c r="AE127" s="278"/>
      <c r="AF127" s="278"/>
      <c r="AG127" s="278" t="b">
        <f t="shared" si="5"/>
        <v>0</v>
      </c>
      <c r="AH127" s="454"/>
      <c r="AI127" s="278"/>
      <c r="AJ127" s="278"/>
      <c r="AK127" s="278"/>
      <c r="AL127" s="444" t="str">
        <f t="array" ref="AL127">IFERROR(IFS(OR(AJ127="A1-Mewtwo", AJ127="A1-Pikachu", AJ127="A1-Charizard", AJ127="A1"), XLOOKUP(AH127, 'Genetic Apex'!$C$2:$C889, 'Genetic Apex'!$B$2:$B889)-2, AJ127="A1a", XLOOKUP(AH127, 'Mythical Island'!$C$2:$C889, 'Mythical Island'!$B$2:$B889)-2, OR(AJ127="A2-Dialga", AJ127="A2-Palkia", AJ127="A2"), XLOOKUP(AH127, 'Space-Time Smackdown'!$C$2:$C889, 'Space-Time Smackdown'!$B$2:$B889)-2))</f>
        <v/>
      </c>
      <c r="AM127" s="444" t="str">
        <f t="shared" si="6"/>
        <v/>
      </c>
      <c r="AN127" s="448" t="str">
        <f t="shared" si="7"/>
        <v/>
      </c>
    </row>
    <row r="128">
      <c r="A128" s="277"/>
      <c r="B128" s="277"/>
      <c r="C128" s="441"/>
      <c r="D128" s="277"/>
      <c r="E128" s="277"/>
      <c r="F128" s="277"/>
      <c r="G128" s="277"/>
      <c r="H128" s="277" t="b">
        <f t="shared" si="1"/>
        <v>0</v>
      </c>
      <c r="I128" s="277" t="str">
        <f>IFERROR(__xludf.DUMMYFUNCTION("""COMPUTED_VALUE"""),"A1 125")</f>
        <v>A1 125</v>
      </c>
      <c r="J128" s="277" t="str">
        <f>IFERROR(__xludf.DUMMYFUNCTION("""COMPUTED_VALUE"""),"Hypno")</f>
        <v>Hypno</v>
      </c>
      <c r="K128" s="277" t="str">
        <f>IFERROR(__xludf.DUMMYFUNCTION("""COMPUTED_VALUE"""),"A1-Pikachu")</f>
        <v>A1-Pikachu</v>
      </c>
      <c r="L128" s="277" t="str">
        <f>IFERROR(__xludf.DUMMYFUNCTION("""COMPUTED_VALUE"""),"♢♢♢")</f>
        <v>♢♢♢</v>
      </c>
      <c r="M128" s="440" t="b">
        <f t="shared" si="2"/>
        <v>1</v>
      </c>
      <c r="N128" s="441"/>
      <c r="O128" s="277"/>
      <c r="P128" s="277"/>
      <c r="Q128" s="278"/>
      <c r="R128" s="449" t="str">
        <f t="array" ref="R128">IFERROR(IFS(OR(P128="A1-Mewtwo", P128="A1-Pikachu", P128="A1-Charizard", P128="A1"), XLOOKUP(N128, 'Genetic Apex'!$C$2:$C889, 'Genetic Apex'!$B$2:$B889)-$B$4, P128="A1a", XLOOKUP(N128, 'Mythical Island'!$C$2:$C889, 'Mythical Island'!$B$2:$B889)-$B$4, OR(P128="A2-Dialga", P128="A2-Palkia", P128="A2"), XLOOKUP(N128, 'Space-Time Smackdown'!$C$2:$C889, 'Space-Time Smackdown'!$B$2:$B889)-$B$4))</f>
        <v/>
      </c>
      <c r="S128" s="277" t="str">
        <f>IFERROR(__xludf.DUMMYFUNCTION("""COMPUTED_VALUE"""),"A1 125")</f>
        <v>A1 125</v>
      </c>
      <c r="T128" s="277" t="str">
        <f>IFERROR(__xludf.DUMMYFUNCTION("""COMPUTED_VALUE"""),"Hypno")</f>
        <v>Hypno</v>
      </c>
      <c r="U128" s="277" t="str">
        <f>IFERROR(__xludf.DUMMYFUNCTION("""COMPUTED_VALUE"""),"A1-Pikachu")</f>
        <v>A1-Pikachu</v>
      </c>
      <c r="V128" s="278" t="str">
        <f>IFERROR(__xludf.DUMMYFUNCTION("""COMPUTED_VALUE"""),"♢♢♢")</f>
        <v>♢♢♢</v>
      </c>
      <c r="W128" s="443">
        <f t="array" ref="W128">IFERROR(IFS(OR(U128="A1-Mewtwo", U128="A1-Pikachu", U128="A1-Charizard", U128="A1"), $B$5-XLOOKUP(S128, 'Genetic Apex'!$C$2:$C889, 'Genetic Apex'!$B$2:$B889), U128="A1a", $B$5-XLOOKUP(S128, 'Mythical Island'!$C$2:$C889, 'Mythical Island'!$B$2:$B889), OR(U128="A2-Dialga", U128="A2-Palkia", U128="A2"), $B$5-XLOOKUP(S128, 'Space-Time Smackdown'!$C$2:$C889, 'Space-Time Smackdown'!$B$2:$B889)))</f>
        <v>1</v>
      </c>
      <c r="X128" s="444">
        <f t="shared" si="3"/>
        <v>120</v>
      </c>
      <c r="Y128" s="445">
        <f t="shared" si="4"/>
        <v>120</v>
      </c>
      <c r="Z128" s="278"/>
      <c r="AA128" s="466"/>
      <c r="AB128" s="278"/>
      <c r="AC128" s="278"/>
      <c r="AD128" s="278"/>
      <c r="AE128" s="278"/>
      <c r="AF128" s="278"/>
      <c r="AG128" s="278" t="b">
        <f t="shared" si="5"/>
        <v>0</v>
      </c>
      <c r="AH128" s="454"/>
      <c r="AI128" s="278"/>
      <c r="AJ128" s="278"/>
      <c r="AK128" s="278"/>
      <c r="AL128" s="444" t="str">
        <f t="array" ref="AL128">IFERROR(IFS(OR(AJ128="A1-Mewtwo", AJ128="A1-Pikachu", AJ128="A1-Charizard", AJ128="A1"), XLOOKUP(AH128, 'Genetic Apex'!$C$2:$C889, 'Genetic Apex'!$B$2:$B889)-2, AJ128="A1a", XLOOKUP(AH128, 'Mythical Island'!$C$2:$C889, 'Mythical Island'!$B$2:$B889)-2, OR(AJ128="A2-Dialga", AJ128="A2-Palkia", AJ128="A2"), XLOOKUP(AH128, 'Space-Time Smackdown'!$C$2:$C889, 'Space-Time Smackdown'!$B$2:$B889)-2))</f>
        <v/>
      </c>
      <c r="AM128" s="444" t="str">
        <f t="shared" si="6"/>
        <v/>
      </c>
      <c r="AN128" s="448" t="str">
        <f t="shared" si="7"/>
        <v/>
      </c>
    </row>
    <row r="129">
      <c r="A129" s="277"/>
      <c r="B129" s="277"/>
      <c r="C129" s="441"/>
      <c r="D129" s="277"/>
      <c r="E129" s="277"/>
      <c r="F129" s="277"/>
      <c r="G129" s="277"/>
      <c r="H129" s="277" t="b">
        <f t="shared" si="1"/>
        <v>0</v>
      </c>
      <c r="I129" s="277" t="str">
        <f>IFERROR(__xludf.DUMMYFUNCTION("""COMPUTED_VALUE"""),"A1 126")</f>
        <v>A1 126</v>
      </c>
      <c r="J129" s="277" t="str">
        <f>IFERROR(__xludf.DUMMYFUNCTION("""COMPUTED_VALUE"""),"Mr. Mime")</f>
        <v>Mr. Mime</v>
      </c>
      <c r="K129" s="277" t="str">
        <f>IFERROR(__xludf.DUMMYFUNCTION("""COMPUTED_VALUE"""),"A1-Mewtwo")</f>
        <v>A1-Mewtwo</v>
      </c>
      <c r="L129" s="277" t="str">
        <f>IFERROR(__xludf.DUMMYFUNCTION("""COMPUTED_VALUE"""),"♢♢")</f>
        <v>♢♢</v>
      </c>
      <c r="M129" s="440" t="b">
        <f t="shared" si="2"/>
        <v>1</v>
      </c>
      <c r="N129" s="441"/>
      <c r="O129" s="277"/>
      <c r="P129" s="277"/>
      <c r="Q129" s="278"/>
      <c r="R129" s="449" t="str">
        <f t="array" ref="R129">IFERROR(IFS(OR(P129="A1-Mewtwo", P129="A1-Pikachu", P129="A1-Charizard", P129="A1"), XLOOKUP(N129, 'Genetic Apex'!$C$2:$C889, 'Genetic Apex'!$B$2:$B889)-$B$4, P129="A1a", XLOOKUP(N129, 'Mythical Island'!$C$2:$C889, 'Mythical Island'!$B$2:$B889)-$B$4, OR(P129="A2-Dialga", P129="A2-Palkia", P129="A2"), XLOOKUP(N129, 'Space-Time Smackdown'!$C$2:$C889, 'Space-Time Smackdown'!$B$2:$B889)-$B$4))</f>
        <v/>
      </c>
      <c r="S129" s="277" t="str">
        <f>IFERROR(__xludf.DUMMYFUNCTION("""COMPUTED_VALUE"""),"A1 126")</f>
        <v>A1 126</v>
      </c>
      <c r="T129" s="277" t="str">
        <f>IFERROR(__xludf.DUMMYFUNCTION("""COMPUTED_VALUE"""),"Mr. Mime")</f>
        <v>Mr. Mime</v>
      </c>
      <c r="U129" s="277" t="str">
        <f>IFERROR(__xludf.DUMMYFUNCTION("""COMPUTED_VALUE"""),"A1-Mewtwo")</f>
        <v>A1-Mewtwo</v>
      </c>
      <c r="V129" s="278" t="str">
        <f>IFERROR(__xludf.DUMMYFUNCTION("""COMPUTED_VALUE"""),"♢♢")</f>
        <v>♢♢</v>
      </c>
      <c r="W129" s="443">
        <f t="array" ref="W129">IFERROR(IFS(OR(U129="A1-Mewtwo", U129="A1-Pikachu", U129="A1-Charizard", U129="A1"), $B$5-XLOOKUP(S129, 'Genetic Apex'!$C$2:$C889, 'Genetic Apex'!$B$2:$B889), U129="A1a", $B$5-XLOOKUP(S129, 'Mythical Island'!$C$2:$C889, 'Mythical Island'!$B$2:$B889), OR(U129="A2-Dialga", U129="A2-Palkia", U129="A2"), $B$5-XLOOKUP(S129, 'Space-Time Smackdown'!$C$2:$C889, 'Space-Time Smackdown'!$B$2:$B889)))</f>
        <v>1</v>
      </c>
      <c r="X129" s="444">
        <f t="shared" si="3"/>
        <v>0</v>
      </c>
      <c r="Y129" s="445" t="str">
        <f t="shared" si="4"/>
        <v/>
      </c>
      <c r="Z129" s="278"/>
      <c r="AA129" s="466"/>
      <c r="AB129" s="278"/>
      <c r="AC129" s="278"/>
      <c r="AD129" s="278"/>
      <c r="AE129" s="278"/>
      <c r="AF129" s="278"/>
      <c r="AG129" s="278" t="b">
        <f t="shared" si="5"/>
        <v>0</v>
      </c>
      <c r="AH129" s="454"/>
      <c r="AI129" s="278"/>
      <c r="AJ129" s="278"/>
      <c r="AK129" s="278"/>
      <c r="AL129" s="444" t="str">
        <f t="array" ref="AL129">IFERROR(IFS(OR(AJ129="A1-Mewtwo", AJ129="A1-Pikachu", AJ129="A1-Charizard", AJ129="A1"), XLOOKUP(AH129, 'Genetic Apex'!$C$2:$C889, 'Genetic Apex'!$B$2:$B889)-2, AJ129="A1a", XLOOKUP(AH129, 'Mythical Island'!$C$2:$C889, 'Mythical Island'!$B$2:$B889)-2, OR(AJ129="A2-Dialga", AJ129="A2-Palkia", AJ129="A2"), XLOOKUP(AH129, 'Space-Time Smackdown'!$C$2:$C889, 'Space-Time Smackdown'!$B$2:$B889)-2))</f>
        <v/>
      </c>
      <c r="AM129" s="444" t="str">
        <f t="shared" si="6"/>
        <v/>
      </c>
      <c r="AN129" s="448" t="str">
        <f t="shared" si="7"/>
        <v/>
      </c>
    </row>
    <row r="130">
      <c r="A130" s="277"/>
      <c r="B130" s="277"/>
      <c r="C130" s="441"/>
      <c r="D130" s="277"/>
      <c r="E130" s="277"/>
      <c r="F130" s="277"/>
      <c r="G130" s="277"/>
      <c r="H130" s="277" t="b">
        <f t="shared" si="1"/>
        <v>0</v>
      </c>
      <c r="I130" s="277" t="str">
        <f>IFERROR(__xludf.DUMMYFUNCTION("""COMPUTED_VALUE"""),"A1 127")</f>
        <v>A1 127</v>
      </c>
      <c r="J130" s="277" t="str">
        <f>IFERROR(__xludf.DUMMYFUNCTION("""COMPUTED_VALUE"""),"Jynx")</f>
        <v>Jynx</v>
      </c>
      <c r="K130" s="277" t="str">
        <f>IFERROR(__xludf.DUMMYFUNCTION("""COMPUTED_VALUE"""),"A1-Mewtwo")</f>
        <v>A1-Mewtwo</v>
      </c>
      <c r="L130" s="277" t="str">
        <f>IFERROR(__xludf.DUMMYFUNCTION("""COMPUTED_VALUE"""),"♢")</f>
        <v>♢</v>
      </c>
      <c r="M130" s="440" t="b">
        <f t="shared" si="2"/>
        <v>1</v>
      </c>
      <c r="N130" s="441"/>
      <c r="O130" s="277"/>
      <c r="P130" s="277"/>
      <c r="Q130" s="278"/>
      <c r="R130" s="449" t="str">
        <f t="array" ref="R130">IFERROR(IFS(OR(P130="A1-Mewtwo", P130="A1-Pikachu", P130="A1-Charizard", P130="A1"), XLOOKUP(N130, 'Genetic Apex'!$C$2:$C889, 'Genetic Apex'!$B$2:$B889)-$B$4, P130="A1a", XLOOKUP(N130, 'Mythical Island'!$C$2:$C889, 'Mythical Island'!$B$2:$B889)-$B$4, OR(P130="A2-Dialga", P130="A2-Palkia", P130="A2"), XLOOKUP(N130, 'Space-Time Smackdown'!$C$2:$C889, 'Space-Time Smackdown'!$B$2:$B889)-$B$4))</f>
        <v/>
      </c>
      <c r="S130" s="277" t="str">
        <f>IFERROR(__xludf.DUMMYFUNCTION("""COMPUTED_VALUE"""),"A1 127")</f>
        <v>A1 127</v>
      </c>
      <c r="T130" s="277" t="str">
        <f>IFERROR(__xludf.DUMMYFUNCTION("""COMPUTED_VALUE"""),"Jynx")</f>
        <v>Jynx</v>
      </c>
      <c r="U130" s="277" t="str">
        <f>IFERROR(__xludf.DUMMYFUNCTION("""COMPUTED_VALUE"""),"A1-Mewtwo")</f>
        <v>A1-Mewtwo</v>
      </c>
      <c r="V130" s="278" t="str">
        <f>IFERROR(__xludf.DUMMYFUNCTION("""COMPUTED_VALUE"""),"♢")</f>
        <v>♢</v>
      </c>
      <c r="W130" s="443">
        <f t="array" ref="W130">IFERROR(IFS(OR(U130="A1-Mewtwo", U130="A1-Pikachu", U130="A1-Charizard", U130="A1"), $B$5-XLOOKUP(S130, 'Genetic Apex'!$C$2:$C889, 'Genetic Apex'!$B$2:$B889), U130="A1a", $B$5-XLOOKUP(S130, 'Mythical Island'!$C$2:$C889, 'Mythical Island'!$B$2:$B889), OR(U130="A2-Dialga", U130="A2-Palkia", U130="A2"), $B$5-XLOOKUP(S130, 'Space-Time Smackdown'!$C$2:$C889, 'Space-Time Smackdown'!$B$2:$B889)))</f>
        <v>1</v>
      </c>
      <c r="X130" s="444">
        <f t="shared" si="3"/>
        <v>0</v>
      </c>
      <c r="Y130" s="445" t="str">
        <f t="shared" si="4"/>
        <v/>
      </c>
      <c r="Z130" s="278"/>
      <c r="AA130" s="466"/>
      <c r="AB130" s="278"/>
      <c r="AC130" s="278"/>
      <c r="AD130" s="278"/>
      <c r="AE130" s="278"/>
      <c r="AF130" s="278"/>
      <c r="AG130" s="278" t="b">
        <f t="shared" si="5"/>
        <v>0</v>
      </c>
      <c r="AH130" s="454"/>
      <c r="AI130" s="278"/>
      <c r="AJ130" s="278"/>
      <c r="AK130" s="278"/>
      <c r="AL130" s="444" t="str">
        <f t="array" ref="AL130">IFERROR(IFS(OR(AJ130="A1-Mewtwo", AJ130="A1-Pikachu", AJ130="A1-Charizard", AJ130="A1"), XLOOKUP(AH130, 'Genetic Apex'!$C$2:$C889, 'Genetic Apex'!$B$2:$B889)-2, AJ130="A1a", XLOOKUP(AH130, 'Mythical Island'!$C$2:$C889, 'Mythical Island'!$B$2:$B889)-2, OR(AJ130="A2-Dialga", AJ130="A2-Palkia", AJ130="A2"), XLOOKUP(AH130, 'Space-Time Smackdown'!$C$2:$C889, 'Space-Time Smackdown'!$B$2:$B889)-2))</f>
        <v/>
      </c>
      <c r="AM130" s="444" t="str">
        <f t="shared" si="6"/>
        <v/>
      </c>
      <c r="AN130" s="448" t="str">
        <f t="shared" si="7"/>
        <v/>
      </c>
    </row>
    <row r="131">
      <c r="A131" s="277"/>
      <c r="B131" s="277"/>
      <c r="C131" s="441"/>
      <c r="D131" s="277"/>
      <c r="E131" s="277"/>
      <c r="F131" s="277"/>
      <c r="G131" s="277"/>
      <c r="H131" s="277" t="b">
        <f t="shared" si="1"/>
        <v>0</v>
      </c>
      <c r="I131" s="277" t="str">
        <f>IFERROR(__xludf.DUMMYFUNCTION("""COMPUTED_VALUE"""),"A1 128")</f>
        <v>A1 128</v>
      </c>
      <c r="J131" s="277" t="str">
        <f>IFERROR(__xludf.DUMMYFUNCTION("""COMPUTED_VALUE"""),"Mewtwo")</f>
        <v>Mewtwo</v>
      </c>
      <c r="K131" s="277" t="str">
        <f>IFERROR(__xludf.DUMMYFUNCTION("""COMPUTED_VALUE"""),"A1-Mewtwo")</f>
        <v>A1-Mewtwo</v>
      </c>
      <c r="L131" s="277" t="str">
        <f>IFERROR(__xludf.DUMMYFUNCTION("""COMPUTED_VALUE"""),"♢♢♢")</f>
        <v>♢♢♢</v>
      </c>
      <c r="M131" s="440" t="b">
        <f t="shared" si="2"/>
        <v>1</v>
      </c>
      <c r="N131" s="441"/>
      <c r="O131" s="277"/>
      <c r="P131" s="277"/>
      <c r="Q131" s="278"/>
      <c r="R131" s="449" t="str">
        <f t="array" ref="R131">IFERROR(IFS(OR(P131="A1-Mewtwo", P131="A1-Pikachu", P131="A1-Charizard", P131="A1"), XLOOKUP(N131, 'Genetic Apex'!$C$2:$C889, 'Genetic Apex'!$B$2:$B889)-$B$4, P131="A1a", XLOOKUP(N131, 'Mythical Island'!$C$2:$C889, 'Mythical Island'!$B$2:$B889)-$B$4, OR(P131="A2-Dialga", P131="A2-Palkia", P131="A2"), XLOOKUP(N131, 'Space-Time Smackdown'!$C$2:$C889, 'Space-Time Smackdown'!$B$2:$B889)-$B$4))</f>
        <v/>
      </c>
      <c r="S131" s="277" t="str">
        <f>IFERROR(__xludf.DUMMYFUNCTION("""COMPUTED_VALUE"""),"A1 128")</f>
        <v>A1 128</v>
      </c>
      <c r="T131" s="277" t="str">
        <f>IFERROR(__xludf.DUMMYFUNCTION("""COMPUTED_VALUE"""),"Mewtwo")</f>
        <v>Mewtwo</v>
      </c>
      <c r="U131" s="277" t="str">
        <f>IFERROR(__xludf.DUMMYFUNCTION("""COMPUTED_VALUE"""),"A1-Mewtwo")</f>
        <v>A1-Mewtwo</v>
      </c>
      <c r="V131" s="278" t="str">
        <f>IFERROR(__xludf.DUMMYFUNCTION("""COMPUTED_VALUE"""),"♢♢♢")</f>
        <v>♢♢♢</v>
      </c>
      <c r="W131" s="443">
        <f t="array" ref="W131">IFERROR(IFS(OR(U131="A1-Mewtwo", U131="A1-Pikachu", U131="A1-Charizard", U131="A1"), $B$5-XLOOKUP(S131, 'Genetic Apex'!$C$2:$C889, 'Genetic Apex'!$B$2:$B889), U131="A1a", $B$5-XLOOKUP(S131, 'Mythical Island'!$C$2:$C889, 'Mythical Island'!$B$2:$B889), OR(U131="A2-Dialga", U131="A2-Palkia", U131="A2"), $B$5-XLOOKUP(S131, 'Space-Time Smackdown'!$C$2:$C889, 'Space-Time Smackdown'!$B$2:$B889)))</f>
        <v>1</v>
      </c>
      <c r="X131" s="444">
        <f t="shared" si="3"/>
        <v>120</v>
      </c>
      <c r="Y131" s="445">
        <f t="shared" si="4"/>
        <v>120</v>
      </c>
      <c r="Z131" s="278"/>
      <c r="AA131" s="466"/>
      <c r="AB131" s="278"/>
      <c r="AC131" s="278"/>
      <c r="AD131" s="278"/>
      <c r="AE131" s="278"/>
      <c r="AF131" s="278"/>
      <c r="AG131" s="278" t="b">
        <f t="shared" si="5"/>
        <v>0</v>
      </c>
      <c r="AH131" s="454"/>
      <c r="AI131" s="278"/>
      <c r="AJ131" s="278"/>
      <c r="AK131" s="278"/>
      <c r="AL131" s="444" t="str">
        <f t="array" ref="AL131">IFERROR(IFS(OR(AJ131="A1-Mewtwo", AJ131="A1-Pikachu", AJ131="A1-Charizard", AJ131="A1"), XLOOKUP(AH131, 'Genetic Apex'!$C$2:$C889, 'Genetic Apex'!$B$2:$B889)-2, AJ131="A1a", XLOOKUP(AH131, 'Mythical Island'!$C$2:$C889, 'Mythical Island'!$B$2:$B889)-2, OR(AJ131="A2-Dialga", AJ131="A2-Palkia", AJ131="A2"), XLOOKUP(AH131, 'Space-Time Smackdown'!$C$2:$C889, 'Space-Time Smackdown'!$B$2:$B889)-2))</f>
        <v/>
      </c>
      <c r="AM131" s="444" t="str">
        <f t="shared" si="6"/>
        <v/>
      </c>
      <c r="AN131" s="448" t="str">
        <f t="shared" si="7"/>
        <v/>
      </c>
    </row>
    <row r="132">
      <c r="A132" s="277"/>
      <c r="B132" s="277"/>
      <c r="C132" s="441"/>
      <c r="D132" s="277"/>
      <c r="E132" s="277"/>
      <c r="F132" s="277"/>
      <c r="G132" s="277"/>
      <c r="H132" s="277" t="b">
        <f t="shared" si="1"/>
        <v>0</v>
      </c>
      <c r="I132" s="277" t="str">
        <f>IFERROR(__xludf.DUMMYFUNCTION("""COMPUTED_VALUE"""),"A1 129")</f>
        <v>A1 129</v>
      </c>
      <c r="J132" s="277" t="str">
        <f>IFERROR(__xludf.DUMMYFUNCTION("""COMPUTED_VALUE"""),"Mewtwo ex")</f>
        <v>Mewtwo ex</v>
      </c>
      <c r="K132" s="277" t="str">
        <f>IFERROR(__xludf.DUMMYFUNCTION("""COMPUTED_VALUE"""),"A1-Mewtwo")</f>
        <v>A1-Mewtwo</v>
      </c>
      <c r="L132" s="277" t="str">
        <f>IFERROR(__xludf.DUMMYFUNCTION("""COMPUTED_VALUE"""),"♢♢♢♢")</f>
        <v>♢♢♢♢</v>
      </c>
      <c r="M132" s="440" t="b">
        <f t="shared" si="2"/>
        <v>1</v>
      </c>
      <c r="N132" s="441"/>
      <c r="O132" s="277"/>
      <c r="P132" s="277"/>
      <c r="Q132" s="278"/>
      <c r="R132" s="449" t="str">
        <f t="array" ref="R132">IFERROR(IFS(OR(P132="A1-Mewtwo", P132="A1-Pikachu", P132="A1-Charizard", P132="A1"), XLOOKUP(N132, 'Genetic Apex'!$C$2:$C889, 'Genetic Apex'!$B$2:$B889)-$B$4, P132="A1a", XLOOKUP(N132, 'Mythical Island'!$C$2:$C889, 'Mythical Island'!$B$2:$B889)-$B$4, OR(P132="A2-Dialga", P132="A2-Palkia", P132="A2"), XLOOKUP(N132, 'Space-Time Smackdown'!$C$2:$C889, 'Space-Time Smackdown'!$B$2:$B889)-$B$4))</f>
        <v/>
      </c>
      <c r="S132" s="277" t="str">
        <f>IFERROR(__xludf.DUMMYFUNCTION("""COMPUTED_VALUE"""),"A1 129")</f>
        <v>A1 129</v>
      </c>
      <c r="T132" s="277" t="str">
        <f>IFERROR(__xludf.DUMMYFUNCTION("""COMPUTED_VALUE"""),"Mewtwo ex")</f>
        <v>Mewtwo ex</v>
      </c>
      <c r="U132" s="277" t="str">
        <f>IFERROR(__xludf.DUMMYFUNCTION("""COMPUTED_VALUE"""),"A1-Mewtwo")</f>
        <v>A1-Mewtwo</v>
      </c>
      <c r="V132" s="278" t="str">
        <f>IFERROR(__xludf.DUMMYFUNCTION("""COMPUTED_VALUE"""),"♢♢♢♢")</f>
        <v>♢♢♢♢</v>
      </c>
      <c r="W132" s="443">
        <f t="array" ref="W132">IFERROR(IFS(OR(U132="A1-Mewtwo", U132="A1-Pikachu", U132="A1-Charizard", U132="A1"), $B$5-XLOOKUP(S132, 'Genetic Apex'!$C$2:$C889, 'Genetic Apex'!$B$2:$B889), U132="A1a", $B$5-XLOOKUP(S132, 'Mythical Island'!$C$2:$C889, 'Mythical Island'!$B$2:$B889), OR(U132="A2-Dialga", U132="A2-Palkia", U132="A2"), $B$5-XLOOKUP(S132, 'Space-Time Smackdown'!$C$2:$C889, 'Space-Time Smackdown'!$B$2:$B889)))</f>
        <v>1</v>
      </c>
      <c r="X132" s="444">
        <f t="shared" si="3"/>
        <v>500</v>
      </c>
      <c r="Y132" s="445">
        <f t="shared" si="4"/>
        <v>500</v>
      </c>
      <c r="Z132" s="278"/>
      <c r="AA132" s="466"/>
      <c r="AB132" s="278"/>
      <c r="AC132" s="278"/>
      <c r="AD132" s="278"/>
      <c r="AE132" s="278"/>
      <c r="AF132" s="278"/>
      <c r="AG132" s="278" t="b">
        <f t="shared" si="5"/>
        <v>0</v>
      </c>
      <c r="AH132" s="454"/>
      <c r="AI132" s="278"/>
      <c r="AJ132" s="278"/>
      <c r="AK132" s="278"/>
      <c r="AL132" s="444" t="str">
        <f t="array" ref="AL132">IFERROR(IFS(OR(AJ132="A1-Mewtwo", AJ132="A1-Pikachu", AJ132="A1-Charizard", AJ132="A1"), XLOOKUP(AH132, 'Genetic Apex'!$C$2:$C889, 'Genetic Apex'!$B$2:$B889)-2, AJ132="A1a", XLOOKUP(AH132, 'Mythical Island'!$C$2:$C889, 'Mythical Island'!$B$2:$B889)-2, OR(AJ132="A2-Dialga", AJ132="A2-Palkia", AJ132="A2"), XLOOKUP(AH132, 'Space-Time Smackdown'!$C$2:$C889, 'Space-Time Smackdown'!$B$2:$B889)-2))</f>
        <v/>
      </c>
      <c r="AM132" s="444" t="str">
        <f t="shared" si="6"/>
        <v/>
      </c>
      <c r="AN132" s="448" t="str">
        <f t="shared" si="7"/>
        <v/>
      </c>
    </row>
    <row r="133">
      <c r="A133" s="277"/>
      <c r="B133" s="277"/>
      <c r="C133" s="441"/>
      <c r="D133" s="277"/>
      <c r="E133" s="277"/>
      <c r="F133" s="277"/>
      <c r="G133" s="277"/>
      <c r="H133" s="277" t="b">
        <f t="shared" si="1"/>
        <v>0</v>
      </c>
      <c r="I133" s="277" t="str">
        <f>IFERROR(__xludf.DUMMYFUNCTION("""COMPUTED_VALUE"""),"A1 130")</f>
        <v>A1 130</v>
      </c>
      <c r="J133" s="277" t="str">
        <f>IFERROR(__xludf.DUMMYFUNCTION("""COMPUTED_VALUE"""),"Ralts")</f>
        <v>Ralts</v>
      </c>
      <c r="K133" s="277" t="str">
        <f>IFERROR(__xludf.DUMMYFUNCTION("""COMPUTED_VALUE"""),"A1-Mewtwo")</f>
        <v>A1-Mewtwo</v>
      </c>
      <c r="L133" s="277" t="str">
        <f>IFERROR(__xludf.DUMMYFUNCTION("""COMPUTED_VALUE"""),"♢")</f>
        <v>♢</v>
      </c>
      <c r="M133" s="440" t="b">
        <f t="shared" si="2"/>
        <v>1</v>
      </c>
      <c r="N133" s="441"/>
      <c r="O133" s="277"/>
      <c r="P133" s="277"/>
      <c r="Q133" s="278"/>
      <c r="R133" s="449" t="str">
        <f t="array" ref="R133">IFERROR(IFS(OR(P133="A1-Mewtwo", P133="A1-Pikachu", P133="A1-Charizard", P133="A1"), XLOOKUP(N133, 'Genetic Apex'!$C$2:$C889, 'Genetic Apex'!$B$2:$B889)-$B$4, P133="A1a", XLOOKUP(N133, 'Mythical Island'!$C$2:$C889, 'Mythical Island'!$B$2:$B889)-$B$4, OR(P133="A2-Dialga", P133="A2-Palkia", P133="A2"), XLOOKUP(N133, 'Space-Time Smackdown'!$C$2:$C889, 'Space-Time Smackdown'!$B$2:$B889)-$B$4))</f>
        <v/>
      </c>
      <c r="S133" s="277" t="str">
        <f>IFERROR(__xludf.DUMMYFUNCTION("""COMPUTED_VALUE"""),"A1 130")</f>
        <v>A1 130</v>
      </c>
      <c r="T133" s="277" t="str">
        <f>IFERROR(__xludf.DUMMYFUNCTION("""COMPUTED_VALUE"""),"Ralts")</f>
        <v>Ralts</v>
      </c>
      <c r="U133" s="277" t="str">
        <f>IFERROR(__xludf.DUMMYFUNCTION("""COMPUTED_VALUE"""),"A1-Mewtwo")</f>
        <v>A1-Mewtwo</v>
      </c>
      <c r="V133" s="278" t="str">
        <f>IFERROR(__xludf.DUMMYFUNCTION("""COMPUTED_VALUE"""),"♢")</f>
        <v>♢</v>
      </c>
      <c r="W133" s="443">
        <f t="array" ref="W133">IFERROR(IFS(OR(U133="A1-Mewtwo", U133="A1-Pikachu", U133="A1-Charizard", U133="A1"), $B$5-XLOOKUP(S133, 'Genetic Apex'!$C$2:$C889, 'Genetic Apex'!$B$2:$B889), U133="A1a", $B$5-XLOOKUP(S133, 'Mythical Island'!$C$2:$C889, 'Mythical Island'!$B$2:$B889), OR(U133="A2-Dialga", U133="A2-Palkia", U133="A2"), $B$5-XLOOKUP(S133, 'Space-Time Smackdown'!$C$2:$C889, 'Space-Time Smackdown'!$B$2:$B889)))</f>
        <v>1</v>
      </c>
      <c r="X133" s="444">
        <f t="shared" si="3"/>
        <v>0</v>
      </c>
      <c r="Y133" s="445" t="str">
        <f t="shared" si="4"/>
        <v/>
      </c>
      <c r="Z133" s="278"/>
      <c r="AA133" s="466"/>
      <c r="AB133" s="278"/>
      <c r="AC133" s="278"/>
      <c r="AD133" s="278"/>
      <c r="AE133" s="278"/>
      <c r="AF133" s="278"/>
      <c r="AG133" s="278" t="b">
        <f t="shared" si="5"/>
        <v>0</v>
      </c>
      <c r="AH133" s="454"/>
      <c r="AI133" s="278"/>
      <c r="AJ133" s="278"/>
      <c r="AK133" s="278"/>
      <c r="AL133" s="444" t="str">
        <f t="array" ref="AL133">IFERROR(IFS(OR(AJ133="A1-Mewtwo", AJ133="A1-Pikachu", AJ133="A1-Charizard", AJ133="A1"), XLOOKUP(AH133, 'Genetic Apex'!$C$2:$C889, 'Genetic Apex'!$B$2:$B889)-2, AJ133="A1a", XLOOKUP(AH133, 'Mythical Island'!$C$2:$C889, 'Mythical Island'!$B$2:$B889)-2, OR(AJ133="A2-Dialga", AJ133="A2-Palkia", AJ133="A2"), XLOOKUP(AH133, 'Space-Time Smackdown'!$C$2:$C889, 'Space-Time Smackdown'!$B$2:$B889)-2))</f>
        <v/>
      </c>
      <c r="AM133" s="444" t="str">
        <f t="shared" si="6"/>
        <v/>
      </c>
      <c r="AN133" s="448" t="str">
        <f t="shared" si="7"/>
        <v/>
      </c>
    </row>
    <row r="134">
      <c r="A134" s="277"/>
      <c r="B134" s="277"/>
      <c r="C134" s="441"/>
      <c r="D134" s="277"/>
      <c r="E134" s="277"/>
      <c r="F134" s="277"/>
      <c r="G134" s="277"/>
      <c r="H134" s="277" t="b">
        <f t="shared" si="1"/>
        <v>0</v>
      </c>
      <c r="I134" s="277" t="str">
        <f>IFERROR(__xludf.DUMMYFUNCTION("""COMPUTED_VALUE"""),"A1 131")</f>
        <v>A1 131</v>
      </c>
      <c r="J134" s="277" t="str">
        <f>IFERROR(__xludf.DUMMYFUNCTION("""COMPUTED_VALUE"""),"Kirlia")</f>
        <v>Kirlia</v>
      </c>
      <c r="K134" s="277" t="str">
        <f>IFERROR(__xludf.DUMMYFUNCTION("""COMPUTED_VALUE"""),"A1-Mewtwo")</f>
        <v>A1-Mewtwo</v>
      </c>
      <c r="L134" s="277" t="str">
        <f>IFERROR(__xludf.DUMMYFUNCTION("""COMPUTED_VALUE"""),"♢♢")</f>
        <v>♢♢</v>
      </c>
      <c r="M134" s="440" t="b">
        <f t="shared" si="2"/>
        <v>1</v>
      </c>
      <c r="N134" s="441"/>
      <c r="O134" s="277"/>
      <c r="P134" s="277"/>
      <c r="Q134" s="278"/>
      <c r="R134" s="449" t="str">
        <f t="array" ref="R134">IFERROR(IFS(OR(P134="A1-Mewtwo", P134="A1-Pikachu", P134="A1-Charizard", P134="A1"), XLOOKUP(N134, 'Genetic Apex'!$C$2:$C889, 'Genetic Apex'!$B$2:$B889)-$B$4, P134="A1a", XLOOKUP(N134, 'Mythical Island'!$C$2:$C889, 'Mythical Island'!$B$2:$B889)-$B$4, OR(P134="A2-Dialga", P134="A2-Palkia", P134="A2"), XLOOKUP(N134, 'Space-Time Smackdown'!$C$2:$C889, 'Space-Time Smackdown'!$B$2:$B889)-$B$4))</f>
        <v/>
      </c>
      <c r="S134" s="277" t="str">
        <f>IFERROR(__xludf.DUMMYFUNCTION("""COMPUTED_VALUE"""),"A1 131")</f>
        <v>A1 131</v>
      </c>
      <c r="T134" s="277" t="str">
        <f>IFERROR(__xludf.DUMMYFUNCTION("""COMPUTED_VALUE"""),"Kirlia")</f>
        <v>Kirlia</v>
      </c>
      <c r="U134" s="277" t="str">
        <f>IFERROR(__xludf.DUMMYFUNCTION("""COMPUTED_VALUE"""),"A1-Mewtwo")</f>
        <v>A1-Mewtwo</v>
      </c>
      <c r="V134" s="278" t="str">
        <f>IFERROR(__xludf.DUMMYFUNCTION("""COMPUTED_VALUE"""),"♢♢")</f>
        <v>♢♢</v>
      </c>
      <c r="W134" s="443">
        <f t="array" ref="W134">IFERROR(IFS(OR(U134="A1-Mewtwo", U134="A1-Pikachu", U134="A1-Charizard", U134="A1"), $B$5-XLOOKUP(S134, 'Genetic Apex'!$C$2:$C889, 'Genetic Apex'!$B$2:$B889), U134="A1a", $B$5-XLOOKUP(S134, 'Mythical Island'!$C$2:$C889, 'Mythical Island'!$B$2:$B889), OR(U134="A2-Dialga", U134="A2-Palkia", U134="A2"), $B$5-XLOOKUP(S134, 'Space-Time Smackdown'!$C$2:$C889, 'Space-Time Smackdown'!$B$2:$B889)))</f>
        <v>1</v>
      </c>
      <c r="X134" s="444">
        <f t="shared" si="3"/>
        <v>0</v>
      </c>
      <c r="Y134" s="445" t="str">
        <f t="shared" si="4"/>
        <v/>
      </c>
      <c r="Z134" s="278"/>
      <c r="AA134" s="466"/>
      <c r="AB134" s="278"/>
      <c r="AC134" s="278"/>
      <c r="AD134" s="278"/>
      <c r="AE134" s="278"/>
      <c r="AF134" s="278"/>
      <c r="AG134" s="278" t="b">
        <f t="shared" si="5"/>
        <v>0</v>
      </c>
      <c r="AH134" s="454"/>
      <c r="AI134" s="278"/>
      <c r="AJ134" s="278"/>
      <c r="AK134" s="278"/>
      <c r="AL134" s="444" t="str">
        <f t="array" ref="AL134">IFERROR(IFS(OR(AJ134="A1-Mewtwo", AJ134="A1-Pikachu", AJ134="A1-Charizard", AJ134="A1"), XLOOKUP(AH134, 'Genetic Apex'!$C$2:$C889, 'Genetic Apex'!$B$2:$B889)-2, AJ134="A1a", XLOOKUP(AH134, 'Mythical Island'!$C$2:$C889, 'Mythical Island'!$B$2:$B889)-2, OR(AJ134="A2-Dialga", AJ134="A2-Palkia", AJ134="A2"), XLOOKUP(AH134, 'Space-Time Smackdown'!$C$2:$C889, 'Space-Time Smackdown'!$B$2:$B889)-2))</f>
        <v/>
      </c>
      <c r="AM134" s="444" t="str">
        <f t="shared" si="6"/>
        <v/>
      </c>
      <c r="AN134" s="448" t="str">
        <f t="shared" si="7"/>
        <v/>
      </c>
    </row>
    <row r="135">
      <c r="A135" s="277"/>
      <c r="B135" s="277"/>
      <c r="C135" s="441"/>
      <c r="D135" s="277"/>
      <c r="E135" s="277"/>
      <c r="F135" s="277"/>
      <c r="G135" s="277"/>
      <c r="H135" s="277" t="b">
        <f t="shared" si="1"/>
        <v>0</v>
      </c>
      <c r="I135" s="277" t="str">
        <f>IFERROR(__xludf.DUMMYFUNCTION("""COMPUTED_VALUE"""),"A1 132")</f>
        <v>A1 132</v>
      </c>
      <c r="J135" s="277" t="str">
        <f>IFERROR(__xludf.DUMMYFUNCTION("""COMPUTED_VALUE"""),"Gardevoir")</f>
        <v>Gardevoir</v>
      </c>
      <c r="K135" s="277" t="str">
        <f>IFERROR(__xludf.DUMMYFUNCTION("""COMPUTED_VALUE"""),"A1-Mewtwo")</f>
        <v>A1-Mewtwo</v>
      </c>
      <c r="L135" s="277" t="str">
        <f>IFERROR(__xludf.DUMMYFUNCTION("""COMPUTED_VALUE"""),"♢♢♢")</f>
        <v>♢♢♢</v>
      </c>
      <c r="M135" s="440" t="b">
        <f t="shared" si="2"/>
        <v>1</v>
      </c>
      <c r="N135" s="441"/>
      <c r="O135" s="277"/>
      <c r="P135" s="277"/>
      <c r="Q135" s="278"/>
      <c r="R135" s="449" t="str">
        <f t="array" ref="R135">IFERROR(IFS(OR(P135="A1-Mewtwo", P135="A1-Pikachu", P135="A1-Charizard", P135="A1"), XLOOKUP(N135, 'Genetic Apex'!$C$2:$C889, 'Genetic Apex'!$B$2:$B889)-$B$4, P135="A1a", XLOOKUP(N135, 'Mythical Island'!$C$2:$C889, 'Mythical Island'!$B$2:$B889)-$B$4, OR(P135="A2-Dialga", P135="A2-Palkia", P135="A2"), XLOOKUP(N135, 'Space-Time Smackdown'!$C$2:$C889, 'Space-Time Smackdown'!$B$2:$B889)-$B$4))</f>
        <v/>
      </c>
      <c r="S135" s="277" t="str">
        <f>IFERROR(__xludf.DUMMYFUNCTION("""COMPUTED_VALUE"""),"A1 132")</f>
        <v>A1 132</v>
      </c>
      <c r="T135" s="277" t="str">
        <f>IFERROR(__xludf.DUMMYFUNCTION("""COMPUTED_VALUE"""),"Gardevoir")</f>
        <v>Gardevoir</v>
      </c>
      <c r="U135" s="277" t="str">
        <f>IFERROR(__xludf.DUMMYFUNCTION("""COMPUTED_VALUE"""),"A1-Mewtwo")</f>
        <v>A1-Mewtwo</v>
      </c>
      <c r="V135" s="278" t="str">
        <f>IFERROR(__xludf.DUMMYFUNCTION("""COMPUTED_VALUE"""),"♢♢♢")</f>
        <v>♢♢♢</v>
      </c>
      <c r="W135" s="443">
        <f t="array" ref="W135">IFERROR(IFS(OR(U135="A1-Mewtwo", U135="A1-Pikachu", U135="A1-Charizard", U135="A1"), $B$5-XLOOKUP(S135, 'Genetic Apex'!$C$2:$C889, 'Genetic Apex'!$B$2:$B889), U135="A1a", $B$5-XLOOKUP(S135, 'Mythical Island'!$C$2:$C889, 'Mythical Island'!$B$2:$B889), OR(U135="A2-Dialga", U135="A2-Palkia", U135="A2"), $B$5-XLOOKUP(S135, 'Space-Time Smackdown'!$C$2:$C889, 'Space-Time Smackdown'!$B$2:$B889)))</f>
        <v>1</v>
      </c>
      <c r="X135" s="444">
        <f t="shared" si="3"/>
        <v>120</v>
      </c>
      <c r="Y135" s="445">
        <f t="shared" si="4"/>
        <v>120</v>
      </c>
      <c r="Z135" s="278"/>
      <c r="AA135" s="466"/>
      <c r="AB135" s="278"/>
      <c r="AC135" s="278"/>
      <c r="AD135" s="278"/>
      <c r="AE135" s="278"/>
      <c r="AF135" s="278"/>
      <c r="AG135" s="278" t="b">
        <f t="shared" si="5"/>
        <v>0</v>
      </c>
      <c r="AH135" s="454"/>
      <c r="AI135" s="278"/>
      <c r="AJ135" s="278"/>
      <c r="AK135" s="278"/>
      <c r="AL135" s="444" t="str">
        <f t="array" ref="AL135">IFERROR(IFS(OR(AJ135="A1-Mewtwo", AJ135="A1-Pikachu", AJ135="A1-Charizard", AJ135="A1"), XLOOKUP(AH135, 'Genetic Apex'!$C$2:$C889, 'Genetic Apex'!$B$2:$B889)-2, AJ135="A1a", XLOOKUP(AH135, 'Mythical Island'!$C$2:$C889, 'Mythical Island'!$B$2:$B889)-2, OR(AJ135="A2-Dialga", AJ135="A2-Palkia", AJ135="A2"), XLOOKUP(AH135, 'Space-Time Smackdown'!$C$2:$C889, 'Space-Time Smackdown'!$B$2:$B889)-2))</f>
        <v/>
      </c>
      <c r="AM135" s="444" t="str">
        <f t="shared" si="6"/>
        <v/>
      </c>
      <c r="AN135" s="448" t="str">
        <f t="shared" si="7"/>
        <v/>
      </c>
    </row>
    <row r="136">
      <c r="A136" s="277"/>
      <c r="B136" s="277"/>
      <c r="C136" s="441"/>
      <c r="D136" s="277"/>
      <c r="E136" s="277"/>
      <c r="F136" s="277"/>
      <c r="G136" s="277"/>
      <c r="H136" s="277" t="b">
        <f t="shared" si="1"/>
        <v>0</v>
      </c>
      <c r="I136" s="277" t="str">
        <f>IFERROR(__xludf.DUMMYFUNCTION("""COMPUTED_VALUE"""),"A1 133")</f>
        <v>A1 133</v>
      </c>
      <c r="J136" s="277" t="str">
        <f>IFERROR(__xludf.DUMMYFUNCTION("""COMPUTED_VALUE"""),"Woobat")</f>
        <v>Woobat</v>
      </c>
      <c r="K136" s="277" t="str">
        <f>IFERROR(__xludf.DUMMYFUNCTION("""COMPUTED_VALUE"""),"A1")</f>
        <v>A1</v>
      </c>
      <c r="L136" s="277" t="str">
        <f>IFERROR(__xludf.DUMMYFUNCTION("""COMPUTED_VALUE"""),"♢")</f>
        <v>♢</v>
      </c>
      <c r="M136" s="440" t="b">
        <f t="shared" si="2"/>
        <v>1</v>
      </c>
      <c r="N136" s="441"/>
      <c r="O136" s="277"/>
      <c r="P136" s="277"/>
      <c r="Q136" s="278"/>
      <c r="R136" s="449" t="str">
        <f t="array" ref="R136">IFERROR(IFS(OR(P136="A1-Mewtwo", P136="A1-Pikachu", P136="A1-Charizard", P136="A1"), XLOOKUP(N136, 'Genetic Apex'!$C$2:$C889, 'Genetic Apex'!$B$2:$B889)-$B$4, P136="A1a", XLOOKUP(N136, 'Mythical Island'!$C$2:$C889, 'Mythical Island'!$B$2:$B889)-$B$4, OR(P136="A2-Dialga", P136="A2-Palkia", P136="A2"), XLOOKUP(N136, 'Space-Time Smackdown'!$C$2:$C889, 'Space-Time Smackdown'!$B$2:$B889)-$B$4))</f>
        <v/>
      </c>
      <c r="S136" s="277" t="str">
        <f>IFERROR(__xludf.DUMMYFUNCTION("""COMPUTED_VALUE"""),"A1 133")</f>
        <v>A1 133</v>
      </c>
      <c r="T136" s="277" t="str">
        <f>IFERROR(__xludf.DUMMYFUNCTION("""COMPUTED_VALUE"""),"Woobat")</f>
        <v>Woobat</v>
      </c>
      <c r="U136" s="277" t="str">
        <f>IFERROR(__xludf.DUMMYFUNCTION("""COMPUTED_VALUE"""),"A1")</f>
        <v>A1</v>
      </c>
      <c r="V136" s="278" t="str">
        <f>IFERROR(__xludf.DUMMYFUNCTION("""COMPUTED_VALUE"""),"♢")</f>
        <v>♢</v>
      </c>
      <c r="W136" s="443">
        <f t="array" ref="W136">IFERROR(IFS(OR(U136="A1-Mewtwo", U136="A1-Pikachu", U136="A1-Charizard", U136="A1"), $B$5-XLOOKUP(S136, 'Genetic Apex'!$C$2:$C889, 'Genetic Apex'!$B$2:$B889), U136="A1a", $B$5-XLOOKUP(S136, 'Mythical Island'!$C$2:$C889, 'Mythical Island'!$B$2:$B889), OR(U136="A2-Dialga", U136="A2-Palkia", U136="A2"), $B$5-XLOOKUP(S136, 'Space-Time Smackdown'!$C$2:$C889, 'Space-Time Smackdown'!$B$2:$B889)))</f>
        <v>1</v>
      </c>
      <c r="X136" s="444">
        <f t="shared" si="3"/>
        <v>0</v>
      </c>
      <c r="Y136" s="445" t="str">
        <f t="shared" si="4"/>
        <v/>
      </c>
      <c r="Z136" s="278"/>
      <c r="AA136" s="466"/>
      <c r="AB136" s="278"/>
      <c r="AC136" s="278"/>
      <c r="AD136" s="278"/>
      <c r="AE136" s="278"/>
      <c r="AF136" s="278"/>
      <c r="AG136" s="278" t="b">
        <f t="shared" si="5"/>
        <v>0</v>
      </c>
      <c r="AH136" s="454"/>
      <c r="AI136" s="278"/>
      <c r="AJ136" s="278"/>
      <c r="AK136" s="278"/>
      <c r="AL136" s="444" t="str">
        <f t="array" ref="AL136">IFERROR(IFS(OR(AJ136="A1-Mewtwo", AJ136="A1-Pikachu", AJ136="A1-Charizard", AJ136="A1"), XLOOKUP(AH136, 'Genetic Apex'!$C$2:$C889, 'Genetic Apex'!$B$2:$B889)-2, AJ136="A1a", XLOOKUP(AH136, 'Mythical Island'!$C$2:$C889, 'Mythical Island'!$B$2:$B889)-2, OR(AJ136="A2-Dialga", AJ136="A2-Palkia", AJ136="A2"), XLOOKUP(AH136, 'Space-Time Smackdown'!$C$2:$C889, 'Space-Time Smackdown'!$B$2:$B889)-2))</f>
        <v/>
      </c>
      <c r="AM136" s="444" t="str">
        <f t="shared" si="6"/>
        <v/>
      </c>
      <c r="AN136" s="448" t="str">
        <f t="shared" si="7"/>
        <v/>
      </c>
    </row>
    <row r="137">
      <c r="A137" s="277"/>
      <c r="B137" s="277"/>
      <c r="C137" s="441"/>
      <c r="D137" s="277"/>
      <c r="E137" s="277"/>
      <c r="F137" s="277"/>
      <c r="G137" s="277"/>
      <c r="H137" s="277" t="b">
        <f t="shared" si="1"/>
        <v>0</v>
      </c>
      <c r="I137" s="277" t="str">
        <f>IFERROR(__xludf.DUMMYFUNCTION("""COMPUTED_VALUE"""),"A1 134")</f>
        <v>A1 134</v>
      </c>
      <c r="J137" s="277" t="str">
        <f>IFERROR(__xludf.DUMMYFUNCTION("""COMPUTED_VALUE"""),"Swoobat")</f>
        <v>Swoobat</v>
      </c>
      <c r="K137" s="277" t="str">
        <f>IFERROR(__xludf.DUMMYFUNCTION("""COMPUTED_VALUE"""),"A1")</f>
        <v>A1</v>
      </c>
      <c r="L137" s="277" t="str">
        <f>IFERROR(__xludf.DUMMYFUNCTION("""COMPUTED_VALUE"""),"♢")</f>
        <v>♢</v>
      </c>
      <c r="M137" s="440" t="b">
        <f t="shared" si="2"/>
        <v>1</v>
      </c>
      <c r="N137" s="441"/>
      <c r="O137" s="277"/>
      <c r="P137" s="277"/>
      <c r="Q137" s="278"/>
      <c r="R137" s="449" t="str">
        <f t="array" ref="R137">IFERROR(IFS(OR(P137="A1-Mewtwo", P137="A1-Pikachu", P137="A1-Charizard", P137="A1"), XLOOKUP(N137, 'Genetic Apex'!$C$2:$C889, 'Genetic Apex'!$B$2:$B889)-$B$4, P137="A1a", XLOOKUP(N137, 'Mythical Island'!$C$2:$C889, 'Mythical Island'!$B$2:$B889)-$B$4, OR(P137="A2-Dialga", P137="A2-Palkia", P137="A2"), XLOOKUP(N137, 'Space-Time Smackdown'!$C$2:$C889, 'Space-Time Smackdown'!$B$2:$B889)-$B$4))</f>
        <v/>
      </c>
      <c r="S137" s="277" t="str">
        <f>IFERROR(__xludf.DUMMYFUNCTION("""COMPUTED_VALUE"""),"A1 134")</f>
        <v>A1 134</v>
      </c>
      <c r="T137" s="277" t="str">
        <f>IFERROR(__xludf.DUMMYFUNCTION("""COMPUTED_VALUE"""),"Swoobat")</f>
        <v>Swoobat</v>
      </c>
      <c r="U137" s="277" t="str">
        <f>IFERROR(__xludf.DUMMYFUNCTION("""COMPUTED_VALUE"""),"A1")</f>
        <v>A1</v>
      </c>
      <c r="V137" s="278" t="str">
        <f>IFERROR(__xludf.DUMMYFUNCTION("""COMPUTED_VALUE"""),"♢")</f>
        <v>♢</v>
      </c>
      <c r="W137" s="443">
        <f t="array" ref="W137">IFERROR(IFS(OR(U137="A1-Mewtwo", U137="A1-Pikachu", U137="A1-Charizard", U137="A1"), $B$5-XLOOKUP(S137, 'Genetic Apex'!$C$2:$C889, 'Genetic Apex'!$B$2:$B889), U137="A1a", $B$5-XLOOKUP(S137, 'Mythical Island'!$C$2:$C889, 'Mythical Island'!$B$2:$B889), OR(U137="A2-Dialga", U137="A2-Palkia", U137="A2"), $B$5-XLOOKUP(S137, 'Space-Time Smackdown'!$C$2:$C889, 'Space-Time Smackdown'!$B$2:$B889)))</f>
        <v>1</v>
      </c>
      <c r="X137" s="444">
        <f t="shared" si="3"/>
        <v>0</v>
      </c>
      <c r="Y137" s="445" t="str">
        <f t="shared" si="4"/>
        <v/>
      </c>
      <c r="Z137" s="278"/>
      <c r="AA137" s="466"/>
      <c r="AB137" s="278"/>
      <c r="AC137" s="278"/>
      <c r="AD137" s="278"/>
      <c r="AE137" s="278"/>
      <c r="AF137" s="278"/>
      <c r="AG137" s="278" t="b">
        <f t="shared" si="5"/>
        <v>0</v>
      </c>
      <c r="AH137" s="454"/>
      <c r="AI137" s="278"/>
      <c r="AJ137" s="278"/>
      <c r="AK137" s="278"/>
      <c r="AL137" s="444" t="str">
        <f t="array" ref="AL137">IFERROR(IFS(OR(AJ137="A1-Mewtwo", AJ137="A1-Pikachu", AJ137="A1-Charizard", AJ137="A1"), XLOOKUP(AH137, 'Genetic Apex'!$C$2:$C889, 'Genetic Apex'!$B$2:$B889)-2, AJ137="A1a", XLOOKUP(AH137, 'Mythical Island'!$C$2:$C889, 'Mythical Island'!$B$2:$B889)-2, OR(AJ137="A2-Dialga", AJ137="A2-Palkia", AJ137="A2"), XLOOKUP(AH137, 'Space-Time Smackdown'!$C$2:$C889, 'Space-Time Smackdown'!$B$2:$B889)-2))</f>
        <v/>
      </c>
      <c r="AM137" s="444" t="str">
        <f t="shared" si="6"/>
        <v/>
      </c>
      <c r="AN137" s="448" t="str">
        <f t="shared" si="7"/>
        <v/>
      </c>
    </row>
    <row r="138">
      <c r="A138" s="277"/>
      <c r="B138" s="277"/>
      <c r="C138" s="441"/>
      <c r="D138" s="277"/>
      <c r="E138" s="277"/>
      <c r="F138" s="277"/>
      <c r="G138" s="277"/>
      <c r="H138" s="277" t="b">
        <f t="shared" si="1"/>
        <v>0</v>
      </c>
      <c r="I138" s="277" t="str">
        <f>IFERROR(__xludf.DUMMYFUNCTION("""COMPUTED_VALUE"""),"A1 135")</f>
        <v>A1 135</v>
      </c>
      <c r="J138" s="277" t="str">
        <f>IFERROR(__xludf.DUMMYFUNCTION("""COMPUTED_VALUE"""),"Golett")</f>
        <v>Golett</v>
      </c>
      <c r="K138" s="277" t="str">
        <f>IFERROR(__xludf.DUMMYFUNCTION("""COMPUTED_VALUE"""),"A1")</f>
        <v>A1</v>
      </c>
      <c r="L138" s="277" t="str">
        <f>IFERROR(__xludf.DUMMYFUNCTION("""COMPUTED_VALUE"""),"♢")</f>
        <v>♢</v>
      </c>
      <c r="M138" s="440" t="b">
        <f t="shared" si="2"/>
        <v>1</v>
      </c>
      <c r="N138" s="441"/>
      <c r="O138" s="277"/>
      <c r="P138" s="277"/>
      <c r="Q138" s="278"/>
      <c r="R138" s="449" t="str">
        <f t="array" ref="R138">IFERROR(IFS(OR(P138="A1-Mewtwo", P138="A1-Pikachu", P138="A1-Charizard", P138="A1"), XLOOKUP(N138, 'Genetic Apex'!$C$2:$C889, 'Genetic Apex'!$B$2:$B889)-$B$4, P138="A1a", XLOOKUP(N138, 'Mythical Island'!$C$2:$C889, 'Mythical Island'!$B$2:$B889)-$B$4, OR(P138="A2-Dialga", P138="A2-Palkia", P138="A2"), XLOOKUP(N138, 'Space-Time Smackdown'!$C$2:$C889, 'Space-Time Smackdown'!$B$2:$B889)-$B$4))</f>
        <v/>
      </c>
      <c r="S138" s="277" t="str">
        <f>IFERROR(__xludf.DUMMYFUNCTION("""COMPUTED_VALUE"""),"A1 135")</f>
        <v>A1 135</v>
      </c>
      <c r="T138" s="277" t="str">
        <f>IFERROR(__xludf.DUMMYFUNCTION("""COMPUTED_VALUE"""),"Golett")</f>
        <v>Golett</v>
      </c>
      <c r="U138" s="277" t="str">
        <f>IFERROR(__xludf.DUMMYFUNCTION("""COMPUTED_VALUE"""),"A1")</f>
        <v>A1</v>
      </c>
      <c r="V138" s="278" t="str">
        <f>IFERROR(__xludf.DUMMYFUNCTION("""COMPUTED_VALUE"""),"♢")</f>
        <v>♢</v>
      </c>
      <c r="W138" s="443">
        <f t="array" ref="W138">IFERROR(IFS(OR(U138="A1-Mewtwo", U138="A1-Pikachu", U138="A1-Charizard", U138="A1"), $B$5-XLOOKUP(S138, 'Genetic Apex'!$C$2:$C889, 'Genetic Apex'!$B$2:$B889), U138="A1a", $B$5-XLOOKUP(S138, 'Mythical Island'!$C$2:$C889, 'Mythical Island'!$B$2:$B889), OR(U138="A2-Dialga", U138="A2-Palkia", U138="A2"), $B$5-XLOOKUP(S138, 'Space-Time Smackdown'!$C$2:$C889, 'Space-Time Smackdown'!$B$2:$B889)))</f>
        <v>1</v>
      </c>
      <c r="X138" s="444">
        <f t="shared" si="3"/>
        <v>0</v>
      </c>
      <c r="Y138" s="445" t="str">
        <f t="shared" si="4"/>
        <v/>
      </c>
      <c r="Z138" s="278"/>
      <c r="AA138" s="466"/>
      <c r="AB138" s="278"/>
      <c r="AC138" s="278"/>
      <c r="AD138" s="278"/>
      <c r="AE138" s="278"/>
      <c r="AF138" s="278"/>
      <c r="AG138" s="278" t="b">
        <f t="shared" si="5"/>
        <v>0</v>
      </c>
      <c r="AH138" s="454"/>
      <c r="AI138" s="278"/>
      <c r="AJ138" s="278"/>
      <c r="AK138" s="278"/>
      <c r="AL138" s="444" t="str">
        <f t="array" ref="AL138">IFERROR(IFS(OR(AJ138="A1-Mewtwo", AJ138="A1-Pikachu", AJ138="A1-Charizard", AJ138="A1"), XLOOKUP(AH138, 'Genetic Apex'!$C$2:$C889, 'Genetic Apex'!$B$2:$B889)-2, AJ138="A1a", XLOOKUP(AH138, 'Mythical Island'!$C$2:$C889, 'Mythical Island'!$B$2:$B889)-2, OR(AJ138="A2-Dialga", AJ138="A2-Palkia", AJ138="A2"), XLOOKUP(AH138, 'Space-Time Smackdown'!$C$2:$C889, 'Space-Time Smackdown'!$B$2:$B889)-2))</f>
        <v/>
      </c>
      <c r="AM138" s="444" t="str">
        <f t="shared" si="6"/>
        <v/>
      </c>
      <c r="AN138" s="448" t="str">
        <f t="shared" si="7"/>
        <v/>
      </c>
    </row>
    <row r="139">
      <c r="A139" s="277"/>
      <c r="B139" s="277"/>
      <c r="C139" s="441"/>
      <c r="D139" s="277"/>
      <c r="E139" s="277"/>
      <c r="F139" s="277"/>
      <c r="G139" s="277"/>
      <c r="H139" s="277" t="b">
        <f t="shared" si="1"/>
        <v>0</v>
      </c>
      <c r="I139" s="277" t="str">
        <f>IFERROR(__xludf.DUMMYFUNCTION("""COMPUTED_VALUE"""),"A1 136")</f>
        <v>A1 136</v>
      </c>
      <c r="J139" s="277" t="str">
        <f>IFERROR(__xludf.DUMMYFUNCTION("""COMPUTED_VALUE"""),"Golurk")</f>
        <v>Golurk</v>
      </c>
      <c r="K139" s="277" t="str">
        <f>IFERROR(__xludf.DUMMYFUNCTION("""COMPUTED_VALUE"""),"A1")</f>
        <v>A1</v>
      </c>
      <c r="L139" s="277" t="str">
        <f>IFERROR(__xludf.DUMMYFUNCTION("""COMPUTED_VALUE"""),"♢♢")</f>
        <v>♢♢</v>
      </c>
      <c r="M139" s="440" t="b">
        <f t="shared" si="2"/>
        <v>1</v>
      </c>
      <c r="N139" s="441"/>
      <c r="O139" s="277"/>
      <c r="P139" s="277"/>
      <c r="Q139" s="278"/>
      <c r="R139" s="449" t="str">
        <f t="array" ref="R139">IFERROR(IFS(OR(P139="A1-Mewtwo", P139="A1-Pikachu", P139="A1-Charizard", P139="A1"), XLOOKUP(N139, 'Genetic Apex'!$C$2:$C889, 'Genetic Apex'!$B$2:$B889)-$B$4, P139="A1a", XLOOKUP(N139, 'Mythical Island'!$C$2:$C889, 'Mythical Island'!$B$2:$B889)-$B$4, OR(P139="A2-Dialga", P139="A2-Palkia", P139="A2"), XLOOKUP(N139, 'Space-Time Smackdown'!$C$2:$C889, 'Space-Time Smackdown'!$B$2:$B889)-$B$4))</f>
        <v/>
      </c>
      <c r="S139" s="277" t="str">
        <f>IFERROR(__xludf.DUMMYFUNCTION("""COMPUTED_VALUE"""),"A1 136")</f>
        <v>A1 136</v>
      </c>
      <c r="T139" s="277" t="str">
        <f>IFERROR(__xludf.DUMMYFUNCTION("""COMPUTED_VALUE"""),"Golurk")</f>
        <v>Golurk</v>
      </c>
      <c r="U139" s="277" t="str">
        <f>IFERROR(__xludf.DUMMYFUNCTION("""COMPUTED_VALUE"""),"A1")</f>
        <v>A1</v>
      </c>
      <c r="V139" s="278" t="str">
        <f>IFERROR(__xludf.DUMMYFUNCTION("""COMPUTED_VALUE"""),"♢♢")</f>
        <v>♢♢</v>
      </c>
      <c r="W139" s="443">
        <f t="array" ref="W139">IFERROR(IFS(OR(U139="A1-Mewtwo", U139="A1-Pikachu", U139="A1-Charizard", U139="A1"), $B$5-XLOOKUP(S139, 'Genetic Apex'!$C$2:$C889, 'Genetic Apex'!$B$2:$B889), U139="A1a", $B$5-XLOOKUP(S139, 'Mythical Island'!$C$2:$C889, 'Mythical Island'!$B$2:$B889), OR(U139="A2-Dialga", U139="A2-Palkia", U139="A2"), $B$5-XLOOKUP(S139, 'Space-Time Smackdown'!$C$2:$C889, 'Space-Time Smackdown'!$B$2:$B889)))</f>
        <v>1</v>
      </c>
      <c r="X139" s="444">
        <f t="shared" si="3"/>
        <v>0</v>
      </c>
      <c r="Y139" s="445" t="str">
        <f t="shared" si="4"/>
        <v/>
      </c>
      <c r="Z139" s="278"/>
      <c r="AA139" s="466"/>
      <c r="AB139" s="278"/>
      <c r="AC139" s="278"/>
      <c r="AD139" s="278"/>
      <c r="AE139" s="278"/>
      <c r="AF139" s="278"/>
      <c r="AG139" s="278" t="b">
        <f t="shared" si="5"/>
        <v>0</v>
      </c>
      <c r="AH139" s="454"/>
      <c r="AI139" s="278"/>
      <c r="AJ139" s="278"/>
      <c r="AK139" s="278"/>
      <c r="AL139" s="444" t="str">
        <f t="array" ref="AL139">IFERROR(IFS(OR(AJ139="A1-Mewtwo", AJ139="A1-Pikachu", AJ139="A1-Charizard", AJ139="A1"), XLOOKUP(AH139, 'Genetic Apex'!$C$2:$C889, 'Genetic Apex'!$B$2:$B889)-2, AJ139="A1a", XLOOKUP(AH139, 'Mythical Island'!$C$2:$C889, 'Mythical Island'!$B$2:$B889)-2, OR(AJ139="A2-Dialga", AJ139="A2-Palkia", AJ139="A2"), XLOOKUP(AH139, 'Space-Time Smackdown'!$C$2:$C889, 'Space-Time Smackdown'!$B$2:$B889)-2))</f>
        <v/>
      </c>
      <c r="AM139" s="444" t="str">
        <f t="shared" si="6"/>
        <v/>
      </c>
      <c r="AN139" s="448" t="str">
        <f t="shared" si="7"/>
        <v/>
      </c>
    </row>
    <row r="140">
      <c r="A140" s="277"/>
      <c r="B140" s="277"/>
      <c r="C140" s="441"/>
      <c r="D140" s="277"/>
      <c r="E140" s="277"/>
      <c r="F140" s="277"/>
      <c r="G140" s="277"/>
      <c r="H140" s="277" t="b">
        <f t="shared" si="1"/>
        <v>0</v>
      </c>
      <c r="I140" s="277" t="str">
        <f>IFERROR(__xludf.DUMMYFUNCTION("""COMPUTED_VALUE"""),"A1 137")</f>
        <v>A1 137</v>
      </c>
      <c r="J140" s="277" t="str">
        <f>IFERROR(__xludf.DUMMYFUNCTION("""COMPUTED_VALUE"""),"Sandshrew")</f>
        <v>Sandshrew</v>
      </c>
      <c r="K140" s="277" t="str">
        <f>IFERROR(__xludf.DUMMYFUNCTION("""COMPUTED_VALUE"""),"A1")</f>
        <v>A1</v>
      </c>
      <c r="L140" s="277" t="str">
        <f>IFERROR(__xludf.DUMMYFUNCTION("""COMPUTED_VALUE"""),"♢")</f>
        <v>♢</v>
      </c>
      <c r="M140" s="440" t="b">
        <f t="shared" si="2"/>
        <v>1</v>
      </c>
      <c r="N140" s="441"/>
      <c r="O140" s="277"/>
      <c r="P140" s="277"/>
      <c r="Q140" s="278"/>
      <c r="R140" s="449" t="str">
        <f t="array" ref="R140">IFERROR(IFS(OR(P140="A1-Mewtwo", P140="A1-Pikachu", P140="A1-Charizard", P140="A1"), XLOOKUP(N140, 'Genetic Apex'!$C$2:$C889, 'Genetic Apex'!$B$2:$B889)-$B$4, P140="A1a", XLOOKUP(N140, 'Mythical Island'!$C$2:$C889, 'Mythical Island'!$B$2:$B889)-$B$4, OR(P140="A2-Dialga", P140="A2-Palkia", P140="A2"), XLOOKUP(N140, 'Space-Time Smackdown'!$C$2:$C889, 'Space-Time Smackdown'!$B$2:$B889)-$B$4))</f>
        <v/>
      </c>
      <c r="S140" s="277" t="str">
        <f>IFERROR(__xludf.DUMMYFUNCTION("""COMPUTED_VALUE"""),"A1 137")</f>
        <v>A1 137</v>
      </c>
      <c r="T140" s="277" t="str">
        <f>IFERROR(__xludf.DUMMYFUNCTION("""COMPUTED_VALUE"""),"Sandshrew")</f>
        <v>Sandshrew</v>
      </c>
      <c r="U140" s="277" t="str">
        <f>IFERROR(__xludf.DUMMYFUNCTION("""COMPUTED_VALUE"""),"A1")</f>
        <v>A1</v>
      </c>
      <c r="V140" s="278" t="str">
        <f>IFERROR(__xludf.DUMMYFUNCTION("""COMPUTED_VALUE"""),"♢")</f>
        <v>♢</v>
      </c>
      <c r="W140" s="443">
        <f t="array" ref="W140">IFERROR(IFS(OR(U140="A1-Mewtwo", U140="A1-Pikachu", U140="A1-Charizard", U140="A1"), $B$5-XLOOKUP(S140, 'Genetic Apex'!$C$2:$C889, 'Genetic Apex'!$B$2:$B889), U140="A1a", $B$5-XLOOKUP(S140, 'Mythical Island'!$C$2:$C889, 'Mythical Island'!$B$2:$B889), OR(U140="A2-Dialga", U140="A2-Palkia", U140="A2"), $B$5-XLOOKUP(S140, 'Space-Time Smackdown'!$C$2:$C889, 'Space-Time Smackdown'!$B$2:$B889)))</f>
        <v>1</v>
      </c>
      <c r="X140" s="444">
        <f t="shared" si="3"/>
        <v>0</v>
      </c>
      <c r="Y140" s="445" t="str">
        <f t="shared" si="4"/>
        <v/>
      </c>
      <c r="Z140" s="278"/>
      <c r="AA140" s="466"/>
      <c r="AB140" s="278"/>
      <c r="AC140" s="278"/>
      <c r="AD140" s="278"/>
      <c r="AE140" s="278"/>
      <c r="AF140" s="278"/>
      <c r="AG140" s="278" t="b">
        <f t="shared" si="5"/>
        <v>0</v>
      </c>
      <c r="AH140" s="454"/>
      <c r="AI140" s="278"/>
      <c r="AJ140" s="278"/>
      <c r="AK140" s="278"/>
      <c r="AL140" s="444" t="str">
        <f t="array" ref="AL140">IFERROR(IFS(OR(AJ140="A1-Mewtwo", AJ140="A1-Pikachu", AJ140="A1-Charizard", AJ140="A1"), XLOOKUP(AH140, 'Genetic Apex'!$C$2:$C889, 'Genetic Apex'!$B$2:$B889)-2, AJ140="A1a", XLOOKUP(AH140, 'Mythical Island'!$C$2:$C889, 'Mythical Island'!$B$2:$B889)-2, OR(AJ140="A2-Dialga", AJ140="A2-Palkia", AJ140="A2"), XLOOKUP(AH140, 'Space-Time Smackdown'!$C$2:$C889, 'Space-Time Smackdown'!$B$2:$B889)-2))</f>
        <v/>
      </c>
      <c r="AM140" s="444" t="str">
        <f t="shared" si="6"/>
        <v/>
      </c>
      <c r="AN140" s="448" t="str">
        <f t="shared" si="7"/>
        <v/>
      </c>
    </row>
    <row r="141">
      <c r="A141" s="277"/>
      <c r="B141" s="277"/>
      <c r="C141" s="441"/>
      <c r="D141" s="277"/>
      <c r="E141" s="277"/>
      <c r="F141" s="277"/>
      <c r="G141" s="277"/>
      <c r="H141" s="277" t="b">
        <f t="shared" si="1"/>
        <v>0</v>
      </c>
      <c r="I141" s="277" t="str">
        <f>IFERROR(__xludf.DUMMYFUNCTION("""COMPUTED_VALUE"""),"A1 138")</f>
        <v>A1 138</v>
      </c>
      <c r="J141" s="277" t="str">
        <f>IFERROR(__xludf.DUMMYFUNCTION("""COMPUTED_VALUE"""),"Sandslash")</f>
        <v>Sandslash</v>
      </c>
      <c r="K141" s="277" t="str">
        <f>IFERROR(__xludf.DUMMYFUNCTION("""COMPUTED_VALUE"""),"A1")</f>
        <v>A1</v>
      </c>
      <c r="L141" s="277" t="str">
        <f>IFERROR(__xludf.DUMMYFUNCTION("""COMPUTED_VALUE"""),"♢♢")</f>
        <v>♢♢</v>
      </c>
      <c r="M141" s="440" t="b">
        <f t="shared" si="2"/>
        <v>1</v>
      </c>
      <c r="N141" s="441"/>
      <c r="O141" s="277"/>
      <c r="P141" s="277"/>
      <c r="Q141" s="278"/>
      <c r="R141" s="449" t="str">
        <f t="array" ref="R141">IFERROR(IFS(OR(P141="A1-Mewtwo", P141="A1-Pikachu", P141="A1-Charizard", P141="A1"), XLOOKUP(N141, 'Genetic Apex'!$C$2:$C889, 'Genetic Apex'!$B$2:$B889)-$B$4, P141="A1a", XLOOKUP(N141, 'Mythical Island'!$C$2:$C889, 'Mythical Island'!$B$2:$B889)-$B$4, OR(P141="A2-Dialga", P141="A2-Palkia", P141="A2"), XLOOKUP(N141, 'Space-Time Smackdown'!$C$2:$C889, 'Space-Time Smackdown'!$B$2:$B889)-$B$4))</f>
        <v/>
      </c>
      <c r="S141" s="277" t="str">
        <f>IFERROR(__xludf.DUMMYFUNCTION("""COMPUTED_VALUE"""),"A1 138")</f>
        <v>A1 138</v>
      </c>
      <c r="T141" s="277" t="str">
        <f>IFERROR(__xludf.DUMMYFUNCTION("""COMPUTED_VALUE"""),"Sandslash")</f>
        <v>Sandslash</v>
      </c>
      <c r="U141" s="277" t="str">
        <f>IFERROR(__xludf.DUMMYFUNCTION("""COMPUTED_VALUE"""),"A1")</f>
        <v>A1</v>
      </c>
      <c r="V141" s="278" t="str">
        <f>IFERROR(__xludf.DUMMYFUNCTION("""COMPUTED_VALUE"""),"♢♢")</f>
        <v>♢♢</v>
      </c>
      <c r="W141" s="443">
        <f t="array" ref="W141">IFERROR(IFS(OR(U141="A1-Mewtwo", U141="A1-Pikachu", U141="A1-Charizard", U141="A1"), $B$5-XLOOKUP(S141, 'Genetic Apex'!$C$2:$C889, 'Genetic Apex'!$B$2:$B889), U141="A1a", $B$5-XLOOKUP(S141, 'Mythical Island'!$C$2:$C889, 'Mythical Island'!$B$2:$B889), OR(U141="A2-Dialga", U141="A2-Palkia", U141="A2"), $B$5-XLOOKUP(S141, 'Space-Time Smackdown'!$C$2:$C889, 'Space-Time Smackdown'!$B$2:$B889)))</f>
        <v>1</v>
      </c>
      <c r="X141" s="444">
        <f t="shared" si="3"/>
        <v>0</v>
      </c>
      <c r="Y141" s="445" t="str">
        <f t="shared" si="4"/>
        <v/>
      </c>
      <c r="Z141" s="278"/>
      <c r="AA141" s="466"/>
      <c r="AB141" s="278"/>
      <c r="AC141" s="278"/>
      <c r="AD141" s="278"/>
      <c r="AE141" s="278"/>
      <c r="AF141" s="278"/>
      <c r="AG141" s="278" t="b">
        <f t="shared" si="5"/>
        <v>0</v>
      </c>
      <c r="AH141" s="454"/>
      <c r="AI141" s="278"/>
      <c r="AJ141" s="278"/>
      <c r="AK141" s="278"/>
      <c r="AL141" s="444" t="str">
        <f t="array" ref="AL141">IFERROR(IFS(OR(AJ141="A1-Mewtwo", AJ141="A1-Pikachu", AJ141="A1-Charizard", AJ141="A1"), XLOOKUP(AH141, 'Genetic Apex'!$C$2:$C889, 'Genetic Apex'!$B$2:$B889)-2, AJ141="A1a", XLOOKUP(AH141, 'Mythical Island'!$C$2:$C889, 'Mythical Island'!$B$2:$B889)-2, OR(AJ141="A2-Dialga", AJ141="A2-Palkia", AJ141="A2"), XLOOKUP(AH141, 'Space-Time Smackdown'!$C$2:$C889, 'Space-Time Smackdown'!$B$2:$B889)-2))</f>
        <v/>
      </c>
      <c r="AM141" s="444" t="str">
        <f t="shared" si="6"/>
        <v/>
      </c>
      <c r="AN141" s="448" t="str">
        <f t="shared" si="7"/>
        <v/>
      </c>
    </row>
    <row r="142">
      <c r="A142" s="277"/>
      <c r="B142" s="277"/>
      <c r="C142" s="441"/>
      <c r="D142" s="277"/>
      <c r="E142" s="277"/>
      <c r="F142" s="277"/>
      <c r="G142" s="277"/>
      <c r="H142" s="277" t="b">
        <f t="shared" si="1"/>
        <v>0</v>
      </c>
      <c r="I142" s="277" t="str">
        <f>IFERROR(__xludf.DUMMYFUNCTION("""COMPUTED_VALUE"""),"A1 139")</f>
        <v>A1 139</v>
      </c>
      <c r="J142" s="277" t="str">
        <f>IFERROR(__xludf.DUMMYFUNCTION("""COMPUTED_VALUE"""),"Diglett")</f>
        <v>Diglett</v>
      </c>
      <c r="K142" s="277" t="str">
        <f>IFERROR(__xludf.DUMMYFUNCTION("""COMPUTED_VALUE"""),"A1-Pikachu")</f>
        <v>A1-Pikachu</v>
      </c>
      <c r="L142" s="277" t="str">
        <f>IFERROR(__xludf.DUMMYFUNCTION("""COMPUTED_VALUE"""),"♢")</f>
        <v>♢</v>
      </c>
      <c r="M142" s="440" t="b">
        <f t="shared" si="2"/>
        <v>1</v>
      </c>
      <c r="N142" s="441"/>
      <c r="O142" s="277"/>
      <c r="P142" s="277"/>
      <c r="Q142" s="278"/>
      <c r="R142" s="449" t="str">
        <f t="array" ref="R142">IFERROR(IFS(OR(P142="A1-Mewtwo", P142="A1-Pikachu", P142="A1-Charizard", P142="A1"), XLOOKUP(N142, 'Genetic Apex'!$C$2:$C889, 'Genetic Apex'!$B$2:$B889)-$B$4, P142="A1a", XLOOKUP(N142, 'Mythical Island'!$C$2:$C889, 'Mythical Island'!$B$2:$B889)-$B$4, OR(P142="A2-Dialga", P142="A2-Palkia", P142="A2"), XLOOKUP(N142, 'Space-Time Smackdown'!$C$2:$C889, 'Space-Time Smackdown'!$B$2:$B889)-$B$4))</f>
        <v/>
      </c>
      <c r="S142" s="277" t="str">
        <f>IFERROR(__xludf.DUMMYFUNCTION("""COMPUTED_VALUE"""),"A1 139")</f>
        <v>A1 139</v>
      </c>
      <c r="T142" s="277" t="str">
        <f>IFERROR(__xludf.DUMMYFUNCTION("""COMPUTED_VALUE"""),"Diglett")</f>
        <v>Diglett</v>
      </c>
      <c r="U142" s="277" t="str">
        <f>IFERROR(__xludf.DUMMYFUNCTION("""COMPUTED_VALUE"""),"A1-Pikachu")</f>
        <v>A1-Pikachu</v>
      </c>
      <c r="V142" s="278" t="str">
        <f>IFERROR(__xludf.DUMMYFUNCTION("""COMPUTED_VALUE"""),"♢")</f>
        <v>♢</v>
      </c>
      <c r="W142" s="443">
        <f t="array" ref="W142">IFERROR(IFS(OR(U142="A1-Mewtwo", U142="A1-Pikachu", U142="A1-Charizard", U142="A1"), $B$5-XLOOKUP(S142, 'Genetic Apex'!$C$2:$C889, 'Genetic Apex'!$B$2:$B889), U142="A1a", $B$5-XLOOKUP(S142, 'Mythical Island'!$C$2:$C889, 'Mythical Island'!$B$2:$B889), OR(U142="A2-Dialga", U142="A2-Palkia", U142="A2"), $B$5-XLOOKUP(S142, 'Space-Time Smackdown'!$C$2:$C889, 'Space-Time Smackdown'!$B$2:$B889)))</f>
        <v>1</v>
      </c>
      <c r="X142" s="444">
        <f t="shared" si="3"/>
        <v>0</v>
      </c>
      <c r="Y142" s="445" t="str">
        <f t="shared" si="4"/>
        <v/>
      </c>
      <c r="Z142" s="278"/>
      <c r="AA142" s="466"/>
      <c r="AB142" s="278"/>
      <c r="AC142" s="278"/>
      <c r="AD142" s="278"/>
      <c r="AE142" s="278"/>
      <c r="AF142" s="278"/>
      <c r="AG142" s="278" t="b">
        <f t="shared" si="5"/>
        <v>0</v>
      </c>
      <c r="AH142" s="454"/>
      <c r="AI142" s="278"/>
      <c r="AJ142" s="278"/>
      <c r="AK142" s="278"/>
      <c r="AL142" s="444" t="str">
        <f t="array" ref="AL142">IFERROR(IFS(OR(AJ142="A1-Mewtwo", AJ142="A1-Pikachu", AJ142="A1-Charizard", AJ142="A1"), XLOOKUP(AH142, 'Genetic Apex'!$C$2:$C889, 'Genetic Apex'!$B$2:$B889)-2, AJ142="A1a", XLOOKUP(AH142, 'Mythical Island'!$C$2:$C889, 'Mythical Island'!$B$2:$B889)-2, OR(AJ142="A2-Dialga", AJ142="A2-Palkia", AJ142="A2"), XLOOKUP(AH142, 'Space-Time Smackdown'!$C$2:$C889, 'Space-Time Smackdown'!$B$2:$B889)-2))</f>
        <v/>
      </c>
      <c r="AM142" s="444" t="str">
        <f t="shared" si="6"/>
        <v/>
      </c>
      <c r="AN142" s="448" t="str">
        <f t="shared" si="7"/>
        <v/>
      </c>
    </row>
    <row r="143">
      <c r="A143" s="277"/>
      <c r="B143" s="277"/>
      <c r="C143" s="441"/>
      <c r="D143" s="277"/>
      <c r="E143" s="277"/>
      <c r="F143" s="277"/>
      <c r="G143" s="277"/>
      <c r="H143" s="277" t="b">
        <f t="shared" si="1"/>
        <v>0</v>
      </c>
      <c r="I143" s="277" t="str">
        <f>IFERROR(__xludf.DUMMYFUNCTION("""COMPUTED_VALUE"""),"A1 140")</f>
        <v>A1 140</v>
      </c>
      <c r="J143" s="277" t="str">
        <f>IFERROR(__xludf.DUMMYFUNCTION("""COMPUTED_VALUE"""),"Dugtrio")</f>
        <v>Dugtrio</v>
      </c>
      <c r="K143" s="277" t="str">
        <f>IFERROR(__xludf.DUMMYFUNCTION("""COMPUTED_VALUE"""),"A1-Pikachu")</f>
        <v>A1-Pikachu</v>
      </c>
      <c r="L143" s="277" t="str">
        <f>IFERROR(__xludf.DUMMYFUNCTION("""COMPUTED_VALUE"""),"♢♢")</f>
        <v>♢♢</v>
      </c>
      <c r="M143" s="440" t="b">
        <f t="shared" si="2"/>
        <v>1</v>
      </c>
      <c r="N143" s="441"/>
      <c r="O143" s="277"/>
      <c r="P143" s="277"/>
      <c r="Q143" s="278"/>
      <c r="R143" s="449" t="str">
        <f t="array" ref="R143">IFERROR(IFS(OR(P143="A1-Mewtwo", P143="A1-Pikachu", P143="A1-Charizard", P143="A1"), XLOOKUP(N143, 'Genetic Apex'!$C$2:$C889, 'Genetic Apex'!$B$2:$B889)-$B$4, P143="A1a", XLOOKUP(N143, 'Mythical Island'!$C$2:$C889, 'Mythical Island'!$B$2:$B889)-$B$4, OR(P143="A2-Dialga", P143="A2-Palkia", P143="A2"), XLOOKUP(N143, 'Space-Time Smackdown'!$C$2:$C889, 'Space-Time Smackdown'!$B$2:$B889)-$B$4))</f>
        <v/>
      </c>
      <c r="S143" s="277" t="str">
        <f>IFERROR(__xludf.DUMMYFUNCTION("""COMPUTED_VALUE"""),"A1 140")</f>
        <v>A1 140</v>
      </c>
      <c r="T143" s="277" t="str">
        <f>IFERROR(__xludf.DUMMYFUNCTION("""COMPUTED_VALUE"""),"Dugtrio")</f>
        <v>Dugtrio</v>
      </c>
      <c r="U143" s="277" t="str">
        <f>IFERROR(__xludf.DUMMYFUNCTION("""COMPUTED_VALUE"""),"A1-Pikachu")</f>
        <v>A1-Pikachu</v>
      </c>
      <c r="V143" s="278" t="str">
        <f>IFERROR(__xludf.DUMMYFUNCTION("""COMPUTED_VALUE"""),"♢♢")</f>
        <v>♢♢</v>
      </c>
      <c r="W143" s="443">
        <f t="array" ref="W143">IFERROR(IFS(OR(U143="A1-Mewtwo", U143="A1-Pikachu", U143="A1-Charizard", U143="A1"), $B$5-XLOOKUP(S143, 'Genetic Apex'!$C$2:$C889, 'Genetic Apex'!$B$2:$B889), U143="A1a", $B$5-XLOOKUP(S143, 'Mythical Island'!$C$2:$C889, 'Mythical Island'!$B$2:$B889), OR(U143="A2-Dialga", U143="A2-Palkia", U143="A2"), $B$5-XLOOKUP(S143, 'Space-Time Smackdown'!$C$2:$C889, 'Space-Time Smackdown'!$B$2:$B889)))</f>
        <v>1</v>
      </c>
      <c r="X143" s="444">
        <f t="shared" si="3"/>
        <v>0</v>
      </c>
      <c r="Y143" s="445" t="str">
        <f t="shared" si="4"/>
        <v/>
      </c>
      <c r="Z143" s="278"/>
      <c r="AA143" s="466"/>
      <c r="AB143" s="278"/>
      <c r="AC143" s="278"/>
      <c r="AD143" s="278"/>
      <c r="AE143" s="278"/>
      <c r="AF143" s="278"/>
      <c r="AG143" s="278" t="b">
        <f t="shared" si="5"/>
        <v>0</v>
      </c>
      <c r="AH143" s="454"/>
      <c r="AI143" s="278"/>
      <c r="AJ143" s="278"/>
      <c r="AK143" s="278"/>
      <c r="AL143" s="444" t="str">
        <f t="array" ref="AL143">IFERROR(IFS(OR(AJ143="A1-Mewtwo", AJ143="A1-Pikachu", AJ143="A1-Charizard", AJ143="A1"), XLOOKUP(AH143, 'Genetic Apex'!$C$2:$C889, 'Genetic Apex'!$B$2:$B889)-2, AJ143="A1a", XLOOKUP(AH143, 'Mythical Island'!$C$2:$C889, 'Mythical Island'!$B$2:$B889)-2, OR(AJ143="A2-Dialga", AJ143="A2-Palkia", AJ143="A2"), XLOOKUP(AH143, 'Space-Time Smackdown'!$C$2:$C889, 'Space-Time Smackdown'!$B$2:$B889)-2))</f>
        <v/>
      </c>
      <c r="AM143" s="444" t="str">
        <f t="shared" si="6"/>
        <v/>
      </c>
      <c r="AN143" s="448" t="str">
        <f t="shared" si="7"/>
        <v/>
      </c>
    </row>
    <row r="144">
      <c r="A144" s="277"/>
      <c r="B144" s="277"/>
      <c r="C144" s="441"/>
      <c r="D144" s="277"/>
      <c r="E144" s="277"/>
      <c r="F144" s="277"/>
      <c r="G144" s="277"/>
      <c r="H144" s="277" t="b">
        <f t="shared" si="1"/>
        <v>0</v>
      </c>
      <c r="I144" s="277" t="str">
        <f>IFERROR(__xludf.DUMMYFUNCTION("""COMPUTED_VALUE"""),"A1 141")</f>
        <v>A1 141</v>
      </c>
      <c r="J144" s="277" t="str">
        <f>IFERROR(__xludf.DUMMYFUNCTION("""COMPUTED_VALUE"""),"Mankey")</f>
        <v>Mankey</v>
      </c>
      <c r="K144" s="277" t="str">
        <f>IFERROR(__xludf.DUMMYFUNCTION("""COMPUTED_VALUE"""),"A1-Charizard")</f>
        <v>A1-Charizard</v>
      </c>
      <c r="L144" s="277" t="str">
        <f>IFERROR(__xludf.DUMMYFUNCTION("""COMPUTED_VALUE"""),"♢")</f>
        <v>♢</v>
      </c>
      <c r="M144" s="440" t="b">
        <f t="shared" si="2"/>
        <v>1</v>
      </c>
      <c r="N144" s="441"/>
      <c r="O144" s="277"/>
      <c r="P144" s="277"/>
      <c r="Q144" s="278"/>
      <c r="R144" s="449" t="str">
        <f t="array" ref="R144">IFERROR(IFS(OR(P144="A1-Mewtwo", P144="A1-Pikachu", P144="A1-Charizard", P144="A1"), XLOOKUP(N144, 'Genetic Apex'!$C$2:$C889, 'Genetic Apex'!$B$2:$B889)-$B$4, P144="A1a", XLOOKUP(N144, 'Mythical Island'!$C$2:$C889, 'Mythical Island'!$B$2:$B889)-$B$4, OR(P144="A2-Dialga", P144="A2-Palkia", P144="A2"), XLOOKUP(N144, 'Space-Time Smackdown'!$C$2:$C889, 'Space-Time Smackdown'!$B$2:$B889)-$B$4))</f>
        <v/>
      </c>
      <c r="S144" s="277" t="str">
        <f>IFERROR(__xludf.DUMMYFUNCTION("""COMPUTED_VALUE"""),"A1 141")</f>
        <v>A1 141</v>
      </c>
      <c r="T144" s="277" t="str">
        <f>IFERROR(__xludf.DUMMYFUNCTION("""COMPUTED_VALUE"""),"Mankey")</f>
        <v>Mankey</v>
      </c>
      <c r="U144" s="277" t="str">
        <f>IFERROR(__xludf.DUMMYFUNCTION("""COMPUTED_VALUE"""),"A1-Charizard")</f>
        <v>A1-Charizard</v>
      </c>
      <c r="V144" s="278" t="str">
        <f>IFERROR(__xludf.DUMMYFUNCTION("""COMPUTED_VALUE"""),"♢")</f>
        <v>♢</v>
      </c>
      <c r="W144" s="443">
        <f t="array" ref="W144">IFERROR(IFS(OR(U144="A1-Mewtwo", U144="A1-Pikachu", U144="A1-Charizard", U144="A1"), $B$5-XLOOKUP(S144, 'Genetic Apex'!$C$2:$C889, 'Genetic Apex'!$B$2:$B889), U144="A1a", $B$5-XLOOKUP(S144, 'Mythical Island'!$C$2:$C889, 'Mythical Island'!$B$2:$B889), OR(U144="A2-Dialga", U144="A2-Palkia", U144="A2"), $B$5-XLOOKUP(S144, 'Space-Time Smackdown'!$C$2:$C889, 'Space-Time Smackdown'!$B$2:$B889)))</f>
        <v>1</v>
      </c>
      <c r="X144" s="444">
        <f t="shared" si="3"/>
        <v>0</v>
      </c>
      <c r="Y144" s="445" t="str">
        <f t="shared" si="4"/>
        <v/>
      </c>
      <c r="Z144" s="278"/>
      <c r="AA144" s="466"/>
      <c r="AB144" s="278"/>
      <c r="AC144" s="278"/>
      <c r="AD144" s="278"/>
      <c r="AE144" s="278"/>
      <c r="AF144" s="278"/>
      <c r="AG144" s="278" t="b">
        <f t="shared" si="5"/>
        <v>0</v>
      </c>
      <c r="AH144" s="454"/>
      <c r="AI144" s="278"/>
      <c r="AJ144" s="278"/>
      <c r="AK144" s="278"/>
      <c r="AL144" s="444" t="str">
        <f t="array" ref="AL144">IFERROR(IFS(OR(AJ144="A1-Mewtwo", AJ144="A1-Pikachu", AJ144="A1-Charizard", AJ144="A1"), XLOOKUP(AH144, 'Genetic Apex'!$C$2:$C889, 'Genetic Apex'!$B$2:$B889)-2, AJ144="A1a", XLOOKUP(AH144, 'Mythical Island'!$C$2:$C889, 'Mythical Island'!$B$2:$B889)-2, OR(AJ144="A2-Dialga", AJ144="A2-Palkia", AJ144="A2"), XLOOKUP(AH144, 'Space-Time Smackdown'!$C$2:$C889, 'Space-Time Smackdown'!$B$2:$B889)-2))</f>
        <v/>
      </c>
      <c r="AM144" s="444" t="str">
        <f t="shared" si="6"/>
        <v/>
      </c>
      <c r="AN144" s="448" t="str">
        <f t="shared" si="7"/>
        <v/>
      </c>
    </row>
    <row r="145">
      <c r="A145" s="277"/>
      <c r="B145" s="277"/>
      <c r="C145" s="441"/>
      <c r="D145" s="277"/>
      <c r="E145" s="277"/>
      <c r="F145" s="277"/>
      <c r="G145" s="277"/>
      <c r="H145" s="277" t="b">
        <f t="shared" si="1"/>
        <v>0</v>
      </c>
      <c r="I145" s="277" t="str">
        <f>IFERROR(__xludf.DUMMYFUNCTION("""COMPUTED_VALUE"""),"A1 142")</f>
        <v>A1 142</v>
      </c>
      <c r="J145" s="277" t="str">
        <f>IFERROR(__xludf.DUMMYFUNCTION("""COMPUTED_VALUE"""),"Primeape")</f>
        <v>Primeape</v>
      </c>
      <c r="K145" s="277" t="str">
        <f>IFERROR(__xludf.DUMMYFUNCTION("""COMPUTED_VALUE"""),"A1-Charizard")</f>
        <v>A1-Charizard</v>
      </c>
      <c r="L145" s="277" t="str">
        <f>IFERROR(__xludf.DUMMYFUNCTION("""COMPUTED_VALUE"""),"♢♢")</f>
        <v>♢♢</v>
      </c>
      <c r="M145" s="440" t="b">
        <f t="shared" si="2"/>
        <v>1</v>
      </c>
      <c r="N145" s="441"/>
      <c r="O145" s="277"/>
      <c r="P145" s="277"/>
      <c r="Q145" s="278"/>
      <c r="R145" s="449" t="str">
        <f t="array" ref="R145">IFERROR(IFS(OR(P145="A1-Mewtwo", P145="A1-Pikachu", P145="A1-Charizard", P145="A1"), XLOOKUP(N145, 'Genetic Apex'!$C$2:$C889, 'Genetic Apex'!$B$2:$B889)-$B$4, P145="A1a", XLOOKUP(N145, 'Mythical Island'!$C$2:$C889, 'Mythical Island'!$B$2:$B889)-$B$4, OR(P145="A2-Dialga", P145="A2-Palkia", P145="A2"), XLOOKUP(N145, 'Space-Time Smackdown'!$C$2:$C889, 'Space-Time Smackdown'!$B$2:$B889)-$B$4))</f>
        <v/>
      </c>
      <c r="S145" s="277" t="str">
        <f>IFERROR(__xludf.DUMMYFUNCTION("""COMPUTED_VALUE"""),"A1 142")</f>
        <v>A1 142</v>
      </c>
      <c r="T145" s="277" t="str">
        <f>IFERROR(__xludf.DUMMYFUNCTION("""COMPUTED_VALUE"""),"Primeape")</f>
        <v>Primeape</v>
      </c>
      <c r="U145" s="277" t="str">
        <f>IFERROR(__xludf.DUMMYFUNCTION("""COMPUTED_VALUE"""),"A1-Charizard")</f>
        <v>A1-Charizard</v>
      </c>
      <c r="V145" s="278" t="str">
        <f>IFERROR(__xludf.DUMMYFUNCTION("""COMPUTED_VALUE"""),"♢♢")</f>
        <v>♢♢</v>
      </c>
      <c r="W145" s="443">
        <f t="array" ref="W145">IFERROR(IFS(OR(U145="A1-Mewtwo", U145="A1-Pikachu", U145="A1-Charizard", U145="A1"), $B$5-XLOOKUP(S145, 'Genetic Apex'!$C$2:$C889, 'Genetic Apex'!$B$2:$B889), U145="A1a", $B$5-XLOOKUP(S145, 'Mythical Island'!$C$2:$C889, 'Mythical Island'!$B$2:$B889), OR(U145="A2-Dialga", U145="A2-Palkia", U145="A2"), $B$5-XLOOKUP(S145, 'Space-Time Smackdown'!$C$2:$C889, 'Space-Time Smackdown'!$B$2:$B889)))</f>
        <v>1</v>
      </c>
      <c r="X145" s="444">
        <f t="shared" si="3"/>
        <v>0</v>
      </c>
      <c r="Y145" s="445" t="str">
        <f t="shared" si="4"/>
        <v/>
      </c>
      <c r="Z145" s="278"/>
      <c r="AA145" s="466"/>
      <c r="AB145" s="278"/>
      <c r="AC145" s="278"/>
      <c r="AD145" s="278"/>
      <c r="AE145" s="278"/>
      <c r="AF145" s="278"/>
      <c r="AG145" s="278" t="b">
        <f t="shared" si="5"/>
        <v>0</v>
      </c>
      <c r="AH145" s="454"/>
      <c r="AI145" s="278"/>
      <c r="AJ145" s="278"/>
      <c r="AK145" s="278"/>
      <c r="AL145" s="444" t="str">
        <f t="array" ref="AL145">IFERROR(IFS(OR(AJ145="A1-Mewtwo", AJ145="A1-Pikachu", AJ145="A1-Charizard", AJ145="A1"), XLOOKUP(AH145, 'Genetic Apex'!$C$2:$C889, 'Genetic Apex'!$B$2:$B889)-2, AJ145="A1a", XLOOKUP(AH145, 'Mythical Island'!$C$2:$C889, 'Mythical Island'!$B$2:$B889)-2, OR(AJ145="A2-Dialga", AJ145="A2-Palkia", AJ145="A2"), XLOOKUP(AH145, 'Space-Time Smackdown'!$C$2:$C889, 'Space-Time Smackdown'!$B$2:$B889)-2))</f>
        <v/>
      </c>
      <c r="AM145" s="444" t="str">
        <f t="shared" si="6"/>
        <v/>
      </c>
      <c r="AN145" s="448" t="str">
        <f t="shared" si="7"/>
        <v/>
      </c>
    </row>
    <row r="146">
      <c r="A146" s="277"/>
      <c r="B146" s="277"/>
      <c r="C146" s="441"/>
      <c r="D146" s="277"/>
      <c r="E146" s="277"/>
      <c r="F146" s="277"/>
      <c r="G146" s="277"/>
      <c r="H146" s="277" t="b">
        <f t="shared" si="1"/>
        <v>0</v>
      </c>
      <c r="I146" s="277" t="str">
        <f>IFERROR(__xludf.DUMMYFUNCTION("""COMPUTED_VALUE"""),"A1 143")</f>
        <v>A1 143</v>
      </c>
      <c r="J146" s="277" t="str">
        <f>IFERROR(__xludf.DUMMYFUNCTION("""COMPUTED_VALUE"""),"Machop")</f>
        <v>Machop</v>
      </c>
      <c r="K146" s="277" t="str">
        <f>IFERROR(__xludf.DUMMYFUNCTION("""COMPUTED_VALUE"""),"A1-Charizard")</f>
        <v>A1-Charizard</v>
      </c>
      <c r="L146" s="277" t="str">
        <f>IFERROR(__xludf.DUMMYFUNCTION("""COMPUTED_VALUE"""),"♢")</f>
        <v>♢</v>
      </c>
      <c r="M146" s="440" t="b">
        <f t="shared" si="2"/>
        <v>1</v>
      </c>
      <c r="N146" s="441"/>
      <c r="O146" s="277"/>
      <c r="P146" s="277"/>
      <c r="Q146" s="278"/>
      <c r="R146" s="449" t="str">
        <f t="array" ref="R146">IFERROR(IFS(OR(P146="A1-Mewtwo", P146="A1-Pikachu", P146="A1-Charizard", P146="A1"), XLOOKUP(N146, 'Genetic Apex'!$C$2:$C889, 'Genetic Apex'!$B$2:$B889)-$B$4, P146="A1a", XLOOKUP(N146, 'Mythical Island'!$C$2:$C889, 'Mythical Island'!$B$2:$B889)-$B$4, OR(P146="A2-Dialga", P146="A2-Palkia", P146="A2"), XLOOKUP(N146, 'Space-Time Smackdown'!$C$2:$C889, 'Space-Time Smackdown'!$B$2:$B889)-$B$4))</f>
        <v/>
      </c>
      <c r="S146" s="277" t="str">
        <f>IFERROR(__xludf.DUMMYFUNCTION("""COMPUTED_VALUE"""),"A1 143")</f>
        <v>A1 143</v>
      </c>
      <c r="T146" s="277" t="str">
        <f>IFERROR(__xludf.DUMMYFUNCTION("""COMPUTED_VALUE"""),"Machop")</f>
        <v>Machop</v>
      </c>
      <c r="U146" s="277" t="str">
        <f>IFERROR(__xludf.DUMMYFUNCTION("""COMPUTED_VALUE"""),"A1-Charizard")</f>
        <v>A1-Charizard</v>
      </c>
      <c r="V146" s="278" t="str">
        <f>IFERROR(__xludf.DUMMYFUNCTION("""COMPUTED_VALUE"""),"♢")</f>
        <v>♢</v>
      </c>
      <c r="W146" s="443">
        <f t="array" ref="W146">IFERROR(IFS(OR(U146="A1-Mewtwo", U146="A1-Pikachu", U146="A1-Charizard", U146="A1"), $B$5-XLOOKUP(S146, 'Genetic Apex'!$C$2:$C889, 'Genetic Apex'!$B$2:$B889), U146="A1a", $B$5-XLOOKUP(S146, 'Mythical Island'!$C$2:$C889, 'Mythical Island'!$B$2:$B889), OR(U146="A2-Dialga", U146="A2-Palkia", U146="A2"), $B$5-XLOOKUP(S146, 'Space-Time Smackdown'!$C$2:$C889, 'Space-Time Smackdown'!$B$2:$B889)))</f>
        <v>1</v>
      </c>
      <c r="X146" s="444">
        <f t="shared" si="3"/>
        <v>0</v>
      </c>
      <c r="Y146" s="445" t="str">
        <f t="shared" si="4"/>
        <v/>
      </c>
      <c r="Z146" s="278"/>
      <c r="AA146" s="466"/>
      <c r="AB146" s="278"/>
      <c r="AC146" s="278"/>
      <c r="AD146" s="278"/>
      <c r="AE146" s="278"/>
      <c r="AF146" s="278"/>
      <c r="AG146" s="278" t="b">
        <f t="shared" si="5"/>
        <v>0</v>
      </c>
      <c r="AH146" s="454"/>
      <c r="AI146" s="278"/>
      <c r="AJ146" s="278"/>
      <c r="AK146" s="278"/>
      <c r="AL146" s="444" t="str">
        <f t="array" ref="AL146">IFERROR(IFS(OR(AJ146="A1-Mewtwo", AJ146="A1-Pikachu", AJ146="A1-Charizard", AJ146="A1"), XLOOKUP(AH146, 'Genetic Apex'!$C$2:$C889, 'Genetic Apex'!$B$2:$B889)-2, AJ146="A1a", XLOOKUP(AH146, 'Mythical Island'!$C$2:$C889, 'Mythical Island'!$B$2:$B889)-2, OR(AJ146="A2-Dialga", AJ146="A2-Palkia", AJ146="A2"), XLOOKUP(AH146, 'Space-Time Smackdown'!$C$2:$C889, 'Space-Time Smackdown'!$B$2:$B889)-2))</f>
        <v/>
      </c>
      <c r="AM146" s="444" t="str">
        <f t="shared" si="6"/>
        <v/>
      </c>
      <c r="AN146" s="448" t="str">
        <f t="shared" si="7"/>
        <v/>
      </c>
    </row>
    <row r="147">
      <c r="A147" s="277"/>
      <c r="B147" s="277"/>
      <c r="C147" s="441"/>
      <c r="D147" s="277"/>
      <c r="E147" s="277"/>
      <c r="F147" s="277"/>
      <c r="G147" s="277"/>
      <c r="H147" s="277" t="b">
        <f t="shared" si="1"/>
        <v>0</v>
      </c>
      <c r="I147" s="277" t="str">
        <f>IFERROR(__xludf.DUMMYFUNCTION("""COMPUTED_VALUE"""),"A1 144")</f>
        <v>A1 144</v>
      </c>
      <c r="J147" s="277" t="str">
        <f>IFERROR(__xludf.DUMMYFUNCTION("""COMPUTED_VALUE"""),"Machoke")</f>
        <v>Machoke</v>
      </c>
      <c r="K147" s="277" t="str">
        <f>IFERROR(__xludf.DUMMYFUNCTION("""COMPUTED_VALUE"""),"A1-Charizard")</f>
        <v>A1-Charizard</v>
      </c>
      <c r="L147" s="277" t="str">
        <f>IFERROR(__xludf.DUMMYFUNCTION("""COMPUTED_VALUE"""),"♢♢")</f>
        <v>♢♢</v>
      </c>
      <c r="M147" s="440" t="b">
        <f t="shared" si="2"/>
        <v>1</v>
      </c>
      <c r="N147" s="441"/>
      <c r="O147" s="277"/>
      <c r="P147" s="277"/>
      <c r="Q147" s="278"/>
      <c r="R147" s="449" t="str">
        <f t="array" ref="R147">IFERROR(IFS(OR(P147="A1-Mewtwo", P147="A1-Pikachu", P147="A1-Charizard", P147="A1"), XLOOKUP(N147, 'Genetic Apex'!$C$2:$C889, 'Genetic Apex'!$B$2:$B889)-$B$4, P147="A1a", XLOOKUP(N147, 'Mythical Island'!$C$2:$C889, 'Mythical Island'!$B$2:$B889)-$B$4, OR(P147="A2-Dialga", P147="A2-Palkia", P147="A2"), XLOOKUP(N147, 'Space-Time Smackdown'!$C$2:$C889, 'Space-Time Smackdown'!$B$2:$B889)-$B$4))</f>
        <v/>
      </c>
      <c r="S147" s="277" t="str">
        <f>IFERROR(__xludf.DUMMYFUNCTION("""COMPUTED_VALUE"""),"A1 144")</f>
        <v>A1 144</v>
      </c>
      <c r="T147" s="277" t="str">
        <f>IFERROR(__xludf.DUMMYFUNCTION("""COMPUTED_VALUE"""),"Machoke")</f>
        <v>Machoke</v>
      </c>
      <c r="U147" s="277" t="str">
        <f>IFERROR(__xludf.DUMMYFUNCTION("""COMPUTED_VALUE"""),"A1-Charizard")</f>
        <v>A1-Charizard</v>
      </c>
      <c r="V147" s="278" t="str">
        <f>IFERROR(__xludf.DUMMYFUNCTION("""COMPUTED_VALUE"""),"♢♢")</f>
        <v>♢♢</v>
      </c>
      <c r="W147" s="443">
        <f t="array" ref="W147">IFERROR(IFS(OR(U147="A1-Mewtwo", U147="A1-Pikachu", U147="A1-Charizard", U147="A1"), $B$5-XLOOKUP(S147, 'Genetic Apex'!$C$2:$C889, 'Genetic Apex'!$B$2:$B889), U147="A1a", $B$5-XLOOKUP(S147, 'Mythical Island'!$C$2:$C889, 'Mythical Island'!$B$2:$B889), OR(U147="A2-Dialga", U147="A2-Palkia", U147="A2"), $B$5-XLOOKUP(S147, 'Space-Time Smackdown'!$C$2:$C889, 'Space-Time Smackdown'!$B$2:$B889)))</f>
        <v>1</v>
      </c>
      <c r="X147" s="444">
        <f t="shared" si="3"/>
        <v>0</v>
      </c>
      <c r="Y147" s="445" t="str">
        <f t="shared" si="4"/>
        <v/>
      </c>
      <c r="Z147" s="278"/>
      <c r="AA147" s="466"/>
      <c r="AB147" s="278"/>
      <c r="AC147" s="278"/>
      <c r="AD147" s="278"/>
      <c r="AE147" s="278"/>
      <c r="AF147" s="278"/>
      <c r="AG147" s="278" t="b">
        <f t="shared" si="5"/>
        <v>0</v>
      </c>
      <c r="AH147" s="454"/>
      <c r="AI147" s="278"/>
      <c r="AJ147" s="278"/>
      <c r="AK147" s="278"/>
      <c r="AL147" s="444" t="str">
        <f t="array" ref="AL147">IFERROR(IFS(OR(AJ147="A1-Mewtwo", AJ147="A1-Pikachu", AJ147="A1-Charizard", AJ147="A1"), XLOOKUP(AH147, 'Genetic Apex'!$C$2:$C889, 'Genetic Apex'!$B$2:$B889)-2, AJ147="A1a", XLOOKUP(AH147, 'Mythical Island'!$C$2:$C889, 'Mythical Island'!$B$2:$B889)-2, OR(AJ147="A2-Dialga", AJ147="A2-Palkia", AJ147="A2"), XLOOKUP(AH147, 'Space-Time Smackdown'!$C$2:$C889, 'Space-Time Smackdown'!$B$2:$B889)-2))</f>
        <v/>
      </c>
      <c r="AM147" s="444" t="str">
        <f t="shared" si="6"/>
        <v/>
      </c>
      <c r="AN147" s="448" t="str">
        <f t="shared" si="7"/>
        <v/>
      </c>
    </row>
    <row r="148">
      <c r="A148" s="277"/>
      <c r="B148" s="277"/>
      <c r="C148" s="441"/>
      <c r="D148" s="277"/>
      <c r="E148" s="277"/>
      <c r="F148" s="277"/>
      <c r="G148" s="277"/>
      <c r="H148" s="277" t="b">
        <f t="shared" si="1"/>
        <v>0</v>
      </c>
      <c r="I148" s="277" t="str">
        <f>IFERROR(__xludf.DUMMYFUNCTION("""COMPUTED_VALUE"""),"A1 145")</f>
        <v>A1 145</v>
      </c>
      <c r="J148" s="277" t="str">
        <f>IFERROR(__xludf.DUMMYFUNCTION("""COMPUTED_VALUE"""),"Machamp")</f>
        <v>Machamp</v>
      </c>
      <c r="K148" s="277" t="str">
        <f>IFERROR(__xludf.DUMMYFUNCTION("""COMPUTED_VALUE"""),"A1-Charizard")</f>
        <v>A1-Charizard</v>
      </c>
      <c r="L148" s="277" t="str">
        <f>IFERROR(__xludf.DUMMYFUNCTION("""COMPUTED_VALUE"""),"♢♢♢")</f>
        <v>♢♢♢</v>
      </c>
      <c r="M148" s="440" t="b">
        <f t="shared" si="2"/>
        <v>1</v>
      </c>
      <c r="N148" s="441"/>
      <c r="O148" s="277"/>
      <c r="P148" s="277"/>
      <c r="Q148" s="278"/>
      <c r="R148" s="449" t="str">
        <f t="array" ref="R148">IFERROR(IFS(OR(P148="A1-Mewtwo", P148="A1-Pikachu", P148="A1-Charizard", P148="A1"), XLOOKUP(N148, 'Genetic Apex'!$C$2:$C889, 'Genetic Apex'!$B$2:$B889)-$B$4, P148="A1a", XLOOKUP(N148, 'Mythical Island'!$C$2:$C889, 'Mythical Island'!$B$2:$B889)-$B$4, OR(P148="A2-Dialga", P148="A2-Palkia", P148="A2"), XLOOKUP(N148, 'Space-Time Smackdown'!$C$2:$C889, 'Space-Time Smackdown'!$B$2:$B889)-$B$4))</f>
        <v/>
      </c>
      <c r="S148" s="277" t="str">
        <f>IFERROR(__xludf.DUMMYFUNCTION("""COMPUTED_VALUE"""),"A1 145")</f>
        <v>A1 145</v>
      </c>
      <c r="T148" s="277" t="str">
        <f>IFERROR(__xludf.DUMMYFUNCTION("""COMPUTED_VALUE"""),"Machamp")</f>
        <v>Machamp</v>
      </c>
      <c r="U148" s="277" t="str">
        <f>IFERROR(__xludf.DUMMYFUNCTION("""COMPUTED_VALUE"""),"A1-Charizard")</f>
        <v>A1-Charizard</v>
      </c>
      <c r="V148" s="278" t="str">
        <f>IFERROR(__xludf.DUMMYFUNCTION("""COMPUTED_VALUE"""),"♢♢♢")</f>
        <v>♢♢♢</v>
      </c>
      <c r="W148" s="443">
        <f t="array" ref="W148">IFERROR(IFS(OR(U148="A1-Mewtwo", U148="A1-Pikachu", U148="A1-Charizard", U148="A1"), $B$5-XLOOKUP(S148, 'Genetic Apex'!$C$2:$C889, 'Genetic Apex'!$B$2:$B889), U148="A1a", $B$5-XLOOKUP(S148, 'Mythical Island'!$C$2:$C889, 'Mythical Island'!$B$2:$B889), OR(U148="A2-Dialga", U148="A2-Palkia", U148="A2"), $B$5-XLOOKUP(S148, 'Space-Time Smackdown'!$C$2:$C889, 'Space-Time Smackdown'!$B$2:$B889)))</f>
        <v>1</v>
      </c>
      <c r="X148" s="444">
        <f t="shared" si="3"/>
        <v>120</v>
      </c>
      <c r="Y148" s="445">
        <f t="shared" si="4"/>
        <v>120</v>
      </c>
      <c r="Z148" s="278"/>
      <c r="AA148" s="466"/>
      <c r="AB148" s="278"/>
      <c r="AC148" s="278"/>
      <c r="AD148" s="278"/>
      <c r="AE148" s="278"/>
      <c r="AF148" s="278"/>
      <c r="AG148" s="278" t="b">
        <f t="shared" si="5"/>
        <v>0</v>
      </c>
      <c r="AH148" s="454"/>
      <c r="AI148" s="278"/>
      <c r="AJ148" s="278"/>
      <c r="AK148" s="278"/>
      <c r="AL148" s="444" t="str">
        <f t="array" ref="AL148">IFERROR(IFS(OR(AJ148="A1-Mewtwo", AJ148="A1-Pikachu", AJ148="A1-Charizard", AJ148="A1"), XLOOKUP(AH148, 'Genetic Apex'!$C$2:$C889, 'Genetic Apex'!$B$2:$B889)-2, AJ148="A1a", XLOOKUP(AH148, 'Mythical Island'!$C$2:$C889, 'Mythical Island'!$B$2:$B889)-2, OR(AJ148="A2-Dialga", AJ148="A2-Palkia", AJ148="A2"), XLOOKUP(AH148, 'Space-Time Smackdown'!$C$2:$C889, 'Space-Time Smackdown'!$B$2:$B889)-2))</f>
        <v/>
      </c>
      <c r="AM148" s="444" t="str">
        <f t="shared" si="6"/>
        <v/>
      </c>
      <c r="AN148" s="448" t="str">
        <f t="shared" si="7"/>
        <v/>
      </c>
    </row>
    <row r="149">
      <c r="A149" s="277"/>
      <c r="B149" s="277"/>
      <c r="C149" s="441"/>
      <c r="D149" s="277"/>
      <c r="E149" s="277"/>
      <c r="F149" s="277"/>
      <c r="G149" s="277"/>
      <c r="H149" s="277" t="b">
        <f t="shared" si="1"/>
        <v>0</v>
      </c>
      <c r="I149" s="277" t="str">
        <f>IFERROR(__xludf.DUMMYFUNCTION("""COMPUTED_VALUE"""),"A1 146")</f>
        <v>A1 146</v>
      </c>
      <c r="J149" s="277" t="str">
        <f>IFERROR(__xludf.DUMMYFUNCTION("""COMPUTED_VALUE"""),"Machamp ex")</f>
        <v>Machamp ex</v>
      </c>
      <c r="K149" s="277" t="str">
        <f>IFERROR(__xludf.DUMMYFUNCTION("""COMPUTED_VALUE"""),"A1-Charizard")</f>
        <v>A1-Charizard</v>
      </c>
      <c r="L149" s="277" t="str">
        <f>IFERROR(__xludf.DUMMYFUNCTION("""COMPUTED_VALUE"""),"♢♢♢♢")</f>
        <v>♢♢♢♢</v>
      </c>
      <c r="M149" s="440" t="b">
        <f t="shared" si="2"/>
        <v>1</v>
      </c>
      <c r="N149" s="441"/>
      <c r="O149" s="277"/>
      <c r="P149" s="277"/>
      <c r="Q149" s="278"/>
      <c r="R149" s="449" t="str">
        <f t="array" ref="R149">IFERROR(IFS(OR(P149="A1-Mewtwo", P149="A1-Pikachu", P149="A1-Charizard", P149="A1"), XLOOKUP(N149, 'Genetic Apex'!$C$2:$C889, 'Genetic Apex'!$B$2:$B889)-$B$4, P149="A1a", XLOOKUP(N149, 'Mythical Island'!$C$2:$C889, 'Mythical Island'!$B$2:$B889)-$B$4, OR(P149="A2-Dialga", P149="A2-Palkia", P149="A2"), XLOOKUP(N149, 'Space-Time Smackdown'!$C$2:$C889, 'Space-Time Smackdown'!$B$2:$B889)-$B$4))</f>
        <v/>
      </c>
      <c r="S149" s="277" t="str">
        <f>IFERROR(__xludf.DUMMYFUNCTION("""COMPUTED_VALUE"""),"A1 146")</f>
        <v>A1 146</v>
      </c>
      <c r="T149" s="277" t="str">
        <f>IFERROR(__xludf.DUMMYFUNCTION("""COMPUTED_VALUE"""),"Machamp ex")</f>
        <v>Machamp ex</v>
      </c>
      <c r="U149" s="277" t="str">
        <f>IFERROR(__xludf.DUMMYFUNCTION("""COMPUTED_VALUE"""),"A1-Charizard")</f>
        <v>A1-Charizard</v>
      </c>
      <c r="V149" s="278" t="str">
        <f>IFERROR(__xludf.DUMMYFUNCTION("""COMPUTED_VALUE"""),"♢♢♢♢")</f>
        <v>♢♢♢♢</v>
      </c>
      <c r="W149" s="443">
        <f t="array" ref="W149">IFERROR(IFS(OR(U149="A1-Mewtwo", U149="A1-Pikachu", U149="A1-Charizard", U149="A1"), $B$5-XLOOKUP(S149, 'Genetic Apex'!$C$2:$C889, 'Genetic Apex'!$B$2:$B889), U149="A1a", $B$5-XLOOKUP(S149, 'Mythical Island'!$C$2:$C889, 'Mythical Island'!$B$2:$B889), OR(U149="A2-Dialga", U149="A2-Palkia", U149="A2"), $B$5-XLOOKUP(S149, 'Space-Time Smackdown'!$C$2:$C889, 'Space-Time Smackdown'!$B$2:$B889)))</f>
        <v>1</v>
      </c>
      <c r="X149" s="444">
        <f t="shared" si="3"/>
        <v>500</v>
      </c>
      <c r="Y149" s="445">
        <f t="shared" si="4"/>
        <v>500</v>
      </c>
      <c r="Z149" s="278"/>
      <c r="AA149" s="466"/>
      <c r="AB149" s="278"/>
      <c r="AC149" s="278"/>
      <c r="AD149" s="278"/>
      <c r="AE149" s="278"/>
      <c r="AF149" s="278"/>
      <c r="AG149" s="278" t="b">
        <f t="shared" si="5"/>
        <v>0</v>
      </c>
      <c r="AH149" s="454"/>
      <c r="AI149" s="278"/>
      <c r="AJ149" s="278"/>
      <c r="AK149" s="278"/>
      <c r="AL149" s="444" t="str">
        <f t="array" ref="AL149">IFERROR(IFS(OR(AJ149="A1-Mewtwo", AJ149="A1-Pikachu", AJ149="A1-Charizard", AJ149="A1"), XLOOKUP(AH149, 'Genetic Apex'!$C$2:$C889, 'Genetic Apex'!$B$2:$B889)-2, AJ149="A1a", XLOOKUP(AH149, 'Mythical Island'!$C$2:$C889, 'Mythical Island'!$B$2:$B889)-2, OR(AJ149="A2-Dialga", AJ149="A2-Palkia", AJ149="A2"), XLOOKUP(AH149, 'Space-Time Smackdown'!$C$2:$C889, 'Space-Time Smackdown'!$B$2:$B889)-2))</f>
        <v/>
      </c>
      <c r="AM149" s="444" t="str">
        <f t="shared" si="6"/>
        <v/>
      </c>
      <c r="AN149" s="448" t="str">
        <f t="shared" si="7"/>
        <v/>
      </c>
    </row>
    <row r="150">
      <c r="A150" s="277"/>
      <c r="B150" s="277"/>
      <c r="C150" s="441"/>
      <c r="D150" s="277"/>
      <c r="E150" s="277"/>
      <c r="F150" s="277"/>
      <c r="G150" s="277"/>
      <c r="H150" s="277" t="b">
        <f t="shared" si="1"/>
        <v>0</v>
      </c>
      <c r="I150" s="277" t="str">
        <f>IFERROR(__xludf.DUMMYFUNCTION("""COMPUTED_VALUE"""),"A1 147")</f>
        <v>A1 147</v>
      </c>
      <c r="J150" s="277" t="str">
        <f>IFERROR(__xludf.DUMMYFUNCTION("""COMPUTED_VALUE"""),"Geodude")</f>
        <v>Geodude</v>
      </c>
      <c r="K150" s="277" t="str">
        <f>IFERROR(__xludf.DUMMYFUNCTION("""COMPUTED_VALUE"""),"A1-Pikachu")</f>
        <v>A1-Pikachu</v>
      </c>
      <c r="L150" s="277" t="str">
        <f>IFERROR(__xludf.DUMMYFUNCTION("""COMPUTED_VALUE"""),"♢")</f>
        <v>♢</v>
      </c>
      <c r="M150" s="440" t="b">
        <f t="shared" si="2"/>
        <v>1</v>
      </c>
      <c r="N150" s="441"/>
      <c r="O150" s="277"/>
      <c r="P150" s="277"/>
      <c r="Q150" s="278"/>
      <c r="R150" s="449" t="str">
        <f t="array" ref="R150">IFERROR(IFS(OR(P150="A1-Mewtwo", P150="A1-Pikachu", P150="A1-Charizard", P150="A1"), XLOOKUP(N150, 'Genetic Apex'!$C$2:$C889, 'Genetic Apex'!$B$2:$B889)-$B$4, P150="A1a", XLOOKUP(N150, 'Mythical Island'!$C$2:$C889, 'Mythical Island'!$B$2:$B889)-$B$4, OR(P150="A2-Dialga", P150="A2-Palkia", P150="A2"), XLOOKUP(N150, 'Space-Time Smackdown'!$C$2:$C889, 'Space-Time Smackdown'!$B$2:$B889)-$B$4))</f>
        <v/>
      </c>
      <c r="S150" s="277" t="str">
        <f>IFERROR(__xludf.DUMMYFUNCTION("""COMPUTED_VALUE"""),"A1 147")</f>
        <v>A1 147</v>
      </c>
      <c r="T150" s="277" t="str">
        <f>IFERROR(__xludf.DUMMYFUNCTION("""COMPUTED_VALUE"""),"Geodude")</f>
        <v>Geodude</v>
      </c>
      <c r="U150" s="277" t="str">
        <f>IFERROR(__xludf.DUMMYFUNCTION("""COMPUTED_VALUE"""),"A1-Pikachu")</f>
        <v>A1-Pikachu</v>
      </c>
      <c r="V150" s="278" t="str">
        <f>IFERROR(__xludf.DUMMYFUNCTION("""COMPUTED_VALUE"""),"♢")</f>
        <v>♢</v>
      </c>
      <c r="W150" s="443">
        <f t="array" ref="W150">IFERROR(IFS(OR(U150="A1-Mewtwo", U150="A1-Pikachu", U150="A1-Charizard", U150="A1"), $B$5-XLOOKUP(S150, 'Genetic Apex'!$C$2:$C889, 'Genetic Apex'!$B$2:$B889), U150="A1a", $B$5-XLOOKUP(S150, 'Mythical Island'!$C$2:$C889, 'Mythical Island'!$B$2:$B889), OR(U150="A2-Dialga", U150="A2-Palkia", U150="A2"), $B$5-XLOOKUP(S150, 'Space-Time Smackdown'!$C$2:$C889, 'Space-Time Smackdown'!$B$2:$B889)))</f>
        <v>1</v>
      </c>
      <c r="X150" s="444">
        <f t="shared" si="3"/>
        <v>0</v>
      </c>
      <c r="Y150" s="445" t="str">
        <f t="shared" si="4"/>
        <v/>
      </c>
      <c r="Z150" s="278"/>
      <c r="AA150" s="466"/>
      <c r="AB150" s="278"/>
      <c r="AC150" s="278"/>
      <c r="AD150" s="278"/>
      <c r="AE150" s="278"/>
      <c r="AF150" s="278"/>
      <c r="AG150" s="278" t="b">
        <f t="shared" si="5"/>
        <v>0</v>
      </c>
      <c r="AH150" s="454"/>
      <c r="AI150" s="278"/>
      <c r="AJ150" s="278"/>
      <c r="AK150" s="278"/>
      <c r="AL150" s="444" t="str">
        <f t="array" ref="AL150">IFERROR(IFS(OR(AJ150="A1-Mewtwo", AJ150="A1-Pikachu", AJ150="A1-Charizard", AJ150="A1"), XLOOKUP(AH150, 'Genetic Apex'!$C$2:$C889, 'Genetic Apex'!$B$2:$B889)-2, AJ150="A1a", XLOOKUP(AH150, 'Mythical Island'!$C$2:$C889, 'Mythical Island'!$B$2:$B889)-2, OR(AJ150="A2-Dialga", AJ150="A2-Palkia", AJ150="A2"), XLOOKUP(AH150, 'Space-Time Smackdown'!$C$2:$C889, 'Space-Time Smackdown'!$B$2:$B889)-2))</f>
        <v/>
      </c>
      <c r="AM150" s="444" t="str">
        <f t="shared" si="6"/>
        <v/>
      </c>
      <c r="AN150" s="448" t="str">
        <f t="shared" si="7"/>
        <v/>
      </c>
    </row>
    <row r="151">
      <c r="A151" s="277"/>
      <c r="B151" s="277"/>
      <c r="C151" s="441"/>
      <c r="D151" s="277"/>
      <c r="E151" s="277"/>
      <c r="F151" s="277"/>
      <c r="G151" s="277"/>
      <c r="H151" s="277" t="b">
        <f t="shared" si="1"/>
        <v>0</v>
      </c>
      <c r="I151" s="277" t="str">
        <f>IFERROR(__xludf.DUMMYFUNCTION("""COMPUTED_VALUE"""),"A1 148")</f>
        <v>A1 148</v>
      </c>
      <c r="J151" s="277" t="str">
        <f>IFERROR(__xludf.DUMMYFUNCTION("""COMPUTED_VALUE"""),"Graveler")</f>
        <v>Graveler</v>
      </c>
      <c r="K151" s="277" t="str">
        <f>IFERROR(__xludf.DUMMYFUNCTION("""COMPUTED_VALUE"""),"A1-Pikachu")</f>
        <v>A1-Pikachu</v>
      </c>
      <c r="L151" s="277" t="str">
        <f>IFERROR(__xludf.DUMMYFUNCTION("""COMPUTED_VALUE"""),"♢♢")</f>
        <v>♢♢</v>
      </c>
      <c r="M151" s="440" t="b">
        <f t="shared" si="2"/>
        <v>1</v>
      </c>
      <c r="N151" s="441"/>
      <c r="O151" s="277"/>
      <c r="P151" s="277"/>
      <c r="Q151" s="278"/>
      <c r="R151" s="449" t="str">
        <f t="array" ref="R151">IFERROR(IFS(OR(P151="A1-Mewtwo", P151="A1-Pikachu", P151="A1-Charizard", P151="A1"), XLOOKUP(N151, 'Genetic Apex'!$C$2:$C889, 'Genetic Apex'!$B$2:$B889)-$B$4, P151="A1a", XLOOKUP(N151, 'Mythical Island'!$C$2:$C889, 'Mythical Island'!$B$2:$B889)-$B$4, OR(P151="A2-Dialga", P151="A2-Palkia", P151="A2"), XLOOKUP(N151, 'Space-Time Smackdown'!$C$2:$C889, 'Space-Time Smackdown'!$B$2:$B889)-$B$4))</f>
        <v/>
      </c>
      <c r="S151" s="277" t="str">
        <f>IFERROR(__xludf.DUMMYFUNCTION("""COMPUTED_VALUE"""),"A1 148")</f>
        <v>A1 148</v>
      </c>
      <c r="T151" s="277" t="str">
        <f>IFERROR(__xludf.DUMMYFUNCTION("""COMPUTED_VALUE"""),"Graveler")</f>
        <v>Graveler</v>
      </c>
      <c r="U151" s="277" t="str">
        <f>IFERROR(__xludf.DUMMYFUNCTION("""COMPUTED_VALUE"""),"A1-Pikachu")</f>
        <v>A1-Pikachu</v>
      </c>
      <c r="V151" s="278" t="str">
        <f>IFERROR(__xludf.DUMMYFUNCTION("""COMPUTED_VALUE"""),"♢♢")</f>
        <v>♢♢</v>
      </c>
      <c r="W151" s="443">
        <f t="array" ref="W151">IFERROR(IFS(OR(U151="A1-Mewtwo", U151="A1-Pikachu", U151="A1-Charizard", U151="A1"), $B$5-XLOOKUP(S151, 'Genetic Apex'!$C$2:$C889, 'Genetic Apex'!$B$2:$B889), U151="A1a", $B$5-XLOOKUP(S151, 'Mythical Island'!$C$2:$C889, 'Mythical Island'!$B$2:$B889), OR(U151="A2-Dialga", U151="A2-Palkia", U151="A2"), $B$5-XLOOKUP(S151, 'Space-Time Smackdown'!$C$2:$C889, 'Space-Time Smackdown'!$B$2:$B889)))</f>
        <v>1</v>
      </c>
      <c r="X151" s="444">
        <f t="shared" si="3"/>
        <v>0</v>
      </c>
      <c r="Y151" s="445" t="str">
        <f t="shared" si="4"/>
        <v/>
      </c>
      <c r="Z151" s="278"/>
      <c r="AA151" s="466"/>
      <c r="AB151" s="278"/>
      <c r="AC151" s="278"/>
      <c r="AD151" s="278"/>
      <c r="AE151" s="278"/>
      <c r="AF151" s="278"/>
      <c r="AG151" s="278" t="b">
        <f t="shared" si="5"/>
        <v>0</v>
      </c>
      <c r="AH151" s="454"/>
      <c r="AI151" s="278"/>
      <c r="AJ151" s="278"/>
      <c r="AK151" s="278"/>
      <c r="AL151" s="444" t="str">
        <f t="array" ref="AL151">IFERROR(IFS(OR(AJ151="A1-Mewtwo", AJ151="A1-Pikachu", AJ151="A1-Charizard", AJ151="A1"), XLOOKUP(AH151, 'Genetic Apex'!$C$2:$C889, 'Genetic Apex'!$B$2:$B889)-2, AJ151="A1a", XLOOKUP(AH151, 'Mythical Island'!$C$2:$C889, 'Mythical Island'!$B$2:$B889)-2, OR(AJ151="A2-Dialga", AJ151="A2-Palkia", AJ151="A2"), XLOOKUP(AH151, 'Space-Time Smackdown'!$C$2:$C889, 'Space-Time Smackdown'!$B$2:$B889)-2))</f>
        <v/>
      </c>
      <c r="AM151" s="444" t="str">
        <f t="shared" si="6"/>
        <v/>
      </c>
      <c r="AN151" s="448" t="str">
        <f t="shared" si="7"/>
        <v/>
      </c>
    </row>
    <row r="152">
      <c r="A152" s="277"/>
      <c r="B152" s="277"/>
      <c r="C152" s="441"/>
      <c r="D152" s="277"/>
      <c r="E152" s="277"/>
      <c r="F152" s="277"/>
      <c r="G152" s="277"/>
      <c r="H152" s="277" t="b">
        <f t="shared" si="1"/>
        <v>0</v>
      </c>
      <c r="I152" s="277" t="str">
        <f>IFERROR(__xludf.DUMMYFUNCTION("""COMPUTED_VALUE"""),"A1 149")</f>
        <v>A1 149</v>
      </c>
      <c r="J152" s="277" t="str">
        <f>IFERROR(__xludf.DUMMYFUNCTION("""COMPUTED_VALUE"""),"Golem")</f>
        <v>Golem</v>
      </c>
      <c r="K152" s="277" t="str">
        <f>IFERROR(__xludf.DUMMYFUNCTION("""COMPUTED_VALUE"""),"A1-Pikachu")</f>
        <v>A1-Pikachu</v>
      </c>
      <c r="L152" s="277" t="str">
        <f>IFERROR(__xludf.DUMMYFUNCTION("""COMPUTED_VALUE"""),"♢♢♢")</f>
        <v>♢♢♢</v>
      </c>
      <c r="M152" s="440" t="b">
        <f t="shared" si="2"/>
        <v>1</v>
      </c>
      <c r="N152" s="441"/>
      <c r="O152" s="277"/>
      <c r="P152" s="277"/>
      <c r="Q152" s="278"/>
      <c r="R152" s="449" t="str">
        <f t="array" ref="R152">IFERROR(IFS(OR(P152="A1-Mewtwo", P152="A1-Pikachu", P152="A1-Charizard", P152="A1"), XLOOKUP(N152, 'Genetic Apex'!$C$2:$C889, 'Genetic Apex'!$B$2:$B889)-$B$4, P152="A1a", XLOOKUP(N152, 'Mythical Island'!$C$2:$C889, 'Mythical Island'!$B$2:$B889)-$B$4, OR(P152="A2-Dialga", P152="A2-Palkia", P152="A2"), XLOOKUP(N152, 'Space-Time Smackdown'!$C$2:$C889, 'Space-Time Smackdown'!$B$2:$B889)-$B$4))</f>
        <v/>
      </c>
      <c r="S152" s="277" t="str">
        <f>IFERROR(__xludf.DUMMYFUNCTION("""COMPUTED_VALUE"""),"A1 149")</f>
        <v>A1 149</v>
      </c>
      <c r="T152" s="277" t="str">
        <f>IFERROR(__xludf.DUMMYFUNCTION("""COMPUTED_VALUE"""),"Golem")</f>
        <v>Golem</v>
      </c>
      <c r="U152" s="277" t="str">
        <f>IFERROR(__xludf.DUMMYFUNCTION("""COMPUTED_VALUE"""),"A1-Pikachu")</f>
        <v>A1-Pikachu</v>
      </c>
      <c r="V152" s="278" t="str">
        <f>IFERROR(__xludf.DUMMYFUNCTION("""COMPUTED_VALUE"""),"♢♢♢")</f>
        <v>♢♢♢</v>
      </c>
      <c r="W152" s="443">
        <f t="array" ref="W152">IFERROR(IFS(OR(U152="A1-Mewtwo", U152="A1-Pikachu", U152="A1-Charizard", U152="A1"), $B$5-XLOOKUP(S152, 'Genetic Apex'!$C$2:$C889, 'Genetic Apex'!$B$2:$B889), U152="A1a", $B$5-XLOOKUP(S152, 'Mythical Island'!$C$2:$C889, 'Mythical Island'!$B$2:$B889), OR(U152="A2-Dialga", U152="A2-Palkia", U152="A2"), $B$5-XLOOKUP(S152, 'Space-Time Smackdown'!$C$2:$C889, 'Space-Time Smackdown'!$B$2:$B889)))</f>
        <v>1</v>
      </c>
      <c r="X152" s="444">
        <f t="shared" si="3"/>
        <v>120</v>
      </c>
      <c r="Y152" s="445">
        <f t="shared" si="4"/>
        <v>120</v>
      </c>
      <c r="Z152" s="278"/>
      <c r="AA152" s="466"/>
      <c r="AB152" s="278"/>
      <c r="AC152" s="278"/>
      <c r="AD152" s="278"/>
      <c r="AE152" s="278"/>
      <c r="AF152" s="278"/>
      <c r="AG152" s="278" t="b">
        <f t="shared" si="5"/>
        <v>0</v>
      </c>
      <c r="AH152" s="454"/>
      <c r="AI152" s="278"/>
      <c r="AJ152" s="278"/>
      <c r="AK152" s="278"/>
      <c r="AL152" s="444" t="str">
        <f t="array" ref="AL152">IFERROR(IFS(OR(AJ152="A1-Mewtwo", AJ152="A1-Pikachu", AJ152="A1-Charizard", AJ152="A1"), XLOOKUP(AH152, 'Genetic Apex'!$C$2:$C889, 'Genetic Apex'!$B$2:$B889)-2, AJ152="A1a", XLOOKUP(AH152, 'Mythical Island'!$C$2:$C889, 'Mythical Island'!$B$2:$B889)-2, OR(AJ152="A2-Dialga", AJ152="A2-Palkia", AJ152="A2"), XLOOKUP(AH152, 'Space-Time Smackdown'!$C$2:$C889, 'Space-Time Smackdown'!$B$2:$B889)-2))</f>
        <v/>
      </c>
      <c r="AM152" s="444" t="str">
        <f t="shared" si="6"/>
        <v/>
      </c>
      <c r="AN152" s="448" t="str">
        <f t="shared" si="7"/>
        <v/>
      </c>
    </row>
    <row r="153">
      <c r="A153" s="277"/>
      <c r="B153" s="277"/>
      <c r="C153" s="441"/>
      <c r="D153" s="277"/>
      <c r="E153" s="277"/>
      <c r="F153" s="277"/>
      <c r="G153" s="277"/>
      <c r="H153" s="277" t="b">
        <f t="shared" si="1"/>
        <v>0</v>
      </c>
      <c r="I153" s="277" t="str">
        <f>IFERROR(__xludf.DUMMYFUNCTION("""COMPUTED_VALUE"""),"A1 150")</f>
        <v>A1 150</v>
      </c>
      <c r="J153" s="277" t="str">
        <f>IFERROR(__xludf.DUMMYFUNCTION("""COMPUTED_VALUE"""),"Onix")</f>
        <v>Onix</v>
      </c>
      <c r="K153" s="277" t="str">
        <f>IFERROR(__xludf.DUMMYFUNCTION("""COMPUTED_VALUE"""),"A1-Pikachu")</f>
        <v>A1-Pikachu</v>
      </c>
      <c r="L153" s="277" t="str">
        <f>IFERROR(__xludf.DUMMYFUNCTION("""COMPUTED_VALUE"""),"♢♢")</f>
        <v>♢♢</v>
      </c>
      <c r="M153" s="440" t="b">
        <f t="shared" si="2"/>
        <v>1</v>
      </c>
      <c r="N153" s="441"/>
      <c r="O153" s="277"/>
      <c r="P153" s="277"/>
      <c r="Q153" s="278"/>
      <c r="R153" s="449" t="str">
        <f t="array" ref="R153">IFERROR(IFS(OR(P153="A1-Mewtwo", P153="A1-Pikachu", P153="A1-Charizard", P153="A1"), XLOOKUP(N153, 'Genetic Apex'!$C$2:$C889, 'Genetic Apex'!$B$2:$B889)-$B$4, P153="A1a", XLOOKUP(N153, 'Mythical Island'!$C$2:$C889, 'Mythical Island'!$B$2:$B889)-$B$4, OR(P153="A2-Dialga", P153="A2-Palkia", P153="A2"), XLOOKUP(N153, 'Space-Time Smackdown'!$C$2:$C889, 'Space-Time Smackdown'!$B$2:$B889)-$B$4))</f>
        <v/>
      </c>
      <c r="S153" s="277" t="str">
        <f>IFERROR(__xludf.DUMMYFUNCTION("""COMPUTED_VALUE"""),"A1 150")</f>
        <v>A1 150</v>
      </c>
      <c r="T153" s="277" t="str">
        <f>IFERROR(__xludf.DUMMYFUNCTION("""COMPUTED_VALUE"""),"Onix")</f>
        <v>Onix</v>
      </c>
      <c r="U153" s="277" t="str">
        <f>IFERROR(__xludf.DUMMYFUNCTION("""COMPUTED_VALUE"""),"A1-Pikachu")</f>
        <v>A1-Pikachu</v>
      </c>
      <c r="V153" s="278" t="str">
        <f>IFERROR(__xludf.DUMMYFUNCTION("""COMPUTED_VALUE"""),"♢♢")</f>
        <v>♢♢</v>
      </c>
      <c r="W153" s="443">
        <f t="array" ref="W153">IFERROR(IFS(OR(U153="A1-Mewtwo", U153="A1-Pikachu", U153="A1-Charizard", U153="A1"), $B$5-XLOOKUP(S153, 'Genetic Apex'!$C$2:$C889, 'Genetic Apex'!$B$2:$B889), U153="A1a", $B$5-XLOOKUP(S153, 'Mythical Island'!$C$2:$C889, 'Mythical Island'!$B$2:$B889), OR(U153="A2-Dialga", U153="A2-Palkia", U153="A2"), $B$5-XLOOKUP(S153, 'Space-Time Smackdown'!$C$2:$C889, 'Space-Time Smackdown'!$B$2:$B889)))</f>
        <v>1</v>
      </c>
      <c r="X153" s="444">
        <f t="shared" si="3"/>
        <v>0</v>
      </c>
      <c r="Y153" s="445" t="str">
        <f t="shared" si="4"/>
        <v/>
      </c>
      <c r="Z153" s="278"/>
      <c r="AA153" s="466"/>
      <c r="AB153" s="278"/>
      <c r="AC153" s="278"/>
      <c r="AD153" s="278"/>
      <c r="AE153" s="278"/>
      <c r="AF153" s="278"/>
      <c r="AG153" s="278" t="b">
        <f t="shared" si="5"/>
        <v>0</v>
      </c>
      <c r="AH153" s="454"/>
      <c r="AI153" s="278"/>
      <c r="AJ153" s="278"/>
      <c r="AK153" s="278"/>
      <c r="AL153" s="444" t="str">
        <f t="array" ref="AL153">IFERROR(IFS(OR(AJ153="A1-Mewtwo", AJ153="A1-Pikachu", AJ153="A1-Charizard", AJ153="A1"), XLOOKUP(AH153, 'Genetic Apex'!$C$2:$C889, 'Genetic Apex'!$B$2:$B889)-2, AJ153="A1a", XLOOKUP(AH153, 'Mythical Island'!$C$2:$C889, 'Mythical Island'!$B$2:$B889)-2, OR(AJ153="A2-Dialga", AJ153="A2-Palkia", AJ153="A2"), XLOOKUP(AH153, 'Space-Time Smackdown'!$C$2:$C889, 'Space-Time Smackdown'!$B$2:$B889)-2))</f>
        <v/>
      </c>
      <c r="AM153" s="444" t="str">
        <f t="shared" si="6"/>
        <v/>
      </c>
      <c r="AN153" s="448" t="str">
        <f t="shared" si="7"/>
        <v/>
      </c>
    </row>
    <row r="154">
      <c r="A154" s="277"/>
      <c r="B154" s="277"/>
      <c r="C154" s="441"/>
      <c r="D154" s="277"/>
      <c r="E154" s="277"/>
      <c r="F154" s="277"/>
      <c r="G154" s="277"/>
      <c r="H154" s="277" t="b">
        <f t="shared" si="1"/>
        <v>0</v>
      </c>
      <c r="I154" s="277" t="str">
        <f>IFERROR(__xludf.DUMMYFUNCTION("""COMPUTED_VALUE"""),"A1 151")</f>
        <v>A1 151</v>
      </c>
      <c r="J154" s="277" t="str">
        <f>IFERROR(__xludf.DUMMYFUNCTION("""COMPUTED_VALUE"""),"Cubone")</f>
        <v>Cubone</v>
      </c>
      <c r="K154" s="277" t="str">
        <f>IFERROR(__xludf.DUMMYFUNCTION("""COMPUTED_VALUE"""),"A1-Mewtwo")</f>
        <v>A1-Mewtwo</v>
      </c>
      <c r="L154" s="277" t="str">
        <f>IFERROR(__xludf.DUMMYFUNCTION("""COMPUTED_VALUE"""),"♢")</f>
        <v>♢</v>
      </c>
      <c r="M154" s="440" t="b">
        <f t="shared" si="2"/>
        <v>1</v>
      </c>
      <c r="N154" s="441"/>
      <c r="O154" s="277"/>
      <c r="P154" s="277"/>
      <c r="Q154" s="278"/>
      <c r="R154" s="449" t="str">
        <f t="array" ref="R154">IFERROR(IFS(OR(P154="A1-Mewtwo", P154="A1-Pikachu", P154="A1-Charizard", P154="A1"), XLOOKUP(N154, 'Genetic Apex'!$C$2:$C889, 'Genetic Apex'!$B$2:$B889)-$B$4, P154="A1a", XLOOKUP(N154, 'Mythical Island'!$C$2:$C889, 'Mythical Island'!$B$2:$B889)-$B$4, OR(P154="A2-Dialga", P154="A2-Palkia", P154="A2"), XLOOKUP(N154, 'Space-Time Smackdown'!$C$2:$C889, 'Space-Time Smackdown'!$B$2:$B889)-$B$4))</f>
        <v/>
      </c>
      <c r="S154" s="277" t="str">
        <f>IFERROR(__xludf.DUMMYFUNCTION("""COMPUTED_VALUE"""),"A1 151")</f>
        <v>A1 151</v>
      </c>
      <c r="T154" s="277" t="str">
        <f>IFERROR(__xludf.DUMMYFUNCTION("""COMPUTED_VALUE"""),"Cubone")</f>
        <v>Cubone</v>
      </c>
      <c r="U154" s="277" t="str">
        <f>IFERROR(__xludf.DUMMYFUNCTION("""COMPUTED_VALUE"""),"A1-Mewtwo")</f>
        <v>A1-Mewtwo</v>
      </c>
      <c r="V154" s="278" t="str">
        <f>IFERROR(__xludf.DUMMYFUNCTION("""COMPUTED_VALUE"""),"♢")</f>
        <v>♢</v>
      </c>
      <c r="W154" s="443">
        <f t="array" ref="W154">IFERROR(IFS(OR(U154="A1-Mewtwo", U154="A1-Pikachu", U154="A1-Charizard", U154="A1"), $B$5-XLOOKUP(S154, 'Genetic Apex'!$C$2:$C889, 'Genetic Apex'!$B$2:$B889), U154="A1a", $B$5-XLOOKUP(S154, 'Mythical Island'!$C$2:$C889, 'Mythical Island'!$B$2:$B889), OR(U154="A2-Dialga", U154="A2-Palkia", U154="A2"), $B$5-XLOOKUP(S154, 'Space-Time Smackdown'!$C$2:$C889, 'Space-Time Smackdown'!$B$2:$B889)))</f>
        <v>1</v>
      </c>
      <c r="X154" s="444">
        <f t="shared" si="3"/>
        <v>0</v>
      </c>
      <c r="Y154" s="445" t="str">
        <f t="shared" si="4"/>
        <v/>
      </c>
      <c r="Z154" s="278"/>
      <c r="AA154" s="466"/>
      <c r="AB154" s="278"/>
      <c r="AC154" s="278"/>
      <c r="AD154" s="278"/>
      <c r="AE154" s="278"/>
      <c r="AF154" s="278"/>
      <c r="AG154" s="278" t="b">
        <f t="shared" si="5"/>
        <v>0</v>
      </c>
      <c r="AH154" s="454"/>
      <c r="AI154" s="278"/>
      <c r="AJ154" s="278"/>
      <c r="AK154" s="278"/>
      <c r="AL154" s="444" t="str">
        <f t="array" ref="AL154">IFERROR(IFS(OR(AJ154="A1-Mewtwo", AJ154="A1-Pikachu", AJ154="A1-Charizard", AJ154="A1"), XLOOKUP(AH154, 'Genetic Apex'!$C$2:$C889, 'Genetic Apex'!$B$2:$B889)-2, AJ154="A1a", XLOOKUP(AH154, 'Mythical Island'!$C$2:$C889, 'Mythical Island'!$B$2:$B889)-2, OR(AJ154="A2-Dialga", AJ154="A2-Palkia", AJ154="A2"), XLOOKUP(AH154, 'Space-Time Smackdown'!$C$2:$C889, 'Space-Time Smackdown'!$B$2:$B889)-2))</f>
        <v/>
      </c>
      <c r="AM154" s="444" t="str">
        <f t="shared" si="6"/>
        <v/>
      </c>
      <c r="AN154" s="448" t="str">
        <f t="shared" si="7"/>
        <v/>
      </c>
    </row>
    <row r="155">
      <c r="A155" s="277"/>
      <c r="B155" s="277"/>
      <c r="C155" s="441"/>
      <c r="D155" s="277"/>
      <c r="E155" s="277"/>
      <c r="F155" s="277"/>
      <c r="G155" s="277"/>
      <c r="H155" s="277" t="b">
        <f t="shared" si="1"/>
        <v>0</v>
      </c>
      <c r="I155" s="277" t="str">
        <f>IFERROR(__xludf.DUMMYFUNCTION("""COMPUTED_VALUE"""),"A1 152")</f>
        <v>A1 152</v>
      </c>
      <c r="J155" s="277" t="str">
        <f>IFERROR(__xludf.DUMMYFUNCTION("""COMPUTED_VALUE"""),"Marowak")</f>
        <v>Marowak</v>
      </c>
      <c r="K155" s="277" t="str">
        <f>IFERROR(__xludf.DUMMYFUNCTION("""COMPUTED_VALUE"""),"A1-Mewtwo")</f>
        <v>A1-Mewtwo</v>
      </c>
      <c r="L155" s="277" t="str">
        <f>IFERROR(__xludf.DUMMYFUNCTION("""COMPUTED_VALUE"""),"♢♢")</f>
        <v>♢♢</v>
      </c>
      <c r="M155" s="440" t="b">
        <f t="shared" si="2"/>
        <v>1</v>
      </c>
      <c r="N155" s="441"/>
      <c r="O155" s="277"/>
      <c r="P155" s="277"/>
      <c r="Q155" s="278"/>
      <c r="R155" s="449" t="str">
        <f t="array" ref="R155">IFERROR(IFS(OR(P155="A1-Mewtwo", P155="A1-Pikachu", P155="A1-Charizard", P155="A1"), XLOOKUP(N155, 'Genetic Apex'!$C$2:$C889, 'Genetic Apex'!$B$2:$B889)-$B$4, P155="A1a", XLOOKUP(N155, 'Mythical Island'!$C$2:$C889, 'Mythical Island'!$B$2:$B889)-$B$4, OR(P155="A2-Dialga", P155="A2-Palkia", P155="A2"), XLOOKUP(N155, 'Space-Time Smackdown'!$C$2:$C889, 'Space-Time Smackdown'!$B$2:$B889)-$B$4))</f>
        <v/>
      </c>
      <c r="S155" s="277" t="str">
        <f>IFERROR(__xludf.DUMMYFUNCTION("""COMPUTED_VALUE"""),"A1 152")</f>
        <v>A1 152</v>
      </c>
      <c r="T155" s="277" t="str">
        <f>IFERROR(__xludf.DUMMYFUNCTION("""COMPUTED_VALUE"""),"Marowak")</f>
        <v>Marowak</v>
      </c>
      <c r="U155" s="277" t="str">
        <f>IFERROR(__xludf.DUMMYFUNCTION("""COMPUTED_VALUE"""),"A1-Mewtwo")</f>
        <v>A1-Mewtwo</v>
      </c>
      <c r="V155" s="278" t="str">
        <f>IFERROR(__xludf.DUMMYFUNCTION("""COMPUTED_VALUE"""),"♢♢")</f>
        <v>♢♢</v>
      </c>
      <c r="W155" s="443">
        <f t="array" ref="W155">IFERROR(IFS(OR(U155="A1-Mewtwo", U155="A1-Pikachu", U155="A1-Charizard", U155="A1"), $B$5-XLOOKUP(S155, 'Genetic Apex'!$C$2:$C889, 'Genetic Apex'!$B$2:$B889), U155="A1a", $B$5-XLOOKUP(S155, 'Mythical Island'!$C$2:$C889, 'Mythical Island'!$B$2:$B889), OR(U155="A2-Dialga", U155="A2-Palkia", U155="A2"), $B$5-XLOOKUP(S155, 'Space-Time Smackdown'!$C$2:$C889, 'Space-Time Smackdown'!$B$2:$B889)))</f>
        <v>1</v>
      </c>
      <c r="X155" s="444">
        <f t="shared" si="3"/>
        <v>0</v>
      </c>
      <c r="Y155" s="445" t="str">
        <f t="shared" si="4"/>
        <v/>
      </c>
      <c r="Z155" s="278"/>
      <c r="AA155" s="466"/>
      <c r="AB155" s="278"/>
      <c r="AC155" s="278"/>
      <c r="AD155" s="278"/>
      <c r="AE155" s="278"/>
      <c r="AF155" s="278"/>
      <c r="AG155" s="278" t="b">
        <f t="shared" si="5"/>
        <v>0</v>
      </c>
      <c r="AH155" s="454"/>
      <c r="AI155" s="278"/>
      <c r="AJ155" s="278"/>
      <c r="AK155" s="278"/>
      <c r="AL155" s="444" t="str">
        <f t="array" ref="AL155">IFERROR(IFS(OR(AJ155="A1-Mewtwo", AJ155="A1-Pikachu", AJ155="A1-Charizard", AJ155="A1"), XLOOKUP(AH155, 'Genetic Apex'!$C$2:$C889, 'Genetic Apex'!$B$2:$B889)-2, AJ155="A1a", XLOOKUP(AH155, 'Mythical Island'!$C$2:$C889, 'Mythical Island'!$B$2:$B889)-2, OR(AJ155="A2-Dialga", AJ155="A2-Palkia", AJ155="A2"), XLOOKUP(AH155, 'Space-Time Smackdown'!$C$2:$C889, 'Space-Time Smackdown'!$B$2:$B889)-2))</f>
        <v/>
      </c>
      <c r="AM155" s="444" t="str">
        <f t="shared" si="6"/>
        <v/>
      </c>
      <c r="AN155" s="448" t="str">
        <f t="shared" si="7"/>
        <v/>
      </c>
    </row>
    <row r="156">
      <c r="A156" s="277"/>
      <c r="B156" s="277"/>
      <c r="C156" s="441"/>
      <c r="D156" s="277"/>
      <c r="E156" s="277"/>
      <c r="F156" s="277"/>
      <c r="G156" s="277"/>
      <c r="H156" s="277" t="b">
        <f t="shared" si="1"/>
        <v>0</v>
      </c>
      <c r="I156" s="277" t="str">
        <f>IFERROR(__xludf.DUMMYFUNCTION("""COMPUTED_VALUE"""),"A1 153")</f>
        <v>A1 153</v>
      </c>
      <c r="J156" s="277" t="str">
        <f>IFERROR(__xludf.DUMMYFUNCTION("""COMPUTED_VALUE"""),"Marowak ex")</f>
        <v>Marowak ex</v>
      </c>
      <c r="K156" s="277" t="str">
        <f>IFERROR(__xludf.DUMMYFUNCTION("""COMPUTED_VALUE"""),"A1-Mewtwo")</f>
        <v>A1-Mewtwo</v>
      </c>
      <c r="L156" s="277" t="str">
        <f>IFERROR(__xludf.DUMMYFUNCTION("""COMPUTED_VALUE"""),"♢♢♢♢")</f>
        <v>♢♢♢♢</v>
      </c>
      <c r="M156" s="440" t="b">
        <f t="shared" si="2"/>
        <v>1</v>
      </c>
      <c r="N156" s="441"/>
      <c r="O156" s="277"/>
      <c r="P156" s="277"/>
      <c r="Q156" s="278"/>
      <c r="R156" s="449" t="str">
        <f t="array" ref="R156">IFERROR(IFS(OR(P156="A1-Mewtwo", P156="A1-Pikachu", P156="A1-Charizard", P156="A1"), XLOOKUP(N156, 'Genetic Apex'!$C$2:$C889, 'Genetic Apex'!$B$2:$B889)-$B$4, P156="A1a", XLOOKUP(N156, 'Mythical Island'!$C$2:$C889, 'Mythical Island'!$B$2:$B889)-$B$4, OR(P156="A2-Dialga", P156="A2-Palkia", P156="A2"), XLOOKUP(N156, 'Space-Time Smackdown'!$C$2:$C889, 'Space-Time Smackdown'!$B$2:$B889)-$B$4))</f>
        <v/>
      </c>
      <c r="S156" s="277" t="str">
        <f>IFERROR(__xludf.DUMMYFUNCTION("""COMPUTED_VALUE"""),"A1 153")</f>
        <v>A1 153</v>
      </c>
      <c r="T156" s="277" t="str">
        <f>IFERROR(__xludf.DUMMYFUNCTION("""COMPUTED_VALUE"""),"Marowak ex")</f>
        <v>Marowak ex</v>
      </c>
      <c r="U156" s="277" t="str">
        <f>IFERROR(__xludf.DUMMYFUNCTION("""COMPUTED_VALUE"""),"A1-Mewtwo")</f>
        <v>A1-Mewtwo</v>
      </c>
      <c r="V156" s="278" t="str">
        <f>IFERROR(__xludf.DUMMYFUNCTION("""COMPUTED_VALUE"""),"♢♢♢♢")</f>
        <v>♢♢♢♢</v>
      </c>
      <c r="W156" s="443">
        <f t="array" ref="W156">IFERROR(IFS(OR(U156="A1-Mewtwo", U156="A1-Pikachu", U156="A1-Charizard", U156="A1"), $B$5-XLOOKUP(S156, 'Genetic Apex'!$C$2:$C889, 'Genetic Apex'!$B$2:$B889), U156="A1a", $B$5-XLOOKUP(S156, 'Mythical Island'!$C$2:$C889, 'Mythical Island'!$B$2:$B889), OR(U156="A2-Dialga", U156="A2-Palkia", U156="A2"), $B$5-XLOOKUP(S156, 'Space-Time Smackdown'!$C$2:$C889, 'Space-Time Smackdown'!$B$2:$B889)))</f>
        <v>1</v>
      </c>
      <c r="X156" s="444">
        <f t="shared" si="3"/>
        <v>500</v>
      </c>
      <c r="Y156" s="445">
        <f t="shared" si="4"/>
        <v>500</v>
      </c>
      <c r="Z156" s="278"/>
      <c r="AA156" s="466"/>
      <c r="AB156" s="278"/>
      <c r="AC156" s="278"/>
      <c r="AD156" s="278"/>
      <c r="AE156" s="278"/>
      <c r="AF156" s="278"/>
      <c r="AG156" s="278" t="b">
        <f t="shared" si="5"/>
        <v>0</v>
      </c>
      <c r="AH156" s="454"/>
      <c r="AI156" s="278"/>
      <c r="AJ156" s="278"/>
      <c r="AK156" s="278"/>
      <c r="AL156" s="444" t="str">
        <f t="array" ref="AL156">IFERROR(IFS(OR(AJ156="A1-Mewtwo", AJ156="A1-Pikachu", AJ156="A1-Charizard", AJ156="A1"), XLOOKUP(AH156, 'Genetic Apex'!$C$2:$C889, 'Genetic Apex'!$B$2:$B889)-2, AJ156="A1a", XLOOKUP(AH156, 'Mythical Island'!$C$2:$C889, 'Mythical Island'!$B$2:$B889)-2, OR(AJ156="A2-Dialga", AJ156="A2-Palkia", AJ156="A2"), XLOOKUP(AH156, 'Space-Time Smackdown'!$C$2:$C889, 'Space-Time Smackdown'!$B$2:$B889)-2))</f>
        <v/>
      </c>
      <c r="AM156" s="444" t="str">
        <f t="shared" si="6"/>
        <v/>
      </c>
      <c r="AN156" s="448" t="str">
        <f t="shared" si="7"/>
        <v/>
      </c>
    </row>
    <row r="157">
      <c r="A157" s="277"/>
      <c r="B157" s="277"/>
      <c r="C157" s="441"/>
      <c r="D157" s="277"/>
      <c r="E157" s="277"/>
      <c r="F157" s="277"/>
      <c r="G157" s="277"/>
      <c r="H157" s="277" t="b">
        <f t="shared" si="1"/>
        <v>0</v>
      </c>
      <c r="I157" s="277" t="str">
        <f>IFERROR(__xludf.DUMMYFUNCTION("""COMPUTED_VALUE"""),"A1 154")</f>
        <v>A1 154</v>
      </c>
      <c r="J157" s="277" t="str">
        <f>IFERROR(__xludf.DUMMYFUNCTION("""COMPUTED_VALUE"""),"Hitmonlee")</f>
        <v>Hitmonlee</v>
      </c>
      <c r="K157" s="277" t="str">
        <f>IFERROR(__xludf.DUMMYFUNCTION("""COMPUTED_VALUE"""),"A1-Mewtwo")</f>
        <v>A1-Mewtwo</v>
      </c>
      <c r="L157" s="277" t="str">
        <f>IFERROR(__xludf.DUMMYFUNCTION("""COMPUTED_VALUE"""),"♢")</f>
        <v>♢</v>
      </c>
      <c r="M157" s="440" t="b">
        <f t="shared" si="2"/>
        <v>1</v>
      </c>
      <c r="N157" s="441"/>
      <c r="O157" s="277"/>
      <c r="P157" s="277"/>
      <c r="Q157" s="278"/>
      <c r="R157" s="449" t="str">
        <f t="array" ref="R157">IFERROR(IFS(OR(P157="A1-Mewtwo", P157="A1-Pikachu", P157="A1-Charizard", P157="A1"), XLOOKUP(N157, 'Genetic Apex'!$C$2:$C889, 'Genetic Apex'!$B$2:$B889)-$B$4, P157="A1a", XLOOKUP(N157, 'Mythical Island'!$C$2:$C889, 'Mythical Island'!$B$2:$B889)-$B$4, OR(P157="A2-Dialga", P157="A2-Palkia", P157="A2"), XLOOKUP(N157, 'Space-Time Smackdown'!$C$2:$C889, 'Space-Time Smackdown'!$B$2:$B889)-$B$4))</f>
        <v/>
      </c>
      <c r="S157" s="277" t="str">
        <f>IFERROR(__xludf.DUMMYFUNCTION("""COMPUTED_VALUE"""),"A1 154")</f>
        <v>A1 154</v>
      </c>
      <c r="T157" s="277" t="str">
        <f>IFERROR(__xludf.DUMMYFUNCTION("""COMPUTED_VALUE"""),"Hitmonlee")</f>
        <v>Hitmonlee</v>
      </c>
      <c r="U157" s="277" t="str">
        <f>IFERROR(__xludf.DUMMYFUNCTION("""COMPUTED_VALUE"""),"A1-Mewtwo")</f>
        <v>A1-Mewtwo</v>
      </c>
      <c r="V157" s="278" t="str">
        <f>IFERROR(__xludf.DUMMYFUNCTION("""COMPUTED_VALUE"""),"♢")</f>
        <v>♢</v>
      </c>
      <c r="W157" s="443">
        <f t="array" ref="W157">IFERROR(IFS(OR(U157="A1-Mewtwo", U157="A1-Pikachu", U157="A1-Charizard", U157="A1"), $B$5-XLOOKUP(S157, 'Genetic Apex'!$C$2:$C889, 'Genetic Apex'!$B$2:$B889), U157="A1a", $B$5-XLOOKUP(S157, 'Mythical Island'!$C$2:$C889, 'Mythical Island'!$B$2:$B889), OR(U157="A2-Dialga", U157="A2-Palkia", U157="A2"), $B$5-XLOOKUP(S157, 'Space-Time Smackdown'!$C$2:$C889, 'Space-Time Smackdown'!$B$2:$B889)))</f>
        <v>1</v>
      </c>
      <c r="X157" s="444">
        <f t="shared" si="3"/>
        <v>0</v>
      </c>
      <c r="Y157" s="445" t="str">
        <f t="shared" si="4"/>
        <v/>
      </c>
      <c r="Z157" s="278"/>
      <c r="AA157" s="466"/>
      <c r="AB157" s="278"/>
      <c r="AC157" s="278"/>
      <c r="AD157" s="278"/>
      <c r="AE157" s="278"/>
      <c r="AF157" s="278"/>
      <c r="AG157" s="278" t="b">
        <f t="shared" si="5"/>
        <v>0</v>
      </c>
      <c r="AH157" s="454"/>
      <c r="AI157" s="278"/>
      <c r="AJ157" s="278"/>
      <c r="AK157" s="278"/>
      <c r="AL157" s="444" t="str">
        <f t="array" ref="AL157">IFERROR(IFS(OR(AJ157="A1-Mewtwo", AJ157="A1-Pikachu", AJ157="A1-Charizard", AJ157="A1"), XLOOKUP(AH157, 'Genetic Apex'!$C$2:$C889, 'Genetic Apex'!$B$2:$B889)-2, AJ157="A1a", XLOOKUP(AH157, 'Mythical Island'!$C$2:$C889, 'Mythical Island'!$B$2:$B889)-2, OR(AJ157="A2-Dialga", AJ157="A2-Palkia", AJ157="A2"), XLOOKUP(AH157, 'Space-Time Smackdown'!$C$2:$C889, 'Space-Time Smackdown'!$B$2:$B889)-2))</f>
        <v/>
      </c>
      <c r="AM157" s="444" t="str">
        <f t="shared" si="6"/>
        <v/>
      </c>
      <c r="AN157" s="448" t="str">
        <f t="shared" si="7"/>
        <v/>
      </c>
    </row>
    <row r="158">
      <c r="A158" s="277"/>
      <c r="B158" s="277"/>
      <c r="C158" s="441"/>
      <c r="D158" s="277"/>
      <c r="E158" s="277"/>
      <c r="F158" s="277"/>
      <c r="G158" s="277"/>
      <c r="H158" s="277" t="b">
        <f t="shared" si="1"/>
        <v>0</v>
      </c>
      <c r="I158" s="277" t="str">
        <f>IFERROR(__xludf.DUMMYFUNCTION("""COMPUTED_VALUE"""),"A1 155")</f>
        <v>A1 155</v>
      </c>
      <c r="J158" s="277" t="str">
        <f>IFERROR(__xludf.DUMMYFUNCTION("""COMPUTED_VALUE"""),"Hitmonchan")</f>
        <v>Hitmonchan</v>
      </c>
      <c r="K158" s="277" t="str">
        <f>IFERROR(__xludf.DUMMYFUNCTION("""COMPUTED_VALUE"""),"A1-Charizard")</f>
        <v>A1-Charizard</v>
      </c>
      <c r="L158" s="277" t="str">
        <f>IFERROR(__xludf.DUMMYFUNCTION("""COMPUTED_VALUE"""),"♢")</f>
        <v>♢</v>
      </c>
      <c r="M158" s="440" t="b">
        <f t="shared" si="2"/>
        <v>1</v>
      </c>
      <c r="N158" s="441"/>
      <c r="O158" s="277"/>
      <c r="P158" s="277"/>
      <c r="Q158" s="278"/>
      <c r="R158" s="449" t="str">
        <f t="array" ref="R158">IFERROR(IFS(OR(P158="A1-Mewtwo", P158="A1-Pikachu", P158="A1-Charizard", P158="A1"), XLOOKUP(N158, 'Genetic Apex'!$C$2:$C889, 'Genetic Apex'!$B$2:$B889)-$B$4, P158="A1a", XLOOKUP(N158, 'Mythical Island'!$C$2:$C889, 'Mythical Island'!$B$2:$B889)-$B$4, OR(P158="A2-Dialga", P158="A2-Palkia", P158="A2"), XLOOKUP(N158, 'Space-Time Smackdown'!$C$2:$C889, 'Space-Time Smackdown'!$B$2:$B889)-$B$4))</f>
        <v/>
      </c>
      <c r="S158" s="277" t="str">
        <f>IFERROR(__xludf.DUMMYFUNCTION("""COMPUTED_VALUE"""),"A1 155")</f>
        <v>A1 155</v>
      </c>
      <c r="T158" s="277" t="str">
        <f>IFERROR(__xludf.DUMMYFUNCTION("""COMPUTED_VALUE"""),"Hitmonchan")</f>
        <v>Hitmonchan</v>
      </c>
      <c r="U158" s="277" t="str">
        <f>IFERROR(__xludf.DUMMYFUNCTION("""COMPUTED_VALUE"""),"A1-Charizard")</f>
        <v>A1-Charizard</v>
      </c>
      <c r="V158" s="278" t="str">
        <f>IFERROR(__xludf.DUMMYFUNCTION("""COMPUTED_VALUE"""),"♢")</f>
        <v>♢</v>
      </c>
      <c r="W158" s="443">
        <f t="array" ref="W158">IFERROR(IFS(OR(U158="A1-Mewtwo", U158="A1-Pikachu", U158="A1-Charizard", U158="A1"), $B$5-XLOOKUP(S158, 'Genetic Apex'!$C$2:$C889, 'Genetic Apex'!$B$2:$B889), U158="A1a", $B$5-XLOOKUP(S158, 'Mythical Island'!$C$2:$C889, 'Mythical Island'!$B$2:$B889), OR(U158="A2-Dialga", U158="A2-Palkia", U158="A2"), $B$5-XLOOKUP(S158, 'Space-Time Smackdown'!$C$2:$C889, 'Space-Time Smackdown'!$B$2:$B889)))</f>
        <v>1</v>
      </c>
      <c r="X158" s="444">
        <f t="shared" si="3"/>
        <v>0</v>
      </c>
      <c r="Y158" s="445" t="str">
        <f t="shared" si="4"/>
        <v/>
      </c>
      <c r="Z158" s="278"/>
      <c r="AA158" s="466"/>
      <c r="AB158" s="278"/>
      <c r="AC158" s="278"/>
      <c r="AD158" s="278"/>
      <c r="AE158" s="278"/>
      <c r="AF158" s="278"/>
      <c r="AG158" s="278" t="b">
        <f t="shared" si="5"/>
        <v>0</v>
      </c>
      <c r="AH158" s="454"/>
      <c r="AI158" s="278"/>
      <c r="AJ158" s="278"/>
      <c r="AK158" s="278"/>
      <c r="AL158" s="444" t="str">
        <f t="array" ref="AL158">IFERROR(IFS(OR(AJ158="A1-Mewtwo", AJ158="A1-Pikachu", AJ158="A1-Charizard", AJ158="A1"), XLOOKUP(AH158, 'Genetic Apex'!$C$2:$C889, 'Genetic Apex'!$B$2:$B889)-2, AJ158="A1a", XLOOKUP(AH158, 'Mythical Island'!$C$2:$C889, 'Mythical Island'!$B$2:$B889)-2, OR(AJ158="A2-Dialga", AJ158="A2-Palkia", AJ158="A2"), XLOOKUP(AH158, 'Space-Time Smackdown'!$C$2:$C889, 'Space-Time Smackdown'!$B$2:$B889)-2))</f>
        <v/>
      </c>
      <c r="AM158" s="444" t="str">
        <f t="shared" si="6"/>
        <v/>
      </c>
      <c r="AN158" s="448" t="str">
        <f t="shared" si="7"/>
        <v/>
      </c>
    </row>
    <row r="159">
      <c r="A159" s="277"/>
      <c r="B159" s="277"/>
      <c r="C159" s="441"/>
      <c r="D159" s="277"/>
      <c r="E159" s="277"/>
      <c r="F159" s="277"/>
      <c r="G159" s="277"/>
      <c r="H159" s="277" t="b">
        <f t="shared" si="1"/>
        <v>0</v>
      </c>
      <c r="I159" s="277" t="str">
        <f>IFERROR(__xludf.DUMMYFUNCTION("""COMPUTED_VALUE"""),"A1 156")</f>
        <v>A1 156</v>
      </c>
      <c r="J159" s="277" t="str">
        <f>IFERROR(__xludf.DUMMYFUNCTION("""COMPUTED_VALUE"""),"Rhyhorn")</f>
        <v>Rhyhorn</v>
      </c>
      <c r="K159" s="277" t="str">
        <f>IFERROR(__xludf.DUMMYFUNCTION("""COMPUTED_VALUE"""),"A1-Mewtwo")</f>
        <v>A1-Mewtwo</v>
      </c>
      <c r="L159" s="277" t="str">
        <f>IFERROR(__xludf.DUMMYFUNCTION("""COMPUTED_VALUE"""),"♢")</f>
        <v>♢</v>
      </c>
      <c r="M159" s="440" t="b">
        <f t="shared" si="2"/>
        <v>1</v>
      </c>
      <c r="N159" s="441"/>
      <c r="O159" s="277"/>
      <c r="P159" s="277"/>
      <c r="Q159" s="278"/>
      <c r="R159" s="449" t="str">
        <f t="array" ref="R159">IFERROR(IFS(OR(P159="A1-Mewtwo", P159="A1-Pikachu", P159="A1-Charizard", P159="A1"), XLOOKUP(N159, 'Genetic Apex'!$C$2:$C889, 'Genetic Apex'!$B$2:$B889)-$B$4, P159="A1a", XLOOKUP(N159, 'Mythical Island'!$C$2:$C889, 'Mythical Island'!$B$2:$B889)-$B$4, OR(P159="A2-Dialga", P159="A2-Palkia", P159="A2"), XLOOKUP(N159, 'Space-Time Smackdown'!$C$2:$C889, 'Space-Time Smackdown'!$B$2:$B889)-$B$4))</f>
        <v/>
      </c>
      <c r="S159" s="277" t="str">
        <f>IFERROR(__xludf.DUMMYFUNCTION("""COMPUTED_VALUE"""),"A1 156")</f>
        <v>A1 156</v>
      </c>
      <c r="T159" s="277" t="str">
        <f>IFERROR(__xludf.DUMMYFUNCTION("""COMPUTED_VALUE"""),"Rhyhorn")</f>
        <v>Rhyhorn</v>
      </c>
      <c r="U159" s="277" t="str">
        <f>IFERROR(__xludf.DUMMYFUNCTION("""COMPUTED_VALUE"""),"A1-Mewtwo")</f>
        <v>A1-Mewtwo</v>
      </c>
      <c r="V159" s="278" t="str">
        <f>IFERROR(__xludf.DUMMYFUNCTION("""COMPUTED_VALUE"""),"♢")</f>
        <v>♢</v>
      </c>
      <c r="W159" s="443">
        <f t="array" ref="W159">IFERROR(IFS(OR(U159="A1-Mewtwo", U159="A1-Pikachu", U159="A1-Charizard", U159="A1"), $B$5-XLOOKUP(S159, 'Genetic Apex'!$C$2:$C889, 'Genetic Apex'!$B$2:$B889), U159="A1a", $B$5-XLOOKUP(S159, 'Mythical Island'!$C$2:$C889, 'Mythical Island'!$B$2:$B889), OR(U159="A2-Dialga", U159="A2-Palkia", U159="A2"), $B$5-XLOOKUP(S159, 'Space-Time Smackdown'!$C$2:$C889, 'Space-Time Smackdown'!$B$2:$B889)))</f>
        <v>1</v>
      </c>
      <c r="X159" s="444">
        <f t="shared" si="3"/>
        <v>0</v>
      </c>
      <c r="Y159" s="445" t="str">
        <f t="shared" si="4"/>
        <v/>
      </c>
      <c r="Z159" s="278"/>
      <c r="AA159" s="466"/>
      <c r="AB159" s="278"/>
      <c r="AC159" s="278"/>
      <c r="AD159" s="278"/>
      <c r="AE159" s="278"/>
      <c r="AF159" s="278"/>
      <c r="AG159" s="278" t="b">
        <f t="shared" si="5"/>
        <v>0</v>
      </c>
      <c r="AH159" s="454"/>
      <c r="AI159" s="278"/>
      <c r="AJ159" s="278"/>
      <c r="AK159" s="278"/>
      <c r="AL159" s="444" t="str">
        <f t="array" ref="AL159">IFERROR(IFS(OR(AJ159="A1-Mewtwo", AJ159="A1-Pikachu", AJ159="A1-Charizard", AJ159="A1"), XLOOKUP(AH159, 'Genetic Apex'!$C$2:$C889, 'Genetic Apex'!$B$2:$B889)-2, AJ159="A1a", XLOOKUP(AH159, 'Mythical Island'!$C$2:$C889, 'Mythical Island'!$B$2:$B889)-2, OR(AJ159="A2-Dialga", AJ159="A2-Palkia", AJ159="A2"), XLOOKUP(AH159, 'Space-Time Smackdown'!$C$2:$C889, 'Space-Time Smackdown'!$B$2:$B889)-2))</f>
        <v/>
      </c>
      <c r="AM159" s="444" t="str">
        <f t="shared" si="6"/>
        <v/>
      </c>
      <c r="AN159" s="448" t="str">
        <f t="shared" si="7"/>
        <v/>
      </c>
    </row>
    <row r="160">
      <c r="A160" s="277"/>
      <c r="B160" s="277"/>
      <c r="C160" s="441"/>
      <c r="D160" s="277"/>
      <c r="E160" s="277"/>
      <c r="F160" s="277"/>
      <c r="G160" s="277"/>
      <c r="H160" s="277" t="b">
        <f t="shared" si="1"/>
        <v>0</v>
      </c>
      <c r="I160" s="277" t="str">
        <f>IFERROR(__xludf.DUMMYFUNCTION("""COMPUTED_VALUE"""),"A1 157")</f>
        <v>A1 157</v>
      </c>
      <c r="J160" s="277" t="str">
        <f>IFERROR(__xludf.DUMMYFUNCTION("""COMPUTED_VALUE"""),"Rhydon")</f>
        <v>Rhydon</v>
      </c>
      <c r="K160" s="277" t="str">
        <f>IFERROR(__xludf.DUMMYFUNCTION("""COMPUTED_VALUE"""),"A1-Mewtwo")</f>
        <v>A1-Mewtwo</v>
      </c>
      <c r="L160" s="277" t="str">
        <f>IFERROR(__xludf.DUMMYFUNCTION("""COMPUTED_VALUE"""),"♢♢")</f>
        <v>♢♢</v>
      </c>
      <c r="M160" s="440" t="b">
        <f t="shared" si="2"/>
        <v>1</v>
      </c>
      <c r="N160" s="441"/>
      <c r="O160" s="277"/>
      <c r="P160" s="277"/>
      <c r="Q160" s="278"/>
      <c r="R160" s="449" t="str">
        <f t="array" ref="R160">IFERROR(IFS(OR(P160="A1-Mewtwo", P160="A1-Pikachu", P160="A1-Charizard", P160="A1"), XLOOKUP(N160, 'Genetic Apex'!$C$2:$C889, 'Genetic Apex'!$B$2:$B889)-$B$4, P160="A1a", XLOOKUP(N160, 'Mythical Island'!$C$2:$C889, 'Mythical Island'!$B$2:$B889)-$B$4, OR(P160="A2-Dialga", P160="A2-Palkia", P160="A2"), XLOOKUP(N160, 'Space-Time Smackdown'!$C$2:$C889, 'Space-Time Smackdown'!$B$2:$B889)-$B$4))</f>
        <v/>
      </c>
      <c r="S160" s="277" t="str">
        <f>IFERROR(__xludf.DUMMYFUNCTION("""COMPUTED_VALUE"""),"A1 157")</f>
        <v>A1 157</v>
      </c>
      <c r="T160" s="277" t="str">
        <f>IFERROR(__xludf.DUMMYFUNCTION("""COMPUTED_VALUE"""),"Rhydon")</f>
        <v>Rhydon</v>
      </c>
      <c r="U160" s="277" t="str">
        <f>IFERROR(__xludf.DUMMYFUNCTION("""COMPUTED_VALUE"""),"A1-Mewtwo")</f>
        <v>A1-Mewtwo</v>
      </c>
      <c r="V160" s="278" t="str">
        <f>IFERROR(__xludf.DUMMYFUNCTION("""COMPUTED_VALUE"""),"♢♢")</f>
        <v>♢♢</v>
      </c>
      <c r="W160" s="443">
        <f t="array" ref="W160">IFERROR(IFS(OR(U160="A1-Mewtwo", U160="A1-Pikachu", U160="A1-Charizard", U160="A1"), $B$5-XLOOKUP(S160, 'Genetic Apex'!$C$2:$C889, 'Genetic Apex'!$B$2:$B889), U160="A1a", $B$5-XLOOKUP(S160, 'Mythical Island'!$C$2:$C889, 'Mythical Island'!$B$2:$B889), OR(U160="A2-Dialga", U160="A2-Palkia", U160="A2"), $B$5-XLOOKUP(S160, 'Space-Time Smackdown'!$C$2:$C889, 'Space-Time Smackdown'!$B$2:$B889)))</f>
        <v>1</v>
      </c>
      <c r="X160" s="444">
        <f t="shared" si="3"/>
        <v>0</v>
      </c>
      <c r="Y160" s="445" t="str">
        <f t="shared" si="4"/>
        <v/>
      </c>
      <c r="Z160" s="278"/>
      <c r="AA160" s="466"/>
      <c r="AB160" s="278"/>
      <c r="AC160" s="278"/>
      <c r="AD160" s="278"/>
      <c r="AE160" s="278"/>
      <c r="AF160" s="278"/>
      <c r="AG160" s="278" t="b">
        <f t="shared" si="5"/>
        <v>0</v>
      </c>
      <c r="AH160" s="454"/>
      <c r="AI160" s="278"/>
      <c r="AJ160" s="278"/>
      <c r="AK160" s="278"/>
      <c r="AL160" s="444" t="str">
        <f t="array" ref="AL160">IFERROR(IFS(OR(AJ160="A1-Mewtwo", AJ160="A1-Pikachu", AJ160="A1-Charizard", AJ160="A1"), XLOOKUP(AH160, 'Genetic Apex'!$C$2:$C889, 'Genetic Apex'!$B$2:$B889)-2, AJ160="A1a", XLOOKUP(AH160, 'Mythical Island'!$C$2:$C889, 'Mythical Island'!$B$2:$B889)-2, OR(AJ160="A2-Dialga", AJ160="A2-Palkia", AJ160="A2"), XLOOKUP(AH160, 'Space-Time Smackdown'!$C$2:$C889, 'Space-Time Smackdown'!$B$2:$B889)-2))</f>
        <v/>
      </c>
      <c r="AM160" s="444" t="str">
        <f t="shared" si="6"/>
        <v/>
      </c>
      <c r="AN160" s="448" t="str">
        <f t="shared" si="7"/>
        <v/>
      </c>
    </row>
    <row r="161">
      <c r="A161" s="277"/>
      <c r="B161" s="277"/>
      <c r="C161" s="441"/>
      <c r="D161" s="277"/>
      <c r="E161" s="277"/>
      <c r="F161" s="277"/>
      <c r="G161" s="277"/>
      <c r="H161" s="277" t="b">
        <f t="shared" si="1"/>
        <v>0</v>
      </c>
      <c r="I161" s="277" t="str">
        <f>IFERROR(__xludf.DUMMYFUNCTION("""COMPUTED_VALUE"""),"A1 158")</f>
        <v>A1 158</v>
      </c>
      <c r="J161" s="277" t="str">
        <f>IFERROR(__xludf.DUMMYFUNCTION("""COMPUTED_VALUE"""),"Kabuto")</f>
        <v>Kabuto</v>
      </c>
      <c r="K161" s="277" t="str">
        <f>IFERROR(__xludf.DUMMYFUNCTION("""COMPUTED_VALUE"""),"A1-Charizard")</f>
        <v>A1-Charizard</v>
      </c>
      <c r="L161" s="277" t="str">
        <f>IFERROR(__xludf.DUMMYFUNCTION("""COMPUTED_VALUE"""),"♢♢")</f>
        <v>♢♢</v>
      </c>
      <c r="M161" s="440" t="b">
        <f t="shared" si="2"/>
        <v>1</v>
      </c>
      <c r="N161" s="441"/>
      <c r="O161" s="277"/>
      <c r="P161" s="277"/>
      <c r="Q161" s="278"/>
      <c r="R161" s="449" t="str">
        <f t="array" ref="R161">IFERROR(IFS(OR(P161="A1-Mewtwo", P161="A1-Pikachu", P161="A1-Charizard", P161="A1"), XLOOKUP(N161, 'Genetic Apex'!$C$2:$C889, 'Genetic Apex'!$B$2:$B889)-$B$4, P161="A1a", XLOOKUP(N161, 'Mythical Island'!$C$2:$C889, 'Mythical Island'!$B$2:$B889)-$B$4, OR(P161="A2-Dialga", P161="A2-Palkia", P161="A2"), XLOOKUP(N161, 'Space-Time Smackdown'!$C$2:$C889, 'Space-Time Smackdown'!$B$2:$B889)-$B$4))</f>
        <v/>
      </c>
      <c r="S161" s="277" t="str">
        <f>IFERROR(__xludf.DUMMYFUNCTION("""COMPUTED_VALUE"""),"A1 158")</f>
        <v>A1 158</v>
      </c>
      <c r="T161" s="277" t="str">
        <f>IFERROR(__xludf.DUMMYFUNCTION("""COMPUTED_VALUE"""),"Kabuto")</f>
        <v>Kabuto</v>
      </c>
      <c r="U161" s="277" t="str">
        <f>IFERROR(__xludf.DUMMYFUNCTION("""COMPUTED_VALUE"""),"A1-Charizard")</f>
        <v>A1-Charizard</v>
      </c>
      <c r="V161" s="278" t="str">
        <f>IFERROR(__xludf.DUMMYFUNCTION("""COMPUTED_VALUE"""),"♢♢")</f>
        <v>♢♢</v>
      </c>
      <c r="W161" s="443">
        <f t="array" ref="W161">IFERROR(IFS(OR(U161="A1-Mewtwo", U161="A1-Pikachu", U161="A1-Charizard", U161="A1"), $B$5-XLOOKUP(S161, 'Genetic Apex'!$C$2:$C889, 'Genetic Apex'!$B$2:$B889), U161="A1a", $B$5-XLOOKUP(S161, 'Mythical Island'!$C$2:$C889, 'Mythical Island'!$B$2:$B889), OR(U161="A2-Dialga", U161="A2-Palkia", U161="A2"), $B$5-XLOOKUP(S161, 'Space-Time Smackdown'!$C$2:$C889, 'Space-Time Smackdown'!$B$2:$B889)))</f>
        <v>1</v>
      </c>
      <c r="X161" s="444">
        <f t="shared" si="3"/>
        <v>0</v>
      </c>
      <c r="Y161" s="445" t="str">
        <f t="shared" si="4"/>
        <v/>
      </c>
      <c r="Z161" s="278"/>
      <c r="AA161" s="466"/>
      <c r="AB161" s="278"/>
      <c r="AC161" s="278"/>
      <c r="AD161" s="278"/>
      <c r="AE161" s="278"/>
      <c r="AF161" s="278"/>
      <c r="AG161" s="278" t="b">
        <f t="shared" si="5"/>
        <v>0</v>
      </c>
      <c r="AH161" s="454"/>
      <c r="AI161" s="278"/>
      <c r="AJ161" s="278"/>
      <c r="AK161" s="278"/>
      <c r="AL161" s="444" t="str">
        <f t="array" ref="AL161">IFERROR(IFS(OR(AJ161="A1-Mewtwo", AJ161="A1-Pikachu", AJ161="A1-Charizard", AJ161="A1"), XLOOKUP(AH161, 'Genetic Apex'!$C$2:$C889, 'Genetic Apex'!$B$2:$B889)-2, AJ161="A1a", XLOOKUP(AH161, 'Mythical Island'!$C$2:$C889, 'Mythical Island'!$B$2:$B889)-2, OR(AJ161="A2-Dialga", AJ161="A2-Palkia", AJ161="A2"), XLOOKUP(AH161, 'Space-Time Smackdown'!$C$2:$C889, 'Space-Time Smackdown'!$B$2:$B889)-2))</f>
        <v/>
      </c>
      <c r="AM161" s="444" t="str">
        <f t="shared" si="6"/>
        <v/>
      </c>
      <c r="AN161" s="448" t="str">
        <f t="shared" si="7"/>
        <v/>
      </c>
    </row>
    <row r="162">
      <c r="A162" s="277"/>
      <c r="B162" s="277"/>
      <c r="C162" s="441"/>
      <c r="D162" s="277"/>
      <c r="E162" s="277"/>
      <c r="F162" s="277"/>
      <c r="G162" s="277"/>
      <c r="H162" s="277" t="b">
        <f t="shared" si="1"/>
        <v>0</v>
      </c>
      <c r="I162" s="277" t="str">
        <f>IFERROR(__xludf.DUMMYFUNCTION("""COMPUTED_VALUE"""),"A1 159")</f>
        <v>A1 159</v>
      </c>
      <c r="J162" s="277" t="str">
        <f>IFERROR(__xludf.DUMMYFUNCTION("""COMPUTED_VALUE"""),"Kabutops")</f>
        <v>Kabutops</v>
      </c>
      <c r="K162" s="277" t="str">
        <f>IFERROR(__xludf.DUMMYFUNCTION("""COMPUTED_VALUE"""),"A1-Charizard")</f>
        <v>A1-Charizard</v>
      </c>
      <c r="L162" s="277" t="str">
        <f>IFERROR(__xludf.DUMMYFUNCTION("""COMPUTED_VALUE"""),"♢♢♢")</f>
        <v>♢♢♢</v>
      </c>
      <c r="M162" s="440" t="b">
        <f t="shared" si="2"/>
        <v>1</v>
      </c>
      <c r="N162" s="441"/>
      <c r="O162" s="277"/>
      <c r="P162" s="277"/>
      <c r="Q162" s="278"/>
      <c r="R162" s="449" t="str">
        <f t="array" ref="R162">IFERROR(IFS(OR(P162="A1-Mewtwo", P162="A1-Pikachu", P162="A1-Charizard", P162="A1"), XLOOKUP(N162, 'Genetic Apex'!$C$2:$C889, 'Genetic Apex'!$B$2:$B889)-$B$4, P162="A1a", XLOOKUP(N162, 'Mythical Island'!$C$2:$C889, 'Mythical Island'!$B$2:$B889)-$B$4, OR(P162="A2-Dialga", P162="A2-Palkia", P162="A2"), XLOOKUP(N162, 'Space-Time Smackdown'!$C$2:$C889, 'Space-Time Smackdown'!$B$2:$B889)-$B$4))</f>
        <v/>
      </c>
      <c r="S162" s="277" t="str">
        <f>IFERROR(__xludf.DUMMYFUNCTION("""COMPUTED_VALUE"""),"A1 159")</f>
        <v>A1 159</v>
      </c>
      <c r="T162" s="277" t="str">
        <f>IFERROR(__xludf.DUMMYFUNCTION("""COMPUTED_VALUE"""),"Kabutops")</f>
        <v>Kabutops</v>
      </c>
      <c r="U162" s="277" t="str">
        <f>IFERROR(__xludf.DUMMYFUNCTION("""COMPUTED_VALUE"""),"A1-Charizard")</f>
        <v>A1-Charizard</v>
      </c>
      <c r="V162" s="278" t="str">
        <f>IFERROR(__xludf.DUMMYFUNCTION("""COMPUTED_VALUE"""),"♢♢♢")</f>
        <v>♢♢♢</v>
      </c>
      <c r="W162" s="443">
        <f t="array" ref="W162">IFERROR(IFS(OR(U162="A1-Mewtwo", U162="A1-Pikachu", U162="A1-Charizard", U162="A1"), $B$5-XLOOKUP(S162, 'Genetic Apex'!$C$2:$C889, 'Genetic Apex'!$B$2:$B889), U162="A1a", $B$5-XLOOKUP(S162, 'Mythical Island'!$C$2:$C889, 'Mythical Island'!$B$2:$B889), OR(U162="A2-Dialga", U162="A2-Palkia", U162="A2"), $B$5-XLOOKUP(S162, 'Space-Time Smackdown'!$C$2:$C889, 'Space-Time Smackdown'!$B$2:$B889)))</f>
        <v>1</v>
      </c>
      <c r="X162" s="444">
        <f t="shared" si="3"/>
        <v>120</v>
      </c>
      <c r="Y162" s="445">
        <f t="shared" si="4"/>
        <v>120</v>
      </c>
      <c r="Z162" s="278"/>
      <c r="AA162" s="466"/>
      <c r="AB162" s="278"/>
      <c r="AC162" s="278"/>
      <c r="AD162" s="278"/>
      <c r="AE162" s="278"/>
      <c r="AF162" s="278"/>
      <c r="AG162" s="278" t="b">
        <f t="shared" si="5"/>
        <v>0</v>
      </c>
      <c r="AH162" s="454"/>
      <c r="AI162" s="278"/>
      <c r="AJ162" s="278"/>
      <c r="AK162" s="278"/>
      <c r="AL162" s="444" t="str">
        <f t="array" ref="AL162">IFERROR(IFS(OR(AJ162="A1-Mewtwo", AJ162="A1-Pikachu", AJ162="A1-Charizard", AJ162="A1"), XLOOKUP(AH162, 'Genetic Apex'!$C$2:$C889, 'Genetic Apex'!$B$2:$B889)-2, AJ162="A1a", XLOOKUP(AH162, 'Mythical Island'!$C$2:$C889, 'Mythical Island'!$B$2:$B889)-2, OR(AJ162="A2-Dialga", AJ162="A2-Palkia", AJ162="A2"), XLOOKUP(AH162, 'Space-Time Smackdown'!$C$2:$C889, 'Space-Time Smackdown'!$B$2:$B889)-2))</f>
        <v/>
      </c>
      <c r="AM162" s="444" t="str">
        <f t="shared" si="6"/>
        <v/>
      </c>
      <c r="AN162" s="448" t="str">
        <f t="shared" si="7"/>
        <v/>
      </c>
    </row>
    <row r="163">
      <c r="A163" s="277"/>
      <c r="B163" s="277"/>
      <c r="C163" s="441"/>
      <c r="D163" s="277"/>
      <c r="E163" s="277"/>
      <c r="F163" s="277"/>
      <c r="G163" s="277"/>
      <c r="H163" s="277" t="b">
        <f t="shared" si="1"/>
        <v>0</v>
      </c>
      <c r="I163" s="277" t="str">
        <f>IFERROR(__xludf.DUMMYFUNCTION("""COMPUTED_VALUE"""),"A1 160")</f>
        <v>A1 160</v>
      </c>
      <c r="J163" s="277" t="str">
        <f>IFERROR(__xludf.DUMMYFUNCTION("""COMPUTED_VALUE"""),"Mienfoo")</f>
        <v>Mienfoo</v>
      </c>
      <c r="K163" s="277" t="str">
        <f>IFERROR(__xludf.DUMMYFUNCTION("""COMPUTED_VALUE"""),"A1-Pikachu")</f>
        <v>A1-Pikachu</v>
      </c>
      <c r="L163" s="277" t="str">
        <f>IFERROR(__xludf.DUMMYFUNCTION("""COMPUTED_VALUE"""),"♢")</f>
        <v>♢</v>
      </c>
      <c r="M163" s="440" t="b">
        <f t="shared" si="2"/>
        <v>1</v>
      </c>
      <c r="N163" s="441"/>
      <c r="O163" s="277"/>
      <c r="P163" s="277"/>
      <c r="Q163" s="278"/>
      <c r="R163" s="449" t="str">
        <f t="array" ref="R163">IFERROR(IFS(OR(P163="A1-Mewtwo", P163="A1-Pikachu", P163="A1-Charizard", P163="A1"), XLOOKUP(N163, 'Genetic Apex'!$C$2:$C889, 'Genetic Apex'!$B$2:$B889)-$B$4, P163="A1a", XLOOKUP(N163, 'Mythical Island'!$C$2:$C889, 'Mythical Island'!$B$2:$B889)-$B$4, OR(P163="A2-Dialga", P163="A2-Palkia", P163="A2"), XLOOKUP(N163, 'Space-Time Smackdown'!$C$2:$C889, 'Space-Time Smackdown'!$B$2:$B889)-$B$4))</f>
        <v/>
      </c>
      <c r="S163" s="277" t="str">
        <f>IFERROR(__xludf.DUMMYFUNCTION("""COMPUTED_VALUE"""),"A1 160")</f>
        <v>A1 160</v>
      </c>
      <c r="T163" s="277" t="str">
        <f>IFERROR(__xludf.DUMMYFUNCTION("""COMPUTED_VALUE"""),"Mienfoo")</f>
        <v>Mienfoo</v>
      </c>
      <c r="U163" s="277" t="str">
        <f>IFERROR(__xludf.DUMMYFUNCTION("""COMPUTED_VALUE"""),"A1-Pikachu")</f>
        <v>A1-Pikachu</v>
      </c>
      <c r="V163" s="278" t="str">
        <f>IFERROR(__xludf.DUMMYFUNCTION("""COMPUTED_VALUE"""),"♢")</f>
        <v>♢</v>
      </c>
      <c r="W163" s="443">
        <f t="array" ref="W163">IFERROR(IFS(OR(U163="A1-Mewtwo", U163="A1-Pikachu", U163="A1-Charizard", U163="A1"), $B$5-XLOOKUP(S163, 'Genetic Apex'!$C$2:$C889, 'Genetic Apex'!$B$2:$B889), U163="A1a", $B$5-XLOOKUP(S163, 'Mythical Island'!$C$2:$C889, 'Mythical Island'!$B$2:$B889), OR(U163="A2-Dialga", U163="A2-Palkia", U163="A2"), $B$5-XLOOKUP(S163, 'Space-Time Smackdown'!$C$2:$C889, 'Space-Time Smackdown'!$B$2:$B889)))</f>
        <v>1</v>
      </c>
      <c r="X163" s="444">
        <f t="shared" si="3"/>
        <v>0</v>
      </c>
      <c r="Y163" s="445" t="str">
        <f t="shared" si="4"/>
        <v/>
      </c>
      <c r="Z163" s="278"/>
      <c r="AA163" s="466"/>
      <c r="AB163" s="278"/>
      <c r="AC163" s="278"/>
      <c r="AD163" s="278"/>
      <c r="AE163" s="278"/>
      <c r="AF163" s="278"/>
      <c r="AG163" s="278" t="b">
        <f t="shared" si="5"/>
        <v>0</v>
      </c>
      <c r="AH163" s="454"/>
      <c r="AI163" s="278"/>
      <c r="AJ163" s="278"/>
      <c r="AK163" s="278"/>
      <c r="AL163" s="444" t="str">
        <f t="array" ref="AL163">IFERROR(IFS(OR(AJ163="A1-Mewtwo", AJ163="A1-Pikachu", AJ163="A1-Charizard", AJ163="A1"), XLOOKUP(AH163, 'Genetic Apex'!$C$2:$C889, 'Genetic Apex'!$B$2:$B889)-2, AJ163="A1a", XLOOKUP(AH163, 'Mythical Island'!$C$2:$C889, 'Mythical Island'!$B$2:$B889)-2, OR(AJ163="A2-Dialga", AJ163="A2-Palkia", AJ163="A2"), XLOOKUP(AH163, 'Space-Time Smackdown'!$C$2:$C889, 'Space-Time Smackdown'!$B$2:$B889)-2))</f>
        <v/>
      </c>
      <c r="AM163" s="444" t="str">
        <f t="shared" si="6"/>
        <v/>
      </c>
      <c r="AN163" s="448" t="str">
        <f t="shared" si="7"/>
        <v/>
      </c>
    </row>
    <row r="164">
      <c r="A164" s="277"/>
      <c r="B164" s="277"/>
      <c r="C164" s="441"/>
      <c r="D164" s="277"/>
      <c r="E164" s="277"/>
      <c r="F164" s="277"/>
      <c r="G164" s="277"/>
      <c r="H164" s="277" t="b">
        <f t="shared" si="1"/>
        <v>0</v>
      </c>
      <c r="I164" s="277" t="str">
        <f>IFERROR(__xludf.DUMMYFUNCTION("""COMPUTED_VALUE"""),"A1 161")</f>
        <v>A1 161</v>
      </c>
      <c r="J164" s="277" t="str">
        <f>IFERROR(__xludf.DUMMYFUNCTION("""COMPUTED_VALUE"""),"Mienshao")</f>
        <v>Mienshao</v>
      </c>
      <c r="K164" s="277" t="str">
        <f>IFERROR(__xludf.DUMMYFUNCTION("""COMPUTED_VALUE"""),"A1-Pikachu")</f>
        <v>A1-Pikachu</v>
      </c>
      <c r="L164" s="277" t="str">
        <f>IFERROR(__xludf.DUMMYFUNCTION("""COMPUTED_VALUE"""),"♢♢")</f>
        <v>♢♢</v>
      </c>
      <c r="M164" s="440" t="b">
        <f t="shared" si="2"/>
        <v>1</v>
      </c>
      <c r="N164" s="441"/>
      <c r="O164" s="277"/>
      <c r="P164" s="277"/>
      <c r="Q164" s="278"/>
      <c r="R164" s="449" t="str">
        <f t="array" ref="R164">IFERROR(IFS(OR(P164="A1-Mewtwo", P164="A1-Pikachu", P164="A1-Charizard", P164="A1"), XLOOKUP(N164, 'Genetic Apex'!$C$2:$C889, 'Genetic Apex'!$B$2:$B889)-$B$4, P164="A1a", XLOOKUP(N164, 'Mythical Island'!$C$2:$C889, 'Mythical Island'!$B$2:$B889)-$B$4, OR(P164="A2-Dialga", P164="A2-Palkia", P164="A2"), XLOOKUP(N164, 'Space-Time Smackdown'!$C$2:$C889, 'Space-Time Smackdown'!$B$2:$B889)-$B$4))</f>
        <v/>
      </c>
      <c r="S164" s="277" t="str">
        <f>IFERROR(__xludf.DUMMYFUNCTION("""COMPUTED_VALUE"""),"A1 161")</f>
        <v>A1 161</v>
      </c>
      <c r="T164" s="277" t="str">
        <f>IFERROR(__xludf.DUMMYFUNCTION("""COMPUTED_VALUE"""),"Mienshao")</f>
        <v>Mienshao</v>
      </c>
      <c r="U164" s="277" t="str">
        <f>IFERROR(__xludf.DUMMYFUNCTION("""COMPUTED_VALUE"""),"A1-Pikachu")</f>
        <v>A1-Pikachu</v>
      </c>
      <c r="V164" s="278" t="str">
        <f>IFERROR(__xludf.DUMMYFUNCTION("""COMPUTED_VALUE"""),"♢♢")</f>
        <v>♢♢</v>
      </c>
      <c r="W164" s="443">
        <f t="array" ref="W164">IFERROR(IFS(OR(U164="A1-Mewtwo", U164="A1-Pikachu", U164="A1-Charizard", U164="A1"), $B$5-XLOOKUP(S164, 'Genetic Apex'!$C$2:$C889, 'Genetic Apex'!$B$2:$B889), U164="A1a", $B$5-XLOOKUP(S164, 'Mythical Island'!$C$2:$C889, 'Mythical Island'!$B$2:$B889), OR(U164="A2-Dialga", U164="A2-Palkia", U164="A2"), $B$5-XLOOKUP(S164, 'Space-Time Smackdown'!$C$2:$C889, 'Space-Time Smackdown'!$B$2:$B889)))</f>
        <v>1</v>
      </c>
      <c r="X164" s="444">
        <f t="shared" si="3"/>
        <v>0</v>
      </c>
      <c r="Y164" s="445" t="str">
        <f t="shared" si="4"/>
        <v/>
      </c>
      <c r="Z164" s="278"/>
      <c r="AA164" s="466"/>
      <c r="AB164" s="278"/>
      <c r="AC164" s="278"/>
      <c r="AD164" s="278"/>
      <c r="AE164" s="278"/>
      <c r="AF164" s="278"/>
      <c r="AG164" s="278" t="b">
        <f t="shared" si="5"/>
        <v>0</v>
      </c>
      <c r="AH164" s="454"/>
      <c r="AI164" s="278"/>
      <c r="AJ164" s="278"/>
      <c r="AK164" s="278"/>
      <c r="AL164" s="444" t="str">
        <f t="array" ref="AL164">IFERROR(IFS(OR(AJ164="A1-Mewtwo", AJ164="A1-Pikachu", AJ164="A1-Charizard", AJ164="A1"), XLOOKUP(AH164, 'Genetic Apex'!$C$2:$C889, 'Genetic Apex'!$B$2:$B889)-2, AJ164="A1a", XLOOKUP(AH164, 'Mythical Island'!$C$2:$C889, 'Mythical Island'!$B$2:$B889)-2, OR(AJ164="A2-Dialga", AJ164="A2-Palkia", AJ164="A2"), XLOOKUP(AH164, 'Space-Time Smackdown'!$C$2:$C889, 'Space-Time Smackdown'!$B$2:$B889)-2))</f>
        <v/>
      </c>
      <c r="AM164" s="444" t="str">
        <f t="shared" si="6"/>
        <v/>
      </c>
      <c r="AN164" s="448" t="str">
        <f t="shared" si="7"/>
        <v/>
      </c>
    </row>
    <row r="165">
      <c r="A165" s="277"/>
      <c r="B165" s="277"/>
      <c r="C165" s="441"/>
      <c r="D165" s="277"/>
      <c r="E165" s="277"/>
      <c r="F165" s="277"/>
      <c r="G165" s="277"/>
      <c r="H165" s="277" t="b">
        <f t="shared" si="1"/>
        <v>0</v>
      </c>
      <c r="I165" s="277" t="str">
        <f>IFERROR(__xludf.DUMMYFUNCTION("""COMPUTED_VALUE"""),"A1 162")</f>
        <v>A1 162</v>
      </c>
      <c r="J165" s="277" t="str">
        <f>IFERROR(__xludf.DUMMYFUNCTION("""COMPUTED_VALUE"""),"Clobbopus")</f>
        <v>Clobbopus</v>
      </c>
      <c r="K165" s="277" t="str">
        <f>IFERROR(__xludf.DUMMYFUNCTION("""COMPUTED_VALUE"""),"A1")</f>
        <v>A1</v>
      </c>
      <c r="L165" s="277" t="str">
        <f>IFERROR(__xludf.DUMMYFUNCTION("""COMPUTED_VALUE"""),"♢")</f>
        <v>♢</v>
      </c>
      <c r="M165" s="440" t="b">
        <f t="shared" si="2"/>
        <v>1</v>
      </c>
      <c r="N165" s="441"/>
      <c r="O165" s="277"/>
      <c r="P165" s="277"/>
      <c r="Q165" s="278"/>
      <c r="R165" s="449" t="str">
        <f t="array" ref="R165">IFERROR(IFS(OR(P165="A1-Mewtwo", P165="A1-Pikachu", P165="A1-Charizard", P165="A1"), XLOOKUP(N165, 'Genetic Apex'!$C$2:$C889, 'Genetic Apex'!$B$2:$B889)-$B$4, P165="A1a", XLOOKUP(N165, 'Mythical Island'!$C$2:$C889, 'Mythical Island'!$B$2:$B889)-$B$4, OR(P165="A2-Dialga", P165="A2-Palkia", P165="A2"), XLOOKUP(N165, 'Space-Time Smackdown'!$C$2:$C889, 'Space-Time Smackdown'!$B$2:$B889)-$B$4))</f>
        <v/>
      </c>
      <c r="S165" s="277" t="str">
        <f>IFERROR(__xludf.DUMMYFUNCTION("""COMPUTED_VALUE"""),"A1 162")</f>
        <v>A1 162</v>
      </c>
      <c r="T165" s="277" t="str">
        <f>IFERROR(__xludf.DUMMYFUNCTION("""COMPUTED_VALUE"""),"Clobbopus")</f>
        <v>Clobbopus</v>
      </c>
      <c r="U165" s="277" t="str">
        <f>IFERROR(__xludf.DUMMYFUNCTION("""COMPUTED_VALUE"""),"A1")</f>
        <v>A1</v>
      </c>
      <c r="V165" s="278" t="str">
        <f>IFERROR(__xludf.DUMMYFUNCTION("""COMPUTED_VALUE"""),"♢")</f>
        <v>♢</v>
      </c>
      <c r="W165" s="443">
        <f t="array" ref="W165">IFERROR(IFS(OR(U165="A1-Mewtwo", U165="A1-Pikachu", U165="A1-Charizard", U165="A1"), $B$5-XLOOKUP(S165, 'Genetic Apex'!$C$2:$C889, 'Genetic Apex'!$B$2:$B889), U165="A1a", $B$5-XLOOKUP(S165, 'Mythical Island'!$C$2:$C889, 'Mythical Island'!$B$2:$B889), OR(U165="A2-Dialga", U165="A2-Palkia", U165="A2"), $B$5-XLOOKUP(S165, 'Space-Time Smackdown'!$C$2:$C889, 'Space-Time Smackdown'!$B$2:$B889)))</f>
        <v>1</v>
      </c>
      <c r="X165" s="444">
        <f t="shared" si="3"/>
        <v>0</v>
      </c>
      <c r="Y165" s="445" t="str">
        <f t="shared" si="4"/>
        <v/>
      </c>
      <c r="Z165" s="278"/>
      <c r="AA165" s="466"/>
      <c r="AB165" s="278"/>
      <c r="AC165" s="278"/>
      <c r="AD165" s="278"/>
      <c r="AE165" s="278"/>
      <c r="AF165" s="278"/>
      <c r="AG165" s="278" t="b">
        <f t="shared" si="5"/>
        <v>0</v>
      </c>
      <c r="AH165" s="454"/>
      <c r="AI165" s="278"/>
      <c r="AJ165" s="278"/>
      <c r="AK165" s="278"/>
      <c r="AL165" s="444" t="str">
        <f t="array" ref="AL165">IFERROR(IFS(OR(AJ165="A1-Mewtwo", AJ165="A1-Pikachu", AJ165="A1-Charizard", AJ165="A1"), XLOOKUP(AH165, 'Genetic Apex'!$C$2:$C889, 'Genetic Apex'!$B$2:$B889)-2, AJ165="A1a", XLOOKUP(AH165, 'Mythical Island'!$C$2:$C889, 'Mythical Island'!$B$2:$B889)-2, OR(AJ165="A2-Dialga", AJ165="A2-Palkia", AJ165="A2"), XLOOKUP(AH165, 'Space-Time Smackdown'!$C$2:$C889, 'Space-Time Smackdown'!$B$2:$B889)-2))</f>
        <v/>
      </c>
      <c r="AM165" s="444" t="str">
        <f t="shared" si="6"/>
        <v/>
      </c>
      <c r="AN165" s="448" t="str">
        <f t="shared" si="7"/>
        <v/>
      </c>
    </row>
    <row r="166">
      <c r="A166" s="277"/>
      <c r="B166" s="277"/>
      <c r="C166" s="441"/>
      <c r="D166" s="277"/>
      <c r="E166" s="277"/>
      <c r="F166" s="277"/>
      <c r="G166" s="277"/>
      <c r="H166" s="277" t="b">
        <f t="shared" si="1"/>
        <v>0</v>
      </c>
      <c r="I166" s="277" t="str">
        <f>IFERROR(__xludf.DUMMYFUNCTION("""COMPUTED_VALUE"""),"A1 163")</f>
        <v>A1 163</v>
      </c>
      <c r="J166" s="277" t="str">
        <f>IFERROR(__xludf.DUMMYFUNCTION("""COMPUTED_VALUE"""),"Grapploct")</f>
        <v>Grapploct</v>
      </c>
      <c r="K166" s="277" t="str">
        <f>IFERROR(__xludf.DUMMYFUNCTION("""COMPUTED_VALUE"""),"A1")</f>
        <v>A1</v>
      </c>
      <c r="L166" s="277" t="str">
        <f>IFERROR(__xludf.DUMMYFUNCTION("""COMPUTED_VALUE"""),"♢♢")</f>
        <v>♢♢</v>
      </c>
      <c r="M166" s="440" t="b">
        <f t="shared" si="2"/>
        <v>1</v>
      </c>
      <c r="N166" s="441"/>
      <c r="O166" s="277"/>
      <c r="P166" s="277"/>
      <c r="Q166" s="278"/>
      <c r="R166" s="449" t="str">
        <f t="array" ref="R166">IFERROR(IFS(OR(P166="A1-Mewtwo", P166="A1-Pikachu", P166="A1-Charizard", P166="A1"), XLOOKUP(N166, 'Genetic Apex'!$C$2:$C889, 'Genetic Apex'!$B$2:$B889)-$B$4, P166="A1a", XLOOKUP(N166, 'Mythical Island'!$C$2:$C889, 'Mythical Island'!$B$2:$B889)-$B$4, OR(P166="A2-Dialga", P166="A2-Palkia", P166="A2"), XLOOKUP(N166, 'Space-Time Smackdown'!$C$2:$C889, 'Space-Time Smackdown'!$B$2:$B889)-$B$4))</f>
        <v/>
      </c>
      <c r="S166" s="277" t="str">
        <f>IFERROR(__xludf.DUMMYFUNCTION("""COMPUTED_VALUE"""),"A1 163")</f>
        <v>A1 163</v>
      </c>
      <c r="T166" s="277" t="str">
        <f>IFERROR(__xludf.DUMMYFUNCTION("""COMPUTED_VALUE"""),"Grapploct")</f>
        <v>Grapploct</v>
      </c>
      <c r="U166" s="277" t="str">
        <f>IFERROR(__xludf.DUMMYFUNCTION("""COMPUTED_VALUE"""),"A1")</f>
        <v>A1</v>
      </c>
      <c r="V166" s="278" t="str">
        <f>IFERROR(__xludf.DUMMYFUNCTION("""COMPUTED_VALUE"""),"♢♢")</f>
        <v>♢♢</v>
      </c>
      <c r="W166" s="443">
        <f t="array" ref="W166">IFERROR(IFS(OR(U166="A1-Mewtwo", U166="A1-Pikachu", U166="A1-Charizard", U166="A1"), $B$5-XLOOKUP(S166, 'Genetic Apex'!$C$2:$C889, 'Genetic Apex'!$B$2:$B889), U166="A1a", $B$5-XLOOKUP(S166, 'Mythical Island'!$C$2:$C889, 'Mythical Island'!$B$2:$B889), OR(U166="A2-Dialga", U166="A2-Palkia", U166="A2"), $B$5-XLOOKUP(S166, 'Space-Time Smackdown'!$C$2:$C889, 'Space-Time Smackdown'!$B$2:$B889)))</f>
        <v>1</v>
      </c>
      <c r="X166" s="444">
        <f t="shared" si="3"/>
        <v>0</v>
      </c>
      <c r="Y166" s="445" t="str">
        <f t="shared" si="4"/>
        <v/>
      </c>
      <c r="Z166" s="278"/>
      <c r="AA166" s="466"/>
      <c r="AB166" s="278"/>
      <c r="AC166" s="278"/>
      <c r="AD166" s="278"/>
      <c r="AE166" s="278"/>
      <c r="AF166" s="278"/>
      <c r="AG166" s="278" t="b">
        <f t="shared" si="5"/>
        <v>0</v>
      </c>
      <c r="AH166" s="454"/>
      <c r="AI166" s="278"/>
      <c r="AJ166" s="278"/>
      <c r="AK166" s="278"/>
      <c r="AL166" s="444" t="str">
        <f t="array" ref="AL166">IFERROR(IFS(OR(AJ166="A1-Mewtwo", AJ166="A1-Pikachu", AJ166="A1-Charizard", AJ166="A1"), XLOOKUP(AH166, 'Genetic Apex'!$C$2:$C889, 'Genetic Apex'!$B$2:$B889)-2, AJ166="A1a", XLOOKUP(AH166, 'Mythical Island'!$C$2:$C889, 'Mythical Island'!$B$2:$B889)-2, OR(AJ166="A2-Dialga", AJ166="A2-Palkia", AJ166="A2"), XLOOKUP(AH166, 'Space-Time Smackdown'!$C$2:$C889, 'Space-Time Smackdown'!$B$2:$B889)-2))</f>
        <v/>
      </c>
      <c r="AM166" s="444" t="str">
        <f t="shared" si="6"/>
        <v/>
      </c>
      <c r="AN166" s="448" t="str">
        <f t="shared" si="7"/>
        <v/>
      </c>
    </row>
    <row r="167">
      <c r="A167" s="277"/>
      <c r="B167" s="277"/>
      <c r="C167" s="441"/>
      <c r="D167" s="277"/>
      <c r="E167" s="277"/>
      <c r="F167" s="277"/>
      <c r="G167" s="277"/>
      <c r="H167" s="277" t="b">
        <f t="shared" si="1"/>
        <v>0</v>
      </c>
      <c r="I167" s="277" t="str">
        <f>IFERROR(__xludf.DUMMYFUNCTION("""COMPUTED_VALUE"""),"A1 164")</f>
        <v>A1 164</v>
      </c>
      <c r="J167" s="277" t="str">
        <f>IFERROR(__xludf.DUMMYFUNCTION("""COMPUTED_VALUE"""),"Ekans")</f>
        <v>Ekans</v>
      </c>
      <c r="K167" s="277" t="str">
        <f>IFERROR(__xludf.DUMMYFUNCTION("""COMPUTED_VALUE"""),"A1")</f>
        <v>A1</v>
      </c>
      <c r="L167" s="277" t="str">
        <f>IFERROR(__xludf.DUMMYFUNCTION("""COMPUTED_VALUE"""),"♢")</f>
        <v>♢</v>
      </c>
      <c r="M167" s="440" t="b">
        <f t="shared" si="2"/>
        <v>1</v>
      </c>
      <c r="N167" s="441"/>
      <c r="O167" s="277"/>
      <c r="P167" s="277"/>
      <c r="Q167" s="278"/>
      <c r="R167" s="449" t="str">
        <f t="array" ref="R167">IFERROR(IFS(OR(P167="A1-Mewtwo", P167="A1-Pikachu", P167="A1-Charizard", P167="A1"), XLOOKUP(N167, 'Genetic Apex'!$C$2:$C889, 'Genetic Apex'!$B$2:$B889)-$B$4, P167="A1a", XLOOKUP(N167, 'Mythical Island'!$C$2:$C889, 'Mythical Island'!$B$2:$B889)-$B$4, OR(P167="A2-Dialga", P167="A2-Palkia", P167="A2"), XLOOKUP(N167, 'Space-Time Smackdown'!$C$2:$C889, 'Space-Time Smackdown'!$B$2:$B889)-$B$4))</f>
        <v/>
      </c>
      <c r="S167" s="277" t="str">
        <f>IFERROR(__xludf.DUMMYFUNCTION("""COMPUTED_VALUE"""),"A1 164")</f>
        <v>A1 164</v>
      </c>
      <c r="T167" s="277" t="str">
        <f>IFERROR(__xludf.DUMMYFUNCTION("""COMPUTED_VALUE"""),"Ekans")</f>
        <v>Ekans</v>
      </c>
      <c r="U167" s="277" t="str">
        <f>IFERROR(__xludf.DUMMYFUNCTION("""COMPUTED_VALUE"""),"A1")</f>
        <v>A1</v>
      </c>
      <c r="V167" s="278" t="str">
        <f>IFERROR(__xludf.DUMMYFUNCTION("""COMPUTED_VALUE"""),"♢")</f>
        <v>♢</v>
      </c>
      <c r="W167" s="443">
        <f t="array" ref="W167">IFERROR(IFS(OR(U167="A1-Mewtwo", U167="A1-Pikachu", U167="A1-Charizard", U167="A1"), $B$5-XLOOKUP(S167, 'Genetic Apex'!$C$2:$C889, 'Genetic Apex'!$B$2:$B889), U167="A1a", $B$5-XLOOKUP(S167, 'Mythical Island'!$C$2:$C889, 'Mythical Island'!$B$2:$B889), OR(U167="A2-Dialga", U167="A2-Palkia", U167="A2"), $B$5-XLOOKUP(S167, 'Space-Time Smackdown'!$C$2:$C889, 'Space-Time Smackdown'!$B$2:$B889)))</f>
        <v>1</v>
      </c>
      <c r="X167" s="444">
        <f t="shared" si="3"/>
        <v>0</v>
      </c>
      <c r="Y167" s="445" t="str">
        <f t="shared" si="4"/>
        <v/>
      </c>
      <c r="Z167" s="278"/>
      <c r="AA167" s="466"/>
      <c r="AB167" s="278"/>
      <c r="AC167" s="278"/>
      <c r="AD167" s="278"/>
      <c r="AE167" s="278"/>
      <c r="AF167" s="278"/>
      <c r="AG167" s="278" t="b">
        <f t="shared" si="5"/>
        <v>0</v>
      </c>
      <c r="AH167" s="454"/>
      <c r="AI167" s="278"/>
      <c r="AJ167" s="278"/>
      <c r="AK167" s="278"/>
      <c r="AL167" s="444" t="str">
        <f t="array" ref="AL167">IFERROR(IFS(OR(AJ167="A1-Mewtwo", AJ167="A1-Pikachu", AJ167="A1-Charizard", AJ167="A1"), XLOOKUP(AH167, 'Genetic Apex'!$C$2:$C889, 'Genetic Apex'!$B$2:$B889)-2, AJ167="A1a", XLOOKUP(AH167, 'Mythical Island'!$C$2:$C889, 'Mythical Island'!$B$2:$B889)-2, OR(AJ167="A2-Dialga", AJ167="A2-Palkia", AJ167="A2"), XLOOKUP(AH167, 'Space-Time Smackdown'!$C$2:$C889, 'Space-Time Smackdown'!$B$2:$B889)-2))</f>
        <v/>
      </c>
      <c r="AM167" s="444" t="str">
        <f t="shared" si="6"/>
        <v/>
      </c>
      <c r="AN167" s="448" t="str">
        <f t="shared" si="7"/>
        <v/>
      </c>
    </row>
    <row r="168">
      <c r="A168" s="277"/>
      <c r="B168" s="277"/>
      <c r="C168" s="441"/>
      <c r="D168" s="277"/>
      <c r="E168" s="277"/>
      <c r="F168" s="277"/>
      <c r="G168" s="277"/>
      <c r="H168" s="277" t="b">
        <f t="shared" si="1"/>
        <v>0</v>
      </c>
      <c r="I168" s="277" t="str">
        <f>IFERROR(__xludf.DUMMYFUNCTION("""COMPUTED_VALUE"""),"A1 165")</f>
        <v>A1 165</v>
      </c>
      <c r="J168" s="277" t="str">
        <f>IFERROR(__xludf.DUMMYFUNCTION("""COMPUTED_VALUE"""),"Arbok")</f>
        <v>Arbok</v>
      </c>
      <c r="K168" s="277" t="str">
        <f>IFERROR(__xludf.DUMMYFUNCTION("""COMPUTED_VALUE"""),"A1")</f>
        <v>A1</v>
      </c>
      <c r="L168" s="277" t="str">
        <f>IFERROR(__xludf.DUMMYFUNCTION("""COMPUTED_VALUE"""),"♢♢")</f>
        <v>♢♢</v>
      </c>
      <c r="M168" s="440" t="b">
        <f t="shared" si="2"/>
        <v>1</v>
      </c>
      <c r="N168" s="441"/>
      <c r="O168" s="277"/>
      <c r="P168" s="277"/>
      <c r="Q168" s="278"/>
      <c r="R168" s="449" t="str">
        <f t="array" ref="R168">IFERROR(IFS(OR(P168="A1-Mewtwo", P168="A1-Pikachu", P168="A1-Charizard", P168="A1"), XLOOKUP(N168, 'Genetic Apex'!$C$2:$C889, 'Genetic Apex'!$B$2:$B889)-$B$4, P168="A1a", XLOOKUP(N168, 'Mythical Island'!$C$2:$C889, 'Mythical Island'!$B$2:$B889)-$B$4, OR(P168="A2-Dialga", P168="A2-Palkia", P168="A2"), XLOOKUP(N168, 'Space-Time Smackdown'!$C$2:$C889, 'Space-Time Smackdown'!$B$2:$B889)-$B$4))</f>
        <v/>
      </c>
      <c r="S168" s="277" t="str">
        <f>IFERROR(__xludf.DUMMYFUNCTION("""COMPUTED_VALUE"""),"A1 165")</f>
        <v>A1 165</v>
      </c>
      <c r="T168" s="277" t="str">
        <f>IFERROR(__xludf.DUMMYFUNCTION("""COMPUTED_VALUE"""),"Arbok")</f>
        <v>Arbok</v>
      </c>
      <c r="U168" s="277" t="str">
        <f>IFERROR(__xludf.DUMMYFUNCTION("""COMPUTED_VALUE"""),"A1")</f>
        <v>A1</v>
      </c>
      <c r="V168" s="278" t="str">
        <f>IFERROR(__xludf.DUMMYFUNCTION("""COMPUTED_VALUE"""),"♢♢")</f>
        <v>♢♢</v>
      </c>
      <c r="W168" s="443">
        <f t="array" ref="W168">IFERROR(IFS(OR(U168="A1-Mewtwo", U168="A1-Pikachu", U168="A1-Charizard", U168="A1"), $B$5-XLOOKUP(S168, 'Genetic Apex'!$C$2:$C889, 'Genetic Apex'!$B$2:$B889), U168="A1a", $B$5-XLOOKUP(S168, 'Mythical Island'!$C$2:$C889, 'Mythical Island'!$B$2:$B889), OR(U168="A2-Dialga", U168="A2-Palkia", U168="A2"), $B$5-XLOOKUP(S168, 'Space-Time Smackdown'!$C$2:$C889, 'Space-Time Smackdown'!$B$2:$B889)))</f>
        <v>1</v>
      </c>
      <c r="X168" s="444">
        <f t="shared" si="3"/>
        <v>0</v>
      </c>
      <c r="Y168" s="445" t="str">
        <f t="shared" si="4"/>
        <v/>
      </c>
      <c r="Z168" s="278"/>
      <c r="AA168" s="466"/>
      <c r="AB168" s="278"/>
      <c r="AC168" s="278"/>
      <c r="AD168" s="278"/>
      <c r="AE168" s="278"/>
      <c r="AF168" s="278"/>
      <c r="AG168" s="278" t="b">
        <f t="shared" si="5"/>
        <v>0</v>
      </c>
      <c r="AH168" s="454"/>
      <c r="AI168" s="278"/>
      <c r="AJ168" s="278"/>
      <c r="AK168" s="278"/>
      <c r="AL168" s="444" t="str">
        <f t="array" ref="AL168">IFERROR(IFS(OR(AJ168="A1-Mewtwo", AJ168="A1-Pikachu", AJ168="A1-Charizard", AJ168="A1"), XLOOKUP(AH168, 'Genetic Apex'!$C$2:$C889, 'Genetic Apex'!$B$2:$B889)-2, AJ168="A1a", XLOOKUP(AH168, 'Mythical Island'!$C$2:$C889, 'Mythical Island'!$B$2:$B889)-2, OR(AJ168="A2-Dialga", AJ168="A2-Palkia", AJ168="A2"), XLOOKUP(AH168, 'Space-Time Smackdown'!$C$2:$C889, 'Space-Time Smackdown'!$B$2:$B889)-2))</f>
        <v/>
      </c>
      <c r="AM168" s="444" t="str">
        <f t="shared" si="6"/>
        <v/>
      </c>
      <c r="AN168" s="448" t="str">
        <f t="shared" si="7"/>
        <v/>
      </c>
    </row>
    <row r="169">
      <c r="A169" s="277"/>
      <c r="B169" s="277"/>
      <c r="C169" s="441"/>
      <c r="D169" s="277"/>
      <c r="E169" s="277"/>
      <c r="F169" s="277"/>
      <c r="G169" s="277"/>
      <c r="H169" s="277" t="b">
        <f t="shared" si="1"/>
        <v>0</v>
      </c>
      <c r="I169" s="277" t="str">
        <f>IFERROR(__xludf.DUMMYFUNCTION("""COMPUTED_VALUE"""),"A1 166")</f>
        <v>A1 166</v>
      </c>
      <c r="J169" s="277" t="str">
        <f>IFERROR(__xludf.DUMMYFUNCTION("""COMPUTED_VALUE"""),"Nidoran♀")</f>
        <v>Nidoran♀</v>
      </c>
      <c r="K169" s="277" t="str">
        <f>IFERROR(__xludf.DUMMYFUNCTION("""COMPUTED_VALUE"""),"A1-Pikachu")</f>
        <v>A1-Pikachu</v>
      </c>
      <c r="L169" s="277" t="str">
        <f>IFERROR(__xludf.DUMMYFUNCTION("""COMPUTED_VALUE"""),"♢")</f>
        <v>♢</v>
      </c>
      <c r="M169" s="440" t="b">
        <f t="shared" si="2"/>
        <v>1</v>
      </c>
      <c r="N169" s="441"/>
      <c r="O169" s="277"/>
      <c r="P169" s="277"/>
      <c r="Q169" s="278"/>
      <c r="R169" s="449" t="str">
        <f t="array" ref="R169">IFERROR(IFS(OR(P169="A1-Mewtwo", P169="A1-Pikachu", P169="A1-Charizard", P169="A1"), XLOOKUP(N169, 'Genetic Apex'!$C$2:$C889, 'Genetic Apex'!$B$2:$B889)-$B$4, P169="A1a", XLOOKUP(N169, 'Mythical Island'!$C$2:$C889, 'Mythical Island'!$B$2:$B889)-$B$4, OR(P169="A2-Dialga", P169="A2-Palkia", P169="A2"), XLOOKUP(N169, 'Space-Time Smackdown'!$C$2:$C889, 'Space-Time Smackdown'!$B$2:$B889)-$B$4))</f>
        <v/>
      </c>
      <c r="S169" s="277" t="str">
        <f>IFERROR(__xludf.DUMMYFUNCTION("""COMPUTED_VALUE"""),"A1 166")</f>
        <v>A1 166</v>
      </c>
      <c r="T169" s="277" t="str">
        <f>IFERROR(__xludf.DUMMYFUNCTION("""COMPUTED_VALUE"""),"Nidoran♀")</f>
        <v>Nidoran♀</v>
      </c>
      <c r="U169" s="277" t="str">
        <f>IFERROR(__xludf.DUMMYFUNCTION("""COMPUTED_VALUE"""),"A1-Pikachu")</f>
        <v>A1-Pikachu</v>
      </c>
      <c r="V169" s="278" t="str">
        <f>IFERROR(__xludf.DUMMYFUNCTION("""COMPUTED_VALUE"""),"♢")</f>
        <v>♢</v>
      </c>
      <c r="W169" s="443">
        <f t="array" ref="W169">IFERROR(IFS(OR(U169="A1-Mewtwo", U169="A1-Pikachu", U169="A1-Charizard", U169="A1"), $B$5-XLOOKUP(S169, 'Genetic Apex'!$C$2:$C889, 'Genetic Apex'!$B$2:$B889), U169="A1a", $B$5-XLOOKUP(S169, 'Mythical Island'!$C$2:$C889, 'Mythical Island'!$B$2:$B889), OR(U169="A2-Dialga", U169="A2-Palkia", U169="A2"), $B$5-XLOOKUP(S169, 'Space-Time Smackdown'!$C$2:$C889, 'Space-Time Smackdown'!$B$2:$B889)))</f>
        <v>1</v>
      </c>
      <c r="X169" s="444">
        <f t="shared" si="3"/>
        <v>0</v>
      </c>
      <c r="Y169" s="445" t="str">
        <f t="shared" si="4"/>
        <v/>
      </c>
      <c r="Z169" s="278"/>
      <c r="AA169" s="466"/>
      <c r="AB169" s="278"/>
      <c r="AC169" s="278"/>
      <c r="AD169" s="278"/>
      <c r="AE169" s="278"/>
      <c r="AF169" s="278"/>
      <c r="AG169" s="278" t="b">
        <f t="shared" si="5"/>
        <v>0</v>
      </c>
      <c r="AH169" s="454"/>
      <c r="AI169" s="278"/>
      <c r="AJ169" s="278"/>
      <c r="AK169" s="278"/>
      <c r="AL169" s="444" t="str">
        <f t="array" ref="AL169">IFERROR(IFS(OR(AJ169="A1-Mewtwo", AJ169="A1-Pikachu", AJ169="A1-Charizard", AJ169="A1"), XLOOKUP(AH169, 'Genetic Apex'!$C$2:$C889, 'Genetic Apex'!$B$2:$B889)-2, AJ169="A1a", XLOOKUP(AH169, 'Mythical Island'!$C$2:$C889, 'Mythical Island'!$B$2:$B889)-2, OR(AJ169="A2-Dialga", AJ169="A2-Palkia", AJ169="A2"), XLOOKUP(AH169, 'Space-Time Smackdown'!$C$2:$C889, 'Space-Time Smackdown'!$B$2:$B889)-2))</f>
        <v/>
      </c>
      <c r="AM169" s="444" t="str">
        <f t="shared" si="6"/>
        <v/>
      </c>
      <c r="AN169" s="448" t="str">
        <f t="shared" si="7"/>
        <v/>
      </c>
    </row>
    <row r="170">
      <c r="A170" s="277"/>
      <c r="B170" s="277"/>
      <c r="C170" s="441"/>
      <c r="D170" s="277"/>
      <c r="E170" s="277"/>
      <c r="F170" s="277"/>
      <c r="G170" s="277"/>
      <c r="H170" s="277" t="b">
        <f t="shared" si="1"/>
        <v>0</v>
      </c>
      <c r="I170" s="277" t="str">
        <f>IFERROR(__xludf.DUMMYFUNCTION("""COMPUTED_VALUE"""),"A1 167")</f>
        <v>A1 167</v>
      </c>
      <c r="J170" s="277" t="str">
        <f>IFERROR(__xludf.DUMMYFUNCTION("""COMPUTED_VALUE"""),"Nidorina")</f>
        <v>Nidorina</v>
      </c>
      <c r="K170" s="277" t="str">
        <f>IFERROR(__xludf.DUMMYFUNCTION("""COMPUTED_VALUE"""),"A1-Pikachu")</f>
        <v>A1-Pikachu</v>
      </c>
      <c r="L170" s="277" t="str">
        <f>IFERROR(__xludf.DUMMYFUNCTION("""COMPUTED_VALUE"""),"♢♢")</f>
        <v>♢♢</v>
      </c>
      <c r="M170" s="440" t="b">
        <f t="shared" si="2"/>
        <v>1</v>
      </c>
      <c r="N170" s="441"/>
      <c r="O170" s="277"/>
      <c r="P170" s="277"/>
      <c r="Q170" s="278"/>
      <c r="R170" s="449" t="str">
        <f t="array" ref="R170">IFERROR(IFS(OR(P170="A1-Mewtwo", P170="A1-Pikachu", P170="A1-Charizard", P170="A1"), XLOOKUP(N170, 'Genetic Apex'!$C$2:$C889, 'Genetic Apex'!$B$2:$B889)-$B$4, P170="A1a", XLOOKUP(N170, 'Mythical Island'!$C$2:$C889, 'Mythical Island'!$B$2:$B889)-$B$4, OR(P170="A2-Dialga", P170="A2-Palkia", P170="A2"), XLOOKUP(N170, 'Space-Time Smackdown'!$C$2:$C889, 'Space-Time Smackdown'!$B$2:$B889)-$B$4))</f>
        <v/>
      </c>
      <c r="S170" s="277" t="str">
        <f>IFERROR(__xludf.DUMMYFUNCTION("""COMPUTED_VALUE"""),"A1 167")</f>
        <v>A1 167</v>
      </c>
      <c r="T170" s="277" t="str">
        <f>IFERROR(__xludf.DUMMYFUNCTION("""COMPUTED_VALUE"""),"Nidorina")</f>
        <v>Nidorina</v>
      </c>
      <c r="U170" s="277" t="str">
        <f>IFERROR(__xludf.DUMMYFUNCTION("""COMPUTED_VALUE"""),"A1-Pikachu")</f>
        <v>A1-Pikachu</v>
      </c>
      <c r="V170" s="278" t="str">
        <f>IFERROR(__xludf.DUMMYFUNCTION("""COMPUTED_VALUE"""),"♢♢")</f>
        <v>♢♢</v>
      </c>
      <c r="W170" s="443">
        <f t="array" ref="W170">IFERROR(IFS(OR(U170="A1-Mewtwo", U170="A1-Pikachu", U170="A1-Charizard", U170="A1"), $B$5-XLOOKUP(S170, 'Genetic Apex'!$C$2:$C889, 'Genetic Apex'!$B$2:$B889), U170="A1a", $B$5-XLOOKUP(S170, 'Mythical Island'!$C$2:$C889, 'Mythical Island'!$B$2:$B889), OR(U170="A2-Dialga", U170="A2-Palkia", U170="A2"), $B$5-XLOOKUP(S170, 'Space-Time Smackdown'!$C$2:$C889, 'Space-Time Smackdown'!$B$2:$B889)))</f>
        <v>1</v>
      </c>
      <c r="X170" s="444">
        <f t="shared" si="3"/>
        <v>0</v>
      </c>
      <c r="Y170" s="445" t="str">
        <f t="shared" si="4"/>
        <v/>
      </c>
      <c r="Z170" s="278"/>
      <c r="AA170" s="466"/>
      <c r="AB170" s="278"/>
      <c r="AC170" s="278"/>
      <c r="AD170" s="278"/>
      <c r="AE170" s="278"/>
      <c r="AF170" s="278"/>
      <c r="AG170" s="278" t="b">
        <f t="shared" si="5"/>
        <v>0</v>
      </c>
      <c r="AH170" s="454"/>
      <c r="AI170" s="278"/>
      <c r="AJ170" s="278"/>
      <c r="AK170" s="278"/>
      <c r="AL170" s="444" t="str">
        <f t="array" ref="AL170">IFERROR(IFS(OR(AJ170="A1-Mewtwo", AJ170="A1-Pikachu", AJ170="A1-Charizard", AJ170="A1"), XLOOKUP(AH170, 'Genetic Apex'!$C$2:$C889, 'Genetic Apex'!$B$2:$B889)-2, AJ170="A1a", XLOOKUP(AH170, 'Mythical Island'!$C$2:$C889, 'Mythical Island'!$B$2:$B889)-2, OR(AJ170="A2-Dialga", AJ170="A2-Palkia", AJ170="A2"), XLOOKUP(AH170, 'Space-Time Smackdown'!$C$2:$C889, 'Space-Time Smackdown'!$B$2:$B889)-2))</f>
        <v/>
      </c>
      <c r="AM170" s="444" t="str">
        <f t="shared" si="6"/>
        <v/>
      </c>
      <c r="AN170" s="448" t="str">
        <f t="shared" si="7"/>
        <v/>
      </c>
    </row>
    <row r="171">
      <c r="A171" s="277"/>
      <c r="B171" s="277"/>
      <c r="C171" s="441"/>
      <c r="D171" s="277"/>
      <c r="E171" s="277"/>
      <c r="F171" s="277"/>
      <c r="G171" s="277"/>
      <c r="H171" s="277" t="b">
        <f t="shared" si="1"/>
        <v>0</v>
      </c>
      <c r="I171" s="277" t="str">
        <f>IFERROR(__xludf.DUMMYFUNCTION("""COMPUTED_VALUE"""),"A1 168")</f>
        <v>A1 168</v>
      </c>
      <c r="J171" s="277" t="str">
        <f>IFERROR(__xludf.DUMMYFUNCTION("""COMPUTED_VALUE"""),"Nidoqueen")</f>
        <v>Nidoqueen</v>
      </c>
      <c r="K171" s="277" t="str">
        <f>IFERROR(__xludf.DUMMYFUNCTION("""COMPUTED_VALUE"""),"A1-Pikachu")</f>
        <v>A1-Pikachu</v>
      </c>
      <c r="L171" s="277" t="str">
        <f>IFERROR(__xludf.DUMMYFUNCTION("""COMPUTED_VALUE"""),"♢♢♢")</f>
        <v>♢♢♢</v>
      </c>
      <c r="M171" s="440" t="b">
        <f t="shared" si="2"/>
        <v>1</v>
      </c>
      <c r="N171" s="441"/>
      <c r="O171" s="277"/>
      <c r="P171" s="277"/>
      <c r="Q171" s="278"/>
      <c r="R171" s="449" t="str">
        <f t="array" ref="R171">IFERROR(IFS(OR(P171="A1-Mewtwo", P171="A1-Pikachu", P171="A1-Charizard", P171="A1"), XLOOKUP(N171, 'Genetic Apex'!$C$2:$C889, 'Genetic Apex'!$B$2:$B889)-$B$4, P171="A1a", XLOOKUP(N171, 'Mythical Island'!$C$2:$C889, 'Mythical Island'!$B$2:$B889)-$B$4, OR(P171="A2-Dialga", P171="A2-Palkia", P171="A2"), XLOOKUP(N171, 'Space-Time Smackdown'!$C$2:$C889, 'Space-Time Smackdown'!$B$2:$B889)-$B$4))</f>
        <v/>
      </c>
      <c r="S171" s="277" t="str">
        <f>IFERROR(__xludf.DUMMYFUNCTION("""COMPUTED_VALUE"""),"A1 168")</f>
        <v>A1 168</v>
      </c>
      <c r="T171" s="277" t="str">
        <f>IFERROR(__xludf.DUMMYFUNCTION("""COMPUTED_VALUE"""),"Nidoqueen")</f>
        <v>Nidoqueen</v>
      </c>
      <c r="U171" s="277" t="str">
        <f>IFERROR(__xludf.DUMMYFUNCTION("""COMPUTED_VALUE"""),"A1-Pikachu")</f>
        <v>A1-Pikachu</v>
      </c>
      <c r="V171" s="278" t="str">
        <f>IFERROR(__xludf.DUMMYFUNCTION("""COMPUTED_VALUE"""),"♢♢♢")</f>
        <v>♢♢♢</v>
      </c>
      <c r="W171" s="443">
        <f t="array" ref="W171">IFERROR(IFS(OR(U171="A1-Mewtwo", U171="A1-Pikachu", U171="A1-Charizard", U171="A1"), $B$5-XLOOKUP(S171, 'Genetic Apex'!$C$2:$C889, 'Genetic Apex'!$B$2:$B889), U171="A1a", $B$5-XLOOKUP(S171, 'Mythical Island'!$C$2:$C889, 'Mythical Island'!$B$2:$B889), OR(U171="A2-Dialga", U171="A2-Palkia", U171="A2"), $B$5-XLOOKUP(S171, 'Space-Time Smackdown'!$C$2:$C889, 'Space-Time Smackdown'!$B$2:$B889)))</f>
        <v>1</v>
      </c>
      <c r="X171" s="444">
        <f t="shared" si="3"/>
        <v>120</v>
      </c>
      <c r="Y171" s="445">
        <f t="shared" si="4"/>
        <v>120</v>
      </c>
      <c r="Z171" s="278"/>
      <c r="AA171" s="466"/>
      <c r="AB171" s="278"/>
      <c r="AC171" s="278"/>
      <c r="AD171" s="278"/>
      <c r="AE171" s="278"/>
      <c r="AF171" s="278"/>
      <c r="AG171" s="278" t="b">
        <f t="shared" si="5"/>
        <v>0</v>
      </c>
      <c r="AH171" s="454"/>
      <c r="AI171" s="278"/>
      <c r="AJ171" s="278"/>
      <c r="AK171" s="278"/>
      <c r="AL171" s="444" t="str">
        <f t="array" ref="AL171">IFERROR(IFS(OR(AJ171="A1-Mewtwo", AJ171="A1-Pikachu", AJ171="A1-Charizard", AJ171="A1"), XLOOKUP(AH171, 'Genetic Apex'!$C$2:$C889, 'Genetic Apex'!$B$2:$B889)-2, AJ171="A1a", XLOOKUP(AH171, 'Mythical Island'!$C$2:$C889, 'Mythical Island'!$B$2:$B889)-2, OR(AJ171="A2-Dialga", AJ171="A2-Palkia", AJ171="A2"), XLOOKUP(AH171, 'Space-Time Smackdown'!$C$2:$C889, 'Space-Time Smackdown'!$B$2:$B889)-2))</f>
        <v/>
      </c>
      <c r="AM171" s="444" t="str">
        <f t="shared" si="6"/>
        <v/>
      </c>
      <c r="AN171" s="448" t="str">
        <f t="shared" si="7"/>
        <v/>
      </c>
    </row>
    <row r="172">
      <c r="A172" s="277"/>
      <c r="B172" s="277"/>
      <c r="C172" s="441"/>
      <c r="D172" s="277"/>
      <c r="E172" s="277"/>
      <c r="F172" s="277"/>
      <c r="G172" s="277"/>
      <c r="H172" s="277" t="b">
        <f t="shared" si="1"/>
        <v>0</v>
      </c>
      <c r="I172" s="277" t="str">
        <f>IFERROR(__xludf.DUMMYFUNCTION("""COMPUTED_VALUE"""),"A1 169")</f>
        <v>A1 169</v>
      </c>
      <c r="J172" s="277" t="str">
        <f>IFERROR(__xludf.DUMMYFUNCTION("""COMPUTED_VALUE"""),"Nidoran♂")</f>
        <v>Nidoran♂</v>
      </c>
      <c r="K172" s="277" t="str">
        <f>IFERROR(__xludf.DUMMYFUNCTION("""COMPUTED_VALUE"""),"A1-Pikachu")</f>
        <v>A1-Pikachu</v>
      </c>
      <c r="L172" s="277" t="str">
        <f>IFERROR(__xludf.DUMMYFUNCTION("""COMPUTED_VALUE"""),"♢")</f>
        <v>♢</v>
      </c>
      <c r="M172" s="440" t="b">
        <f t="shared" si="2"/>
        <v>1</v>
      </c>
      <c r="N172" s="441"/>
      <c r="O172" s="277"/>
      <c r="P172" s="277"/>
      <c r="Q172" s="278"/>
      <c r="R172" s="449" t="str">
        <f t="array" ref="R172">IFERROR(IFS(OR(P172="A1-Mewtwo", P172="A1-Pikachu", P172="A1-Charizard", P172="A1"), XLOOKUP(N172, 'Genetic Apex'!$C$2:$C889, 'Genetic Apex'!$B$2:$B889)-$B$4, P172="A1a", XLOOKUP(N172, 'Mythical Island'!$C$2:$C889, 'Mythical Island'!$B$2:$B889)-$B$4, OR(P172="A2-Dialga", P172="A2-Palkia", P172="A2"), XLOOKUP(N172, 'Space-Time Smackdown'!$C$2:$C889, 'Space-Time Smackdown'!$B$2:$B889)-$B$4))</f>
        <v/>
      </c>
      <c r="S172" s="277" t="str">
        <f>IFERROR(__xludf.DUMMYFUNCTION("""COMPUTED_VALUE"""),"A1 169")</f>
        <v>A1 169</v>
      </c>
      <c r="T172" s="277" t="str">
        <f>IFERROR(__xludf.DUMMYFUNCTION("""COMPUTED_VALUE"""),"Nidoran♂")</f>
        <v>Nidoran♂</v>
      </c>
      <c r="U172" s="277" t="str">
        <f>IFERROR(__xludf.DUMMYFUNCTION("""COMPUTED_VALUE"""),"A1-Pikachu")</f>
        <v>A1-Pikachu</v>
      </c>
      <c r="V172" s="278" t="str">
        <f>IFERROR(__xludf.DUMMYFUNCTION("""COMPUTED_VALUE"""),"♢")</f>
        <v>♢</v>
      </c>
      <c r="W172" s="443">
        <f t="array" ref="W172">IFERROR(IFS(OR(U172="A1-Mewtwo", U172="A1-Pikachu", U172="A1-Charizard", U172="A1"), $B$5-XLOOKUP(S172, 'Genetic Apex'!$C$2:$C889, 'Genetic Apex'!$B$2:$B889), U172="A1a", $B$5-XLOOKUP(S172, 'Mythical Island'!$C$2:$C889, 'Mythical Island'!$B$2:$B889), OR(U172="A2-Dialga", U172="A2-Palkia", U172="A2"), $B$5-XLOOKUP(S172, 'Space-Time Smackdown'!$C$2:$C889, 'Space-Time Smackdown'!$B$2:$B889)))</f>
        <v>1</v>
      </c>
      <c r="X172" s="444">
        <f t="shared" si="3"/>
        <v>0</v>
      </c>
      <c r="Y172" s="445" t="str">
        <f t="shared" si="4"/>
        <v/>
      </c>
      <c r="Z172" s="278"/>
      <c r="AA172" s="466"/>
      <c r="AB172" s="278"/>
      <c r="AC172" s="278"/>
      <c r="AD172" s="278"/>
      <c r="AE172" s="278"/>
      <c r="AF172" s="278"/>
      <c r="AG172" s="278" t="b">
        <f t="shared" si="5"/>
        <v>0</v>
      </c>
      <c r="AH172" s="454"/>
      <c r="AI172" s="278"/>
      <c r="AJ172" s="278"/>
      <c r="AK172" s="278"/>
      <c r="AL172" s="444" t="str">
        <f t="array" ref="AL172">IFERROR(IFS(OR(AJ172="A1-Mewtwo", AJ172="A1-Pikachu", AJ172="A1-Charizard", AJ172="A1"), XLOOKUP(AH172, 'Genetic Apex'!$C$2:$C889, 'Genetic Apex'!$B$2:$B889)-2, AJ172="A1a", XLOOKUP(AH172, 'Mythical Island'!$C$2:$C889, 'Mythical Island'!$B$2:$B889)-2, OR(AJ172="A2-Dialga", AJ172="A2-Palkia", AJ172="A2"), XLOOKUP(AH172, 'Space-Time Smackdown'!$C$2:$C889, 'Space-Time Smackdown'!$B$2:$B889)-2))</f>
        <v/>
      </c>
      <c r="AM172" s="444" t="str">
        <f t="shared" si="6"/>
        <v/>
      </c>
      <c r="AN172" s="448" t="str">
        <f t="shared" si="7"/>
        <v/>
      </c>
    </row>
    <row r="173">
      <c r="A173" s="277"/>
      <c r="B173" s="277"/>
      <c r="C173" s="441"/>
      <c r="D173" s="277"/>
      <c r="E173" s="277"/>
      <c r="F173" s="277"/>
      <c r="G173" s="277"/>
      <c r="H173" s="277" t="b">
        <f t="shared" si="1"/>
        <v>0</v>
      </c>
      <c r="I173" s="277" t="str">
        <f>IFERROR(__xludf.DUMMYFUNCTION("""COMPUTED_VALUE"""),"A1 170")</f>
        <v>A1 170</v>
      </c>
      <c r="J173" s="277" t="str">
        <f>IFERROR(__xludf.DUMMYFUNCTION("""COMPUTED_VALUE"""),"Nidorino")</f>
        <v>Nidorino</v>
      </c>
      <c r="K173" s="277" t="str">
        <f>IFERROR(__xludf.DUMMYFUNCTION("""COMPUTED_VALUE"""),"A1-Pikachu")</f>
        <v>A1-Pikachu</v>
      </c>
      <c r="L173" s="277" t="str">
        <f>IFERROR(__xludf.DUMMYFUNCTION("""COMPUTED_VALUE"""),"♢♢")</f>
        <v>♢♢</v>
      </c>
      <c r="M173" s="440" t="b">
        <f t="shared" si="2"/>
        <v>1</v>
      </c>
      <c r="N173" s="441"/>
      <c r="O173" s="277"/>
      <c r="P173" s="277"/>
      <c r="Q173" s="278"/>
      <c r="R173" s="449" t="str">
        <f t="array" ref="R173">IFERROR(IFS(OR(P173="A1-Mewtwo", P173="A1-Pikachu", P173="A1-Charizard", P173="A1"), XLOOKUP(N173, 'Genetic Apex'!$C$2:$C889, 'Genetic Apex'!$B$2:$B889)-$B$4, P173="A1a", XLOOKUP(N173, 'Mythical Island'!$C$2:$C889, 'Mythical Island'!$B$2:$B889)-$B$4, OR(P173="A2-Dialga", P173="A2-Palkia", P173="A2"), XLOOKUP(N173, 'Space-Time Smackdown'!$C$2:$C889, 'Space-Time Smackdown'!$B$2:$B889)-$B$4))</f>
        <v/>
      </c>
      <c r="S173" s="277" t="str">
        <f>IFERROR(__xludf.DUMMYFUNCTION("""COMPUTED_VALUE"""),"A1 170")</f>
        <v>A1 170</v>
      </c>
      <c r="T173" s="277" t="str">
        <f>IFERROR(__xludf.DUMMYFUNCTION("""COMPUTED_VALUE"""),"Nidorino")</f>
        <v>Nidorino</v>
      </c>
      <c r="U173" s="277" t="str">
        <f>IFERROR(__xludf.DUMMYFUNCTION("""COMPUTED_VALUE"""),"A1-Pikachu")</f>
        <v>A1-Pikachu</v>
      </c>
      <c r="V173" s="278" t="str">
        <f>IFERROR(__xludf.DUMMYFUNCTION("""COMPUTED_VALUE"""),"♢♢")</f>
        <v>♢♢</v>
      </c>
      <c r="W173" s="443">
        <f t="array" ref="W173">IFERROR(IFS(OR(U173="A1-Mewtwo", U173="A1-Pikachu", U173="A1-Charizard", U173="A1"), $B$5-XLOOKUP(S173, 'Genetic Apex'!$C$2:$C889, 'Genetic Apex'!$B$2:$B889), U173="A1a", $B$5-XLOOKUP(S173, 'Mythical Island'!$C$2:$C889, 'Mythical Island'!$B$2:$B889), OR(U173="A2-Dialga", U173="A2-Palkia", U173="A2"), $B$5-XLOOKUP(S173, 'Space-Time Smackdown'!$C$2:$C889, 'Space-Time Smackdown'!$B$2:$B889)))</f>
        <v>1</v>
      </c>
      <c r="X173" s="444">
        <f t="shared" si="3"/>
        <v>0</v>
      </c>
      <c r="Y173" s="445" t="str">
        <f t="shared" si="4"/>
        <v/>
      </c>
      <c r="Z173" s="278"/>
      <c r="AA173" s="466"/>
      <c r="AB173" s="278"/>
      <c r="AC173" s="278"/>
      <c r="AD173" s="278"/>
      <c r="AE173" s="278"/>
      <c r="AF173" s="278"/>
      <c r="AG173" s="278" t="b">
        <f t="shared" si="5"/>
        <v>0</v>
      </c>
      <c r="AH173" s="454"/>
      <c r="AI173" s="278"/>
      <c r="AJ173" s="278"/>
      <c r="AK173" s="278"/>
      <c r="AL173" s="444" t="str">
        <f t="array" ref="AL173">IFERROR(IFS(OR(AJ173="A1-Mewtwo", AJ173="A1-Pikachu", AJ173="A1-Charizard", AJ173="A1"), XLOOKUP(AH173, 'Genetic Apex'!$C$2:$C889, 'Genetic Apex'!$B$2:$B889)-2, AJ173="A1a", XLOOKUP(AH173, 'Mythical Island'!$C$2:$C889, 'Mythical Island'!$B$2:$B889)-2, OR(AJ173="A2-Dialga", AJ173="A2-Palkia", AJ173="A2"), XLOOKUP(AH173, 'Space-Time Smackdown'!$C$2:$C889, 'Space-Time Smackdown'!$B$2:$B889)-2))</f>
        <v/>
      </c>
      <c r="AM173" s="444" t="str">
        <f t="shared" si="6"/>
        <v/>
      </c>
      <c r="AN173" s="448" t="str">
        <f t="shared" si="7"/>
        <v/>
      </c>
    </row>
    <row r="174">
      <c r="A174" s="277"/>
      <c r="B174" s="277"/>
      <c r="C174" s="441"/>
      <c r="D174" s="277"/>
      <c r="E174" s="277"/>
      <c r="F174" s="277"/>
      <c r="G174" s="277"/>
      <c r="H174" s="277" t="b">
        <f t="shared" si="1"/>
        <v>0</v>
      </c>
      <c r="I174" s="277" t="str">
        <f>IFERROR(__xludf.DUMMYFUNCTION("""COMPUTED_VALUE"""),"A1 171")</f>
        <v>A1 171</v>
      </c>
      <c r="J174" s="277" t="str">
        <f>IFERROR(__xludf.DUMMYFUNCTION("""COMPUTED_VALUE"""),"Nidoking")</f>
        <v>Nidoking</v>
      </c>
      <c r="K174" s="277" t="str">
        <f>IFERROR(__xludf.DUMMYFUNCTION("""COMPUTED_VALUE"""),"A1-Pikachu")</f>
        <v>A1-Pikachu</v>
      </c>
      <c r="L174" s="277" t="str">
        <f>IFERROR(__xludf.DUMMYFUNCTION("""COMPUTED_VALUE"""),"♢♢♢")</f>
        <v>♢♢♢</v>
      </c>
      <c r="M174" s="440" t="b">
        <f t="shared" si="2"/>
        <v>1</v>
      </c>
      <c r="N174" s="441"/>
      <c r="O174" s="277"/>
      <c r="P174" s="277"/>
      <c r="Q174" s="278"/>
      <c r="R174" s="449" t="str">
        <f t="array" ref="R174">IFERROR(IFS(OR(P174="A1-Mewtwo", P174="A1-Pikachu", P174="A1-Charizard", P174="A1"), XLOOKUP(N174, 'Genetic Apex'!$C$2:$C889, 'Genetic Apex'!$B$2:$B889)-$B$4, P174="A1a", XLOOKUP(N174, 'Mythical Island'!$C$2:$C889, 'Mythical Island'!$B$2:$B889)-$B$4, OR(P174="A2-Dialga", P174="A2-Palkia", P174="A2"), XLOOKUP(N174, 'Space-Time Smackdown'!$C$2:$C889, 'Space-Time Smackdown'!$B$2:$B889)-$B$4))</f>
        <v/>
      </c>
      <c r="S174" s="277" t="str">
        <f>IFERROR(__xludf.DUMMYFUNCTION("""COMPUTED_VALUE"""),"A1 171")</f>
        <v>A1 171</v>
      </c>
      <c r="T174" s="277" t="str">
        <f>IFERROR(__xludf.DUMMYFUNCTION("""COMPUTED_VALUE"""),"Nidoking")</f>
        <v>Nidoking</v>
      </c>
      <c r="U174" s="277" t="str">
        <f>IFERROR(__xludf.DUMMYFUNCTION("""COMPUTED_VALUE"""),"A1-Pikachu")</f>
        <v>A1-Pikachu</v>
      </c>
      <c r="V174" s="278" t="str">
        <f>IFERROR(__xludf.DUMMYFUNCTION("""COMPUTED_VALUE"""),"♢♢♢")</f>
        <v>♢♢♢</v>
      </c>
      <c r="W174" s="443">
        <f t="array" ref="W174">IFERROR(IFS(OR(U174="A1-Mewtwo", U174="A1-Pikachu", U174="A1-Charizard", U174="A1"), $B$5-XLOOKUP(S174, 'Genetic Apex'!$C$2:$C889, 'Genetic Apex'!$B$2:$B889), U174="A1a", $B$5-XLOOKUP(S174, 'Mythical Island'!$C$2:$C889, 'Mythical Island'!$B$2:$B889), OR(U174="A2-Dialga", U174="A2-Palkia", U174="A2"), $B$5-XLOOKUP(S174, 'Space-Time Smackdown'!$C$2:$C889, 'Space-Time Smackdown'!$B$2:$B889)))</f>
        <v>1</v>
      </c>
      <c r="X174" s="444">
        <f t="shared" si="3"/>
        <v>120</v>
      </c>
      <c r="Y174" s="445">
        <f t="shared" si="4"/>
        <v>120</v>
      </c>
      <c r="Z174" s="278"/>
      <c r="AA174" s="466"/>
      <c r="AB174" s="278"/>
      <c r="AC174" s="278"/>
      <c r="AD174" s="278"/>
      <c r="AE174" s="278"/>
      <c r="AF174" s="278"/>
      <c r="AG174" s="278" t="b">
        <f t="shared" si="5"/>
        <v>0</v>
      </c>
      <c r="AH174" s="454"/>
      <c r="AI174" s="278"/>
      <c r="AJ174" s="278"/>
      <c r="AK174" s="278"/>
      <c r="AL174" s="444" t="str">
        <f t="array" ref="AL174">IFERROR(IFS(OR(AJ174="A1-Mewtwo", AJ174="A1-Pikachu", AJ174="A1-Charizard", AJ174="A1"), XLOOKUP(AH174, 'Genetic Apex'!$C$2:$C889, 'Genetic Apex'!$B$2:$B889)-2, AJ174="A1a", XLOOKUP(AH174, 'Mythical Island'!$C$2:$C889, 'Mythical Island'!$B$2:$B889)-2, OR(AJ174="A2-Dialga", AJ174="A2-Palkia", AJ174="A2"), XLOOKUP(AH174, 'Space-Time Smackdown'!$C$2:$C889, 'Space-Time Smackdown'!$B$2:$B889)-2))</f>
        <v/>
      </c>
      <c r="AM174" s="444" t="str">
        <f t="shared" si="6"/>
        <v/>
      </c>
      <c r="AN174" s="448" t="str">
        <f t="shared" si="7"/>
        <v/>
      </c>
    </row>
    <row r="175">
      <c r="A175" s="277"/>
      <c r="B175" s="277"/>
      <c r="C175" s="441"/>
      <c r="D175" s="277"/>
      <c r="E175" s="277"/>
      <c r="F175" s="277"/>
      <c r="G175" s="277"/>
      <c r="H175" s="277" t="b">
        <f t="shared" si="1"/>
        <v>0</v>
      </c>
      <c r="I175" s="277" t="str">
        <f>IFERROR(__xludf.DUMMYFUNCTION("""COMPUTED_VALUE"""),"A1 172")</f>
        <v>A1 172</v>
      </c>
      <c r="J175" s="277" t="str">
        <f>IFERROR(__xludf.DUMMYFUNCTION("""COMPUTED_VALUE"""),"Zubat")</f>
        <v>Zubat</v>
      </c>
      <c r="K175" s="277" t="str">
        <f>IFERROR(__xludf.DUMMYFUNCTION("""COMPUTED_VALUE"""),"A1-Mewtwo")</f>
        <v>A1-Mewtwo</v>
      </c>
      <c r="L175" s="277" t="str">
        <f>IFERROR(__xludf.DUMMYFUNCTION("""COMPUTED_VALUE"""),"♢")</f>
        <v>♢</v>
      </c>
      <c r="M175" s="440" t="b">
        <f t="shared" si="2"/>
        <v>1</v>
      </c>
      <c r="N175" s="441"/>
      <c r="O175" s="277"/>
      <c r="P175" s="277"/>
      <c r="Q175" s="278"/>
      <c r="R175" s="449" t="str">
        <f t="array" ref="R175">IFERROR(IFS(OR(P175="A1-Mewtwo", P175="A1-Pikachu", P175="A1-Charizard", P175="A1"), XLOOKUP(N175, 'Genetic Apex'!$C$2:$C889, 'Genetic Apex'!$B$2:$B889)-$B$4, P175="A1a", XLOOKUP(N175, 'Mythical Island'!$C$2:$C889, 'Mythical Island'!$B$2:$B889)-$B$4, OR(P175="A2-Dialga", P175="A2-Palkia", P175="A2"), XLOOKUP(N175, 'Space-Time Smackdown'!$C$2:$C889, 'Space-Time Smackdown'!$B$2:$B889)-$B$4))</f>
        <v/>
      </c>
      <c r="S175" s="277" t="str">
        <f>IFERROR(__xludf.DUMMYFUNCTION("""COMPUTED_VALUE"""),"A1 172")</f>
        <v>A1 172</v>
      </c>
      <c r="T175" s="277" t="str">
        <f>IFERROR(__xludf.DUMMYFUNCTION("""COMPUTED_VALUE"""),"Zubat")</f>
        <v>Zubat</v>
      </c>
      <c r="U175" s="277" t="str">
        <f>IFERROR(__xludf.DUMMYFUNCTION("""COMPUTED_VALUE"""),"A1-Mewtwo")</f>
        <v>A1-Mewtwo</v>
      </c>
      <c r="V175" s="278" t="str">
        <f>IFERROR(__xludf.DUMMYFUNCTION("""COMPUTED_VALUE"""),"♢")</f>
        <v>♢</v>
      </c>
      <c r="W175" s="443">
        <f t="array" ref="W175">IFERROR(IFS(OR(U175="A1-Mewtwo", U175="A1-Pikachu", U175="A1-Charizard", U175="A1"), $B$5-XLOOKUP(S175, 'Genetic Apex'!$C$2:$C889, 'Genetic Apex'!$B$2:$B889), U175="A1a", $B$5-XLOOKUP(S175, 'Mythical Island'!$C$2:$C889, 'Mythical Island'!$B$2:$B889), OR(U175="A2-Dialga", U175="A2-Palkia", U175="A2"), $B$5-XLOOKUP(S175, 'Space-Time Smackdown'!$C$2:$C889, 'Space-Time Smackdown'!$B$2:$B889)))</f>
        <v>1</v>
      </c>
      <c r="X175" s="444">
        <f t="shared" si="3"/>
        <v>0</v>
      </c>
      <c r="Y175" s="445" t="str">
        <f t="shared" si="4"/>
        <v/>
      </c>
      <c r="Z175" s="278"/>
      <c r="AA175" s="466"/>
      <c r="AB175" s="278"/>
      <c r="AC175" s="278"/>
      <c r="AD175" s="278"/>
      <c r="AE175" s="278"/>
      <c r="AF175" s="278"/>
      <c r="AG175" s="278" t="b">
        <f t="shared" si="5"/>
        <v>0</v>
      </c>
      <c r="AH175" s="454"/>
      <c r="AI175" s="278"/>
      <c r="AJ175" s="278"/>
      <c r="AK175" s="278"/>
      <c r="AL175" s="444" t="str">
        <f t="array" ref="AL175">IFERROR(IFS(OR(AJ175="A1-Mewtwo", AJ175="A1-Pikachu", AJ175="A1-Charizard", AJ175="A1"), XLOOKUP(AH175, 'Genetic Apex'!$C$2:$C889, 'Genetic Apex'!$B$2:$B889)-2, AJ175="A1a", XLOOKUP(AH175, 'Mythical Island'!$C$2:$C889, 'Mythical Island'!$B$2:$B889)-2, OR(AJ175="A2-Dialga", AJ175="A2-Palkia", AJ175="A2"), XLOOKUP(AH175, 'Space-Time Smackdown'!$C$2:$C889, 'Space-Time Smackdown'!$B$2:$B889)-2))</f>
        <v/>
      </c>
      <c r="AM175" s="444" t="str">
        <f t="shared" si="6"/>
        <v/>
      </c>
      <c r="AN175" s="448" t="str">
        <f t="shared" si="7"/>
        <v/>
      </c>
    </row>
    <row r="176">
      <c r="A176" s="277"/>
      <c r="B176" s="277"/>
      <c r="C176" s="441"/>
      <c r="D176" s="277"/>
      <c r="E176" s="277"/>
      <c r="F176" s="277"/>
      <c r="G176" s="277"/>
      <c r="H176" s="277" t="b">
        <f t="shared" si="1"/>
        <v>0</v>
      </c>
      <c r="I176" s="277" t="str">
        <f>IFERROR(__xludf.DUMMYFUNCTION("""COMPUTED_VALUE"""),"A1 173")</f>
        <v>A1 173</v>
      </c>
      <c r="J176" s="277" t="str">
        <f>IFERROR(__xludf.DUMMYFUNCTION("""COMPUTED_VALUE"""),"Golbat")</f>
        <v>Golbat</v>
      </c>
      <c r="K176" s="277" t="str">
        <f>IFERROR(__xludf.DUMMYFUNCTION("""COMPUTED_VALUE"""),"A1-Mewtwo")</f>
        <v>A1-Mewtwo</v>
      </c>
      <c r="L176" s="277" t="str">
        <f>IFERROR(__xludf.DUMMYFUNCTION("""COMPUTED_VALUE"""),"♢♢")</f>
        <v>♢♢</v>
      </c>
      <c r="M176" s="440" t="b">
        <f t="shared" si="2"/>
        <v>1</v>
      </c>
      <c r="N176" s="441"/>
      <c r="O176" s="277"/>
      <c r="P176" s="277"/>
      <c r="Q176" s="278"/>
      <c r="R176" s="449" t="str">
        <f t="array" ref="R176">IFERROR(IFS(OR(P176="A1-Mewtwo", P176="A1-Pikachu", P176="A1-Charizard", P176="A1"), XLOOKUP(N176, 'Genetic Apex'!$C$2:$C889, 'Genetic Apex'!$B$2:$B889)-$B$4, P176="A1a", XLOOKUP(N176, 'Mythical Island'!$C$2:$C889, 'Mythical Island'!$B$2:$B889)-$B$4, OR(P176="A2-Dialga", P176="A2-Palkia", P176="A2"), XLOOKUP(N176, 'Space-Time Smackdown'!$C$2:$C889, 'Space-Time Smackdown'!$B$2:$B889)-$B$4))</f>
        <v/>
      </c>
      <c r="S176" s="277" t="str">
        <f>IFERROR(__xludf.DUMMYFUNCTION("""COMPUTED_VALUE"""),"A1 173")</f>
        <v>A1 173</v>
      </c>
      <c r="T176" s="277" t="str">
        <f>IFERROR(__xludf.DUMMYFUNCTION("""COMPUTED_VALUE"""),"Golbat")</f>
        <v>Golbat</v>
      </c>
      <c r="U176" s="277" t="str">
        <f>IFERROR(__xludf.DUMMYFUNCTION("""COMPUTED_VALUE"""),"A1-Mewtwo")</f>
        <v>A1-Mewtwo</v>
      </c>
      <c r="V176" s="278" t="str">
        <f>IFERROR(__xludf.DUMMYFUNCTION("""COMPUTED_VALUE"""),"♢♢")</f>
        <v>♢♢</v>
      </c>
      <c r="W176" s="443">
        <f t="array" ref="W176">IFERROR(IFS(OR(U176="A1-Mewtwo", U176="A1-Pikachu", U176="A1-Charizard", U176="A1"), $B$5-XLOOKUP(S176, 'Genetic Apex'!$C$2:$C889, 'Genetic Apex'!$B$2:$B889), U176="A1a", $B$5-XLOOKUP(S176, 'Mythical Island'!$C$2:$C889, 'Mythical Island'!$B$2:$B889), OR(U176="A2-Dialga", U176="A2-Palkia", U176="A2"), $B$5-XLOOKUP(S176, 'Space-Time Smackdown'!$C$2:$C889, 'Space-Time Smackdown'!$B$2:$B889)))</f>
        <v>1</v>
      </c>
      <c r="X176" s="444">
        <f t="shared" si="3"/>
        <v>0</v>
      </c>
      <c r="Y176" s="445" t="str">
        <f t="shared" si="4"/>
        <v/>
      </c>
      <c r="Z176" s="278"/>
      <c r="AA176" s="466"/>
      <c r="AB176" s="278"/>
      <c r="AC176" s="278"/>
      <c r="AD176" s="278"/>
      <c r="AE176" s="278"/>
      <c r="AF176" s="278"/>
      <c r="AG176" s="278" t="b">
        <f t="shared" si="5"/>
        <v>0</v>
      </c>
      <c r="AH176" s="454"/>
      <c r="AI176" s="278"/>
      <c r="AJ176" s="278"/>
      <c r="AK176" s="278"/>
      <c r="AL176" s="444" t="str">
        <f t="array" ref="AL176">IFERROR(IFS(OR(AJ176="A1-Mewtwo", AJ176="A1-Pikachu", AJ176="A1-Charizard", AJ176="A1"), XLOOKUP(AH176, 'Genetic Apex'!$C$2:$C889, 'Genetic Apex'!$B$2:$B889)-2, AJ176="A1a", XLOOKUP(AH176, 'Mythical Island'!$C$2:$C889, 'Mythical Island'!$B$2:$B889)-2, OR(AJ176="A2-Dialga", AJ176="A2-Palkia", AJ176="A2"), XLOOKUP(AH176, 'Space-Time Smackdown'!$C$2:$C889, 'Space-Time Smackdown'!$B$2:$B889)-2))</f>
        <v/>
      </c>
      <c r="AM176" s="444" t="str">
        <f t="shared" si="6"/>
        <v/>
      </c>
      <c r="AN176" s="448" t="str">
        <f t="shared" si="7"/>
        <v/>
      </c>
    </row>
    <row r="177">
      <c r="A177" s="277"/>
      <c r="B177" s="277"/>
      <c r="C177" s="441"/>
      <c r="D177" s="277"/>
      <c r="E177" s="277"/>
      <c r="F177" s="277"/>
      <c r="G177" s="277"/>
      <c r="H177" s="277" t="b">
        <f t="shared" si="1"/>
        <v>0</v>
      </c>
      <c r="I177" s="277" t="str">
        <f>IFERROR(__xludf.DUMMYFUNCTION("""COMPUTED_VALUE"""),"A1 174")</f>
        <v>A1 174</v>
      </c>
      <c r="J177" s="277" t="str">
        <f>IFERROR(__xludf.DUMMYFUNCTION("""COMPUTED_VALUE"""),"Grimer")</f>
        <v>Grimer</v>
      </c>
      <c r="K177" s="277" t="str">
        <f>IFERROR(__xludf.DUMMYFUNCTION("""COMPUTED_VALUE"""),"A1-Mewtwo")</f>
        <v>A1-Mewtwo</v>
      </c>
      <c r="L177" s="277" t="str">
        <f>IFERROR(__xludf.DUMMYFUNCTION("""COMPUTED_VALUE"""),"♢")</f>
        <v>♢</v>
      </c>
      <c r="M177" s="440" t="b">
        <f t="shared" si="2"/>
        <v>1</v>
      </c>
      <c r="N177" s="441"/>
      <c r="O177" s="277"/>
      <c r="P177" s="277"/>
      <c r="Q177" s="278"/>
      <c r="R177" s="449" t="str">
        <f t="array" ref="R177">IFERROR(IFS(OR(P177="A1-Mewtwo", P177="A1-Pikachu", P177="A1-Charizard", P177="A1"), XLOOKUP(N177, 'Genetic Apex'!$C$2:$C889, 'Genetic Apex'!$B$2:$B889)-$B$4, P177="A1a", XLOOKUP(N177, 'Mythical Island'!$C$2:$C889, 'Mythical Island'!$B$2:$B889)-$B$4, OR(P177="A2-Dialga", P177="A2-Palkia", P177="A2"), XLOOKUP(N177, 'Space-Time Smackdown'!$C$2:$C889, 'Space-Time Smackdown'!$B$2:$B889)-$B$4))</f>
        <v/>
      </c>
      <c r="S177" s="277" t="str">
        <f>IFERROR(__xludf.DUMMYFUNCTION("""COMPUTED_VALUE"""),"A1 174")</f>
        <v>A1 174</v>
      </c>
      <c r="T177" s="277" t="str">
        <f>IFERROR(__xludf.DUMMYFUNCTION("""COMPUTED_VALUE"""),"Grimer")</f>
        <v>Grimer</v>
      </c>
      <c r="U177" s="277" t="str">
        <f>IFERROR(__xludf.DUMMYFUNCTION("""COMPUTED_VALUE"""),"A1-Mewtwo")</f>
        <v>A1-Mewtwo</v>
      </c>
      <c r="V177" s="278" t="str">
        <f>IFERROR(__xludf.DUMMYFUNCTION("""COMPUTED_VALUE"""),"♢")</f>
        <v>♢</v>
      </c>
      <c r="W177" s="443">
        <f t="array" ref="W177">IFERROR(IFS(OR(U177="A1-Mewtwo", U177="A1-Pikachu", U177="A1-Charizard", U177="A1"), $B$5-XLOOKUP(S177, 'Genetic Apex'!$C$2:$C889, 'Genetic Apex'!$B$2:$B889), U177="A1a", $B$5-XLOOKUP(S177, 'Mythical Island'!$C$2:$C889, 'Mythical Island'!$B$2:$B889), OR(U177="A2-Dialga", U177="A2-Palkia", U177="A2"), $B$5-XLOOKUP(S177, 'Space-Time Smackdown'!$C$2:$C889, 'Space-Time Smackdown'!$B$2:$B889)))</f>
        <v>1</v>
      </c>
      <c r="X177" s="444">
        <f t="shared" si="3"/>
        <v>0</v>
      </c>
      <c r="Y177" s="445" t="str">
        <f t="shared" si="4"/>
        <v/>
      </c>
      <c r="Z177" s="278"/>
      <c r="AA177" s="466"/>
      <c r="AB177" s="278"/>
      <c r="AC177" s="278"/>
      <c r="AD177" s="278"/>
      <c r="AE177" s="278"/>
      <c r="AF177" s="278"/>
      <c r="AG177" s="278" t="b">
        <f t="shared" si="5"/>
        <v>0</v>
      </c>
      <c r="AH177" s="454"/>
      <c r="AI177" s="278"/>
      <c r="AJ177" s="278"/>
      <c r="AK177" s="278"/>
      <c r="AL177" s="444" t="str">
        <f t="array" ref="AL177">IFERROR(IFS(OR(AJ177="A1-Mewtwo", AJ177="A1-Pikachu", AJ177="A1-Charizard", AJ177="A1"), XLOOKUP(AH177, 'Genetic Apex'!$C$2:$C889, 'Genetic Apex'!$B$2:$B889)-2, AJ177="A1a", XLOOKUP(AH177, 'Mythical Island'!$C$2:$C889, 'Mythical Island'!$B$2:$B889)-2, OR(AJ177="A2-Dialga", AJ177="A2-Palkia", AJ177="A2"), XLOOKUP(AH177, 'Space-Time Smackdown'!$C$2:$C889, 'Space-Time Smackdown'!$B$2:$B889)-2))</f>
        <v/>
      </c>
      <c r="AM177" s="444" t="str">
        <f t="shared" si="6"/>
        <v/>
      </c>
      <c r="AN177" s="448" t="str">
        <f t="shared" si="7"/>
        <v/>
      </c>
    </row>
    <row r="178">
      <c r="A178" s="277"/>
      <c r="B178" s="277"/>
      <c r="C178" s="441"/>
      <c r="D178" s="277"/>
      <c r="E178" s="277"/>
      <c r="F178" s="277"/>
      <c r="G178" s="277"/>
      <c r="H178" s="277" t="b">
        <f t="shared" si="1"/>
        <v>0</v>
      </c>
      <c r="I178" s="277" t="str">
        <f>IFERROR(__xludf.DUMMYFUNCTION("""COMPUTED_VALUE"""),"A1 175")</f>
        <v>A1 175</v>
      </c>
      <c r="J178" s="277" t="str">
        <f>IFERROR(__xludf.DUMMYFUNCTION("""COMPUTED_VALUE"""),"Muk")</f>
        <v>Muk</v>
      </c>
      <c r="K178" s="277" t="str">
        <f>IFERROR(__xludf.DUMMYFUNCTION("""COMPUTED_VALUE"""),"A1-Mewtwo")</f>
        <v>A1-Mewtwo</v>
      </c>
      <c r="L178" s="277" t="str">
        <f>IFERROR(__xludf.DUMMYFUNCTION("""COMPUTED_VALUE"""),"♢♢♢")</f>
        <v>♢♢♢</v>
      </c>
      <c r="M178" s="440" t="b">
        <f t="shared" si="2"/>
        <v>1</v>
      </c>
      <c r="N178" s="441"/>
      <c r="O178" s="277"/>
      <c r="P178" s="277"/>
      <c r="Q178" s="278"/>
      <c r="R178" s="449" t="str">
        <f t="array" ref="R178">IFERROR(IFS(OR(P178="A1-Mewtwo", P178="A1-Pikachu", P178="A1-Charizard", P178="A1"), XLOOKUP(N178, 'Genetic Apex'!$C$2:$C889, 'Genetic Apex'!$B$2:$B889)-$B$4, P178="A1a", XLOOKUP(N178, 'Mythical Island'!$C$2:$C889, 'Mythical Island'!$B$2:$B889)-$B$4, OR(P178="A2-Dialga", P178="A2-Palkia", P178="A2"), XLOOKUP(N178, 'Space-Time Smackdown'!$C$2:$C889, 'Space-Time Smackdown'!$B$2:$B889)-$B$4))</f>
        <v/>
      </c>
      <c r="S178" s="277" t="str">
        <f>IFERROR(__xludf.DUMMYFUNCTION("""COMPUTED_VALUE"""),"A1 175")</f>
        <v>A1 175</v>
      </c>
      <c r="T178" s="277" t="str">
        <f>IFERROR(__xludf.DUMMYFUNCTION("""COMPUTED_VALUE"""),"Muk")</f>
        <v>Muk</v>
      </c>
      <c r="U178" s="277" t="str">
        <f>IFERROR(__xludf.DUMMYFUNCTION("""COMPUTED_VALUE"""),"A1-Mewtwo")</f>
        <v>A1-Mewtwo</v>
      </c>
      <c r="V178" s="278" t="str">
        <f>IFERROR(__xludf.DUMMYFUNCTION("""COMPUTED_VALUE"""),"♢♢♢")</f>
        <v>♢♢♢</v>
      </c>
      <c r="W178" s="443">
        <f t="array" ref="W178">IFERROR(IFS(OR(U178="A1-Mewtwo", U178="A1-Pikachu", U178="A1-Charizard", U178="A1"), $B$5-XLOOKUP(S178, 'Genetic Apex'!$C$2:$C889, 'Genetic Apex'!$B$2:$B889), U178="A1a", $B$5-XLOOKUP(S178, 'Mythical Island'!$C$2:$C889, 'Mythical Island'!$B$2:$B889), OR(U178="A2-Dialga", U178="A2-Palkia", U178="A2"), $B$5-XLOOKUP(S178, 'Space-Time Smackdown'!$C$2:$C889, 'Space-Time Smackdown'!$B$2:$B889)))</f>
        <v>1</v>
      </c>
      <c r="X178" s="444">
        <f t="shared" si="3"/>
        <v>120</v>
      </c>
      <c r="Y178" s="445">
        <f t="shared" si="4"/>
        <v>120</v>
      </c>
      <c r="Z178" s="278"/>
      <c r="AA178" s="466"/>
      <c r="AB178" s="278"/>
      <c r="AC178" s="278"/>
      <c r="AD178" s="278"/>
      <c r="AE178" s="278"/>
      <c r="AF178" s="278"/>
      <c r="AG178" s="278" t="b">
        <f t="shared" si="5"/>
        <v>0</v>
      </c>
      <c r="AH178" s="454"/>
      <c r="AI178" s="278"/>
      <c r="AJ178" s="278"/>
      <c r="AK178" s="278"/>
      <c r="AL178" s="444" t="str">
        <f t="array" ref="AL178">IFERROR(IFS(OR(AJ178="A1-Mewtwo", AJ178="A1-Pikachu", AJ178="A1-Charizard", AJ178="A1"), XLOOKUP(AH178, 'Genetic Apex'!$C$2:$C889, 'Genetic Apex'!$B$2:$B889)-2, AJ178="A1a", XLOOKUP(AH178, 'Mythical Island'!$C$2:$C889, 'Mythical Island'!$B$2:$B889)-2, OR(AJ178="A2-Dialga", AJ178="A2-Palkia", AJ178="A2"), XLOOKUP(AH178, 'Space-Time Smackdown'!$C$2:$C889, 'Space-Time Smackdown'!$B$2:$B889)-2))</f>
        <v/>
      </c>
      <c r="AM178" s="444" t="str">
        <f t="shared" si="6"/>
        <v/>
      </c>
      <c r="AN178" s="448" t="str">
        <f t="shared" si="7"/>
        <v/>
      </c>
    </row>
    <row r="179">
      <c r="A179" s="277"/>
      <c r="B179" s="277"/>
      <c r="C179" s="441"/>
      <c r="D179" s="277"/>
      <c r="E179" s="277"/>
      <c r="F179" s="277"/>
      <c r="G179" s="277"/>
      <c r="H179" s="277" t="b">
        <f t="shared" si="1"/>
        <v>0</v>
      </c>
      <c r="I179" s="277" t="str">
        <f>IFERROR(__xludf.DUMMYFUNCTION("""COMPUTED_VALUE"""),"A1 176")</f>
        <v>A1 176</v>
      </c>
      <c r="J179" s="277" t="str">
        <f>IFERROR(__xludf.DUMMYFUNCTION("""COMPUTED_VALUE"""),"Koffing")</f>
        <v>Koffing</v>
      </c>
      <c r="K179" s="277" t="str">
        <f>IFERROR(__xludf.DUMMYFUNCTION("""COMPUTED_VALUE"""),"A1-Mewtwo")</f>
        <v>A1-Mewtwo</v>
      </c>
      <c r="L179" s="277" t="str">
        <f>IFERROR(__xludf.DUMMYFUNCTION("""COMPUTED_VALUE"""),"♢")</f>
        <v>♢</v>
      </c>
      <c r="M179" s="440" t="b">
        <f t="shared" si="2"/>
        <v>1</v>
      </c>
      <c r="N179" s="441"/>
      <c r="O179" s="277"/>
      <c r="P179" s="277"/>
      <c r="Q179" s="278"/>
      <c r="R179" s="449" t="str">
        <f t="array" ref="R179">IFERROR(IFS(OR(P179="A1-Mewtwo", P179="A1-Pikachu", P179="A1-Charizard", P179="A1"), XLOOKUP(N179, 'Genetic Apex'!$C$2:$C889, 'Genetic Apex'!$B$2:$B889)-$B$4, P179="A1a", XLOOKUP(N179, 'Mythical Island'!$C$2:$C889, 'Mythical Island'!$B$2:$B889)-$B$4, OR(P179="A2-Dialga", P179="A2-Palkia", P179="A2"), XLOOKUP(N179, 'Space-Time Smackdown'!$C$2:$C889, 'Space-Time Smackdown'!$B$2:$B889)-$B$4))</f>
        <v/>
      </c>
      <c r="S179" s="277" t="str">
        <f>IFERROR(__xludf.DUMMYFUNCTION("""COMPUTED_VALUE"""),"A1 176")</f>
        <v>A1 176</v>
      </c>
      <c r="T179" s="277" t="str">
        <f>IFERROR(__xludf.DUMMYFUNCTION("""COMPUTED_VALUE"""),"Koffing")</f>
        <v>Koffing</v>
      </c>
      <c r="U179" s="277" t="str">
        <f>IFERROR(__xludf.DUMMYFUNCTION("""COMPUTED_VALUE"""),"A1-Mewtwo")</f>
        <v>A1-Mewtwo</v>
      </c>
      <c r="V179" s="278" t="str">
        <f>IFERROR(__xludf.DUMMYFUNCTION("""COMPUTED_VALUE"""),"♢")</f>
        <v>♢</v>
      </c>
      <c r="W179" s="443">
        <f t="array" ref="W179">IFERROR(IFS(OR(U179="A1-Mewtwo", U179="A1-Pikachu", U179="A1-Charizard", U179="A1"), $B$5-XLOOKUP(S179, 'Genetic Apex'!$C$2:$C889, 'Genetic Apex'!$B$2:$B889), U179="A1a", $B$5-XLOOKUP(S179, 'Mythical Island'!$C$2:$C889, 'Mythical Island'!$B$2:$B889), OR(U179="A2-Dialga", U179="A2-Palkia", U179="A2"), $B$5-XLOOKUP(S179, 'Space-Time Smackdown'!$C$2:$C889, 'Space-Time Smackdown'!$B$2:$B889)))</f>
        <v>1</v>
      </c>
      <c r="X179" s="444">
        <f t="shared" si="3"/>
        <v>0</v>
      </c>
      <c r="Y179" s="445" t="str">
        <f t="shared" si="4"/>
        <v/>
      </c>
      <c r="Z179" s="278"/>
      <c r="AA179" s="466"/>
      <c r="AB179" s="278"/>
      <c r="AC179" s="278"/>
      <c r="AD179" s="278"/>
      <c r="AE179" s="278"/>
      <c r="AF179" s="278"/>
      <c r="AG179" s="278" t="b">
        <f t="shared" si="5"/>
        <v>0</v>
      </c>
      <c r="AH179" s="454"/>
      <c r="AI179" s="278"/>
      <c r="AJ179" s="278"/>
      <c r="AK179" s="278"/>
      <c r="AL179" s="444" t="str">
        <f t="array" ref="AL179">IFERROR(IFS(OR(AJ179="A1-Mewtwo", AJ179="A1-Pikachu", AJ179="A1-Charizard", AJ179="A1"), XLOOKUP(AH179, 'Genetic Apex'!$C$2:$C889, 'Genetic Apex'!$B$2:$B889)-2, AJ179="A1a", XLOOKUP(AH179, 'Mythical Island'!$C$2:$C889, 'Mythical Island'!$B$2:$B889)-2, OR(AJ179="A2-Dialga", AJ179="A2-Palkia", AJ179="A2"), XLOOKUP(AH179, 'Space-Time Smackdown'!$C$2:$C889, 'Space-Time Smackdown'!$B$2:$B889)-2))</f>
        <v/>
      </c>
      <c r="AM179" s="444" t="str">
        <f t="shared" si="6"/>
        <v/>
      </c>
      <c r="AN179" s="448" t="str">
        <f t="shared" si="7"/>
        <v/>
      </c>
    </row>
    <row r="180">
      <c r="A180" s="277"/>
      <c r="B180" s="277"/>
      <c r="C180" s="441"/>
      <c r="D180" s="277"/>
      <c r="E180" s="277"/>
      <c r="F180" s="277"/>
      <c r="G180" s="277"/>
      <c r="H180" s="277" t="b">
        <f t="shared" si="1"/>
        <v>0</v>
      </c>
      <c r="I180" s="277" t="str">
        <f>IFERROR(__xludf.DUMMYFUNCTION("""COMPUTED_VALUE"""),"A1 177")</f>
        <v>A1 177</v>
      </c>
      <c r="J180" s="277" t="str">
        <f>IFERROR(__xludf.DUMMYFUNCTION("""COMPUTED_VALUE"""),"Weezing")</f>
        <v>Weezing</v>
      </c>
      <c r="K180" s="277" t="str">
        <f>IFERROR(__xludf.DUMMYFUNCTION("""COMPUTED_VALUE"""),"A1-Mewtwo")</f>
        <v>A1-Mewtwo</v>
      </c>
      <c r="L180" s="277" t="str">
        <f>IFERROR(__xludf.DUMMYFUNCTION("""COMPUTED_VALUE"""),"♢♢♢")</f>
        <v>♢♢♢</v>
      </c>
      <c r="M180" s="440" t="b">
        <f t="shared" si="2"/>
        <v>1</v>
      </c>
      <c r="N180" s="441"/>
      <c r="O180" s="277"/>
      <c r="P180" s="277"/>
      <c r="Q180" s="278"/>
      <c r="R180" s="449" t="str">
        <f t="array" ref="R180">IFERROR(IFS(OR(P180="A1-Mewtwo", P180="A1-Pikachu", P180="A1-Charizard", P180="A1"), XLOOKUP(N180, 'Genetic Apex'!$C$2:$C889, 'Genetic Apex'!$B$2:$B889)-$B$4, P180="A1a", XLOOKUP(N180, 'Mythical Island'!$C$2:$C889, 'Mythical Island'!$B$2:$B889)-$B$4, OR(P180="A2-Dialga", P180="A2-Palkia", P180="A2"), XLOOKUP(N180, 'Space-Time Smackdown'!$C$2:$C889, 'Space-Time Smackdown'!$B$2:$B889)-$B$4))</f>
        <v/>
      </c>
      <c r="S180" s="277" t="str">
        <f>IFERROR(__xludf.DUMMYFUNCTION("""COMPUTED_VALUE"""),"A1 177")</f>
        <v>A1 177</v>
      </c>
      <c r="T180" s="277" t="str">
        <f>IFERROR(__xludf.DUMMYFUNCTION("""COMPUTED_VALUE"""),"Weezing")</f>
        <v>Weezing</v>
      </c>
      <c r="U180" s="277" t="str">
        <f>IFERROR(__xludf.DUMMYFUNCTION("""COMPUTED_VALUE"""),"A1-Mewtwo")</f>
        <v>A1-Mewtwo</v>
      </c>
      <c r="V180" s="278" t="str">
        <f>IFERROR(__xludf.DUMMYFUNCTION("""COMPUTED_VALUE"""),"♢♢♢")</f>
        <v>♢♢♢</v>
      </c>
      <c r="W180" s="443">
        <f t="array" ref="W180">IFERROR(IFS(OR(U180="A1-Mewtwo", U180="A1-Pikachu", U180="A1-Charizard", U180="A1"), $B$5-XLOOKUP(S180, 'Genetic Apex'!$C$2:$C889, 'Genetic Apex'!$B$2:$B889), U180="A1a", $B$5-XLOOKUP(S180, 'Mythical Island'!$C$2:$C889, 'Mythical Island'!$B$2:$B889), OR(U180="A2-Dialga", U180="A2-Palkia", U180="A2"), $B$5-XLOOKUP(S180, 'Space-Time Smackdown'!$C$2:$C889, 'Space-Time Smackdown'!$B$2:$B889)))</f>
        <v>1</v>
      </c>
      <c r="X180" s="444">
        <f t="shared" si="3"/>
        <v>120</v>
      </c>
      <c r="Y180" s="445">
        <f t="shared" si="4"/>
        <v>120</v>
      </c>
      <c r="Z180" s="278"/>
      <c r="AA180" s="466"/>
      <c r="AB180" s="278"/>
      <c r="AC180" s="278"/>
      <c r="AD180" s="278"/>
      <c r="AE180" s="278"/>
      <c r="AF180" s="278"/>
      <c r="AG180" s="278" t="b">
        <f t="shared" si="5"/>
        <v>0</v>
      </c>
      <c r="AH180" s="454"/>
      <c r="AI180" s="278"/>
      <c r="AJ180" s="278"/>
      <c r="AK180" s="278"/>
      <c r="AL180" s="444" t="str">
        <f t="array" ref="AL180">IFERROR(IFS(OR(AJ180="A1-Mewtwo", AJ180="A1-Pikachu", AJ180="A1-Charizard", AJ180="A1"), XLOOKUP(AH180, 'Genetic Apex'!$C$2:$C889, 'Genetic Apex'!$B$2:$B889)-2, AJ180="A1a", XLOOKUP(AH180, 'Mythical Island'!$C$2:$C889, 'Mythical Island'!$B$2:$B889)-2, OR(AJ180="A2-Dialga", AJ180="A2-Palkia", AJ180="A2"), XLOOKUP(AH180, 'Space-Time Smackdown'!$C$2:$C889, 'Space-Time Smackdown'!$B$2:$B889)-2))</f>
        <v/>
      </c>
      <c r="AM180" s="444" t="str">
        <f t="shared" si="6"/>
        <v/>
      </c>
      <c r="AN180" s="448" t="str">
        <f t="shared" si="7"/>
        <v/>
      </c>
    </row>
    <row r="181">
      <c r="A181" s="277"/>
      <c r="B181" s="277"/>
      <c r="C181" s="441"/>
      <c r="D181" s="277"/>
      <c r="E181" s="277"/>
      <c r="F181" s="277"/>
      <c r="G181" s="277"/>
      <c r="H181" s="277" t="b">
        <f t="shared" si="1"/>
        <v>0</v>
      </c>
      <c r="I181" s="277" t="str">
        <f>IFERROR(__xludf.DUMMYFUNCTION("""COMPUTED_VALUE"""),"A1 178")</f>
        <v>A1 178</v>
      </c>
      <c r="J181" s="277" t="str">
        <f>IFERROR(__xludf.DUMMYFUNCTION("""COMPUTED_VALUE"""),"Mawile")</f>
        <v>Mawile</v>
      </c>
      <c r="K181" s="277" t="str">
        <f>IFERROR(__xludf.DUMMYFUNCTION("""COMPUTED_VALUE"""),"A1-Charizard")</f>
        <v>A1-Charizard</v>
      </c>
      <c r="L181" s="277" t="str">
        <f>IFERROR(__xludf.DUMMYFUNCTION("""COMPUTED_VALUE"""),"♢")</f>
        <v>♢</v>
      </c>
      <c r="M181" s="440" t="b">
        <f t="shared" si="2"/>
        <v>1</v>
      </c>
      <c r="N181" s="441"/>
      <c r="O181" s="277"/>
      <c r="P181" s="277"/>
      <c r="Q181" s="278"/>
      <c r="R181" s="449" t="str">
        <f t="array" ref="R181">IFERROR(IFS(OR(P181="A1-Mewtwo", P181="A1-Pikachu", P181="A1-Charizard", P181="A1"), XLOOKUP(N181, 'Genetic Apex'!$C$2:$C889, 'Genetic Apex'!$B$2:$B889)-$B$4, P181="A1a", XLOOKUP(N181, 'Mythical Island'!$C$2:$C889, 'Mythical Island'!$B$2:$B889)-$B$4, OR(P181="A2-Dialga", P181="A2-Palkia", P181="A2"), XLOOKUP(N181, 'Space-Time Smackdown'!$C$2:$C889, 'Space-Time Smackdown'!$B$2:$B889)-$B$4))</f>
        <v/>
      </c>
      <c r="S181" s="277" t="str">
        <f>IFERROR(__xludf.DUMMYFUNCTION("""COMPUTED_VALUE"""),"A1 178")</f>
        <v>A1 178</v>
      </c>
      <c r="T181" s="277" t="str">
        <f>IFERROR(__xludf.DUMMYFUNCTION("""COMPUTED_VALUE"""),"Mawile")</f>
        <v>Mawile</v>
      </c>
      <c r="U181" s="277" t="str">
        <f>IFERROR(__xludf.DUMMYFUNCTION("""COMPUTED_VALUE"""),"A1-Charizard")</f>
        <v>A1-Charizard</v>
      </c>
      <c r="V181" s="278" t="str">
        <f>IFERROR(__xludf.DUMMYFUNCTION("""COMPUTED_VALUE"""),"♢")</f>
        <v>♢</v>
      </c>
      <c r="W181" s="443">
        <f t="array" ref="W181">IFERROR(IFS(OR(U181="A1-Mewtwo", U181="A1-Pikachu", U181="A1-Charizard", U181="A1"), $B$5-XLOOKUP(S181, 'Genetic Apex'!$C$2:$C889, 'Genetic Apex'!$B$2:$B889), U181="A1a", $B$5-XLOOKUP(S181, 'Mythical Island'!$C$2:$C889, 'Mythical Island'!$B$2:$B889), OR(U181="A2-Dialga", U181="A2-Palkia", U181="A2"), $B$5-XLOOKUP(S181, 'Space-Time Smackdown'!$C$2:$C889, 'Space-Time Smackdown'!$B$2:$B889)))</f>
        <v>1</v>
      </c>
      <c r="X181" s="444">
        <f t="shared" si="3"/>
        <v>0</v>
      </c>
      <c r="Y181" s="445" t="str">
        <f t="shared" si="4"/>
        <v/>
      </c>
      <c r="Z181" s="278"/>
      <c r="AA181" s="466"/>
      <c r="AB181" s="278"/>
      <c r="AC181" s="278"/>
      <c r="AD181" s="278"/>
      <c r="AE181" s="278"/>
      <c r="AF181" s="278"/>
      <c r="AG181" s="278" t="b">
        <f t="shared" si="5"/>
        <v>0</v>
      </c>
      <c r="AH181" s="454"/>
      <c r="AI181" s="278"/>
      <c r="AJ181" s="278"/>
      <c r="AK181" s="278"/>
      <c r="AL181" s="444" t="str">
        <f t="array" ref="AL181">IFERROR(IFS(OR(AJ181="A1-Mewtwo", AJ181="A1-Pikachu", AJ181="A1-Charizard", AJ181="A1"), XLOOKUP(AH181, 'Genetic Apex'!$C$2:$C889, 'Genetic Apex'!$B$2:$B889)-2, AJ181="A1a", XLOOKUP(AH181, 'Mythical Island'!$C$2:$C889, 'Mythical Island'!$B$2:$B889)-2, OR(AJ181="A2-Dialga", AJ181="A2-Palkia", AJ181="A2"), XLOOKUP(AH181, 'Space-Time Smackdown'!$C$2:$C889, 'Space-Time Smackdown'!$B$2:$B889)-2))</f>
        <v/>
      </c>
      <c r="AM181" s="444" t="str">
        <f t="shared" si="6"/>
        <v/>
      </c>
      <c r="AN181" s="448" t="str">
        <f t="shared" si="7"/>
        <v/>
      </c>
    </row>
    <row r="182">
      <c r="A182" s="277"/>
      <c r="B182" s="277"/>
      <c r="C182" s="441"/>
      <c r="D182" s="277"/>
      <c r="E182" s="277"/>
      <c r="F182" s="277"/>
      <c r="G182" s="277"/>
      <c r="H182" s="277" t="b">
        <f t="shared" si="1"/>
        <v>0</v>
      </c>
      <c r="I182" s="277" t="str">
        <f>IFERROR(__xludf.DUMMYFUNCTION("""COMPUTED_VALUE"""),"A1 179")</f>
        <v>A1 179</v>
      </c>
      <c r="J182" s="277" t="str">
        <f>IFERROR(__xludf.DUMMYFUNCTION("""COMPUTED_VALUE"""),"Pawniard")</f>
        <v>Pawniard</v>
      </c>
      <c r="K182" s="277" t="str">
        <f>IFERROR(__xludf.DUMMYFUNCTION("""COMPUTED_VALUE"""),"A1")</f>
        <v>A1</v>
      </c>
      <c r="L182" s="277" t="str">
        <f>IFERROR(__xludf.DUMMYFUNCTION("""COMPUTED_VALUE"""),"♢")</f>
        <v>♢</v>
      </c>
      <c r="M182" s="440" t="b">
        <f t="shared" si="2"/>
        <v>1</v>
      </c>
      <c r="N182" s="441"/>
      <c r="O182" s="277"/>
      <c r="P182" s="277"/>
      <c r="Q182" s="278"/>
      <c r="R182" s="449" t="str">
        <f t="array" ref="R182">IFERROR(IFS(OR(P182="A1-Mewtwo", P182="A1-Pikachu", P182="A1-Charizard", P182="A1"), XLOOKUP(N182, 'Genetic Apex'!$C$2:$C889, 'Genetic Apex'!$B$2:$B889)-$B$4, P182="A1a", XLOOKUP(N182, 'Mythical Island'!$C$2:$C889, 'Mythical Island'!$B$2:$B889)-$B$4, OR(P182="A2-Dialga", P182="A2-Palkia", P182="A2"), XLOOKUP(N182, 'Space-Time Smackdown'!$C$2:$C889, 'Space-Time Smackdown'!$B$2:$B889)-$B$4))</f>
        <v/>
      </c>
      <c r="S182" s="277" t="str">
        <f>IFERROR(__xludf.DUMMYFUNCTION("""COMPUTED_VALUE"""),"A1 179")</f>
        <v>A1 179</v>
      </c>
      <c r="T182" s="277" t="str">
        <f>IFERROR(__xludf.DUMMYFUNCTION("""COMPUTED_VALUE"""),"Pawniard")</f>
        <v>Pawniard</v>
      </c>
      <c r="U182" s="277" t="str">
        <f>IFERROR(__xludf.DUMMYFUNCTION("""COMPUTED_VALUE"""),"A1")</f>
        <v>A1</v>
      </c>
      <c r="V182" s="278" t="str">
        <f>IFERROR(__xludf.DUMMYFUNCTION("""COMPUTED_VALUE"""),"♢")</f>
        <v>♢</v>
      </c>
      <c r="W182" s="443">
        <f t="array" ref="W182">IFERROR(IFS(OR(U182="A1-Mewtwo", U182="A1-Pikachu", U182="A1-Charizard", U182="A1"), $B$5-XLOOKUP(S182, 'Genetic Apex'!$C$2:$C889, 'Genetic Apex'!$B$2:$B889), U182="A1a", $B$5-XLOOKUP(S182, 'Mythical Island'!$C$2:$C889, 'Mythical Island'!$B$2:$B889), OR(U182="A2-Dialga", U182="A2-Palkia", U182="A2"), $B$5-XLOOKUP(S182, 'Space-Time Smackdown'!$C$2:$C889, 'Space-Time Smackdown'!$B$2:$B889)))</f>
        <v>1</v>
      </c>
      <c r="X182" s="444">
        <f t="shared" si="3"/>
        <v>0</v>
      </c>
      <c r="Y182" s="445" t="str">
        <f t="shared" si="4"/>
        <v/>
      </c>
      <c r="Z182" s="278"/>
      <c r="AA182" s="466"/>
      <c r="AB182" s="278"/>
      <c r="AC182" s="278"/>
      <c r="AD182" s="278"/>
      <c r="AE182" s="278"/>
      <c r="AF182" s="278"/>
      <c r="AG182" s="278" t="b">
        <f t="shared" si="5"/>
        <v>0</v>
      </c>
      <c r="AH182" s="454"/>
      <c r="AI182" s="278"/>
      <c r="AJ182" s="278"/>
      <c r="AK182" s="278"/>
      <c r="AL182" s="444" t="str">
        <f t="array" ref="AL182">IFERROR(IFS(OR(AJ182="A1-Mewtwo", AJ182="A1-Pikachu", AJ182="A1-Charizard", AJ182="A1"), XLOOKUP(AH182, 'Genetic Apex'!$C$2:$C889, 'Genetic Apex'!$B$2:$B889)-2, AJ182="A1a", XLOOKUP(AH182, 'Mythical Island'!$C$2:$C889, 'Mythical Island'!$B$2:$B889)-2, OR(AJ182="A2-Dialga", AJ182="A2-Palkia", AJ182="A2"), XLOOKUP(AH182, 'Space-Time Smackdown'!$C$2:$C889, 'Space-Time Smackdown'!$B$2:$B889)-2))</f>
        <v/>
      </c>
      <c r="AM182" s="444" t="str">
        <f t="shared" si="6"/>
        <v/>
      </c>
      <c r="AN182" s="448" t="str">
        <f t="shared" si="7"/>
        <v/>
      </c>
    </row>
    <row r="183">
      <c r="A183" s="277"/>
      <c r="B183" s="277"/>
      <c r="C183" s="441"/>
      <c r="D183" s="277"/>
      <c r="E183" s="277"/>
      <c r="F183" s="277"/>
      <c r="G183" s="277"/>
      <c r="H183" s="277" t="b">
        <f t="shared" si="1"/>
        <v>0</v>
      </c>
      <c r="I183" s="277" t="str">
        <f>IFERROR(__xludf.DUMMYFUNCTION("""COMPUTED_VALUE"""),"A1 180")</f>
        <v>A1 180</v>
      </c>
      <c r="J183" s="277" t="str">
        <f>IFERROR(__xludf.DUMMYFUNCTION("""COMPUTED_VALUE"""),"Bisharp")</f>
        <v>Bisharp</v>
      </c>
      <c r="K183" s="277" t="str">
        <f>IFERROR(__xludf.DUMMYFUNCTION("""COMPUTED_VALUE"""),"A1")</f>
        <v>A1</v>
      </c>
      <c r="L183" s="277" t="str">
        <f>IFERROR(__xludf.DUMMYFUNCTION("""COMPUTED_VALUE"""),"♢♢")</f>
        <v>♢♢</v>
      </c>
      <c r="M183" s="440" t="b">
        <f t="shared" si="2"/>
        <v>1</v>
      </c>
      <c r="N183" s="441"/>
      <c r="O183" s="277"/>
      <c r="P183" s="277"/>
      <c r="Q183" s="278"/>
      <c r="R183" s="449" t="str">
        <f t="array" ref="R183">IFERROR(IFS(OR(P183="A1-Mewtwo", P183="A1-Pikachu", P183="A1-Charizard", P183="A1"), XLOOKUP(N183, 'Genetic Apex'!$C$2:$C889, 'Genetic Apex'!$B$2:$B889)-$B$4, P183="A1a", XLOOKUP(N183, 'Mythical Island'!$C$2:$C889, 'Mythical Island'!$B$2:$B889)-$B$4, OR(P183="A2-Dialga", P183="A2-Palkia", P183="A2"), XLOOKUP(N183, 'Space-Time Smackdown'!$C$2:$C889, 'Space-Time Smackdown'!$B$2:$B889)-$B$4))</f>
        <v/>
      </c>
      <c r="S183" s="277" t="str">
        <f>IFERROR(__xludf.DUMMYFUNCTION("""COMPUTED_VALUE"""),"A1 180")</f>
        <v>A1 180</v>
      </c>
      <c r="T183" s="277" t="str">
        <f>IFERROR(__xludf.DUMMYFUNCTION("""COMPUTED_VALUE"""),"Bisharp")</f>
        <v>Bisharp</v>
      </c>
      <c r="U183" s="277" t="str">
        <f>IFERROR(__xludf.DUMMYFUNCTION("""COMPUTED_VALUE"""),"A1")</f>
        <v>A1</v>
      </c>
      <c r="V183" s="278" t="str">
        <f>IFERROR(__xludf.DUMMYFUNCTION("""COMPUTED_VALUE"""),"♢♢")</f>
        <v>♢♢</v>
      </c>
      <c r="W183" s="443">
        <f t="array" ref="W183">IFERROR(IFS(OR(U183="A1-Mewtwo", U183="A1-Pikachu", U183="A1-Charizard", U183="A1"), $B$5-XLOOKUP(S183, 'Genetic Apex'!$C$2:$C889, 'Genetic Apex'!$B$2:$B889), U183="A1a", $B$5-XLOOKUP(S183, 'Mythical Island'!$C$2:$C889, 'Mythical Island'!$B$2:$B889), OR(U183="A2-Dialga", U183="A2-Palkia", U183="A2"), $B$5-XLOOKUP(S183, 'Space-Time Smackdown'!$C$2:$C889, 'Space-Time Smackdown'!$B$2:$B889)))</f>
        <v>1</v>
      </c>
      <c r="X183" s="444">
        <f t="shared" si="3"/>
        <v>0</v>
      </c>
      <c r="Y183" s="445" t="str">
        <f t="shared" si="4"/>
        <v/>
      </c>
      <c r="Z183" s="278"/>
      <c r="AA183" s="466"/>
      <c r="AB183" s="278"/>
      <c r="AC183" s="278"/>
      <c r="AD183" s="278"/>
      <c r="AE183" s="278"/>
      <c r="AF183" s="278"/>
      <c r="AG183" s="278" t="b">
        <f t="shared" si="5"/>
        <v>0</v>
      </c>
      <c r="AH183" s="454"/>
      <c r="AI183" s="278"/>
      <c r="AJ183" s="278"/>
      <c r="AK183" s="278"/>
      <c r="AL183" s="444" t="str">
        <f t="array" ref="AL183">IFERROR(IFS(OR(AJ183="A1-Mewtwo", AJ183="A1-Pikachu", AJ183="A1-Charizard", AJ183="A1"), XLOOKUP(AH183, 'Genetic Apex'!$C$2:$C889, 'Genetic Apex'!$B$2:$B889)-2, AJ183="A1a", XLOOKUP(AH183, 'Mythical Island'!$C$2:$C889, 'Mythical Island'!$B$2:$B889)-2, OR(AJ183="A2-Dialga", AJ183="A2-Palkia", AJ183="A2"), XLOOKUP(AH183, 'Space-Time Smackdown'!$C$2:$C889, 'Space-Time Smackdown'!$B$2:$B889)-2))</f>
        <v/>
      </c>
      <c r="AM183" s="444" t="str">
        <f t="shared" si="6"/>
        <v/>
      </c>
      <c r="AN183" s="448" t="str">
        <f t="shared" si="7"/>
        <v/>
      </c>
    </row>
    <row r="184">
      <c r="A184" s="277"/>
      <c r="B184" s="277"/>
      <c r="C184" s="441"/>
      <c r="D184" s="277"/>
      <c r="E184" s="277"/>
      <c r="F184" s="277"/>
      <c r="G184" s="277"/>
      <c r="H184" s="277" t="b">
        <f t="shared" si="1"/>
        <v>0</v>
      </c>
      <c r="I184" s="277" t="str">
        <f>IFERROR(__xludf.DUMMYFUNCTION("""COMPUTED_VALUE"""),"A1 181")</f>
        <v>A1 181</v>
      </c>
      <c r="J184" s="277" t="str">
        <f>IFERROR(__xludf.DUMMYFUNCTION("""COMPUTED_VALUE"""),"Meltan")</f>
        <v>Meltan</v>
      </c>
      <c r="K184" s="277" t="str">
        <f>IFERROR(__xludf.DUMMYFUNCTION("""COMPUTED_VALUE"""),"A1-Charizard")</f>
        <v>A1-Charizard</v>
      </c>
      <c r="L184" s="277" t="str">
        <f>IFERROR(__xludf.DUMMYFUNCTION("""COMPUTED_VALUE"""),"♢")</f>
        <v>♢</v>
      </c>
      <c r="M184" s="440" t="b">
        <f t="shared" si="2"/>
        <v>1</v>
      </c>
      <c r="N184" s="441"/>
      <c r="O184" s="277"/>
      <c r="P184" s="277"/>
      <c r="Q184" s="278"/>
      <c r="R184" s="449" t="str">
        <f t="array" ref="R184">IFERROR(IFS(OR(P184="A1-Mewtwo", P184="A1-Pikachu", P184="A1-Charizard", P184="A1"), XLOOKUP(N184, 'Genetic Apex'!$C$2:$C889, 'Genetic Apex'!$B$2:$B889)-$B$4, P184="A1a", XLOOKUP(N184, 'Mythical Island'!$C$2:$C889, 'Mythical Island'!$B$2:$B889)-$B$4, OR(P184="A2-Dialga", P184="A2-Palkia", P184="A2"), XLOOKUP(N184, 'Space-Time Smackdown'!$C$2:$C889, 'Space-Time Smackdown'!$B$2:$B889)-$B$4))</f>
        <v/>
      </c>
      <c r="S184" s="277" t="str">
        <f>IFERROR(__xludf.DUMMYFUNCTION("""COMPUTED_VALUE"""),"A1 181")</f>
        <v>A1 181</v>
      </c>
      <c r="T184" s="277" t="str">
        <f>IFERROR(__xludf.DUMMYFUNCTION("""COMPUTED_VALUE"""),"Meltan")</f>
        <v>Meltan</v>
      </c>
      <c r="U184" s="277" t="str">
        <f>IFERROR(__xludf.DUMMYFUNCTION("""COMPUTED_VALUE"""),"A1-Charizard")</f>
        <v>A1-Charizard</v>
      </c>
      <c r="V184" s="278" t="str">
        <f>IFERROR(__xludf.DUMMYFUNCTION("""COMPUTED_VALUE"""),"♢")</f>
        <v>♢</v>
      </c>
      <c r="W184" s="443">
        <f t="array" ref="W184">IFERROR(IFS(OR(U184="A1-Mewtwo", U184="A1-Pikachu", U184="A1-Charizard", U184="A1"), $B$5-XLOOKUP(S184, 'Genetic Apex'!$C$2:$C889, 'Genetic Apex'!$B$2:$B889), U184="A1a", $B$5-XLOOKUP(S184, 'Mythical Island'!$C$2:$C889, 'Mythical Island'!$B$2:$B889), OR(U184="A2-Dialga", U184="A2-Palkia", U184="A2"), $B$5-XLOOKUP(S184, 'Space-Time Smackdown'!$C$2:$C889, 'Space-Time Smackdown'!$B$2:$B889)))</f>
        <v>1</v>
      </c>
      <c r="X184" s="444">
        <f t="shared" si="3"/>
        <v>0</v>
      </c>
      <c r="Y184" s="445" t="str">
        <f t="shared" si="4"/>
        <v/>
      </c>
      <c r="Z184" s="278"/>
      <c r="AA184" s="466"/>
      <c r="AB184" s="278"/>
      <c r="AC184" s="278"/>
      <c r="AD184" s="278"/>
      <c r="AE184" s="278"/>
      <c r="AF184" s="278"/>
      <c r="AG184" s="278" t="b">
        <f t="shared" si="5"/>
        <v>0</v>
      </c>
      <c r="AH184" s="454"/>
      <c r="AI184" s="278"/>
      <c r="AJ184" s="278"/>
      <c r="AK184" s="278"/>
      <c r="AL184" s="444" t="str">
        <f t="array" ref="AL184">IFERROR(IFS(OR(AJ184="A1-Mewtwo", AJ184="A1-Pikachu", AJ184="A1-Charizard", AJ184="A1"), XLOOKUP(AH184, 'Genetic Apex'!$C$2:$C889, 'Genetic Apex'!$B$2:$B889)-2, AJ184="A1a", XLOOKUP(AH184, 'Mythical Island'!$C$2:$C889, 'Mythical Island'!$B$2:$B889)-2, OR(AJ184="A2-Dialga", AJ184="A2-Palkia", AJ184="A2"), XLOOKUP(AH184, 'Space-Time Smackdown'!$C$2:$C889, 'Space-Time Smackdown'!$B$2:$B889)-2))</f>
        <v/>
      </c>
      <c r="AM184" s="444" t="str">
        <f t="shared" si="6"/>
        <v/>
      </c>
      <c r="AN184" s="448" t="str">
        <f t="shared" si="7"/>
        <v/>
      </c>
    </row>
    <row r="185">
      <c r="A185" s="277"/>
      <c r="B185" s="277"/>
      <c r="C185" s="441"/>
      <c r="D185" s="277"/>
      <c r="E185" s="277"/>
      <c r="F185" s="277"/>
      <c r="G185" s="277"/>
      <c r="H185" s="277" t="b">
        <f t="shared" si="1"/>
        <v>0</v>
      </c>
      <c r="I185" s="277" t="str">
        <f>IFERROR(__xludf.DUMMYFUNCTION("""COMPUTED_VALUE"""),"A1 182")</f>
        <v>A1 182</v>
      </c>
      <c r="J185" s="277" t="str">
        <f>IFERROR(__xludf.DUMMYFUNCTION("""COMPUTED_VALUE"""),"Melmetal")</f>
        <v>Melmetal</v>
      </c>
      <c r="K185" s="277" t="str">
        <f>IFERROR(__xludf.DUMMYFUNCTION("""COMPUTED_VALUE"""),"A1-Charizard")</f>
        <v>A1-Charizard</v>
      </c>
      <c r="L185" s="277" t="str">
        <f>IFERROR(__xludf.DUMMYFUNCTION("""COMPUTED_VALUE"""),"♢♢♢")</f>
        <v>♢♢♢</v>
      </c>
      <c r="M185" s="440" t="b">
        <f t="shared" si="2"/>
        <v>1</v>
      </c>
      <c r="N185" s="441"/>
      <c r="O185" s="277"/>
      <c r="P185" s="277"/>
      <c r="Q185" s="278"/>
      <c r="R185" s="449" t="str">
        <f t="array" ref="R185">IFERROR(IFS(OR(P185="A1-Mewtwo", P185="A1-Pikachu", P185="A1-Charizard", P185="A1"), XLOOKUP(N185, 'Genetic Apex'!$C$2:$C889, 'Genetic Apex'!$B$2:$B889)-$B$4, P185="A1a", XLOOKUP(N185, 'Mythical Island'!$C$2:$C889, 'Mythical Island'!$B$2:$B889)-$B$4, OR(P185="A2-Dialga", P185="A2-Palkia", P185="A2"), XLOOKUP(N185, 'Space-Time Smackdown'!$C$2:$C889, 'Space-Time Smackdown'!$B$2:$B889)-$B$4))</f>
        <v/>
      </c>
      <c r="S185" s="277" t="str">
        <f>IFERROR(__xludf.DUMMYFUNCTION("""COMPUTED_VALUE"""),"A1 182")</f>
        <v>A1 182</v>
      </c>
      <c r="T185" s="277" t="str">
        <f>IFERROR(__xludf.DUMMYFUNCTION("""COMPUTED_VALUE"""),"Melmetal")</f>
        <v>Melmetal</v>
      </c>
      <c r="U185" s="277" t="str">
        <f>IFERROR(__xludf.DUMMYFUNCTION("""COMPUTED_VALUE"""),"A1-Charizard")</f>
        <v>A1-Charizard</v>
      </c>
      <c r="V185" s="278" t="str">
        <f>IFERROR(__xludf.DUMMYFUNCTION("""COMPUTED_VALUE"""),"♢♢♢")</f>
        <v>♢♢♢</v>
      </c>
      <c r="W185" s="443">
        <f t="array" ref="W185">IFERROR(IFS(OR(U185="A1-Mewtwo", U185="A1-Pikachu", U185="A1-Charizard", U185="A1"), $B$5-XLOOKUP(S185, 'Genetic Apex'!$C$2:$C889, 'Genetic Apex'!$B$2:$B889), U185="A1a", $B$5-XLOOKUP(S185, 'Mythical Island'!$C$2:$C889, 'Mythical Island'!$B$2:$B889), OR(U185="A2-Dialga", U185="A2-Palkia", U185="A2"), $B$5-XLOOKUP(S185, 'Space-Time Smackdown'!$C$2:$C889, 'Space-Time Smackdown'!$B$2:$B889)))</f>
        <v>1</v>
      </c>
      <c r="X185" s="444">
        <f t="shared" si="3"/>
        <v>120</v>
      </c>
      <c r="Y185" s="445">
        <f t="shared" si="4"/>
        <v>120</v>
      </c>
      <c r="Z185" s="278"/>
      <c r="AA185" s="466"/>
      <c r="AB185" s="278"/>
      <c r="AC185" s="278"/>
      <c r="AD185" s="278"/>
      <c r="AE185" s="278"/>
      <c r="AF185" s="278"/>
      <c r="AG185" s="278" t="b">
        <f t="shared" si="5"/>
        <v>0</v>
      </c>
      <c r="AH185" s="454"/>
      <c r="AI185" s="278"/>
      <c r="AJ185" s="278"/>
      <c r="AK185" s="278"/>
      <c r="AL185" s="444" t="str">
        <f t="array" ref="AL185">IFERROR(IFS(OR(AJ185="A1-Mewtwo", AJ185="A1-Pikachu", AJ185="A1-Charizard", AJ185="A1"), XLOOKUP(AH185, 'Genetic Apex'!$C$2:$C889, 'Genetic Apex'!$B$2:$B889)-2, AJ185="A1a", XLOOKUP(AH185, 'Mythical Island'!$C$2:$C889, 'Mythical Island'!$B$2:$B889)-2, OR(AJ185="A2-Dialga", AJ185="A2-Palkia", AJ185="A2"), XLOOKUP(AH185, 'Space-Time Smackdown'!$C$2:$C889, 'Space-Time Smackdown'!$B$2:$B889)-2))</f>
        <v/>
      </c>
      <c r="AM185" s="444" t="str">
        <f t="shared" si="6"/>
        <v/>
      </c>
      <c r="AN185" s="448" t="str">
        <f t="shared" si="7"/>
        <v/>
      </c>
    </row>
    <row r="186">
      <c r="A186" s="277"/>
      <c r="B186" s="277"/>
      <c r="C186" s="441"/>
      <c r="D186" s="277"/>
      <c r="E186" s="277"/>
      <c r="F186" s="277"/>
      <c r="G186" s="277"/>
      <c r="H186" s="277" t="b">
        <f t="shared" si="1"/>
        <v>0</v>
      </c>
      <c r="I186" s="277" t="str">
        <f>IFERROR(__xludf.DUMMYFUNCTION("""COMPUTED_VALUE"""),"A1 183")</f>
        <v>A1 183</v>
      </c>
      <c r="J186" s="277" t="str">
        <f>IFERROR(__xludf.DUMMYFUNCTION("""COMPUTED_VALUE"""),"Dratini")</f>
        <v>Dratini</v>
      </c>
      <c r="K186" s="277" t="str">
        <f>IFERROR(__xludf.DUMMYFUNCTION("""COMPUTED_VALUE"""),"A1-Mewtwo")</f>
        <v>A1-Mewtwo</v>
      </c>
      <c r="L186" s="277" t="str">
        <f>IFERROR(__xludf.DUMMYFUNCTION("""COMPUTED_VALUE"""),"♢")</f>
        <v>♢</v>
      </c>
      <c r="M186" s="440" t="b">
        <f t="shared" si="2"/>
        <v>1</v>
      </c>
      <c r="N186" s="441"/>
      <c r="O186" s="277"/>
      <c r="P186" s="277"/>
      <c r="Q186" s="278"/>
      <c r="R186" s="449" t="str">
        <f t="array" ref="R186">IFERROR(IFS(OR(P186="A1-Mewtwo", P186="A1-Pikachu", P186="A1-Charizard", P186="A1"), XLOOKUP(N186, 'Genetic Apex'!$C$2:$C889, 'Genetic Apex'!$B$2:$B889)-$B$4, P186="A1a", XLOOKUP(N186, 'Mythical Island'!$C$2:$C889, 'Mythical Island'!$B$2:$B889)-$B$4, OR(P186="A2-Dialga", P186="A2-Palkia", P186="A2"), XLOOKUP(N186, 'Space-Time Smackdown'!$C$2:$C889, 'Space-Time Smackdown'!$B$2:$B889)-$B$4))</f>
        <v/>
      </c>
      <c r="S186" s="277" t="str">
        <f>IFERROR(__xludf.DUMMYFUNCTION("""COMPUTED_VALUE"""),"A1 183")</f>
        <v>A1 183</v>
      </c>
      <c r="T186" s="277" t="str">
        <f>IFERROR(__xludf.DUMMYFUNCTION("""COMPUTED_VALUE"""),"Dratini")</f>
        <v>Dratini</v>
      </c>
      <c r="U186" s="277" t="str">
        <f>IFERROR(__xludf.DUMMYFUNCTION("""COMPUTED_VALUE"""),"A1-Mewtwo")</f>
        <v>A1-Mewtwo</v>
      </c>
      <c r="V186" s="278" t="str">
        <f>IFERROR(__xludf.DUMMYFUNCTION("""COMPUTED_VALUE"""),"♢")</f>
        <v>♢</v>
      </c>
      <c r="W186" s="443">
        <f t="array" ref="W186">IFERROR(IFS(OR(U186="A1-Mewtwo", U186="A1-Pikachu", U186="A1-Charizard", U186="A1"), $B$5-XLOOKUP(S186, 'Genetic Apex'!$C$2:$C889, 'Genetic Apex'!$B$2:$B889), U186="A1a", $B$5-XLOOKUP(S186, 'Mythical Island'!$C$2:$C889, 'Mythical Island'!$B$2:$B889), OR(U186="A2-Dialga", U186="A2-Palkia", U186="A2"), $B$5-XLOOKUP(S186, 'Space-Time Smackdown'!$C$2:$C889, 'Space-Time Smackdown'!$B$2:$B889)))</f>
        <v>1</v>
      </c>
      <c r="X186" s="444">
        <f t="shared" si="3"/>
        <v>0</v>
      </c>
      <c r="Y186" s="445" t="str">
        <f t="shared" si="4"/>
        <v/>
      </c>
      <c r="Z186" s="278"/>
      <c r="AA186" s="466"/>
      <c r="AB186" s="278"/>
      <c r="AC186" s="278"/>
      <c r="AD186" s="278"/>
      <c r="AE186" s="278"/>
      <c r="AF186" s="278"/>
      <c r="AG186" s="278" t="b">
        <f t="shared" si="5"/>
        <v>0</v>
      </c>
      <c r="AH186" s="454"/>
      <c r="AI186" s="278"/>
      <c r="AJ186" s="278"/>
      <c r="AK186" s="278"/>
      <c r="AL186" s="444" t="str">
        <f t="array" ref="AL186">IFERROR(IFS(OR(AJ186="A1-Mewtwo", AJ186="A1-Pikachu", AJ186="A1-Charizard", AJ186="A1"), XLOOKUP(AH186, 'Genetic Apex'!$C$2:$C889, 'Genetic Apex'!$B$2:$B889)-2, AJ186="A1a", XLOOKUP(AH186, 'Mythical Island'!$C$2:$C889, 'Mythical Island'!$B$2:$B889)-2, OR(AJ186="A2-Dialga", AJ186="A2-Palkia", AJ186="A2"), XLOOKUP(AH186, 'Space-Time Smackdown'!$C$2:$C889, 'Space-Time Smackdown'!$B$2:$B889)-2))</f>
        <v/>
      </c>
      <c r="AM186" s="444" t="str">
        <f t="shared" si="6"/>
        <v/>
      </c>
      <c r="AN186" s="448" t="str">
        <f t="shared" si="7"/>
        <v/>
      </c>
    </row>
    <row r="187">
      <c r="A187" s="277"/>
      <c r="B187" s="277"/>
      <c r="C187" s="441"/>
      <c r="D187" s="277"/>
      <c r="E187" s="277"/>
      <c r="F187" s="277"/>
      <c r="G187" s="277"/>
      <c r="H187" s="277" t="b">
        <f t="shared" si="1"/>
        <v>0</v>
      </c>
      <c r="I187" s="277" t="str">
        <f>IFERROR(__xludf.DUMMYFUNCTION("""COMPUTED_VALUE"""),"A1 184")</f>
        <v>A1 184</v>
      </c>
      <c r="J187" s="277" t="str">
        <f>IFERROR(__xludf.DUMMYFUNCTION("""COMPUTED_VALUE"""),"Dragonair")</f>
        <v>Dragonair</v>
      </c>
      <c r="K187" s="277" t="str">
        <f>IFERROR(__xludf.DUMMYFUNCTION("""COMPUTED_VALUE"""),"A1-Mewtwo")</f>
        <v>A1-Mewtwo</v>
      </c>
      <c r="L187" s="277" t="str">
        <f>IFERROR(__xludf.DUMMYFUNCTION("""COMPUTED_VALUE"""),"♢♢")</f>
        <v>♢♢</v>
      </c>
      <c r="M187" s="440" t="b">
        <f t="shared" si="2"/>
        <v>1</v>
      </c>
      <c r="N187" s="441"/>
      <c r="O187" s="277"/>
      <c r="P187" s="277"/>
      <c r="Q187" s="278"/>
      <c r="R187" s="449" t="str">
        <f t="array" ref="R187">IFERROR(IFS(OR(P187="A1-Mewtwo", P187="A1-Pikachu", P187="A1-Charizard", P187="A1"), XLOOKUP(N187, 'Genetic Apex'!$C$2:$C889, 'Genetic Apex'!$B$2:$B889)-$B$4, P187="A1a", XLOOKUP(N187, 'Mythical Island'!$C$2:$C889, 'Mythical Island'!$B$2:$B889)-$B$4, OR(P187="A2-Dialga", P187="A2-Palkia", P187="A2"), XLOOKUP(N187, 'Space-Time Smackdown'!$C$2:$C889, 'Space-Time Smackdown'!$B$2:$B889)-$B$4))</f>
        <v/>
      </c>
      <c r="S187" s="277" t="str">
        <f>IFERROR(__xludf.DUMMYFUNCTION("""COMPUTED_VALUE"""),"A1 184")</f>
        <v>A1 184</v>
      </c>
      <c r="T187" s="277" t="str">
        <f>IFERROR(__xludf.DUMMYFUNCTION("""COMPUTED_VALUE"""),"Dragonair")</f>
        <v>Dragonair</v>
      </c>
      <c r="U187" s="277" t="str">
        <f>IFERROR(__xludf.DUMMYFUNCTION("""COMPUTED_VALUE"""),"A1-Mewtwo")</f>
        <v>A1-Mewtwo</v>
      </c>
      <c r="V187" s="278" t="str">
        <f>IFERROR(__xludf.DUMMYFUNCTION("""COMPUTED_VALUE"""),"♢♢")</f>
        <v>♢♢</v>
      </c>
      <c r="W187" s="443">
        <f t="array" ref="W187">IFERROR(IFS(OR(U187="A1-Mewtwo", U187="A1-Pikachu", U187="A1-Charizard", U187="A1"), $B$5-XLOOKUP(S187, 'Genetic Apex'!$C$2:$C889, 'Genetic Apex'!$B$2:$B889), U187="A1a", $B$5-XLOOKUP(S187, 'Mythical Island'!$C$2:$C889, 'Mythical Island'!$B$2:$B889), OR(U187="A2-Dialga", U187="A2-Palkia", U187="A2"), $B$5-XLOOKUP(S187, 'Space-Time Smackdown'!$C$2:$C889, 'Space-Time Smackdown'!$B$2:$B889)))</f>
        <v>1</v>
      </c>
      <c r="X187" s="444">
        <f t="shared" si="3"/>
        <v>0</v>
      </c>
      <c r="Y187" s="445" t="str">
        <f t="shared" si="4"/>
        <v/>
      </c>
      <c r="Z187" s="278"/>
      <c r="AA187" s="466"/>
      <c r="AB187" s="278"/>
      <c r="AC187" s="278"/>
      <c r="AD187" s="278"/>
      <c r="AE187" s="278"/>
      <c r="AF187" s="278"/>
      <c r="AG187" s="278" t="b">
        <f t="shared" si="5"/>
        <v>0</v>
      </c>
      <c r="AH187" s="454"/>
      <c r="AI187" s="278"/>
      <c r="AJ187" s="278"/>
      <c r="AK187" s="278"/>
      <c r="AL187" s="444" t="str">
        <f t="array" ref="AL187">IFERROR(IFS(OR(AJ187="A1-Mewtwo", AJ187="A1-Pikachu", AJ187="A1-Charizard", AJ187="A1"), XLOOKUP(AH187, 'Genetic Apex'!$C$2:$C889, 'Genetic Apex'!$B$2:$B889)-2, AJ187="A1a", XLOOKUP(AH187, 'Mythical Island'!$C$2:$C889, 'Mythical Island'!$B$2:$B889)-2, OR(AJ187="A2-Dialga", AJ187="A2-Palkia", AJ187="A2"), XLOOKUP(AH187, 'Space-Time Smackdown'!$C$2:$C889, 'Space-Time Smackdown'!$B$2:$B889)-2))</f>
        <v/>
      </c>
      <c r="AM187" s="444" t="str">
        <f t="shared" si="6"/>
        <v/>
      </c>
      <c r="AN187" s="448" t="str">
        <f t="shared" si="7"/>
        <v/>
      </c>
    </row>
    <row r="188">
      <c r="A188" s="277"/>
      <c r="B188" s="277"/>
      <c r="C188" s="441"/>
      <c r="D188" s="277"/>
      <c r="E188" s="277"/>
      <c r="F188" s="277"/>
      <c r="G188" s="277"/>
      <c r="H188" s="277" t="b">
        <f t="shared" si="1"/>
        <v>0</v>
      </c>
      <c r="I188" s="277" t="str">
        <f>IFERROR(__xludf.DUMMYFUNCTION("""COMPUTED_VALUE"""),"A1 185")</f>
        <v>A1 185</v>
      </c>
      <c r="J188" s="277" t="str">
        <f>IFERROR(__xludf.DUMMYFUNCTION("""COMPUTED_VALUE"""),"Dragonite")</f>
        <v>Dragonite</v>
      </c>
      <c r="K188" s="277" t="str">
        <f>IFERROR(__xludf.DUMMYFUNCTION("""COMPUTED_VALUE"""),"A1-Mewtwo")</f>
        <v>A1-Mewtwo</v>
      </c>
      <c r="L188" s="277" t="str">
        <f>IFERROR(__xludf.DUMMYFUNCTION("""COMPUTED_VALUE"""),"♢♢♢")</f>
        <v>♢♢♢</v>
      </c>
      <c r="M188" s="440" t="b">
        <f t="shared" si="2"/>
        <v>1</v>
      </c>
      <c r="N188" s="441"/>
      <c r="O188" s="277"/>
      <c r="P188" s="277"/>
      <c r="Q188" s="278"/>
      <c r="R188" s="449" t="str">
        <f t="array" ref="R188">IFERROR(IFS(OR(P188="A1-Mewtwo", P188="A1-Pikachu", P188="A1-Charizard", P188="A1"), XLOOKUP(N188, 'Genetic Apex'!$C$2:$C889, 'Genetic Apex'!$B$2:$B889)-$B$4, P188="A1a", XLOOKUP(N188, 'Mythical Island'!$C$2:$C889, 'Mythical Island'!$B$2:$B889)-$B$4, OR(P188="A2-Dialga", P188="A2-Palkia", P188="A2"), XLOOKUP(N188, 'Space-Time Smackdown'!$C$2:$C889, 'Space-Time Smackdown'!$B$2:$B889)-$B$4))</f>
        <v/>
      </c>
      <c r="S188" s="277" t="str">
        <f>IFERROR(__xludf.DUMMYFUNCTION("""COMPUTED_VALUE"""),"A1 185")</f>
        <v>A1 185</v>
      </c>
      <c r="T188" s="277" t="str">
        <f>IFERROR(__xludf.DUMMYFUNCTION("""COMPUTED_VALUE"""),"Dragonite")</f>
        <v>Dragonite</v>
      </c>
      <c r="U188" s="277" t="str">
        <f>IFERROR(__xludf.DUMMYFUNCTION("""COMPUTED_VALUE"""),"A1-Mewtwo")</f>
        <v>A1-Mewtwo</v>
      </c>
      <c r="V188" s="278" t="str">
        <f>IFERROR(__xludf.DUMMYFUNCTION("""COMPUTED_VALUE"""),"♢♢♢")</f>
        <v>♢♢♢</v>
      </c>
      <c r="W188" s="443">
        <f t="array" ref="W188">IFERROR(IFS(OR(U188="A1-Mewtwo", U188="A1-Pikachu", U188="A1-Charizard", U188="A1"), $B$5-XLOOKUP(S188, 'Genetic Apex'!$C$2:$C889, 'Genetic Apex'!$B$2:$B889), U188="A1a", $B$5-XLOOKUP(S188, 'Mythical Island'!$C$2:$C889, 'Mythical Island'!$B$2:$B889), OR(U188="A2-Dialga", U188="A2-Palkia", U188="A2"), $B$5-XLOOKUP(S188, 'Space-Time Smackdown'!$C$2:$C889, 'Space-Time Smackdown'!$B$2:$B889)))</f>
        <v>1</v>
      </c>
      <c r="X188" s="444">
        <f t="shared" si="3"/>
        <v>120</v>
      </c>
      <c r="Y188" s="445">
        <f t="shared" si="4"/>
        <v>120</v>
      </c>
      <c r="Z188" s="278"/>
      <c r="AA188" s="466"/>
      <c r="AB188" s="278"/>
      <c r="AC188" s="278"/>
      <c r="AD188" s="278"/>
      <c r="AE188" s="278"/>
      <c r="AF188" s="278"/>
      <c r="AG188" s="278" t="b">
        <f t="shared" si="5"/>
        <v>0</v>
      </c>
      <c r="AH188" s="454"/>
      <c r="AI188" s="278"/>
      <c r="AJ188" s="278"/>
      <c r="AK188" s="278"/>
      <c r="AL188" s="444" t="str">
        <f t="array" ref="AL188">IFERROR(IFS(OR(AJ188="A1-Mewtwo", AJ188="A1-Pikachu", AJ188="A1-Charizard", AJ188="A1"), XLOOKUP(AH188, 'Genetic Apex'!$C$2:$C889, 'Genetic Apex'!$B$2:$B889)-2, AJ188="A1a", XLOOKUP(AH188, 'Mythical Island'!$C$2:$C889, 'Mythical Island'!$B$2:$B889)-2, OR(AJ188="A2-Dialga", AJ188="A2-Palkia", AJ188="A2"), XLOOKUP(AH188, 'Space-Time Smackdown'!$C$2:$C889, 'Space-Time Smackdown'!$B$2:$B889)-2))</f>
        <v/>
      </c>
      <c r="AM188" s="444" t="str">
        <f t="shared" si="6"/>
        <v/>
      </c>
      <c r="AN188" s="448" t="str">
        <f t="shared" si="7"/>
        <v/>
      </c>
    </row>
    <row r="189">
      <c r="A189" s="277"/>
      <c r="B189" s="277"/>
      <c r="C189" s="441"/>
      <c r="D189" s="277"/>
      <c r="E189" s="277"/>
      <c r="F189" s="277"/>
      <c r="G189" s="277"/>
      <c r="H189" s="277" t="b">
        <f t="shared" si="1"/>
        <v>0</v>
      </c>
      <c r="I189" s="277" t="str">
        <f>IFERROR(__xludf.DUMMYFUNCTION("""COMPUTED_VALUE"""),"A1 186")</f>
        <v>A1 186</v>
      </c>
      <c r="J189" s="277" t="str">
        <f>IFERROR(__xludf.DUMMYFUNCTION("""COMPUTED_VALUE"""),"Pidgey")</f>
        <v>Pidgey</v>
      </c>
      <c r="K189" s="277" t="str">
        <f>IFERROR(__xludf.DUMMYFUNCTION("""COMPUTED_VALUE"""),"A1-Mewtwo")</f>
        <v>A1-Mewtwo</v>
      </c>
      <c r="L189" s="277" t="str">
        <f>IFERROR(__xludf.DUMMYFUNCTION("""COMPUTED_VALUE"""),"♢")</f>
        <v>♢</v>
      </c>
      <c r="M189" s="440" t="b">
        <f t="shared" si="2"/>
        <v>1</v>
      </c>
      <c r="N189" s="441"/>
      <c r="O189" s="277"/>
      <c r="P189" s="277"/>
      <c r="Q189" s="278"/>
      <c r="R189" s="449" t="str">
        <f t="array" ref="R189">IFERROR(IFS(OR(P189="A1-Mewtwo", P189="A1-Pikachu", P189="A1-Charizard", P189="A1"), XLOOKUP(N189, 'Genetic Apex'!$C$2:$C889, 'Genetic Apex'!$B$2:$B889)-$B$4, P189="A1a", XLOOKUP(N189, 'Mythical Island'!$C$2:$C889, 'Mythical Island'!$B$2:$B889)-$B$4, OR(P189="A2-Dialga", P189="A2-Palkia", P189="A2"), XLOOKUP(N189, 'Space-Time Smackdown'!$C$2:$C889, 'Space-Time Smackdown'!$B$2:$B889)-$B$4))</f>
        <v/>
      </c>
      <c r="S189" s="277" t="str">
        <f>IFERROR(__xludf.DUMMYFUNCTION("""COMPUTED_VALUE"""),"A1 186")</f>
        <v>A1 186</v>
      </c>
      <c r="T189" s="277" t="str">
        <f>IFERROR(__xludf.DUMMYFUNCTION("""COMPUTED_VALUE"""),"Pidgey")</f>
        <v>Pidgey</v>
      </c>
      <c r="U189" s="277" t="str">
        <f>IFERROR(__xludf.DUMMYFUNCTION("""COMPUTED_VALUE"""),"A1-Mewtwo")</f>
        <v>A1-Mewtwo</v>
      </c>
      <c r="V189" s="278" t="str">
        <f>IFERROR(__xludf.DUMMYFUNCTION("""COMPUTED_VALUE"""),"♢")</f>
        <v>♢</v>
      </c>
      <c r="W189" s="443">
        <f t="array" ref="W189">IFERROR(IFS(OR(U189="A1-Mewtwo", U189="A1-Pikachu", U189="A1-Charizard", U189="A1"), $B$5-XLOOKUP(S189, 'Genetic Apex'!$C$2:$C889, 'Genetic Apex'!$B$2:$B889), U189="A1a", $B$5-XLOOKUP(S189, 'Mythical Island'!$C$2:$C889, 'Mythical Island'!$B$2:$B889), OR(U189="A2-Dialga", U189="A2-Palkia", U189="A2"), $B$5-XLOOKUP(S189, 'Space-Time Smackdown'!$C$2:$C889, 'Space-Time Smackdown'!$B$2:$B889)))</f>
        <v>1</v>
      </c>
      <c r="X189" s="444">
        <f t="shared" si="3"/>
        <v>0</v>
      </c>
      <c r="Y189" s="445" t="str">
        <f t="shared" si="4"/>
        <v/>
      </c>
      <c r="Z189" s="278"/>
      <c r="AA189" s="466"/>
      <c r="AB189" s="278"/>
      <c r="AC189" s="278"/>
      <c r="AD189" s="278"/>
      <c r="AE189" s="278"/>
      <c r="AF189" s="278"/>
      <c r="AG189" s="278" t="b">
        <f t="shared" si="5"/>
        <v>0</v>
      </c>
      <c r="AH189" s="454"/>
      <c r="AI189" s="278"/>
      <c r="AJ189" s="278"/>
      <c r="AK189" s="278"/>
      <c r="AL189" s="444" t="str">
        <f t="array" ref="AL189">IFERROR(IFS(OR(AJ189="A1-Mewtwo", AJ189="A1-Pikachu", AJ189="A1-Charizard", AJ189="A1"), XLOOKUP(AH189, 'Genetic Apex'!$C$2:$C889, 'Genetic Apex'!$B$2:$B889)-2, AJ189="A1a", XLOOKUP(AH189, 'Mythical Island'!$C$2:$C889, 'Mythical Island'!$B$2:$B889)-2, OR(AJ189="A2-Dialga", AJ189="A2-Palkia", AJ189="A2"), XLOOKUP(AH189, 'Space-Time Smackdown'!$C$2:$C889, 'Space-Time Smackdown'!$B$2:$B889)-2))</f>
        <v/>
      </c>
      <c r="AM189" s="444" t="str">
        <f t="shared" si="6"/>
        <v/>
      </c>
      <c r="AN189" s="448" t="str">
        <f t="shared" si="7"/>
        <v/>
      </c>
    </row>
    <row r="190">
      <c r="A190" s="277"/>
      <c r="B190" s="277"/>
      <c r="C190" s="441"/>
      <c r="D190" s="277"/>
      <c r="E190" s="277"/>
      <c r="F190" s="277"/>
      <c r="G190" s="277"/>
      <c r="H190" s="277" t="b">
        <f t="shared" si="1"/>
        <v>0</v>
      </c>
      <c r="I190" s="277" t="str">
        <f>IFERROR(__xludf.DUMMYFUNCTION("""COMPUTED_VALUE"""),"A1 187")</f>
        <v>A1 187</v>
      </c>
      <c r="J190" s="277" t="str">
        <f>IFERROR(__xludf.DUMMYFUNCTION("""COMPUTED_VALUE"""),"Pidgeotto")</f>
        <v>Pidgeotto</v>
      </c>
      <c r="K190" s="277" t="str">
        <f>IFERROR(__xludf.DUMMYFUNCTION("""COMPUTED_VALUE"""),"A1-Mewtwo")</f>
        <v>A1-Mewtwo</v>
      </c>
      <c r="L190" s="277" t="str">
        <f>IFERROR(__xludf.DUMMYFUNCTION("""COMPUTED_VALUE"""),"♢")</f>
        <v>♢</v>
      </c>
      <c r="M190" s="440" t="b">
        <f t="shared" si="2"/>
        <v>1</v>
      </c>
      <c r="N190" s="441"/>
      <c r="O190" s="277"/>
      <c r="P190" s="277"/>
      <c r="Q190" s="278"/>
      <c r="R190" s="449" t="str">
        <f t="array" ref="R190">IFERROR(IFS(OR(P190="A1-Mewtwo", P190="A1-Pikachu", P190="A1-Charizard", P190="A1"), XLOOKUP(N190, 'Genetic Apex'!$C$2:$C889, 'Genetic Apex'!$B$2:$B889)-$B$4, P190="A1a", XLOOKUP(N190, 'Mythical Island'!$C$2:$C889, 'Mythical Island'!$B$2:$B889)-$B$4, OR(P190="A2-Dialga", P190="A2-Palkia", P190="A2"), XLOOKUP(N190, 'Space-Time Smackdown'!$C$2:$C889, 'Space-Time Smackdown'!$B$2:$B889)-$B$4))</f>
        <v/>
      </c>
      <c r="S190" s="277" t="str">
        <f>IFERROR(__xludf.DUMMYFUNCTION("""COMPUTED_VALUE"""),"A1 187")</f>
        <v>A1 187</v>
      </c>
      <c r="T190" s="277" t="str">
        <f>IFERROR(__xludf.DUMMYFUNCTION("""COMPUTED_VALUE"""),"Pidgeotto")</f>
        <v>Pidgeotto</v>
      </c>
      <c r="U190" s="277" t="str">
        <f>IFERROR(__xludf.DUMMYFUNCTION("""COMPUTED_VALUE"""),"A1-Mewtwo")</f>
        <v>A1-Mewtwo</v>
      </c>
      <c r="V190" s="278" t="str">
        <f>IFERROR(__xludf.DUMMYFUNCTION("""COMPUTED_VALUE"""),"♢")</f>
        <v>♢</v>
      </c>
      <c r="W190" s="443">
        <f t="array" ref="W190">IFERROR(IFS(OR(U190="A1-Mewtwo", U190="A1-Pikachu", U190="A1-Charizard", U190="A1"), $B$5-XLOOKUP(S190, 'Genetic Apex'!$C$2:$C889, 'Genetic Apex'!$B$2:$B889), U190="A1a", $B$5-XLOOKUP(S190, 'Mythical Island'!$C$2:$C889, 'Mythical Island'!$B$2:$B889), OR(U190="A2-Dialga", U190="A2-Palkia", U190="A2"), $B$5-XLOOKUP(S190, 'Space-Time Smackdown'!$C$2:$C889, 'Space-Time Smackdown'!$B$2:$B889)))</f>
        <v>1</v>
      </c>
      <c r="X190" s="444">
        <f t="shared" si="3"/>
        <v>0</v>
      </c>
      <c r="Y190" s="445" t="str">
        <f t="shared" si="4"/>
        <v/>
      </c>
      <c r="Z190" s="278"/>
      <c r="AA190" s="466"/>
      <c r="AB190" s="278"/>
      <c r="AC190" s="278"/>
      <c r="AD190" s="278"/>
      <c r="AE190" s="278"/>
      <c r="AF190" s="278"/>
      <c r="AG190" s="278" t="b">
        <f t="shared" si="5"/>
        <v>0</v>
      </c>
      <c r="AH190" s="454"/>
      <c r="AI190" s="278"/>
      <c r="AJ190" s="278"/>
      <c r="AK190" s="278"/>
      <c r="AL190" s="444" t="str">
        <f t="array" ref="AL190">IFERROR(IFS(OR(AJ190="A1-Mewtwo", AJ190="A1-Pikachu", AJ190="A1-Charizard", AJ190="A1"), XLOOKUP(AH190, 'Genetic Apex'!$C$2:$C889, 'Genetic Apex'!$B$2:$B889)-2, AJ190="A1a", XLOOKUP(AH190, 'Mythical Island'!$C$2:$C889, 'Mythical Island'!$B$2:$B889)-2, OR(AJ190="A2-Dialga", AJ190="A2-Palkia", AJ190="A2"), XLOOKUP(AH190, 'Space-Time Smackdown'!$C$2:$C889, 'Space-Time Smackdown'!$B$2:$B889)-2))</f>
        <v/>
      </c>
      <c r="AM190" s="444" t="str">
        <f t="shared" si="6"/>
        <v/>
      </c>
      <c r="AN190" s="448" t="str">
        <f t="shared" si="7"/>
        <v/>
      </c>
    </row>
    <row r="191">
      <c r="A191" s="277"/>
      <c r="B191" s="277"/>
      <c r="C191" s="441"/>
      <c r="D191" s="277"/>
      <c r="E191" s="277"/>
      <c r="F191" s="277"/>
      <c r="G191" s="277"/>
      <c r="H191" s="277" t="b">
        <f t="shared" si="1"/>
        <v>0</v>
      </c>
      <c r="I191" s="277" t="str">
        <f>IFERROR(__xludf.DUMMYFUNCTION("""COMPUTED_VALUE"""),"A1 188")</f>
        <v>A1 188</v>
      </c>
      <c r="J191" s="277" t="str">
        <f>IFERROR(__xludf.DUMMYFUNCTION("""COMPUTED_VALUE"""),"Pidgeot")</f>
        <v>Pidgeot</v>
      </c>
      <c r="K191" s="277" t="str">
        <f>IFERROR(__xludf.DUMMYFUNCTION("""COMPUTED_VALUE"""),"A1-Mewtwo")</f>
        <v>A1-Mewtwo</v>
      </c>
      <c r="L191" s="277" t="str">
        <f>IFERROR(__xludf.DUMMYFUNCTION("""COMPUTED_VALUE"""),"♢♢♢")</f>
        <v>♢♢♢</v>
      </c>
      <c r="M191" s="440" t="b">
        <f t="shared" si="2"/>
        <v>1</v>
      </c>
      <c r="N191" s="441"/>
      <c r="O191" s="277"/>
      <c r="P191" s="277"/>
      <c r="Q191" s="278"/>
      <c r="R191" s="449" t="str">
        <f t="array" ref="R191">IFERROR(IFS(OR(P191="A1-Mewtwo", P191="A1-Pikachu", P191="A1-Charizard", P191="A1"), XLOOKUP(N191, 'Genetic Apex'!$C$2:$C889, 'Genetic Apex'!$B$2:$B889)-$B$4, P191="A1a", XLOOKUP(N191, 'Mythical Island'!$C$2:$C889, 'Mythical Island'!$B$2:$B889)-$B$4, OR(P191="A2-Dialga", P191="A2-Palkia", P191="A2"), XLOOKUP(N191, 'Space-Time Smackdown'!$C$2:$C889, 'Space-Time Smackdown'!$B$2:$B889)-$B$4))</f>
        <v/>
      </c>
      <c r="S191" s="277" t="str">
        <f>IFERROR(__xludf.DUMMYFUNCTION("""COMPUTED_VALUE"""),"A1 188")</f>
        <v>A1 188</v>
      </c>
      <c r="T191" s="277" t="str">
        <f>IFERROR(__xludf.DUMMYFUNCTION("""COMPUTED_VALUE"""),"Pidgeot")</f>
        <v>Pidgeot</v>
      </c>
      <c r="U191" s="277" t="str">
        <f>IFERROR(__xludf.DUMMYFUNCTION("""COMPUTED_VALUE"""),"A1-Mewtwo")</f>
        <v>A1-Mewtwo</v>
      </c>
      <c r="V191" s="278" t="str">
        <f>IFERROR(__xludf.DUMMYFUNCTION("""COMPUTED_VALUE"""),"♢♢♢")</f>
        <v>♢♢♢</v>
      </c>
      <c r="W191" s="443">
        <f t="array" ref="W191">IFERROR(IFS(OR(U191="A1-Mewtwo", U191="A1-Pikachu", U191="A1-Charizard", U191="A1"), $B$5-XLOOKUP(S191, 'Genetic Apex'!$C$2:$C889, 'Genetic Apex'!$B$2:$B889), U191="A1a", $B$5-XLOOKUP(S191, 'Mythical Island'!$C$2:$C889, 'Mythical Island'!$B$2:$B889), OR(U191="A2-Dialga", U191="A2-Palkia", U191="A2"), $B$5-XLOOKUP(S191, 'Space-Time Smackdown'!$C$2:$C889, 'Space-Time Smackdown'!$B$2:$B889)))</f>
        <v>1</v>
      </c>
      <c r="X191" s="444">
        <f t="shared" si="3"/>
        <v>120</v>
      </c>
      <c r="Y191" s="445">
        <f t="shared" si="4"/>
        <v>120</v>
      </c>
      <c r="Z191" s="278"/>
      <c r="AA191" s="466"/>
      <c r="AB191" s="278"/>
      <c r="AC191" s="278"/>
      <c r="AD191" s="278"/>
      <c r="AE191" s="278"/>
      <c r="AF191" s="278"/>
      <c r="AG191" s="278" t="b">
        <f t="shared" si="5"/>
        <v>0</v>
      </c>
      <c r="AH191" s="454"/>
      <c r="AI191" s="278"/>
      <c r="AJ191" s="278"/>
      <c r="AK191" s="278"/>
      <c r="AL191" s="444" t="str">
        <f t="array" ref="AL191">IFERROR(IFS(OR(AJ191="A1-Mewtwo", AJ191="A1-Pikachu", AJ191="A1-Charizard", AJ191="A1"), XLOOKUP(AH191, 'Genetic Apex'!$C$2:$C889, 'Genetic Apex'!$B$2:$B889)-2, AJ191="A1a", XLOOKUP(AH191, 'Mythical Island'!$C$2:$C889, 'Mythical Island'!$B$2:$B889)-2, OR(AJ191="A2-Dialga", AJ191="A2-Palkia", AJ191="A2"), XLOOKUP(AH191, 'Space-Time Smackdown'!$C$2:$C889, 'Space-Time Smackdown'!$B$2:$B889)-2))</f>
        <v/>
      </c>
      <c r="AM191" s="444" t="str">
        <f t="shared" si="6"/>
        <v/>
      </c>
      <c r="AN191" s="448" t="str">
        <f t="shared" si="7"/>
        <v/>
      </c>
    </row>
    <row r="192">
      <c r="A192" s="277"/>
      <c r="B192" s="277"/>
      <c r="C192" s="441"/>
      <c r="D192" s="277"/>
      <c r="E192" s="277"/>
      <c r="F192" s="277"/>
      <c r="G192" s="277"/>
      <c r="H192" s="277" t="b">
        <f t="shared" si="1"/>
        <v>0</v>
      </c>
      <c r="I192" s="277" t="str">
        <f>IFERROR(__xludf.DUMMYFUNCTION("""COMPUTED_VALUE"""),"A1 189")</f>
        <v>A1 189</v>
      </c>
      <c r="J192" s="277" t="str">
        <f>IFERROR(__xludf.DUMMYFUNCTION("""COMPUTED_VALUE"""),"Rattata")</f>
        <v>Rattata</v>
      </c>
      <c r="K192" s="277" t="str">
        <f>IFERROR(__xludf.DUMMYFUNCTION("""COMPUTED_VALUE"""),"A1")</f>
        <v>A1</v>
      </c>
      <c r="L192" s="277" t="str">
        <f>IFERROR(__xludf.DUMMYFUNCTION("""COMPUTED_VALUE"""),"♢")</f>
        <v>♢</v>
      </c>
      <c r="M192" s="440" t="b">
        <f t="shared" si="2"/>
        <v>1</v>
      </c>
      <c r="N192" s="441"/>
      <c r="O192" s="277"/>
      <c r="P192" s="277"/>
      <c r="Q192" s="278"/>
      <c r="R192" s="449" t="str">
        <f t="array" ref="R192">IFERROR(IFS(OR(P192="A1-Mewtwo", P192="A1-Pikachu", P192="A1-Charizard", P192="A1"), XLOOKUP(N192, 'Genetic Apex'!$C$2:$C889, 'Genetic Apex'!$B$2:$B889)-$B$4, P192="A1a", XLOOKUP(N192, 'Mythical Island'!$C$2:$C889, 'Mythical Island'!$B$2:$B889)-$B$4, OR(P192="A2-Dialga", P192="A2-Palkia", P192="A2"), XLOOKUP(N192, 'Space-Time Smackdown'!$C$2:$C889, 'Space-Time Smackdown'!$B$2:$B889)-$B$4))</f>
        <v/>
      </c>
      <c r="S192" s="277" t="str">
        <f>IFERROR(__xludf.DUMMYFUNCTION("""COMPUTED_VALUE"""),"A1 189")</f>
        <v>A1 189</v>
      </c>
      <c r="T192" s="277" t="str">
        <f>IFERROR(__xludf.DUMMYFUNCTION("""COMPUTED_VALUE"""),"Rattata")</f>
        <v>Rattata</v>
      </c>
      <c r="U192" s="277" t="str">
        <f>IFERROR(__xludf.DUMMYFUNCTION("""COMPUTED_VALUE"""),"A1")</f>
        <v>A1</v>
      </c>
      <c r="V192" s="278" t="str">
        <f>IFERROR(__xludf.DUMMYFUNCTION("""COMPUTED_VALUE"""),"♢")</f>
        <v>♢</v>
      </c>
      <c r="W192" s="443">
        <f t="array" ref="W192">IFERROR(IFS(OR(U192="A1-Mewtwo", U192="A1-Pikachu", U192="A1-Charizard", U192="A1"), $B$5-XLOOKUP(S192, 'Genetic Apex'!$C$2:$C889, 'Genetic Apex'!$B$2:$B889), U192="A1a", $B$5-XLOOKUP(S192, 'Mythical Island'!$C$2:$C889, 'Mythical Island'!$B$2:$B889), OR(U192="A2-Dialga", U192="A2-Palkia", U192="A2"), $B$5-XLOOKUP(S192, 'Space-Time Smackdown'!$C$2:$C889, 'Space-Time Smackdown'!$B$2:$B889)))</f>
        <v>1</v>
      </c>
      <c r="X192" s="444">
        <f t="shared" si="3"/>
        <v>0</v>
      </c>
      <c r="Y192" s="445" t="str">
        <f t="shared" si="4"/>
        <v/>
      </c>
      <c r="Z192" s="278"/>
      <c r="AA192" s="466"/>
      <c r="AB192" s="278"/>
      <c r="AC192" s="278"/>
      <c r="AD192" s="278"/>
      <c r="AE192" s="278"/>
      <c r="AF192" s="278"/>
      <c r="AG192" s="278" t="b">
        <f t="shared" si="5"/>
        <v>0</v>
      </c>
      <c r="AH192" s="454"/>
      <c r="AI192" s="278"/>
      <c r="AJ192" s="278"/>
      <c r="AK192" s="278"/>
      <c r="AL192" s="444" t="str">
        <f t="array" ref="AL192">IFERROR(IFS(OR(AJ192="A1-Mewtwo", AJ192="A1-Pikachu", AJ192="A1-Charizard", AJ192="A1"), XLOOKUP(AH192, 'Genetic Apex'!$C$2:$C889, 'Genetic Apex'!$B$2:$B889)-2, AJ192="A1a", XLOOKUP(AH192, 'Mythical Island'!$C$2:$C889, 'Mythical Island'!$B$2:$B889)-2, OR(AJ192="A2-Dialga", AJ192="A2-Palkia", AJ192="A2"), XLOOKUP(AH192, 'Space-Time Smackdown'!$C$2:$C889, 'Space-Time Smackdown'!$B$2:$B889)-2))</f>
        <v/>
      </c>
      <c r="AM192" s="444" t="str">
        <f t="shared" si="6"/>
        <v/>
      </c>
      <c r="AN192" s="448" t="str">
        <f t="shared" si="7"/>
        <v/>
      </c>
    </row>
    <row r="193">
      <c r="A193" s="277"/>
      <c r="B193" s="277"/>
      <c r="C193" s="441"/>
      <c r="D193" s="277"/>
      <c r="E193" s="277"/>
      <c r="F193" s="277"/>
      <c r="G193" s="277"/>
      <c r="H193" s="277" t="b">
        <f t="shared" si="1"/>
        <v>0</v>
      </c>
      <c r="I193" s="277" t="str">
        <f>IFERROR(__xludf.DUMMYFUNCTION("""COMPUTED_VALUE"""),"A1 190")</f>
        <v>A1 190</v>
      </c>
      <c r="J193" s="277" t="str">
        <f>IFERROR(__xludf.DUMMYFUNCTION("""COMPUTED_VALUE"""),"Raticate")</f>
        <v>Raticate</v>
      </c>
      <c r="K193" s="277" t="str">
        <f>IFERROR(__xludf.DUMMYFUNCTION("""COMPUTED_VALUE"""),"A1")</f>
        <v>A1</v>
      </c>
      <c r="L193" s="277" t="str">
        <f>IFERROR(__xludf.DUMMYFUNCTION("""COMPUTED_VALUE"""),"♢")</f>
        <v>♢</v>
      </c>
      <c r="M193" s="440" t="b">
        <f t="shared" si="2"/>
        <v>1</v>
      </c>
      <c r="N193" s="441"/>
      <c r="O193" s="277"/>
      <c r="P193" s="277"/>
      <c r="Q193" s="278"/>
      <c r="R193" s="449" t="str">
        <f t="array" ref="R193">IFERROR(IFS(OR(P193="A1-Mewtwo", P193="A1-Pikachu", P193="A1-Charizard", P193="A1"), XLOOKUP(N193, 'Genetic Apex'!$C$2:$C889, 'Genetic Apex'!$B$2:$B889)-$B$4, P193="A1a", XLOOKUP(N193, 'Mythical Island'!$C$2:$C889, 'Mythical Island'!$B$2:$B889)-$B$4, OR(P193="A2-Dialga", P193="A2-Palkia", P193="A2"), XLOOKUP(N193, 'Space-Time Smackdown'!$C$2:$C889, 'Space-Time Smackdown'!$B$2:$B889)-$B$4))</f>
        <v/>
      </c>
      <c r="S193" s="277" t="str">
        <f>IFERROR(__xludf.DUMMYFUNCTION("""COMPUTED_VALUE"""),"A1 190")</f>
        <v>A1 190</v>
      </c>
      <c r="T193" s="277" t="str">
        <f>IFERROR(__xludf.DUMMYFUNCTION("""COMPUTED_VALUE"""),"Raticate")</f>
        <v>Raticate</v>
      </c>
      <c r="U193" s="277" t="str">
        <f>IFERROR(__xludf.DUMMYFUNCTION("""COMPUTED_VALUE"""),"A1")</f>
        <v>A1</v>
      </c>
      <c r="V193" s="278" t="str">
        <f>IFERROR(__xludf.DUMMYFUNCTION("""COMPUTED_VALUE"""),"♢")</f>
        <v>♢</v>
      </c>
      <c r="W193" s="443">
        <f t="array" ref="W193">IFERROR(IFS(OR(U193="A1-Mewtwo", U193="A1-Pikachu", U193="A1-Charizard", U193="A1"), $B$5-XLOOKUP(S193, 'Genetic Apex'!$C$2:$C889, 'Genetic Apex'!$B$2:$B889), U193="A1a", $B$5-XLOOKUP(S193, 'Mythical Island'!$C$2:$C889, 'Mythical Island'!$B$2:$B889), OR(U193="A2-Dialga", U193="A2-Palkia", U193="A2"), $B$5-XLOOKUP(S193, 'Space-Time Smackdown'!$C$2:$C889, 'Space-Time Smackdown'!$B$2:$B889)))</f>
        <v>1</v>
      </c>
      <c r="X193" s="444">
        <f t="shared" si="3"/>
        <v>0</v>
      </c>
      <c r="Y193" s="445" t="str">
        <f t="shared" si="4"/>
        <v/>
      </c>
      <c r="Z193" s="278"/>
      <c r="AA193" s="466"/>
      <c r="AB193" s="278"/>
      <c r="AC193" s="278"/>
      <c r="AD193" s="278"/>
      <c r="AE193" s="278"/>
      <c r="AF193" s="278"/>
      <c r="AG193" s="278" t="b">
        <f t="shared" si="5"/>
        <v>0</v>
      </c>
      <c r="AH193" s="454"/>
      <c r="AI193" s="278"/>
      <c r="AJ193" s="278"/>
      <c r="AK193" s="278"/>
      <c r="AL193" s="444" t="str">
        <f t="array" ref="AL193">IFERROR(IFS(OR(AJ193="A1-Mewtwo", AJ193="A1-Pikachu", AJ193="A1-Charizard", AJ193="A1"), XLOOKUP(AH193, 'Genetic Apex'!$C$2:$C889, 'Genetic Apex'!$B$2:$B889)-2, AJ193="A1a", XLOOKUP(AH193, 'Mythical Island'!$C$2:$C889, 'Mythical Island'!$B$2:$B889)-2, OR(AJ193="A2-Dialga", AJ193="A2-Palkia", AJ193="A2"), XLOOKUP(AH193, 'Space-Time Smackdown'!$C$2:$C889, 'Space-Time Smackdown'!$B$2:$B889)-2))</f>
        <v/>
      </c>
      <c r="AM193" s="444" t="str">
        <f t="shared" si="6"/>
        <v/>
      </c>
      <c r="AN193" s="448" t="str">
        <f t="shared" si="7"/>
        <v/>
      </c>
    </row>
    <row r="194">
      <c r="A194" s="277"/>
      <c r="B194" s="277"/>
      <c r="C194" s="441"/>
      <c r="D194" s="277"/>
      <c r="E194" s="277"/>
      <c r="F194" s="277"/>
      <c r="G194" s="277"/>
      <c r="H194" s="277" t="b">
        <f t="shared" si="1"/>
        <v>0</v>
      </c>
      <c r="I194" s="277" t="str">
        <f>IFERROR(__xludf.DUMMYFUNCTION("""COMPUTED_VALUE"""),"A1 191")</f>
        <v>A1 191</v>
      </c>
      <c r="J194" s="277" t="str">
        <f>IFERROR(__xludf.DUMMYFUNCTION("""COMPUTED_VALUE"""),"Spearow")</f>
        <v>Spearow</v>
      </c>
      <c r="K194" s="277" t="str">
        <f>IFERROR(__xludf.DUMMYFUNCTION("""COMPUTED_VALUE"""),"A1-Charizard")</f>
        <v>A1-Charizard</v>
      </c>
      <c r="L194" s="277" t="str">
        <f>IFERROR(__xludf.DUMMYFUNCTION("""COMPUTED_VALUE"""),"♢")</f>
        <v>♢</v>
      </c>
      <c r="M194" s="440" t="b">
        <f t="shared" si="2"/>
        <v>1</v>
      </c>
      <c r="N194" s="441"/>
      <c r="O194" s="277"/>
      <c r="P194" s="277"/>
      <c r="Q194" s="278"/>
      <c r="R194" s="449" t="str">
        <f t="array" ref="R194">IFERROR(IFS(OR(P194="A1-Mewtwo", P194="A1-Pikachu", P194="A1-Charizard", P194="A1"), XLOOKUP(N194, 'Genetic Apex'!$C$2:$C889, 'Genetic Apex'!$B$2:$B889)-$B$4, P194="A1a", XLOOKUP(N194, 'Mythical Island'!$C$2:$C889, 'Mythical Island'!$B$2:$B889)-$B$4, OR(P194="A2-Dialga", P194="A2-Palkia", P194="A2"), XLOOKUP(N194, 'Space-Time Smackdown'!$C$2:$C889, 'Space-Time Smackdown'!$B$2:$B889)-$B$4))</f>
        <v/>
      </c>
      <c r="S194" s="277" t="str">
        <f>IFERROR(__xludf.DUMMYFUNCTION("""COMPUTED_VALUE"""),"A1 191")</f>
        <v>A1 191</v>
      </c>
      <c r="T194" s="277" t="str">
        <f>IFERROR(__xludf.DUMMYFUNCTION("""COMPUTED_VALUE"""),"Spearow")</f>
        <v>Spearow</v>
      </c>
      <c r="U194" s="277" t="str">
        <f>IFERROR(__xludf.DUMMYFUNCTION("""COMPUTED_VALUE"""),"A1-Charizard")</f>
        <v>A1-Charizard</v>
      </c>
      <c r="V194" s="278" t="str">
        <f>IFERROR(__xludf.DUMMYFUNCTION("""COMPUTED_VALUE"""),"♢")</f>
        <v>♢</v>
      </c>
      <c r="W194" s="443">
        <f t="array" ref="W194">IFERROR(IFS(OR(U194="A1-Mewtwo", U194="A1-Pikachu", U194="A1-Charizard", U194="A1"), $B$5-XLOOKUP(S194, 'Genetic Apex'!$C$2:$C889, 'Genetic Apex'!$B$2:$B889), U194="A1a", $B$5-XLOOKUP(S194, 'Mythical Island'!$C$2:$C889, 'Mythical Island'!$B$2:$B889), OR(U194="A2-Dialga", U194="A2-Palkia", U194="A2"), $B$5-XLOOKUP(S194, 'Space-Time Smackdown'!$C$2:$C889, 'Space-Time Smackdown'!$B$2:$B889)))</f>
        <v>1</v>
      </c>
      <c r="X194" s="444">
        <f t="shared" si="3"/>
        <v>0</v>
      </c>
      <c r="Y194" s="445" t="str">
        <f t="shared" si="4"/>
        <v/>
      </c>
      <c r="Z194" s="278"/>
      <c r="AA194" s="466"/>
      <c r="AB194" s="278"/>
      <c r="AC194" s="278"/>
      <c r="AD194" s="278"/>
      <c r="AE194" s="278"/>
      <c r="AF194" s="278"/>
      <c r="AG194" s="278" t="b">
        <f t="shared" si="5"/>
        <v>0</v>
      </c>
      <c r="AH194" s="454"/>
      <c r="AI194" s="278"/>
      <c r="AJ194" s="278"/>
      <c r="AK194" s="278"/>
      <c r="AL194" s="444" t="str">
        <f t="array" ref="AL194">IFERROR(IFS(OR(AJ194="A1-Mewtwo", AJ194="A1-Pikachu", AJ194="A1-Charizard", AJ194="A1"), XLOOKUP(AH194, 'Genetic Apex'!$C$2:$C889, 'Genetic Apex'!$B$2:$B889)-2, AJ194="A1a", XLOOKUP(AH194, 'Mythical Island'!$C$2:$C889, 'Mythical Island'!$B$2:$B889)-2, OR(AJ194="A2-Dialga", AJ194="A2-Palkia", AJ194="A2"), XLOOKUP(AH194, 'Space-Time Smackdown'!$C$2:$C889, 'Space-Time Smackdown'!$B$2:$B889)-2))</f>
        <v/>
      </c>
      <c r="AM194" s="444" t="str">
        <f t="shared" si="6"/>
        <v/>
      </c>
      <c r="AN194" s="448" t="str">
        <f t="shared" si="7"/>
        <v/>
      </c>
    </row>
    <row r="195">
      <c r="A195" s="277"/>
      <c r="B195" s="277"/>
      <c r="C195" s="441"/>
      <c r="D195" s="277"/>
      <c r="E195" s="277"/>
      <c r="F195" s="277"/>
      <c r="G195" s="277"/>
      <c r="H195" s="277" t="b">
        <f t="shared" si="1"/>
        <v>0</v>
      </c>
      <c r="I195" s="277" t="str">
        <f>IFERROR(__xludf.DUMMYFUNCTION("""COMPUTED_VALUE"""),"A1 192")</f>
        <v>A1 192</v>
      </c>
      <c r="J195" s="277" t="str">
        <f>IFERROR(__xludf.DUMMYFUNCTION("""COMPUTED_VALUE"""),"Fearow")</f>
        <v>Fearow</v>
      </c>
      <c r="K195" s="277" t="str">
        <f>IFERROR(__xludf.DUMMYFUNCTION("""COMPUTED_VALUE"""),"A1-Charizard")</f>
        <v>A1-Charizard</v>
      </c>
      <c r="L195" s="277" t="str">
        <f>IFERROR(__xludf.DUMMYFUNCTION("""COMPUTED_VALUE"""),"♢")</f>
        <v>♢</v>
      </c>
      <c r="M195" s="440" t="b">
        <f t="shared" si="2"/>
        <v>1</v>
      </c>
      <c r="N195" s="441"/>
      <c r="O195" s="277"/>
      <c r="P195" s="277"/>
      <c r="Q195" s="278"/>
      <c r="R195" s="449" t="str">
        <f t="array" ref="R195">IFERROR(IFS(OR(P195="A1-Mewtwo", P195="A1-Pikachu", P195="A1-Charizard", P195="A1"), XLOOKUP(N195, 'Genetic Apex'!$C$2:$C889, 'Genetic Apex'!$B$2:$B889)-$B$4, P195="A1a", XLOOKUP(N195, 'Mythical Island'!$C$2:$C889, 'Mythical Island'!$B$2:$B889)-$B$4, OR(P195="A2-Dialga", P195="A2-Palkia", P195="A2"), XLOOKUP(N195, 'Space-Time Smackdown'!$C$2:$C889, 'Space-Time Smackdown'!$B$2:$B889)-$B$4))</f>
        <v/>
      </c>
      <c r="S195" s="277" t="str">
        <f>IFERROR(__xludf.DUMMYFUNCTION("""COMPUTED_VALUE"""),"A1 192")</f>
        <v>A1 192</v>
      </c>
      <c r="T195" s="277" t="str">
        <f>IFERROR(__xludf.DUMMYFUNCTION("""COMPUTED_VALUE"""),"Fearow")</f>
        <v>Fearow</v>
      </c>
      <c r="U195" s="277" t="str">
        <f>IFERROR(__xludf.DUMMYFUNCTION("""COMPUTED_VALUE"""),"A1-Charizard")</f>
        <v>A1-Charizard</v>
      </c>
      <c r="V195" s="278" t="str">
        <f>IFERROR(__xludf.DUMMYFUNCTION("""COMPUTED_VALUE"""),"♢")</f>
        <v>♢</v>
      </c>
      <c r="W195" s="443">
        <f t="array" ref="W195">IFERROR(IFS(OR(U195="A1-Mewtwo", U195="A1-Pikachu", U195="A1-Charizard", U195="A1"), $B$5-XLOOKUP(S195, 'Genetic Apex'!$C$2:$C889, 'Genetic Apex'!$B$2:$B889), U195="A1a", $B$5-XLOOKUP(S195, 'Mythical Island'!$C$2:$C889, 'Mythical Island'!$B$2:$B889), OR(U195="A2-Dialga", U195="A2-Palkia", U195="A2"), $B$5-XLOOKUP(S195, 'Space-Time Smackdown'!$C$2:$C889, 'Space-Time Smackdown'!$B$2:$B889)))</f>
        <v>1</v>
      </c>
      <c r="X195" s="444">
        <f t="shared" si="3"/>
        <v>0</v>
      </c>
      <c r="Y195" s="445" t="str">
        <f t="shared" si="4"/>
        <v/>
      </c>
      <c r="Z195" s="278"/>
      <c r="AA195" s="466"/>
      <c r="AB195" s="278"/>
      <c r="AC195" s="278"/>
      <c r="AD195" s="278"/>
      <c r="AE195" s="278"/>
      <c r="AF195" s="278"/>
      <c r="AG195" s="278" t="b">
        <f t="shared" si="5"/>
        <v>0</v>
      </c>
      <c r="AH195" s="454"/>
      <c r="AI195" s="278"/>
      <c r="AJ195" s="278"/>
      <c r="AK195" s="278"/>
      <c r="AL195" s="444" t="str">
        <f t="array" ref="AL195">IFERROR(IFS(OR(AJ195="A1-Mewtwo", AJ195="A1-Pikachu", AJ195="A1-Charizard", AJ195="A1"), XLOOKUP(AH195, 'Genetic Apex'!$C$2:$C889, 'Genetic Apex'!$B$2:$B889)-2, AJ195="A1a", XLOOKUP(AH195, 'Mythical Island'!$C$2:$C889, 'Mythical Island'!$B$2:$B889)-2, OR(AJ195="A2-Dialga", AJ195="A2-Palkia", AJ195="A2"), XLOOKUP(AH195, 'Space-Time Smackdown'!$C$2:$C889, 'Space-Time Smackdown'!$B$2:$B889)-2))</f>
        <v/>
      </c>
      <c r="AM195" s="444" t="str">
        <f t="shared" si="6"/>
        <v/>
      </c>
      <c r="AN195" s="448" t="str">
        <f t="shared" si="7"/>
        <v/>
      </c>
    </row>
    <row r="196">
      <c r="A196" s="277"/>
      <c r="B196" s="277"/>
      <c r="C196" s="441"/>
      <c r="D196" s="277"/>
      <c r="E196" s="277"/>
      <c r="F196" s="277"/>
      <c r="G196" s="277"/>
      <c r="H196" s="277" t="b">
        <f t="shared" si="1"/>
        <v>0</v>
      </c>
      <c r="I196" s="277" t="str">
        <f>IFERROR(__xludf.DUMMYFUNCTION("""COMPUTED_VALUE"""),"A1 193")</f>
        <v>A1 193</v>
      </c>
      <c r="J196" s="277" t="str">
        <f>IFERROR(__xludf.DUMMYFUNCTION("""COMPUTED_VALUE"""),"Jigglypuff")</f>
        <v>Jigglypuff</v>
      </c>
      <c r="K196" s="277" t="str">
        <f>IFERROR(__xludf.DUMMYFUNCTION("""COMPUTED_VALUE"""),"A1-Pikachu")</f>
        <v>A1-Pikachu</v>
      </c>
      <c r="L196" s="277" t="str">
        <f>IFERROR(__xludf.DUMMYFUNCTION("""COMPUTED_VALUE"""),"♢")</f>
        <v>♢</v>
      </c>
      <c r="M196" s="440" t="b">
        <f t="shared" si="2"/>
        <v>1</v>
      </c>
      <c r="N196" s="441"/>
      <c r="O196" s="277"/>
      <c r="P196" s="277"/>
      <c r="Q196" s="278"/>
      <c r="R196" s="449" t="str">
        <f t="array" ref="R196">IFERROR(IFS(OR(P196="A1-Mewtwo", P196="A1-Pikachu", P196="A1-Charizard", P196="A1"), XLOOKUP(N196, 'Genetic Apex'!$C$2:$C889, 'Genetic Apex'!$B$2:$B889)-$B$4, P196="A1a", XLOOKUP(N196, 'Mythical Island'!$C$2:$C889, 'Mythical Island'!$B$2:$B889)-$B$4, OR(P196="A2-Dialga", P196="A2-Palkia", P196="A2"), XLOOKUP(N196, 'Space-Time Smackdown'!$C$2:$C889, 'Space-Time Smackdown'!$B$2:$B889)-$B$4))</f>
        <v/>
      </c>
      <c r="S196" s="277" t="str">
        <f>IFERROR(__xludf.DUMMYFUNCTION("""COMPUTED_VALUE"""),"A1 193")</f>
        <v>A1 193</v>
      </c>
      <c r="T196" s="277" t="str">
        <f>IFERROR(__xludf.DUMMYFUNCTION("""COMPUTED_VALUE"""),"Jigglypuff")</f>
        <v>Jigglypuff</v>
      </c>
      <c r="U196" s="277" t="str">
        <f>IFERROR(__xludf.DUMMYFUNCTION("""COMPUTED_VALUE"""),"A1-Pikachu")</f>
        <v>A1-Pikachu</v>
      </c>
      <c r="V196" s="278" t="str">
        <f>IFERROR(__xludf.DUMMYFUNCTION("""COMPUTED_VALUE"""),"♢")</f>
        <v>♢</v>
      </c>
      <c r="W196" s="443">
        <f t="array" ref="W196">IFERROR(IFS(OR(U196="A1-Mewtwo", U196="A1-Pikachu", U196="A1-Charizard", U196="A1"), $B$5-XLOOKUP(S196, 'Genetic Apex'!$C$2:$C889, 'Genetic Apex'!$B$2:$B889), U196="A1a", $B$5-XLOOKUP(S196, 'Mythical Island'!$C$2:$C889, 'Mythical Island'!$B$2:$B889), OR(U196="A2-Dialga", U196="A2-Palkia", U196="A2"), $B$5-XLOOKUP(S196, 'Space-Time Smackdown'!$C$2:$C889, 'Space-Time Smackdown'!$B$2:$B889)))</f>
        <v>1</v>
      </c>
      <c r="X196" s="444">
        <f t="shared" si="3"/>
        <v>0</v>
      </c>
      <c r="Y196" s="445" t="str">
        <f t="shared" si="4"/>
        <v/>
      </c>
      <c r="Z196" s="278"/>
      <c r="AA196" s="466"/>
      <c r="AB196" s="278"/>
      <c r="AC196" s="278"/>
      <c r="AD196" s="278"/>
      <c r="AE196" s="278"/>
      <c r="AF196" s="278"/>
      <c r="AG196" s="278" t="b">
        <f t="shared" si="5"/>
        <v>0</v>
      </c>
      <c r="AH196" s="454"/>
      <c r="AI196" s="278"/>
      <c r="AJ196" s="278"/>
      <c r="AK196" s="278"/>
      <c r="AL196" s="444" t="str">
        <f t="array" ref="AL196">IFERROR(IFS(OR(AJ196="A1-Mewtwo", AJ196="A1-Pikachu", AJ196="A1-Charizard", AJ196="A1"), XLOOKUP(AH196, 'Genetic Apex'!$C$2:$C889, 'Genetic Apex'!$B$2:$B889)-2, AJ196="A1a", XLOOKUP(AH196, 'Mythical Island'!$C$2:$C889, 'Mythical Island'!$B$2:$B889)-2, OR(AJ196="A2-Dialga", AJ196="A2-Palkia", AJ196="A2"), XLOOKUP(AH196, 'Space-Time Smackdown'!$C$2:$C889, 'Space-Time Smackdown'!$B$2:$B889)-2))</f>
        <v/>
      </c>
      <c r="AM196" s="444" t="str">
        <f t="shared" si="6"/>
        <v/>
      </c>
      <c r="AN196" s="448" t="str">
        <f t="shared" si="7"/>
        <v/>
      </c>
    </row>
    <row r="197">
      <c r="A197" s="277"/>
      <c r="B197" s="277"/>
      <c r="C197" s="441"/>
      <c r="D197" s="277"/>
      <c r="E197" s="277"/>
      <c r="F197" s="277"/>
      <c r="G197" s="277"/>
      <c r="H197" s="277" t="b">
        <f t="shared" si="1"/>
        <v>0</v>
      </c>
      <c r="I197" s="277" t="str">
        <f>IFERROR(__xludf.DUMMYFUNCTION("""COMPUTED_VALUE"""),"A1 194")</f>
        <v>A1 194</v>
      </c>
      <c r="J197" s="277" t="str">
        <f>IFERROR(__xludf.DUMMYFUNCTION("""COMPUTED_VALUE"""),"Wigglytuff")</f>
        <v>Wigglytuff</v>
      </c>
      <c r="K197" s="277" t="str">
        <f>IFERROR(__xludf.DUMMYFUNCTION("""COMPUTED_VALUE"""),"A1-Pikachu")</f>
        <v>A1-Pikachu</v>
      </c>
      <c r="L197" s="277" t="str">
        <f>IFERROR(__xludf.DUMMYFUNCTION("""COMPUTED_VALUE"""),"♢")</f>
        <v>♢</v>
      </c>
      <c r="M197" s="440" t="b">
        <f t="shared" si="2"/>
        <v>1</v>
      </c>
      <c r="N197" s="441"/>
      <c r="O197" s="277"/>
      <c r="P197" s="277"/>
      <c r="Q197" s="278"/>
      <c r="R197" s="449" t="str">
        <f t="array" ref="R197">IFERROR(IFS(OR(P197="A1-Mewtwo", P197="A1-Pikachu", P197="A1-Charizard", P197="A1"), XLOOKUP(N197, 'Genetic Apex'!$C$2:$C889, 'Genetic Apex'!$B$2:$B889)-$B$4, P197="A1a", XLOOKUP(N197, 'Mythical Island'!$C$2:$C889, 'Mythical Island'!$B$2:$B889)-$B$4, OR(P197="A2-Dialga", P197="A2-Palkia", P197="A2"), XLOOKUP(N197, 'Space-Time Smackdown'!$C$2:$C889, 'Space-Time Smackdown'!$B$2:$B889)-$B$4))</f>
        <v/>
      </c>
      <c r="S197" s="277" t="str">
        <f>IFERROR(__xludf.DUMMYFUNCTION("""COMPUTED_VALUE"""),"A1 194")</f>
        <v>A1 194</v>
      </c>
      <c r="T197" s="277" t="str">
        <f>IFERROR(__xludf.DUMMYFUNCTION("""COMPUTED_VALUE"""),"Wigglytuff")</f>
        <v>Wigglytuff</v>
      </c>
      <c r="U197" s="277" t="str">
        <f>IFERROR(__xludf.DUMMYFUNCTION("""COMPUTED_VALUE"""),"A1-Pikachu")</f>
        <v>A1-Pikachu</v>
      </c>
      <c r="V197" s="278" t="str">
        <f>IFERROR(__xludf.DUMMYFUNCTION("""COMPUTED_VALUE"""),"♢")</f>
        <v>♢</v>
      </c>
      <c r="W197" s="443">
        <f t="array" ref="W197">IFERROR(IFS(OR(U197="A1-Mewtwo", U197="A1-Pikachu", U197="A1-Charizard", U197="A1"), $B$5-XLOOKUP(S197, 'Genetic Apex'!$C$2:$C889, 'Genetic Apex'!$B$2:$B889), U197="A1a", $B$5-XLOOKUP(S197, 'Mythical Island'!$C$2:$C889, 'Mythical Island'!$B$2:$B889), OR(U197="A2-Dialga", U197="A2-Palkia", U197="A2"), $B$5-XLOOKUP(S197, 'Space-Time Smackdown'!$C$2:$C889, 'Space-Time Smackdown'!$B$2:$B889)))</f>
        <v>1</v>
      </c>
      <c r="X197" s="444">
        <f t="shared" si="3"/>
        <v>0</v>
      </c>
      <c r="Y197" s="445" t="str">
        <f t="shared" si="4"/>
        <v/>
      </c>
      <c r="Z197" s="278"/>
      <c r="AA197" s="466"/>
      <c r="AB197" s="278"/>
      <c r="AC197" s="278"/>
      <c r="AD197" s="278"/>
      <c r="AE197" s="278"/>
      <c r="AF197" s="278"/>
      <c r="AG197" s="278" t="b">
        <f t="shared" si="5"/>
        <v>0</v>
      </c>
      <c r="AH197" s="454"/>
      <c r="AI197" s="278"/>
      <c r="AJ197" s="278"/>
      <c r="AK197" s="278"/>
      <c r="AL197" s="444" t="str">
        <f t="array" ref="AL197">IFERROR(IFS(OR(AJ197="A1-Mewtwo", AJ197="A1-Pikachu", AJ197="A1-Charizard", AJ197="A1"), XLOOKUP(AH197, 'Genetic Apex'!$C$2:$C889, 'Genetic Apex'!$B$2:$B889)-2, AJ197="A1a", XLOOKUP(AH197, 'Mythical Island'!$C$2:$C889, 'Mythical Island'!$B$2:$B889)-2, OR(AJ197="A2-Dialga", AJ197="A2-Palkia", AJ197="A2"), XLOOKUP(AH197, 'Space-Time Smackdown'!$C$2:$C889, 'Space-Time Smackdown'!$B$2:$B889)-2))</f>
        <v/>
      </c>
      <c r="AM197" s="444" t="str">
        <f t="shared" si="6"/>
        <v/>
      </c>
      <c r="AN197" s="448" t="str">
        <f t="shared" si="7"/>
        <v/>
      </c>
    </row>
    <row r="198">
      <c r="A198" s="277"/>
      <c r="B198" s="277"/>
      <c r="C198" s="441"/>
      <c r="D198" s="277"/>
      <c r="E198" s="277"/>
      <c r="F198" s="277"/>
      <c r="G198" s="277"/>
      <c r="H198" s="277" t="b">
        <f t="shared" si="1"/>
        <v>0</v>
      </c>
      <c r="I198" s="277" t="str">
        <f>IFERROR(__xludf.DUMMYFUNCTION("""COMPUTED_VALUE"""),"A1 195")</f>
        <v>A1 195</v>
      </c>
      <c r="J198" s="277" t="str">
        <f>IFERROR(__xludf.DUMMYFUNCTION("""COMPUTED_VALUE"""),"Wigglytuff ex")</f>
        <v>Wigglytuff ex</v>
      </c>
      <c r="K198" s="277" t="str">
        <f>IFERROR(__xludf.DUMMYFUNCTION("""COMPUTED_VALUE"""),"A1-Pikachu")</f>
        <v>A1-Pikachu</v>
      </c>
      <c r="L198" s="277" t="str">
        <f>IFERROR(__xludf.DUMMYFUNCTION("""COMPUTED_VALUE"""),"♢♢♢♢")</f>
        <v>♢♢♢♢</v>
      </c>
      <c r="M198" s="440" t="b">
        <f t="shared" si="2"/>
        <v>1</v>
      </c>
      <c r="N198" s="441"/>
      <c r="O198" s="277"/>
      <c r="P198" s="277"/>
      <c r="Q198" s="278"/>
      <c r="R198" s="449" t="str">
        <f t="array" ref="R198">IFERROR(IFS(OR(P198="A1-Mewtwo", P198="A1-Pikachu", P198="A1-Charizard", P198="A1"), XLOOKUP(N198, 'Genetic Apex'!$C$2:$C889, 'Genetic Apex'!$B$2:$B889)-$B$4, P198="A1a", XLOOKUP(N198, 'Mythical Island'!$C$2:$C889, 'Mythical Island'!$B$2:$B889)-$B$4, OR(P198="A2-Dialga", P198="A2-Palkia", P198="A2"), XLOOKUP(N198, 'Space-Time Smackdown'!$C$2:$C889, 'Space-Time Smackdown'!$B$2:$B889)-$B$4))</f>
        <v/>
      </c>
      <c r="S198" s="277" t="str">
        <f>IFERROR(__xludf.DUMMYFUNCTION("""COMPUTED_VALUE"""),"A1 195")</f>
        <v>A1 195</v>
      </c>
      <c r="T198" s="277" t="str">
        <f>IFERROR(__xludf.DUMMYFUNCTION("""COMPUTED_VALUE"""),"Wigglytuff ex")</f>
        <v>Wigglytuff ex</v>
      </c>
      <c r="U198" s="277" t="str">
        <f>IFERROR(__xludf.DUMMYFUNCTION("""COMPUTED_VALUE"""),"A1-Pikachu")</f>
        <v>A1-Pikachu</v>
      </c>
      <c r="V198" s="278" t="str">
        <f>IFERROR(__xludf.DUMMYFUNCTION("""COMPUTED_VALUE"""),"♢♢♢♢")</f>
        <v>♢♢♢♢</v>
      </c>
      <c r="W198" s="443">
        <f t="array" ref="W198">IFERROR(IFS(OR(U198="A1-Mewtwo", U198="A1-Pikachu", U198="A1-Charizard", U198="A1"), $B$5-XLOOKUP(S198, 'Genetic Apex'!$C$2:$C889, 'Genetic Apex'!$B$2:$B889), U198="A1a", $B$5-XLOOKUP(S198, 'Mythical Island'!$C$2:$C889, 'Mythical Island'!$B$2:$B889), OR(U198="A2-Dialga", U198="A2-Palkia", U198="A2"), $B$5-XLOOKUP(S198, 'Space-Time Smackdown'!$C$2:$C889, 'Space-Time Smackdown'!$B$2:$B889)))</f>
        <v>1</v>
      </c>
      <c r="X198" s="444">
        <f t="shared" si="3"/>
        <v>500</v>
      </c>
      <c r="Y198" s="445">
        <f t="shared" si="4"/>
        <v>500</v>
      </c>
      <c r="Z198" s="278"/>
      <c r="AA198" s="466"/>
      <c r="AB198" s="278"/>
      <c r="AC198" s="278"/>
      <c r="AD198" s="278"/>
      <c r="AE198" s="278"/>
      <c r="AF198" s="278"/>
      <c r="AG198" s="278" t="b">
        <f t="shared" si="5"/>
        <v>0</v>
      </c>
      <c r="AH198" s="454"/>
      <c r="AI198" s="278"/>
      <c r="AJ198" s="278"/>
      <c r="AK198" s="278"/>
      <c r="AL198" s="444" t="str">
        <f t="array" ref="AL198">IFERROR(IFS(OR(AJ198="A1-Mewtwo", AJ198="A1-Pikachu", AJ198="A1-Charizard", AJ198="A1"), XLOOKUP(AH198, 'Genetic Apex'!$C$2:$C889, 'Genetic Apex'!$B$2:$B889)-2, AJ198="A1a", XLOOKUP(AH198, 'Mythical Island'!$C$2:$C889, 'Mythical Island'!$B$2:$B889)-2, OR(AJ198="A2-Dialga", AJ198="A2-Palkia", AJ198="A2"), XLOOKUP(AH198, 'Space-Time Smackdown'!$C$2:$C889, 'Space-Time Smackdown'!$B$2:$B889)-2))</f>
        <v/>
      </c>
      <c r="AM198" s="444" t="str">
        <f t="shared" si="6"/>
        <v/>
      </c>
      <c r="AN198" s="448" t="str">
        <f t="shared" si="7"/>
        <v/>
      </c>
    </row>
    <row r="199">
      <c r="A199" s="277"/>
      <c r="B199" s="277"/>
      <c r="C199" s="441"/>
      <c r="D199" s="277"/>
      <c r="E199" s="277"/>
      <c r="F199" s="277"/>
      <c r="G199" s="277"/>
      <c r="H199" s="277" t="b">
        <f t="shared" si="1"/>
        <v>0</v>
      </c>
      <c r="I199" s="277" t="str">
        <f>IFERROR(__xludf.DUMMYFUNCTION("""COMPUTED_VALUE"""),"A1 196")</f>
        <v>A1 196</v>
      </c>
      <c r="J199" s="277" t="str">
        <f>IFERROR(__xludf.DUMMYFUNCTION("""COMPUTED_VALUE"""),"Meowth")</f>
        <v>Meowth</v>
      </c>
      <c r="K199" s="277" t="str">
        <f>IFERROR(__xludf.DUMMYFUNCTION("""COMPUTED_VALUE"""),"A1-Charizard")</f>
        <v>A1-Charizard</v>
      </c>
      <c r="L199" s="277" t="str">
        <f>IFERROR(__xludf.DUMMYFUNCTION("""COMPUTED_VALUE"""),"♢")</f>
        <v>♢</v>
      </c>
      <c r="M199" s="440" t="b">
        <f t="shared" si="2"/>
        <v>1</v>
      </c>
      <c r="N199" s="441"/>
      <c r="O199" s="277"/>
      <c r="P199" s="277"/>
      <c r="Q199" s="278"/>
      <c r="R199" s="449" t="str">
        <f t="array" ref="R199">IFERROR(IFS(OR(P199="A1-Mewtwo", P199="A1-Pikachu", P199="A1-Charizard", P199="A1"), XLOOKUP(N199, 'Genetic Apex'!$C$2:$C889, 'Genetic Apex'!$B$2:$B889)-$B$4, P199="A1a", XLOOKUP(N199, 'Mythical Island'!$C$2:$C889, 'Mythical Island'!$B$2:$B889)-$B$4, OR(P199="A2-Dialga", P199="A2-Palkia", P199="A2"), XLOOKUP(N199, 'Space-Time Smackdown'!$C$2:$C889, 'Space-Time Smackdown'!$B$2:$B889)-$B$4))</f>
        <v/>
      </c>
      <c r="S199" s="277" t="str">
        <f>IFERROR(__xludf.DUMMYFUNCTION("""COMPUTED_VALUE"""),"A1 196")</f>
        <v>A1 196</v>
      </c>
      <c r="T199" s="277" t="str">
        <f>IFERROR(__xludf.DUMMYFUNCTION("""COMPUTED_VALUE"""),"Meowth")</f>
        <v>Meowth</v>
      </c>
      <c r="U199" s="277" t="str">
        <f>IFERROR(__xludf.DUMMYFUNCTION("""COMPUTED_VALUE"""),"A1-Charizard")</f>
        <v>A1-Charizard</v>
      </c>
      <c r="V199" s="278" t="str">
        <f>IFERROR(__xludf.DUMMYFUNCTION("""COMPUTED_VALUE"""),"♢")</f>
        <v>♢</v>
      </c>
      <c r="W199" s="443">
        <f t="array" ref="W199">IFERROR(IFS(OR(U199="A1-Mewtwo", U199="A1-Pikachu", U199="A1-Charizard", U199="A1"), $B$5-XLOOKUP(S199, 'Genetic Apex'!$C$2:$C889, 'Genetic Apex'!$B$2:$B889), U199="A1a", $B$5-XLOOKUP(S199, 'Mythical Island'!$C$2:$C889, 'Mythical Island'!$B$2:$B889), OR(U199="A2-Dialga", U199="A2-Palkia", U199="A2"), $B$5-XLOOKUP(S199, 'Space-Time Smackdown'!$C$2:$C889, 'Space-Time Smackdown'!$B$2:$B889)))</f>
        <v>1</v>
      </c>
      <c r="X199" s="444">
        <f t="shared" si="3"/>
        <v>0</v>
      </c>
      <c r="Y199" s="445" t="str">
        <f t="shared" si="4"/>
        <v/>
      </c>
      <c r="Z199" s="278"/>
      <c r="AA199" s="466"/>
      <c r="AB199" s="278"/>
      <c r="AC199" s="278"/>
      <c r="AD199" s="278"/>
      <c r="AE199" s="278"/>
      <c r="AF199" s="278"/>
      <c r="AG199" s="278" t="b">
        <f t="shared" si="5"/>
        <v>0</v>
      </c>
      <c r="AH199" s="454"/>
      <c r="AI199" s="278"/>
      <c r="AJ199" s="278"/>
      <c r="AK199" s="278"/>
      <c r="AL199" s="444" t="str">
        <f t="array" ref="AL199">IFERROR(IFS(OR(AJ199="A1-Mewtwo", AJ199="A1-Pikachu", AJ199="A1-Charizard", AJ199="A1"), XLOOKUP(AH199, 'Genetic Apex'!$C$2:$C889, 'Genetic Apex'!$B$2:$B889)-2, AJ199="A1a", XLOOKUP(AH199, 'Mythical Island'!$C$2:$C889, 'Mythical Island'!$B$2:$B889)-2, OR(AJ199="A2-Dialga", AJ199="A2-Palkia", AJ199="A2"), XLOOKUP(AH199, 'Space-Time Smackdown'!$C$2:$C889, 'Space-Time Smackdown'!$B$2:$B889)-2))</f>
        <v/>
      </c>
      <c r="AM199" s="444" t="str">
        <f t="shared" si="6"/>
        <v/>
      </c>
      <c r="AN199" s="448" t="str">
        <f t="shared" si="7"/>
        <v/>
      </c>
    </row>
    <row r="200">
      <c r="A200" s="277"/>
      <c r="B200" s="277"/>
      <c r="C200" s="441"/>
      <c r="D200" s="277"/>
      <c r="E200" s="277"/>
      <c r="F200" s="277"/>
      <c r="G200" s="277"/>
      <c r="H200" s="277" t="b">
        <f t="shared" si="1"/>
        <v>0</v>
      </c>
      <c r="I200" s="277" t="str">
        <f>IFERROR(__xludf.DUMMYFUNCTION("""COMPUTED_VALUE"""),"A1 197")</f>
        <v>A1 197</v>
      </c>
      <c r="J200" s="277" t="str">
        <f>IFERROR(__xludf.DUMMYFUNCTION("""COMPUTED_VALUE"""),"Persian")</f>
        <v>Persian</v>
      </c>
      <c r="K200" s="277" t="str">
        <f>IFERROR(__xludf.DUMMYFUNCTION("""COMPUTED_VALUE"""),"A1-Charizard")</f>
        <v>A1-Charizard</v>
      </c>
      <c r="L200" s="277" t="str">
        <f>IFERROR(__xludf.DUMMYFUNCTION("""COMPUTED_VALUE"""),"♢♢")</f>
        <v>♢♢</v>
      </c>
      <c r="M200" s="440" t="b">
        <f t="shared" si="2"/>
        <v>1</v>
      </c>
      <c r="N200" s="441"/>
      <c r="O200" s="277"/>
      <c r="P200" s="277"/>
      <c r="Q200" s="278"/>
      <c r="R200" s="449" t="str">
        <f t="array" ref="R200">IFERROR(IFS(OR(P200="A1-Mewtwo", P200="A1-Pikachu", P200="A1-Charizard", P200="A1"), XLOOKUP(N200, 'Genetic Apex'!$C$2:$C889, 'Genetic Apex'!$B$2:$B889)-$B$4, P200="A1a", XLOOKUP(N200, 'Mythical Island'!$C$2:$C889, 'Mythical Island'!$B$2:$B889)-$B$4, OR(P200="A2-Dialga", P200="A2-Palkia", P200="A2"), XLOOKUP(N200, 'Space-Time Smackdown'!$C$2:$C889, 'Space-Time Smackdown'!$B$2:$B889)-$B$4))</f>
        <v/>
      </c>
      <c r="S200" s="277" t="str">
        <f>IFERROR(__xludf.DUMMYFUNCTION("""COMPUTED_VALUE"""),"A1 197")</f>
        <v>A1 197</v>
      </c>
      <c r="T200" s="277" t="str">
        <f>IFERROR(__xludf.DUMMYFUNCTION("""COMPUTED_VALUE"""),"Persian")</f>
        <v>Persian</v>
      </c>
      <c r="U200" s="277" t="str">
        <f>IFERROR(__xludf.DUMMYFUNCTION("""COMPUTED_VALUE"""),"A1-Charizard")</f>
        <v>A1-Charizard</v>
      </c>
      <c r="V200" s="278" t="str">
        <f>IFERROR(__xludf.DUMMYFUNCTION("""COMPUTED_VALUE"""),"♢♢")</f>
        <v>♢♢</v>
      </c>
      <c r="W200" s="443">
        <f t="array" ref="W200">IFERROR(IFS(OR(U200="A1-Mewtwo", U200="A1-Pikachu", U200="A1-Charizard", U200="A1"), $B$5-XLOOKUP(S200, 'Genetic Apex'!$C$2:$C889, 'Genetic Apex'!$B$2:$B889), U200="A1a", $B$5-XLOOKUP(S200, 'Mythical Island'!$C$2:$C889, 'Mythical Island'!$B$2:$B889), OR(U200="A2-Dialga", U200="A2-Palkia", U200="A2"), $B$5-XLOOKUP(S200, 'Space-Time Smackdown'!$C$2:$C889, 'Space-Time Smackdown'!$B$2:$B889)))</f>
        <v>1</v>
      </c>
      <c r="X200" s="444">
        <f t="shared" si="3"/>
        <v>0</v>
      </c>
      <c r="Y200" s="445" t="str">
        <f t="shared" si="4"/>
        <v/>
      </c>
      <c r="Z200" s="278"/>
      <c r="AA200" s="466"/>
      <c r="AB200" s="278"/>
      <c r="AC200" s="278"/>
      <c r="AD200" s="278"/>
      <c r="AE200" s="278"/>
      <c r="AF200" s="278"/>
      <c r="AG200" s="278" t="b">
        <f t="shared" si="5"/>
        <v>0</v>
      </c>
      <c r="AH200" s="454"/>
      <c r="AI200" s="278"/>
      <c r="AJ200" s="278"/>
      <c r="AK200" s="278"/>
      <c r="AL200" s="444" t="str">
        <f t="array" ref="AL200">IFERROR(IFS(OR(AJ200="A1-Mewtwo", AJ200="A1-Pikachu", AJ200="A1-Charizard", AJ200="A1"), XLOOKUP(AH200, 'Genetic Apex'!$C$2:$C889, 'Genetic Apex'!$B$2:$B889)-2, AJ200="A1a", XLOOKUP(AH200, 'Mythical Island'!$C$2:$C889, 'Mythical Island'!$B$2:$B889)-2, OR(AJ200="A2-Dialga", AJ200="A2-Palkia", AJ200="A2"), XLOOKUP(AH200, 'Space-Time Smackdown'!$C$2:$C889, 'Space-Time Smackdown'!$B$2:$B889)-2))</f>
        <v/>
      </c>
      <c r="AM200" s="444" t="str">
        <f t="shared" si="6"/>
        <v/>
      </c>
      <c r="AN200" s="448" t="str">
        <f t="shared" si="7"/>
        <v/>
      </c>
    </row>
    <row r="201">
      <c r="A201" s="277"/>
      <c r="B201" s="277"/>
      <c r="C201" s="441"/>
      <c r="D201" s="277"/>
      <c r="E201" s="277"/>
      <c r="F201" s="277"/>
      <c r="G201" s="277"/>
      <c r="H201" s="277" t="b">
        <f t="shared" si="1"/>
        <v>0</v>
      </c>
      <c r="I201" s="277" t="str">
        <f>IFERROR(__xludf.DUMMYFUNCTION("""COMPUTED_VALUE"""),"A1 198")</f>
        <v>A1 198</v>
      </c>
      <c r="J201" s="277" t="str">
        <f>IFERROR(__xludf.DUMMYFUNCTION("""COMPUTED_VALUE"""),"Farfetch'd")</f>
        <v>Farfetch'd</v>
      </c>
      <c r="K201" s="277" t="str">
        <f>IFERROR(__xludf.DUMMYFUNCTION("""COMPUTED_VALUE"""),"A1")</f>
        <v>A1</v>
      </c>
      <c r="L201" s="277" t="str">
        <f>IFERROR(__xludf.DUMMYFUNCTION("""COMPUTED_VALUE"""),"♢")</f>
        <v>♢</v>
      </c>
      <c r="M201" s="440" t="b">
        <f t="shared" si="2"/>
        <v>1</v>
      </c>
      <c r="N201" s="441"/>
      <c r="O201" s="277"/>
      <c r="P201" s="277"/>
      <c r="Q201" s="278"/>
      <c r="R201" s="449" t="str">
        <f t="array" ref="R201">IFERROR(IFS(OR(P201="A1-Mewtwo", P201="A1-Pikachu", P201="A1-Charizard", P201="A1"), XLOOKUP(N201, 'Genetic Apex'!$C$2:$C889, 'Genetic Apex'!$B$2:$B889)-$B$4, P201="A1a", XLOOKUP(N201, 'Mythical Island'!$C$2:$C889, 'Mythical Island'!$B$2:$B889)-$B$4, OR(P201="A2-Dialga", P201="A2-Palkia", P201="A2"), XLOOKUP(N201, 'Space-Time Smackdown'!$C$2:$C889, 'Space-Time Smackdown'!$B$2:$B889)-$B$4))</f>
        <v/>
      </c>
      <c r="S201" s="277" t="str">
        <f>IFERROR(__xludf.DUMMYFUNCTION("""COMPUTED_VALUE"""),"A1 198")</f>
        <v>A1 198</v>
      </c>
      <c r="T201" s="277" t="str">
        <f>IFERROR(__xludf.DUMMYFUNCTION("""COMPUTED_VALUE"""),"Farfetch'd")</f>
        <v>Farfetch'd</v>
      </c>
      <c r="U201" s="277" t="str">
        <f>IFERROR(__xludf.DUMMYFUNCTION("""COMPUTED_VALUE"""),"A1")</f>
        <v>A1</v>
      </c>
      <c r="V201" s="278" t="str">
        <f>IFERROR(__xludf.DUMMYFUNCTION("""COMPUTED_VALUE"""),"♢")</f>
        <v>♢</v>
      </c>
      <c r="W201" s="443">
        <f t="array" ref="W201">IFERROR(IFS(OR(U201="A1-Mewtwo", U201="A1-Pikachu", U201="A1-Charizard", U201="A1"), $B$5-XLOOKUP(S201, 'Genetic Apex'!$C$2:$C889, 'Genetic Apex'!$B$2:$B889), U201="A1a", $B$5-XLOOKUP(S201, 'Mythical Island'!$C$2:$C889, 'Mythical Island'!$B$2:$B889), OR(U201="A2-Dialga", U201="A2-Palkia", U201="A2"), $B$5-XLOOKUP(S201, 'Space-Time Smackdown'!$C$2:$C889, 'Space-Time Smackdown'!$B$2:$B889)))</f>
        <v>1</v>
      </c>
      <c r="X201" s="444">
        <f t="shared" si="3"/>
        <v>0</v>
      </c>
      <c r="Y201" s="445" t="str">
        <f t="shared" si="4"/>
        <v/>
      </c>
      <c r="Z201" s="278"/>
      <c r="AA201" s="466"/>
      <c r="AB201" s="278"/>
      <c r="AC201" s="278"/>
      <c r="AD201" s="278"/>
      <c r="AE201" s="278"/>
      <c r="AF201" s="278"/>
      <c r="AG201" s="278" t="b">
        <f t="shared" si="5"/>
        <v>0</v>
      </c>
      <c r="AH201" s="454"/>
      <c r="AI201" s="278"/>
      <c r="AJ201" s="278"/>
      <c r="AK201" s="278"/>
      <c r="AL201" s="444" t="str">
        <f t="array" ref="AL201">IFERROR(IFS(OR(AJ201="A1-Mewtwo", AJ201="A1-Pikachu", AJ201="A1-Charizard", AJ201="A1"), XLOOKUP(AH201, 'Genetic Apex'!$C$2:$C889, 'Genetic Apex'!$B$2:$B889)-2, AJ201="A1a", XLOOKUP(AH201, 'Mythical Island'!$C$2:$C889, 'Mythical Island'!$B$2:$B889)-2, OR(AJ201="A2-Dialga", AJ201="A2-Palkia", AJ201="A2"), XLOOKUP(AH201, 'Space-Time Smackdown'!$C$2:$C889, 'Space-Time Smackdown'!$B$2:$B889)-2))</f>
        <v/>
      </c>
      <c r="AM201" s="444" t="str">
        <f t="shared" si="6"/>
        <v/>
      </c>
      <c r="AN201" s="448" t="str">
        <f t="shared" si="7"/>
        <v/>
      </c>
    </row>
    <row r="202">
      <c r="A202" s="277"/>
      <c r="B202" s="277"/>
      <c r="C202" s="441"/>
      <c r="D202" s="277"/>
      <c r="E202" s="277"/>
      <c r="F202" s="277"/>
      <c r="G202" s="277"/>
      <c r="H202" s="277" t="b">
        <f t="shared" si="1"/>
        <v>0</v>
      </c>
      <c r="I202" s="277" t="str">
        <f>IFERROR(__xludf.DUMMYFUNCTION("""COMPUTED_VALUE"""),"A1 199")</f>
        <v>A1 199</v>
      </c>
      <c r="J202" s="277" t="str">
        <f>IFERROR(__xludf.DUMMYFUNCTION("""COMPUTED_VALUE"""),"Doduo")</f>
        <v>Doduo</v>
      </c>
      <c r="K202" s="277" t="str">
        <f>IFERROR(__xludf.DUMMYFUNCTION("""COMPUTED_VALUE"""),"A1")</f>
        <v>A1</v>
      </c>
      <c r="L202" s="277" t="str">
        <f>IFERROR(__xludf.DUMMYFUNCTION("""COMPUTED_VALUE"""),"♢")</f>
        <v>♢</v>
      </c>
      <c r="M202" s="440" t="b">
        <f t="shared" si="2"/>
        <v>1</v>
      </c>
      <c r="N202" s="441"/>
      <c r="O202" s="277"/>
      <c r="P202" s="277"/>
      <c r="Q202" s="278"/>
      <c r="R202" s="449" t="str">
        <f t="array" ref="R202">IFERROR(IFS(OR(P202="A1-Mewtwo", P202="A1-Pikachu", P202="A1-Charizard", P202="A1"), XLOOKUP(N202, 'Genetic Apex'!$C$2:$C889, 'Genetic Apex'!$B$2:$B889)-$B$4, P202="A1a", XLOOKUP(N202, 'Mythical Island'!$C$2:$C889, 'Mythical Island'!$B$2:$B889)-$B$4, OR(P202="A2-Dialga", P202="A2-Palkia", P202="A2"), XLOOKUP(N202, 'Space-Time Smackdown'!$C$2:$C889, 'Space-Time Smackdown'!$B$2:$B889)-$B$4))</f>
        <v/>
      </c>
      <c r="S202" s="277" t="str">
        <f>IFERROR(__xludf.DUMMYFUNCTION("""COMPUTED_VALUE"""),"A1 199")</f>
        <v>A1 199</v>
      </c>
      <c r="T202" s="277" t="str">
        <f>IFERROR(__xludf.DUMMYFUNCTION("""COMPUTED_VALUE"""),"Doduo")</f>
        <v>Doduo</v>
      </c>
      <c r="U202" s="277" t="str">
        <f>IFERROR(__xludf.DUMMYFUNCTION("""COMPUTED_VALUE"""),"A1")</f>
        <v>A1</v>
      </c>
      <c r="V202" s="278" t="str">
        <f>IFERROR(__xludf.DUMMYFUNCTION("""COMPUTED_VALUE"""),"♢")</f>
        <v>♢</v>
      </c>
      <c r="W202" s="443">
        <f t="array" ref="W202">IFERROR(IFS(OR(U202="A1-Mewtwo", U202="A1-Pikachu", U202="A1-Charizard", U202="A1"), $B$5-XLOOKUP(S202, 'Genetic Apex'!$C$2:$C889, 'Genetic Apex'!$B$2:$B889), U202="A1a", $B$5-XLOOKUP(S202, 'Mythical Island'!$C$2:$C889, 'Mythical Island'!$B$2:$B889), OR(U202="A2-Dialga", U202="A2-Palkia", U202="A2"), $B$5-XLOOKUP(S202, 'Space-Time Smackdown'!$C$2:$C889, 'Space-Time Smackdown'!$B$2:$B889)))</f>
        <v>1</v>
      </c>
      <c r="X202" s="444">
        <f t="shared" si="3"/>
        <v>0</v>
      </c>
      <c r="Y202" s="445" t="str">
        <f t="shared" si="4"/>
        <v/>
      </c>
      <c r="Z202" s="278"/>
      <c r="AA202" s="466"/>
      <c r="AB202" s="278"/>
      <c r="AC202" s="278"/>
      <c r="AD202" s="278"/>
      <c r="AE202" s="278"/>
      <c r="AF202" s="278"/>
      <c r="AG202" s="278" t="b">
        <f t="shared" si="5"/>
        <v>0</v>
      </c>
      <c r="AH202" s="454"/>
      <c r="AI202" s="278"/>
      <c r="AJ202" s="278"/>
      <c r="AK202" s="278"/>
      <c r="AL202" s="444" t="str">
        <f t="array" ref="AL202">IFERROR(IFS(OR(AJ202="A1-Mewtwo", AJ202="A1-Pikachu", AJ202="A1-Charizard", AJ202="A1"), XLOOKUP(AH202, 'Genetic Apex'!$C$2:$C889, 'Genetic Apex'!$B$2:$B889)-2, AJ202="A1a", XLOOKUP(AH202, 'Mythical Island'!$C$2:$C889, 'Mythical Island'!$B$2:$B889)-2, OR(AJ202="A2-Dialga", AJ202="A2-Palkia", AJ202="A2"), XLOOKUP(AH202, 'Space-Time Smackdown'!$C$2:$C889, 'Space-Time Smackdown'!$B$2:$B889)-2))</f>
        <v/>
      </c>
      <c r="AM202" s="444" t="str">
        <f t="shared" si="6"/>
        <v/>
      </c>
      <c r="AN202" s="448" t="str">
        <f t="shared" si="7"/>
        <v/>
      </c>
    </row>
    <row r="203">
      <c r="A203" s="277"/>
      <c r="B203" s="277"/>
      <c r="C203" s="441"/>
      <c r="D203" s="277"/>
      <c r="E203" s="277"/>
      <c r="F203" s="277"/>
      <c r="G203" s="277"/>
      <c r="H203" s="277" t="b">
        <f t="shared" si="1"/>
        <v>0</v>
      </c>
      <c r="I203" s="277" t="str">
        <f>IFERROR(__xludf.DUMMYFUNCTION("""COMPUTED_VALUE"""),"A1 200")</f>
        <v>A1 200</v>
      </c>
      <c r="J203" s="277" t="str">
        <f>IFERROR(__xludf.DUMMYFUNCTION("""COMPUTED_VALUE"""),"Dodrio")</f>
        <v>Dodrio</v>
      </c>
      <c r="K203" s="277" t="str">
        <f>IFERROR(__xludf.DUMMYFUNCTION("""COMPUTED_VALUE"""),"A1")</f>
        <v>A1</v>
      </c>
      <c r="L203" s="277" t="str">
        <f>IFERROR(__xludf.DUMMYFUNCTION("""COMPUTED_VALUE"""),"♢♢")</f>
        <v>♢♢</v>
      </c>
      <c r="M203" s="440" t="b">
        <f t="shared" si="2"/>
        <v>1</v>
      </c>
      <c r="N203" s="441"/>
      <c r="O203" s="277"/>
      <c r="P203" s="277"/>
      <c r="Q203" s="278"/>
      <c r="R203" s="449" t="str">
        <f t="array" ref="R203">IFERROR(IFS(OR(P203="A1-Mewtwo", P203="A1-Pikachu", P203="A1-Charizard", P203="A1"), XLOOKUP(N203, 'Genetic Apex'!$C$2:$C889, 'Genetic Apex'!$B$2:$B889)-$B$4, P203="A1a", XLOOKUP(N203, 'Mythical Island'!$C$2:$C889, 'Mythical Island'!$B$2:$B889)-$B$4, OR(P203="A2-Dialga", P203="A2-Palkia", P203="A2"), XLOOKUP(N203, 'Space-Time Smackdown'!$C$2:$C889, 'Space-Time Smackdown'!$B$2:$B889)-$B$4))</f>
        <v/>
      </c>
      <c r="S203" s="277" t="str">
        <f>IFERROR(__xludf.DUMMYFUNCTION("""COMPUTED_VALUE"""),"A1 200")</f>
        <v>A1 200</v>
      </c>
      <c r="T203" s="277" t="str">
        <f>IFERROR(__xludf.DUMMYFUNCTION("""COMPUTED_VALUE"""),"Dodrio")</f>
        <v>Dodrio</v>
      </c>
      <c r="U203" s="277" t="str">
        <f>IFERROR(__xludf.DUMMYFUNCTION("""COMPUTED_VALUE"""),"A1")</f>
        <v>A1</v>
      </c>
      <c r="V203" s="278" t="str">
        <f>IFERROR(__xludf.DUMMYFUNCTION("""COMPUTED_VALUE"""),"♢♢")</f>
        <v>♢♢</v>
      </c>
      <c r="W203" s="443">
        <f t="array" ref="W203">IFERROR(IFS(OR(U203="A1-Mewtwo", U203="A1-Pikachu", U203="A1-Charizard", U203="A1"), $B$5-XLOOKUP(S203, 'Genetic Apex'!$C$2:$C889, 'Genetic Apex'!$B$2:$B889), U203="A1a", $B$5-XLOOKUP(S203, 'Mythical Island'!$C$2:$C889, 'Mythical Island'!$B$2:$B889), OR(U203="A2-Dialga", U203="A2-Palkia", U203="A2"), $B$5-XLOOKUP(S203, 'Space-Time Smackdown'!$C$2:$C889, 'Space-Time Smackdown'!$B$2:$B889)))</f>
        <v>1</v>
      </c>
      <c r="X203" s="444">
        <f t="shared" si="3"/>
        <v>0</v>
      </c>
      <c r="Y203" s="445" t="str">
        <f t="shared" si="4"/>
        <v/>
      </c>
      <c r="Z203" s="278"/>
      <c r="AA203" s="466"/>
      <c r="AB203" s="278"/>
      <c r="AC203" s="278"/>
      <c r="AD203" s="278"/>
      <c r="AE203" s="278"/>
      <c r="AF203" s="278"/>
      <c r="AG203" s="278" t="b">
        <f t="shared" si="5"/>
        <v>0</v>
      </c>
      <c r="AH203" s="454"/>
      <c r="AI203" s="278"/>
      <c r="AJ203" s="278"/>
      <c r="AK203" s="278"/>
      <c r="AL203" s="444" t="str">
        <f t="array" ref="AL203">IFERROR(IFS(OR(AJ203="A1-Mewtwo", AJ203="A1-Pikachu", AJ203="A1-Charizard", AJ203="A1"), XLOOKUP(AH203, 'Genetic Apex'!$C$2:$C889, 'Genetic Apex'!$B$2:$B889)-2, AJ203="A1a", XLOOKUP(AH203, 'Mythical Island'!$C$2:$C889, 'Mythical Island'!$B$2:$B889)-2, OR(AJ203="A2-Dialga", AJ203="A2-Palkia", AJ203="A2"), XLOOKUP(AH203, 'Space-Time Smackdown'!$C$2:$C889, 'Space-Time Smackdown'!$B$2:$B889)-2))</f>
        <v/>
      </c>
      <c r="AM203" s="444" t="str">
        <f t="shared" si="6"/>
        <v/>
      </c>
      <c r="AN203" s="448" t="str">
        <f t="shared" si="7"/>
        <v/>
      </c>
    </row>
    <row r="204">
      <c r="A204" s="277"/>
      <c r="B204" s="277"/>
      <c r="C204" s="441"/>
      <c r="D204" s="277"/>
      <c r="E204" s="277"/>
      <c r="F204" s="277"/>
      <c r="G204" s="277"/>
      <c r="H204" s="277" t="b">
        <f t="shared" si="1"/>
        <v>0</v>
      </c>
      <c r="I204" s="277" t="str">
        <f>IFERROR(__xludf.DUMMYFUNCTION("""COMPUTED_VALUE"""),"A1 201")</f>
        <v>A1 201</v>
      </c>
      <c r="J204" s="277" t="str">
        <f>IFERROR(__xludf.DUMMYFUNCTION("""COMPUTED_VALUE"""),"Lickitung")</f>
        <v>Lickitung</v>
      </c>
      <c r="K204" s="277" t="str">
        <f>IFERROR(__xludf.DUMMYFUNCTION("""COMPUTED_VALUE"""),"A1-Mewtwo")</f>
        <v>A1-Mewtwo</v>
      </c>
      <c r="L204" s="277" t="str">
        <f>IFERROR(__xludf.DUMMYFUNCTION("""COMPUTED_VALUE"""),"♢♢")</f>
        <v>♢♢</v>
      </c>
      <c r="M204" s="440" t="b">
        <f t="shared" si="2"/>
        <v>1</v>
      </c>
      <c r="N204" s="441"/>
      <c r="O204" s="277"/>
      <c r="P204" s="277"/>
      <c r="Q204" s="278"/>
      <c r="R204" s="449" t="str">
        <f t="array" ref="R204">IFERROR(IFS(OR(P204="A1-Mewtwo", P204="A1-Pikachu", P204="A1-Charizard", P204="A1"), XLOOKUP(N204, 'Genetic Apex'!$C$2:$C889, 'Genetic Apex'!$B$2:$B889)-$B$4, P204="A1a", XLOOKUP(N204, 'Mythical Island'!$C$2:$C889, 'Mythical Island'!$B$2:$B889)-$B$4, OR(P204="A2-Dialga", P204="A2-Palkia", P204="A2"), XLOOKUP(N204, 'Space-Time Smackdown'!$C$2:$C889, 'Space-Time Smackdown'!$B$2:$B889)-$B$4))</f>
        <v/>
      </c>
      <c r="S204" s="277" t="str">
        <f>IFERROR(__xludf.DUMMYFUNCTION("""COMPUTED_VALUE"""),"A1 201")</f>
        <v>A1 201</v>
      </c>
      <c r="T204" s="277" t="str">
        <f>IFERROR(__xludf.DUMMYFUNCTION("""COMPUTED_VALUE"""),"Lickitung")</f>
        <v>Lickitung</v>
      </c>
      <c r="U204" s="277" t="str">
        <f>IFERROR(__xludf.DUMMYFUNCTION("""COMPUTED_VALUE"""),"A1-Mewtwo")</f>
        <v>A1-Mewtwo</v>
      </c>
      <c r="V204" s="278" t="str">
        <f>IFERROR(__xludf.DUMMYFUNCTION("""COMPUTED_VALUE"""),"♢♢")</f>
        <v>♢♢</v>
      </c>
      <c r="W204" s="443">
        <f t="array" ref="W204">IFERROR(IFS(OR(U204="A1-Mewtwo", U204="A1-Pikachu", U204="A1-Charizard", U204="A1"), $B$5-XLOOKUP(S204, 'Genetic Apex'!$C$2:$C889, 'Genetic Apex'!$B$2:$B889), U204="A1a", $B$5-XLOOKUP(S204, 'Mythical Island'!$C$2:$C889, 'Mythical Island'!$B$2:$B889), OR(U204="A2-Dialga", U204="A2-Palkia", U204="A2"), $B$5-XLOOKUP(S204, 'Space-Time Smackdown'!$C$2:$C889, 'Space-Time Smackdown'!$B$2:$B889)))</f>
        <v>1</v>
      </c>
      <c r="X204" s="444">
        <f t="shared" si="3"/>
        <v>0</v>
      </c>
      <c r="Y204" s="445" t="str">
        <f t="shared" si="4"/>
        <v/>
      </c>
      <c r="Z204" s="278"/>
      <c r="AA204" s="466"/>
      <c r="AB204" s="278"/>
      <c r="AC204" s="278"/>
      <c r="AD204" s="278"/>
      <c r="AE204" s="278"/>
      <c r="AF204" s="278"/>
      <c r="AG204" s="278" t="b">
        <f t="shared" si="5"/>
        <v>0</v>
      </c>
      <c r="AH204" s="454"/>
      <c r="AI204" s="278"/>
      <c r="AJ204" s="278"/>
      <c r="AK204" s="278"/>
      <c r="AL204" s="444" t="str">
        <f t="array" ref="AL204">IFERROR(IFS(OR(AJ204="A1-Mewtwo", AJ204="A1-Pikachu", AJ204="A1-Charizard", AJ204="A1"), XLOOKUP(AH204, 'Genetic Apex'!$C$2:$C889, 'Genetic Apex'!$B$2:$B889)-2, AJ204="A1a", XLOOKUP(AH204, 'Mythical Island'!$C$2:$C889, 'Mythical Island'!$B$2:$B889)-2, OR(AJ204="A2-Dialga", AJ204="A2-Palkia", AJ204="A2"), XLOOKUP(AH204, 'Space-Time Smackdown'!$C$2:$C889, 'Space-Time Smackdown'!$B$2:$B889)-2))</f>
        <v/>
      </c>
      <c r="AM204" s="444" t="str">
        <f t="shared" si="6"/>
        <v/>
      </c>
      <c r="AN204" s="448" t="str">
        <f t="shared" si="7"/>
        <v/>
      </c>
    </row>
    <row r="205">
      <c r="A205" s="277"/>
      <c r="B205" s="277"/>
      <c r="C205" s="441"/>
      <c r="D205" s="277"/>
      <c r="E205" s="277"/>
      <c r="F205" s="277"/>
      <c r="G205" s="277"/>
      <c r="H205" s="277" t="b">
        <f t="shared" si="1"/>
        <v>0</v>
      </c>
      <c r="I205" s="277" t="str">
        <f>IFERROR(__xludf.DUMMYFUNCTION("""COMPUTED_VALUE"""),"A1 202")</f>
        <v>A1 202</v>
      </c>
      <c r="J205" s="277" t="str">
        <f>IFERROR(__xludf.DUMMYFUNCTION("""COMPUTED_VALUE"""),"Chansey")</f>
        <v>Chansey</v>
      </c>
      <c r="K205" s="277" t="str">
        <f>IFERROR(__xludf.DUMMYFUNCTION("""COMPUTED_VALUE"""),"A1-Pikachu")</f>
        <v>A1-Pikachu</v>
      </c>
      <c r="L205" s="277" t="str">
        <f>IFERROR(__xludf.DUMMYFUNCTION("""COMPUTED_VALUE"""),"♢♢")</f>
        <v>♢♢</v>
      </c>
      <c r="M205" s="440" t="b">
        <f t="shared" si="2"/>
        <v>1</v>
      </c>
      <c r="N205" s="441"/>
      <c r="O205" s="277"/>
      <c r="P205" s="277"/>
      <c r="Q205" s="278"/>
      <c r="R205" s="449" t="str">
        <f t="array" ref="R205">IFERROR(IFS(OR(P205="A1-Mewtwo", P205="A1-Pikachu", P205="A1-Charizard", P205="A1"), XLOOKUP(N205, 'Genetic Apex'!$C$2:$C889, 'Genetic Apex'!$B$2:$B889)-$B$4, P205="A1a", XLOOKUP(N205, 'Mythical Island'!$C$2:$C889, 'Mythical Island'!$B$2:$B889)-$B$4, OR(P205="A2-Dialga", P205="A2-Palkia", P205="A2"), XLOOKUP(N205, 'Space-Time Smackdown'!$C$2:$C889, 'Space-Time Smackdown'!$B$2:$B889)-$B$4))</f>
        <v/>
      </c>
      <c r="S205" s="277" t="str">
        <f>IFERROR(__xludf.DUMMYFUNCTION("""COMPUTED_VALUE"""),"A1 202")</f>
        <v>A1 202</v>
      </c>
      <c r="T205" s="277" t="str">
        <f>IFERROR(__xludf.DUMMYFUNCTION("""COMPUTED_VALUE"""),"Chansey")</f>
        <v>Chansey</v>
      </c>
      <c r="U205" s="277" t="str">
        <f>IFERROR(__xludf.DUMMYFUNCTION("""COMPUTED_VALUE"""),"A1-Pikachu")</f>
        <v>A1-Pikachu</v>
      </c>
      <c r="V205" s="278" t="str">
        <f>IFERROR(__xludf.DUMMYFUNCTION("""COMPUTED_VALUE"""),"♢♢")</f>
        <v>♢♢</v>
      </c>
      <c r="W205" s="443">
        <f t="array" ref="W205">IFERROR(IFS(OR(U205="A1-Mewtwo", U205="A1-Pikachu", U205="A1-Charizard", U205="A1"), $B$5-XLOOKUP(S205, 'Genetic Apex'!$C$2:$C889, 'Genetic Apex'!$B$2:$B889), U205="A1a", $B$5-XLOOKUP(S205, 'Mythical Island'!$C$2:$C889, 'Mythical Island'!$B$2:$B889), OR(U205="A2-Dialga", U205="A2-Palkia", U205="A2"), $B$5-XLOOKUP(S205, 'Space-Time Smackdown'!$C$2:$C889, 'Space-Time Smackdown'!$B$2:$B889)))</f>
        <v>1</v>
      </c>
      <c r="X205" s="444">
        <f t="shared" si="3"/>
        <v>0</v>
      </c>
      <c r="Y205" s="445" t="str">
        <f t="shared" si="4"/>
        <v/>
      </c>
      <c r="Z205" s="278"/>
      <c r="AA205" s="466"/>
      <c r="AB205" s="278"/>
      <c r="AC205" s="278"/>
      <c r="AD205" s="278"/>
      <c r="AE205" s="278"/>
      <c r="AF205" s="278"/>
      <c r="AG205" s="278" t="b">
        <f t="shared" si="5"/>
        <v>0</v>
      </c>
      <c r="AH205" s="454"/>
      <c r="AI205" s="278"/>
      <c r="AJ205" s="278"/>
      <c r="AK205" s="278"/>
      <c r="AL205" s="444" t="str">
        <f t="array" ref="AL205">IFERROR(IFS(OR(AJ205="A1-Mewtwo", AJ205="A1-Pikachu", AJ205="A1-Charizard", AJ205="A1"), XLOOKUP(AH205, 'Genetic Apex'!$C$2:$C889, 'Genetic Apex'!$B$2:$B889)-2, AJ205="A1a", XLOOKUP(AH205, 'Mythical Island'!$C$2:$C889, 'Mythical Island'!$B$2:$B889)-2, OR(AJ205="A2-Dialga", AJ205="A2-Palkia", AJ205="A2"), XLOOKUP(AH205, 'Space-Time Smackdown'!$C$2:$C889, 'Space-Time Smackdown'!$B$2:$B889)-2))</f>
        <v/>
      </c>
      <c r="AM205" s="444" t="str">
        <f t="shared" si="6"/>
        <v/>
      </c>
      <c r="AN205" s="448" t="str">
        <f t="shared" si="7"/>
        <v/>
      </c>
    </row>
    <row r="206">
      <c r="A206" s="277"/>
      <c r="B206" s="277"/>
      <c r="C206" s="441"/>
      <c r="D206" s="277"/>
      <c r="E206" s="277"/>
      <c r="F206" s="277"/>
      <c r="G206" s="277"/>
      <c r="H206" s="277" t="b">
        <f t="shared" si="1"/>
        <v>0</v>
      </c>
      <c r="I206" s="277" t="str">
        <f>IFERROR(__xludf.DUMMYFUNCTION("""COMPUTED_VALUE"""),"A1 203")</f>
        <v>A1 203</v>
      </c>
      <c r="J206" s="277" t="str">
        <f>IFERROR(__xludf.DUMMYFUNCTION("""COMPUTED_VALUE"""),"Kangaskhan")</f>
        <v>Kangaskhan</v>
      </c>
      <c r="K206" s="277" t="str">
        <f>IFERROR(__xludf.DUMMYFUNCTION("""COMPUTED_VALUE"""),"A1-Charizard")</f>
        <v>A1-Charizard</v>
      </c>
      <c r="L206" s="277" t="str">
        <f>IFERROR(__xludf.DUMMYFUNCTION("""COMPUTED_VALUE"""),"♢♢♢")</f>
        <v>♢♢♢</v>
      </c>
      <c r="M206" s="440" t="b">
        <f t="shared" si="2"/>
        <v>1</v>
      </c>
      <c r="N206" s="441"/>
      <c r="O206" s="277"/>
      <c r="P206" s="277"/>
      <c r="Q206" s="278"/>
      <c r="R206" s="449" t="str">
        <f t="array" ref="R206">IFERROR(IFS(OR(P206="A1-Mewtwo", P206="A1-Pikachu", P206="A1-Charizard", P206="A1"), XLOOKUP(N206, 'Genetic Apex'!$C$2:$C889, 'Genetic Apex'!$B$2:$B889)-$B$4, P206="A1a", XLOOKUP(N206, 'Mythical Island'!$C$2:$C889, 'Mythical Island'!$B$2:$B889)-$B$4, OR(P206="A2-Dialga", P206="A2-Palkia", P206="A2"), XLOOKUP(N206, 'Space-Time Smackdown'!$C$2:$C889, 'Space-Time Smackdown'!$B$2:$B889)-$B$4))</f>
        <v/>
      </c>
      <c r="S206" s="277" t="str">
        <f>IFERROR(__xludf.DUMMYFUNCTION("""COMPUTED_VALUE"""),"A1 203")</f>
        <v>A1 203</v>
      </c>
      <c r="T206" s="277" t="str">
        <f>IFERROR(__xludf.DUMMYFUNCTION("""COMPUTED_VALUE"""),"Kangaskhan")</f>
        <v>Kangaskhan</v>
      </c>
      <c r="U206" s="277" t="str">
        <f>IFERROR(__xludf.DUMMYFUNCTION("""COMPUTED_VALUE"""),"A1-Charizard")</f>
        <v>A1-Charizard</v>
      </c>
      <c r="V206" s="278" t="str">
        <f>IFERROR(__xludf.DUMMYFUNCTION("""COMPUTED_VALUE"""),"♢♢♢")</f>
        <v>♢♢♢</v>
      </c>
      <c r="W206" s="443">
        <f t="array" ref="W206">IFERROR(IFS(OR(U206="A1-Mewtwo", U206="A1-Pikachu", U206="A1-Charizard", U206="A1"), $B$5-XLOOKUP(S206, 'Genetic Apex'!$C$2:$C889, 'Genetic Apex'!$B$2:$B889), U206="A1a", $B$5-XLOOKUP(S206, 'Mythical Island'!$C$2:$C889, 'Mythical Island'!$B$2:$B889), OR(U206="A2-Dialga", U206="A2-Palkia", U206="A2"), $B$5-XLOOKUP(S206, 'Space-Time Smackdown'!$C$2:$C889, 'Space-Time Smackdown'!$B$2:$B889)))</f>
        <v>1</v>
      </c>
      <c r="X206" s="444">
        <f t="shared" si="3"/>
        <v>120</v>
      </c>
      <c r="Y206" s="445">
        <f t="shared" si="4"/>
        <v>120</v>
      </c>
      <c r="Z206" s="278"/>
      <c r="AA206" s="466"/>
      <c r="AB206" s="278"/>
      <c r="AC206" s="278"/>
      <c r="AD206" s="278"/>
      <c r="AE206" s="278"/>
      <c r="AF206" s="278"/>
      <c r="AG206" s="278" t="b">
        <f t="shared" si="5"/>
        <v>0</v>
      </c>
      <c r="AH206" s="454"/>
      <c r="AI206" s="278"/>
      <c r="AJ206" s="278"/>
      <c r="AK206" s="278"/>
      <c r="AL206" s="444" t="str">
        <f t="array" ref="AL206">IFERROR(IFS(OR(AJ206="A1-Mewtwo", AJ206="A1-Pikachu", AJ206="A1-Charizard", AJ206="A1"), XLOOKUP(AH206, 'Genetic Apex'!$C$2:$C889, 'Genetic Apex'!$B$2:$B889)-2, AJ206="A1a", XLOOKUP(AH206, 'Mythical Island'!$C$2:$C889, 'Mythical Island'!$B$2:$B889)-2, OR(AJ206="A2-Dialga", AJ206="A2-Palkia", AJ206="A2"), XLOOKUP(AH206, 'Space-Time Smackdown'!$C$2:$C889, 'Space-Time Smackdown'!$B$2:$B889)-2))</f>
        <v/>
      </c>
      <c r="AM206" s="444" t="str">
        <f t="shared" si="6"/>
        <v/>
      </c>
      <c r="AN206" s="448" t="str">
        <f t="shared" si="7"/>
        <v/>
      </c>
    </row>
    <row r="207">
      <c r="A207" s="277"/>
      <c r="B207" s="277"/>
      <c r="C207" s="441"/>
      <c r="D207" s="277"/>
      <c r="E207" s="277"/>
      <c r="F207" s="277"/>
      <c r="G207" s="277"/>
      <c r="H207" s="277" t="b">
        <f t="shared" si="1"/>
        <v>0</v>
      </c>
      <c r="I207" s="277" t="str">
        <f>IFERROR(__xludf.DUMMYFUNCTION("""COMPUTED_VALUE"""),"A1 204")</f>
        <v>A1 204</v>
      </c>
      <c r="J207" s="277" t="str">
        <f>IFERROR(__xludf.DUMMYFUNCTION("""COMPUTED_VALUE"""),"Tauros")</f>
        <v>Tauros</v>
      </c>
      <c r="K207" s="277" t="str">
        <f>IFERROR(__xludf.DUMMYFUNCTION("""COMPUTED_VALUE"""),"A1-Charizard")</f>
        <v>A1-Charizard</v>
      </c>
      <c r="L207" s="277" t="str">
        <f>IFERROR(__xludf.DUMMYFUNCTION("""COMPUTED_VALUE"""),"♢♢")</f>
        <v>♢♢</v>
      </c>
      <c r="M207" s="440" t="b">
        <f t="shared" si="2"/>
        <v>1</v>
      </c>
      <c r="N207" s="441"/>
      <c r="O207" s="277"/>
      <c r="P207" s="277"/>
      <c r="Q207" s="278"/>
      <c r="R207" s="449" t="str">
        <f t="array" ref="R207">IFERROR(IFS(OR(P207="A1-Mewtwo", P207="A1-Pikachu", P207="A1-Charizard", P207="A1"), XLOOKUP(N207, 'Genetic Apex'!$C$2:$C889, 'Genetic Apex'!$B$2:$B889)-$B$4, P207="A1a", XLOOKUP(N207, 'Mythical Island'!$C$2:$C889, 'Mythical Island'!$B$2:$B889)-$B$4, OR(P207="A2-Dialga", P207="A2-Palkia", P207="A2"), XLOOKUP(N207, 'Space-Time Smackdown'!$C$2:$C889, 'Space-Time Smackdown'!$B$2:$B889)-$B$4))</f>
        <v/>
      </c>
      <c r="S207" s="277" t="str">
        <f>IFERROR(__xludf.DUMMYFUNCTION("""COMPUTED_VALUE"""),"A1 204")</f>
        <v>A1 204</v>
      </c>
      <c r="T207" s="277" t="str">
        <f>IFERROR(__xludf.DUMMYFUNCTION("""COMPUTED_VALUE"""),"Tauros")</f>
        <v>Tauros</v>
      </c>
      <c r="U207" s="277" t="str">
        <f>IFERROR(__xludf.DUMMYFUNCTION("""COMPUTED_VALUE"""),"A1-Charizard")</f>
        <v>A1-Charizard</v>
      </c>
      <c r="V207" s="278" t="str">
        <f>IFERROR(__xludf.DUMMYFUNCTION("""COMPUTED_VALUE"""),"♢♢")</f>
        <v>♢♢</v>
      </c>
      <c r="W207" s="443">
        <f t="array" ref="W207">IFERROR(IFS(OR(U207="A1-Mewtwo", U207="A1-Pikachu", U207="A1-Charizard", U207="A1"), $B$5-XLOOKUP(S207, 'Genetic Apex'!$C$2:$C889, 'Genetic Apex'!$B$2:$B889), U207="A1a", $B$5-XLOOKUP(S207, 'Mythical Island'!$C$2:$C889, 'Mythical Island'!$B$2:$B889), OR(U207="A2-Dialga", U207="A2-Palkia", U207="A2"), $B$5-XLOOKUP(S207, 'Space-Time Smackdown'!$C$2:$C889, 'Space-Time Smackdown'!$B$2:$B889)))</f>
        <v>1</v>
      </c>
      <c r="X207" s="444">
        <f t="shared" si="3"/>
        <v>0</v>
      </c>
      <c r="Y207" s="445" t="str">
        <f t="shared" si="4"/>
        <v/>
      </c>
      <c r="Z207" s="278"/>
      <c r="AA207" s="466"/>
      <c r="AB207" s="278"/>
      <c r="AC207" s="278"/>
      <c r="AD207" s="278"/>
      <c r="AE207" s="278"/>
      <c r="AF207" s="278"/>
      <c r="AG207" s="278" t="b">
        <f t="shared" si="5"/>
        <v>0</v>
      </c>
      <c r="AH207" s="454"/>
      <c r="AI207" s="278"/>
      <c r="AJ207" s="278"/>
      <c r="AK207" s="278"/>
      <c r="AL207" s="444" t="str">
        <f t="array" ref="AL207">IFERROR(IFS(OR(AJ207="A1-Mewtwo", AJ207="A1-Pikachu", AJ207="A1-Charizard", AJ207="A1"), XLOOKUP(AH207, 'Genetic Apex'!$C$2:$C889, 'Genetic Apex'!$B$2:$B889)-2, AJ207="A1a", XLOOKUP(AH207, 'Mythical Island'!$C$2:$C889, 'Mythical Island'!$B$2:$B889)-2, OR(AJ207="A2-Dialga", AJ207="A2-Palkia", AJ207="A2"), XLOOKUP(AH207, 'Space-Time Smackdown'!$C$2:$C889, 'Space-Time Smackdown'!$B$2:$B889)-2))</f>
        <v/>
      </c>
      <c r="AM207" s="444" t="str">
        <f t="shared" si="6"/>
        <v/>
      </c>
      <c r="AN207" s="448" t="str">
        <f t="shared" si="7"/>
        <v/>
      </c>
    </row>
    <row r="208">
      <c r="A208" s="277"/>
      <c r="B208" s="277"/>
      <c r="C208" s="441"/>
      <c r="D208" s="277"/>
      <c r="E208" s="277"/>
      <c r="F208" s="277"/>
      <c r="G208" s="277"/>
      <c r="H208" s="277" t="b">
        <f t="shared" si="1"/>
        <v>0</v>
      </c>
      <c r="I208" s="277" t="str">
        <f>IFERROR(__xludf.DUMMYFUNCTION("""COMPUTED_VALUE"""),"A1 205")</f>
        <v>A1 205</v>
      </c>
      <c r="J208" s="277" t="str">
        <f>IFERROR(__xludf.DUMMYFUNCTION("""COMPUTED_VALUE"""),"Ditto")</f>
        <v>Ditto</v>
      </c>
      <c r="K208" s="277" t="str">
        <f>IFERROR(__xludf.DUMMYFUNCTION("""COMPUTED_VALUE"""),"A1-Mewtwo")</f>
        <v>A1-Mewtwo</v>
      </c>
      <c r="L208" s="277" t="str">
        <f>IFERROR(__xludf.DUMMYFUNCTION("""COMPUTED_VALUE"""),"♢♢♢")</f>
        <v>♢♢♢</v>
      </c>
      <c r="M208" s="440" t="b">
        <f t="shared" si="2"/>
        <v>1</v>
      </c>
      <c r="N208" s="441"/>
      <c r="O208" s="277"/>
      <c r="P208" s="277"/>
      <c r="Q208" s="278"/>
      <c r="R208" s="449" t="str">
        <f t="array" ref="R208">IFERROR(IFS(OR(P208="A1-Mewtwo", P208="A1-Pikachu", P208="A1-Charizard", P208="A1"), XLOOKUP(N208, 'Genetic Apex'!$C$2:$C889, 'Genetic Apex'!$B$2:$B889)-$B$4, P208="A1a", XLOOKUP(N208, 'Mythical Island'!$C$2:$C889, 'Mythical Island'!$B$2:$B889)-$B$4, OR(P208="A2-Dialga", P208="A2-Palkia", P208="A2"), XLOOKUP(N208, 'Space-Time Smackdown'!$C$2:$C889, 'Space-Time Smackdown'!$B$2:$B889)-$B$4))</f>
        <v/>
      </c>
      <c r="S208" s="277" t="str">
        <f>IFERROR(__xludf.DUMMYFUNCTION("""COMPUTED_VALUE"""),"A1 205")</f>
        <v>A1 205</v>
      </c>
      <c r="T208" s="277" t="str">
        <f>IFERROR(__xludf.DUMMYFUNCTION("""COMPUTED_VALUE"""),"Ditto")</f>
        <v>Ditto</v>
      </c>
      <c r="U208" s="277" t="str">
        <f>IFERROR(__xludf.DUMMYFUNCTION("""COMPUTED_VALUE"""),"A1-Mewtwo")</f>
        <v>A1-Mewtwo</v>
      </c>
      <c r="V208" s="278" t="str">
        <f>IFERROR(__xludf.DUMMYFUNCTION("""COMPUTED_VALUE"""),"♢♢♢")</f>
        <v>♢♢♢</v>
      </c>
      <c r="W208" s="443">
        <f t="array" ref="W208">IFERROR(IFS(OR(U208="A1-Mewtwo", U208="A1-Pikachu", U208="A1-Charizard", U208="A1"), $B$5-XLOOKUP(S208, 'Genetic Apex'!$C$2:$C889, 'Genetic Apex'!$B$2:$B889), U208="A1a", $B$5-XLOOKUP(S208, 'Mythical Island'!$C$2:$C889, 'Mythical Island'!$B$2:$B889), OR(U208="A2-Dialga", U208="A2-Palkia", U208="A2"), $B$5-XLOOKUP(S208, 'Space-Time Smackdown'!$C$2:$C889, 'Space-Time Smackdown'!$B$2:$B889)))</f>
        <v>1</v>
      </c>
      <c r="X208" s="444">
        <f t="shared" si="3"/>
        <v>120</v>
      </c>
      <c r="Y208" s="445">
        <f t="shared" si="4"/>
        <v>120</v>
      </c>
      <c r="Z208" s="278"/>
      <c r="AA208" s="466"/>
      <c r="AB208" s="278"/>
      <c r="AC208" s="278"/>
      <c r="AD208" s="278"/>
      <c r="AE208" s="278"/>
      <c r="AF208" s="278"/>
      <c r="AG208" s="278" t="b">
        <f t="shared" si="5"/>
        <v>0</v>
      </c>
      <c r="AH208" s="454"/>
      <c r="AI208" s="278"/>
      <c r="AJ208" s="278"/>
      <c r="AK208" s="278"/>
      <c r="AL208" s="444" t="str">
        <f t="array" ref="AL208">IFERROR(IFS(OR(AJ208="A1-Mewtwo", AJ208="A1-Pikachu", AJ208="A1-Charizard", AJ208="A1"), XLOOKUP(AH208, 'Genetic Apex'!$C$2:$C889, 'Genetic Apex'!$B$2:$B889)-2, AJ208="A1a", XLOOKUP(AH208, 'Mythical Island'!$C$2:$C889, 'Mythical Island'!$B$2:$B889)-2, OR(AJ208="A2-Dialga", AJ208="A2-Palkia", AJ208="A2"), XLOOKUP(AH208, 'Space-Time Smackdown'!$C$2:$C889, 'Space-Time Smackdown'!$B$2:$B889)-2))</f>
        <v/>
      </c>
      <c r="AM208" s="444" t="str">
        <f t="shared" si="6"/>
        <v/>
      </c>
      <c r="AN208" s="448" t="str">
        <f t="shared" si="7"/>
        <v/>
      </c>
    </row>
    <row r="209">
      <c r="A209" s="277"/>
      <c r="B209" s="277"/>
      <c r="C209" s="441"/>
      <c r="D209" s="277"/>
      <c r="E209" s="277"/>
      <c r="F209" s="277"/>
      <c r="G209" s="277"/>
      <c r="H209" s="277" t="b">
        <f t="shared" si="1"/>
        <v>0</v>
      </c>
      <c r="I209" s="277" t="str">
        <f>IFERROR(__xludf.DUMMYFUNCTION("""COMPUTED_VALUE"""),"A1 206")</f>
        <v>A1 206</v>
      </c>
      <c r="J209" s="277" t="str">
        <f>IFERROR(__xludf.DUMMYFUNCTION("""COMPUTED_VALUE"""),"Eevee")</f>
        <v>Eevee</v>
      </c>
      <c r="K209" s="277" t="str">
        <f>IFERROR(__xludf.DUMMYFUNCTION("""COMPUTED_VALUE"""),"A1-Charizard")</f>
        <v>A1-Charizard</v>
      </c>
      <c r="L209" s="277" t="str">
        <f>IFERROR(__xludf.DUMMYFUNCTION("""COMPUTED_VALUE"""),"♢")</f>
        <v>♢</v>
      </c>
      <c r="M209" s="440" t="b">
        <f t="shared" si="2"/>
        <v>1</v>
      </c>
      <c r="N209" s="441"/>
      <c r="O209" s="277"/>
      <c r="P209" s="277"/>
      <c r="Q209" s="278"/>
      <c r="R209" s="449" t="str">
        <f t="array" ref="R209">IFERROR(IFS(OR(P209="A1-Mewtwo", P209="A1-Pikachu", P209="A1-Charizard", P209="A1"), XLOOKUP(N209, 'Genetic Apex'!$C$2:$C889, 'Genetic Apex'!$B$2:$B889)-$B$4, P209="A1a", XLOOKUP(N209, 'Mythical Island'!$C$2:$C889, 'Mythical Island'!$B$2:$B889)-$B$4, OR(P209="A2-Dialga", P209="A2-Palkia", P209="A2"), XLOOKUP(N209, 'Space-Time Smackdown'!$C$2:$C889, 'Space-Time Smackdown'!$B$2:$B889)-$B$4))</f>
        <v/>
      </c>
      <c r="S209" s="277" t="str">
        <f>IFERROR(__xludf.DUMMYFUNCTION("""COMPUTED_VALUE"""),"A1 206")</f>
        <v>A1 206</v>
      </c>
      <c r="T209" s="277" t="str">
        <f>IFERROR(__xludf.DUMMYFUNCTION("""COMPUTED_VALUE"""),"Eevee")</f>
        <v>Eevee</v>
      </c>
      <c r="U209" s="277" t="str">
        <f>IFERROR(__xludf.DUMMYFUNCTION("""COMPUTED_VALUE"""),"A1-Charizard")</f>
        <v>A1-Charizard</v>
      </c>
      <c r="V209" s="278" t="str">
        <f>IFERROR(__xludf.DUMMYFUNCTION("""COMPUTED_VALUE"""),"♢")</f>
        <v>♢</v>
      </c>
      <c r="W209" s="443">
        <f t="array" ref="W209">IFERROR(IFS(OR(U209="A1-Mewtwo", U209="A1-Pikachu", U209="A1-Charizard", U209="A1"), $B$5-XLOOKUP(S209, 'Genetic Apex'!$C$2:$C889, 'Genetic Apex'!$B$2:$B889), U209="A1a", $B$5-XLOOKUP(S209, 'Mythical Island'!$C$2:$C889, 'Mythical Island'!$B$2:$B889), OR(U209="A2-Dialga", U209="A2-Palkia", U209="A2"), $B$5-XLOOKUP(S209, 'Space-Time Smackdown'!$C$2:$C889, 'Space-Time Smackdown'!$B$2:$B889)))</f>
        <v>1</v>
      </c>
      <c r="X209" s="444">
        <f t="shared" si="3"/>
        <v>0</v>
      </c>
      <c r="Y209" s="445" t="str">
        <f t="shared" si="4"/>
        <v/>
      </c>
      <c r="Z209" s="278"/>
      <c r="AA209" s="466"/>
      <c r="AB209" s="278"/>
      <c r="AC209" s="278"/>
      <c r="AD209" s="278"/>
      <c r="AE209" s="278"/>
      <c r="AF209" s="278"/>
      <c r="AG209" s="278" t="b">
        <f t="shared" si="5"/>
        <v>0</v>
      </c>
      <c r="AH209" s="454"/>
      <c r="AI209" s="278"/>
      <c r="AJ209" s="278"/>
      <c r="AK209" s="278"/>
      <c r="AL209" s="444" t="str">
        <f t="array" ref="AL209">IFERROR(IFS(OR(AJ209="A1-Mewtwo", AJ209="A1-Pikachu", AJ209="A1-Charizard", AJ209="A1"), XLOOKUP(AH209, 'Genetic Apex'!$C$2:$C889, 'Genetic Apex'!$B$2:$B889)-2, AJ209="A1a", XLOOKUP(AH209, 'Mythical Island'!$C$2:$C889, 'Mythical Island'!$B$2:$B889)-2, OR(AJ209="A2-Dialga", AJ209="A2-Palkia", AJ209="A2"), XLOOKUP(AH209, 'Space-Time Smackdown'!$C$2:$C889, 'Space-Time Smackdown'!$B$2:$B889)-2))</f>
        <v/>
      </c>
      <c r="AM209" s="444" t="str">
        <f t="shared" si="6"/>
        <v/>
      </c>
      <c r="AN209" s="448" t="str">
        <f t="shared" si="7"/>
        <v/>
      </c>
    </row>
    <row r="210">
      <c r="A210" s="277"/>
      <c r="B210" s="277"/>
      <c r="C210" s="441"/>
      <c r="D210" s="277"/>
      <c r="E210" s="277"/>
      <c r="F210" s="277"/>
      <c r="G210" s="277"/>
      <c r="H210" s="277" t="b">
        <f t="shared" si="1"/>
        <v>0</v>
      </c>
      <c r="I210" s="277" t="str">
        <f>IFERROR(__xludf.DUMMYFUNCTION("""COMPUTED_VALUE"""),"A1 207")</f>
        <v>A1 207</v>
      </c>
      <c r="J210" s="277" t="str">
        <f>IFERROR(__xludf.DUMMYFUNCTION("""COMPUTED_VALUE"""),"Eevee")</f>
        <v>Eevee</v>
      </c>
      <c r="K210" s="277" t="str">
        <f>IFERROR(__xludf.DUMMYFUNCTION("""COMPUTED_VALUE"""),"A1-Mewtwo")</f>
        <v>A1-Mewtwo</v>
      </c>
      <c r="L210" s="277" t="str">
        <f>IFERROR(__xludf.DUMMYFUNCTION("""COMPUTED_VALUE"""),"♢")</f>
        <v>♢</v>
      </c>
      <c r="M210" s="440" t="b">
        <f t="shared" si="2"/>
        <v>1</v>
      </c>
      <c r="N210" s="441"/>
      <c r="O210" s="277"/>
      <c r="P210" s="277"/>
      <c r="Q210" s="278"/>
      <c r="R210" s="449" t="str">
        <f t="array" ref="R210">IFERROR(IFS(OR(P210="A1-Mewtwo", P210="A1-Pikachu", P210="A1-Charizard", P210="A1"), XLOOKUP(N210, 'Genetic Apex'!$C$2:$C889, 'Genetic Apex'!$B$2:$B889)-$B$4, P210="A1a", XLOOKUP(N210, 'Mythical Island'!$C$2:$C889, 'Mythical Island'!$B$2:$B889)-$B$4, OR(P210="A2-Dialga", P210="A2-Palkia", P210="A2"), XLOOKUP(N210, 'Space-Time Smackdown'!$C$2:$C889, 'Space-Time Smackdown'!$B$2:$B889)-$B$4))</f>
        <v/>
      </c>
      <c r="S210" s="277" t="str">
        <f>IFERROR(__xludf.DUMMYFUNCTION("""COMPUTED_VALUE"""),"A1 207")</f>
        <v>A1 207</v>
      </c>
      <c r="T210" s="277" t="str">
        <f>IFERROR(__xludf.DUMMYFUNCTION("""COMPUTED_VALUE"""),"Eevee")</f>
        <v>Eevee</v>
      </c>
      <c r="U210" s="277" t="str">
        <f>IFERROR(__xludf.DUMMYFUNCTION("""COMPUTED_VALUE"""),"A1-Mewtwo")</f>
        <v>A1-Mewtwo</v>
      </c>
      <c r="V210" s="278" t="str">
        <f>IFERROR(__xludf.DUMMYFUNCTION("""COMPUTED_VALUE"""),"♢")</f>
        <v>♢</v>
      </c>
      <c r="W210" s="443">
        <f t="array" ref="W210">IFERROR(IFS(OR(U210="A1-Mewtwo", U210="A1-Pikachu", U210="A1-Charizard", U210="A1"), $B$5-XLOOKUP(S210, 'Genetic Apex'!$C$2:$C889, 'Genetic Apex'!$B$2:$B889), U210="A1a", $B$5-XLOOKUP(S210, 'Mythical Island'!$C$2:$C889, 'Mythical Island'!$B$2:$B889), OR(U210="A2-Dialga", U210="A2-Palkia", U210="A2"), $B$5-XLOOKUP(S210, 'Space-Time Smackdown'!$C$2:$C889, 'Space-Time Smackdown'!$B$2:$B889)))</f>
        <v>1</v>
      </c>
      <c r="X210" s="444">
        <f t="shared" si="3"/>
        <v>0</v>
      </c>
      <c r="Y210" s="445" t="str">
        <f t="shared" si="4"/>
        <v/>
      </c>
      <c r="Z210" s="278"/>
      <c r="AA210" s="466"/>
      <c r="AB210" s="278"/>
      <c r="AC210" s="278"/>
      <c r="AD210" s="278"/>
      <c r="AE210" s="278"/>
      <c r="AF210" s="278"/>
      <c r="AG210" s="278" t="b">
        <f t="shared" si="5"/>
        <v>0</v>
      </c>
      <c r="AH210" s="454"/>
      <c r="AI210" s="278"/>
      <c r="AJ210" s="278"/>
      <c r="AK210" s="278"/>
      <c r="AL210" s="444" t="str">
        <f t="array" ref="AL210">IFERROR(IFS(OR(AJ210="A1-Mewtwo", AJ210="A1-Pikachu", AJ210="A1-Charizard", AJ210="A1"), XLOOKUP(AH210, 'Genetic Apex'!$C$2:$C889, 'Genetic Apex'!$B$2:$B889)-2, AJ210="A1a", XLOOKUP(AH210, 'Mythical Island'!$C$2:$C889, 'Mythical Island'!$B$2:$B889)-2, OR(AJ210="A2-Dialga", AJ210="A2-Palkia", AJ210="A2"), XLOOKUP(AH210, 'Space-Time Smackdown'!$C$2:$C889, 'Space-Time Smackdown'!$B$2:$B889)-2))</f>
        <v/>
      </c>
      <c r="AM210" s="444" t="str">
        <f t="shared" si="6"/>
        <v/>
      </c>
      <c r="AN210" s="448" t="str">
        <f t="shared" si="7"/>
        <v/>
      </c>
    </row>
    <row r="211">
      <c r="A211" s="277"/>
      <c r="B211" s="277"/>
      <c r="C211" s="441"/>
      <c r="D211" s="277"/>
      <c r="E211" s="277"/>
      <c r="F211" s="277"/>
      <c r="G211" s="277"/>
      <c r="H211" s="277" t="b">
        <f t="shared" si="1"/>
        <v>0</v>
      </c>
      <c r="I211" s="277" t="str">
        <f>IFERROR(__xludf.DUMMYFUNCTION("""COMPUTED_VALUE"""),"A1 208")</f>
        <v>A1 208</v>
      </c>
      <c r="J211" s="277" t="str">
        <f>IFERROR(__xludf.DUMMYFUNCTION("""COMPUTED_VALUE"""),"Eevee")</f>
        <v>Eevee</v>
      </c>
      <c r="K211" s="277" t="str">
        <f>IFERROR(__xludf.DUMMYFUNCTION("""COMPUTED_VALUE"""),"A1-Pikachu")</f>
        <v>A1-Pikachu</v>
      </c>
      <c r="L211" s="277" t="str">
        <f>IFERROR(__xludf.DUMMYFUNCTION("""COMPUTED_VALUE"""),"♢")</f>
        <v>♢</v>
      </c>
      <c r="M211" s="440" t="b">
        <f t="shared" si="2"/>
        <v>1</v>
      </c>
      <c r="N211" s="441"/>
      <c r="O211" s="277"/>
      <c r="P211" s="277"/>
      <c r="Q211" s="278"/>
      <c r="R211" s="449" t="str">
        <f t="array" ref="R211">IFERROR(IFS(OR(P211="A1-Mewtwo", P211="A1-Pikachu", P211="A1-Charizard", P211="A1"), XLOOKUP(N211, 'Genetic Apex'!$C$2:$C889, 'Genetic Apex'!$B$2:$B889)-$B$4, P211="A1a", XLOOKUP(N211, 'Mythical Island'!$C$2:$C889, 'Mythical Island'!$B$2:$B889)-$B$4, OR(P211="A2-Dialga", P211="A2-Palkia", P211="A2"), XLOOKUP(N211, 'Space-Time Smackdown'!$C$2:$C889, 'Space-Time Smackdown'!$B$2:$B889)-$B$4))</f>
        <v/>
      </c>
      <c r="S211" s="277" t="str">
        <f>IFERROR(__xludf.DUMMYFUNCTION("""COMPUTED_VALUE"""),"A1 208")</f>
        <v>A1 208</v>
      </c>
      <c r="T211" s="277" t="str">
        <f>IFERROR(__xludf.DUMMYFUNCTION("""COMPUTED_VALUE"""),"Eevee")</f>
        <v>Eevee</v>
      </c>
      <c r="U211" s="277" t="str">
        <f>IFERROR(__xludf.DUMMYFUNCTION("""COMPUTED_VALUE"""),"A1-Pikachu")</f>
        <v>A1-Pikachu</v>
      </c>
      <c r="V211" s="278" t="str">
        <f>IFERROR(__xludf.DUMMYFUNCTION("""COMPUTED_VALUE"""),"♢")</f>
        <v>♢</v>
      </c>
      <c r="W211" s="443">
        <f t="array" ref="W211">IFERROR(IFS(OR(U211="A1-Mewtwo", U211="A1-Pikachu", U211="A1-Charizard", U211="A1"), $B$5-XLOOKUP(S211, 'Genetic Apex'!$C$2:$C889, 'Genetic Apex'!$B$2:$B889), U211="A1a", $B$5-XLOOKUP(S211, 'Mythical Island'!$C$2:$C889, 'Mythical Island'!$B$2:$B889), OR(U211="A2-Dialga", U211="A2-Palkia", U211="A2"), $B$5-XLOOKUP(S211, 'Space-Time Smackdown'!$C$2:$C889, 'Space-Time Smackdown'!$B$2:$B889)))</f>
        <v>1</v>
      </c>
      <c r="X211" s="444">
        <f t="shared" si="3"/>
        <v>0</v>
      </c>
      <c r="Y211" s="445" t="str">
        <f t="shared" si="4"/>
        <v/>
      </c>
      <c r="Z211" s="278"/>
      <c r="AA211" s="466"/>
      <c r="AB211" s="278"/>
      <c r="AC211" s="278"/>
      <c r="AD211" s="278"/>
      <c r="AE211" s="278"/>
      <c r="AF211" s="278"/>
      <c r="AG211" s="278" t="b">
        <f t="shared" si="5"/>
        <v>0</v>
      </c>
      <c r="AH211" s="454"/>
      <c r="AI211" s="278"/>
      <c r="AJ211" s="278"/>
      <c r="AK211" s="278"/>
      <c r="AL211" s="444" t="str">
        <f t="array" ref="AL211">IFERROR(IFS(OR(AJ211="A1-Mewtwo", AJ211="A1-Pikachu", AJ211="A1-Charizard", AJ211="A1"), XLOOKUP(AH211, 'Genetic Apex'!$C$2:$C889, 'Genetic Apex'!$B$2:$B889)-2, AJ211="A1a", XLOOKUP(AH211, 'Mythical Island'!$C$2:$C889, 'Mythical Island'!$B$2:$B889)-2, OR(AJ211="A2-Dialga", AJ211="A2-Palkia", AJ211="A2"), XLOOKUP(AH211, 'Space-Time Smackdown'!$C$2:$C889, 'Space-Time Smackdown'!$B$2:$B889)-2))</f>
        <v/>
      </c>
      <c r="AM211" s="444" t="str">
        <f t="shared" si="6"/>
        <v/>
      </c>
      <c r="AN211" s="448" t="str">
        <f t="shared" si="7"/>
        <v/>
      </c>
    </row>
    <row r="212">
      <c r="A212" s="277"/>
      <c r="B212" s="277"/>
      <c r="C212" s="441"/>
      <c r="D212" s="277"/>
      <c r="E212" s="277"/>
      <c r="F212" s="277"/>
      <c r="G212" s="277"/>
      <c r="H212" s="277" t="b">
        <f t="shared" si="1"/>
        <v>0</v>
      </c>
      <c r="I212" s="277" t="str">
        <f>IFERROR(__xludf.DUMMYFUNCTION("""COMPUTED_VALUE"""),"A1 209")</f>
        <v>A1 209</v>
      </c>
      <c r="J212" s="277" t="str">
        <f>IFERROR(__xludf.DUMMYFUNCTION("""COMPUTED_VALUE"""),"Porygon")</f>
        <v>Porygon</v>
      </c>
      <c r="K212" s="277" t="str">
        <f>IFERROR(__xludf.DUMMYFUNCTION("""COMPUTED_VALUE"""),"A1-Mewtwo")</f>
        <v>A1-Mewtwo</v>
      </c>
      <c r="L212" s="277" t="str">
        <f>IFERROR(__xludf.DUMMYFUNCTION("""COMPUTED_VALUE"""),"♢♢")</f>
        <v>♢♢</v>
      </c>
      <c r="M212" s="440" t="b">
        <f t="shared" si="2"/>
        <v>1</v>
      </c>
      <c r="N212" s="441"/>
      <c r="O212" s="277"/>
      <c r="P212" s="277"/>
      <c r="Q212" s="278"/>
      <c r="R212" s="449" t="str">
        <f t="array" ref="R212">IFERROR(IFS(OR(P212="A1-Mewtwo", P212="A1-Pikachu", P212="A1-Charizard", P212="A1"), XLOOKUP(N212, 'Genetic Apex'!$C$2:$C889, 'Genetic Apex'!$B$2:$B889)-$B$4, P212="A1a", XLOOKUP(N212, 'Mythical Island'!$C$2:$C889, 'Mythical Island'!$B$2:$B889)-$B$4, OR(P212="A2-Dialga", P212="A2-Palkia", P212="A2"), XLOOKUP(N212, 'Space-Time Smackdown'!$C$2:$C889, 'Space-Time Smackdown'!$B$2:$B889)-$B$4))</f>
        <v/>
      </c>
      <c r="S212" s="277" t="str">
        <f>IFERROR(__xludf.DUMMYFUNCTION("""COMPUTED_VALUE"""),"A1 209")</f>
        <v>A1 209</v>
      </c>
      <c r="T212" s="277" t="str">
        <f>IFERROR(__xludf.DUMMYFUNCTION("""COMPUTED_VALUE"""),"Porygon")</f>
        <v>Porygon</v>
      </c>
      <c r="U212" s="277" t="str">
        <f>IFERROR(__xludf.DUMMYFUNCTION("""COMPUTED_VALUE"""),"A1-Mewtwo")</f>
        <v>A1-Mewtwo</v>
      </c>
      <c r="V212" s="278" t="str">
        <f>IFERROR(__xludf.DUMMYFUNCTION("""COMPUTED_VALUE"""),"♢♢")</f>
        <v>♢♢</v>
      </c>
      <c r="W212" s="443">
        <f t="array" ref="W212">IFERROR(IFS(OR(U212="A1-Mewtwo", U212="A1-Pikachu", U212="A1-Charizard", U212="A1"), $B$5-XLOOKUP(S212, 'Genetic Apex'!$C$2:$C889, 'Genetic Apex'!$B$2:$B889), U212="A1a", $B$5-XLOOKUP(S212, 'Mythical Island'!$C$2:$C889, 'Mythical Island'!$B$2:$B889), OR(U212="A2-Dialga", U212="A2-Palkia", U212="A2"), $B$5-XLOOKUP(S212, 'Space-Time Smackdown'!$C$2:$C889, 'Space-Time Smackdown'!$B$2:$B889)))</f>
        <v>1</v>
      </c>
      <c r="X212" s="444">
        <f t="shared" si="3"/>
        <v>0</v>
      </c>
      <c r="Y212" s="445" t="str">
        <f t="shared" si="4"/>
        <v/>
      </c>
      <c r="Z212" s="278"/>
      <c r="AA212" s="466"/>
      <c r="AB212" s="278"/>
      <c r="AC212" s="278"/>
      <c r="AD212" s="278"/>
      <c r="AE212" s="278"/>
      <c r="AF212" s="278"/>
      <c r="AG212" s="278" t="b">
        <f t="shared" si="5"/>
        <v>0</v>
      </c>
      <c r="AH212" s="454"/>
      <c r="AI212" s="278"/>
      <c r="AJ212" s="278"/>
      <c r="AK212" s="278"/>
      <c r="AL212" s="444" t="str">
        <f t="array" ref="AL212">IFERROR(IFS(OR(AJ212="A1-Mewtwo", AJ212="A1-Pikachu", AJ212="A1-Charizard", AJ212="A1"), XLOOKUP(AH212, 'Genetic Apex'!$C$2:$C889, 'Genetic Apex'!$B$2:$B889)-2, AJ212="A1a", XLOOKUP(AH212, 'Mythical Island'!$C$2:$C889, 'Mythical Island'!$B$2:$B889)-2, OR(AJ212="A2-Dialga", AJ212="A2-Palkia", AJ212="A2"), XLOOKUP(AH212, 'Space-Time Smackdown'!$C$2:$C889, 'Space-Time Smackdown'!$B$2:$B889)-2))</f>
        <v/>
      </c>
      <c r="AM212" s="444" t="str">
        <f t="shared" si="6"/>
        <v/>
      </c>
      <c r="AN212" s="448" t="str">
        <f t="shared" si="7"/>
        <v/>
      </c>
    </row>
    <row r="213">
      <c r="A213" s="277"/>
      <c r="B213" s="277"/>
      <c r="C213" s="441"/>
      <c r="D213" s="277"/>
      <c r="E213" s="277"/>
      <c r="F213" s="277"/>
      <c r="G213" s="277"/>
      <c r="H213" s="277" t="b">
        <f t="shared" si="1"/>
        <v>0</v>
      </c>
      <c r="I213" s="277" t="str">
        <f>IFERROR(__xludf.DUMMYFUNCTION("""COMPUTED_VALUE"""),"A1 210")</f>
        <v>A1 210</v>
      </c>
      <c r="J213" s="277" t="str">
        <f>IFERROR(__xludf.DUMMYFUNCTION("""COMPUTED_VALUE"""),"Aerodactyl")</f>
        <v>Aerodactyl</v>
      </c>
      <c r="K213" s="277" t="str">
        <f>IFERROR(__xludf.DUMMYFUNCTION("""COMPUTED_VALUE"""),"A1-Mewtwo")</f>
        <v>A1-Mewtwo</v>
      </c>
      <c r="L213" s="277" t="str">
        <f>IFERROR(__xludf.DUMMYFUNCTION("""COMPUTED_VALUE"""),"♢♢♢")</f>
        <v>♢♢♢</v>
      </c>
      <c r="M213" s="440" t="b">
        <f t="shared" si="2"/>
        <v>1</v>
      </c>
      <c r="N213" s="441"/>
      <c r="O213" s="277"/>
      <c r="P213" s="277"/>
      <c r="Q213" s="278"/>
      <c r="R213" s="449" t="str">
        <f t="array" ref="R213">IFERROR(IFS(OR(P213="A1-Mewtwo", P213="A1-Pikachu", P213="A1-Charizard", P213="A1"), XLOOKUP(N213, 'Genetic Apex'!$C$2:$C889, 'Genetic Apex'!$B$2:$B889)-$B$4, P213="A1a", XLOOKUP(N213, 'Mythical Island'!$C$2:$C889, 'Mythical Island'!$B$2:$B889)-$B$4, OR(P213="A2-Dialga", P213="A2-Palkia", P213="A2"), XLOOKUP(N213, 'Space-Time Smackdown'!$C$2:$C889, 'Space-Time Smackdown'!$B$2:$B889)-$B$4))</f>
        <v/>
      </c>
      <c r="S213" s="277" t="str">
        <f>IFERROR(__xludf.DUMMYFUNCTION("""COMPUTED_VALUE"""),"A1 210")</f>
        <v>A1 210</v>
      </c>
      <c r="T213" s="277" t="str">
        <f>IFERROR(__xludf.DUMMYFUNCTION("""COMPUTED_VALUE"""),"Aerodactyl")</f>
        <v>Aerodactyl</v>
      </c>
      <c r="U213" s="277" t="str">
        <f>IFERROR(__xludf.DUMMYFUNCTION("""COMPUTED_VALUE"""),"A1-Mewtwo")</f>
        <v>A1-Mewtwo</v>
      </c>
      <c r="V213" s="278" t="str">
        <f>IFERROR(__xludf.DUMMYFUNCTION("""COMPUTED_VALUE"""),"♢♢♢")</f>
        <v>♢♢♢</v>
      </c>
      <c r="W213" s="443">
        <f t="array" ref="W213">IFERROR(IFS(OR(U213="A1-Mewtwo", U213="A1-Pikachu", U213="A1-Charizard", U213="A1"), $B$5-XLOOKUP(S213, 'Genetic Apex'!$C$2:$C889, 'Genetic Apex'!$B$2:$B889), U213="A1a", $B$5-XLOOKUP(S213, 'Mythical Island'!$C$2:$C889, 'Mythical Island'!$B$2:$B889), OR(U213="A2-Dialga", U213="A2-Palkia", U213="A2"), $B$5-XLOOKUP(S213, 'Space-Time Smackdown'!$C$2:$C889, 'Space-Time Smackdown'!$B$2:$B889)))</f>
        <v>1</v>
      </c>
      <c r="X213" s="444">
        <f t="shared" si="3"/>
        <v>120</v>
      </c>
      <c r="Y213" s="445">
        <f t="shared" si="4"/>
        <v>120</v>
      </c>
      <c r="Z213" s="278"/>
      <c r="AA213" s="466"/>
      <c r="AB213" s="278"/>
      <c r="AC213" s="278"/>
      <c r="AD213" s="278"/>
      <c r="AE213" s="278"/>
      <c r="AF213" s="278"/>
      <c r="AG213" s="278" t="b">
        <f t="shared" si="5"/>
        <v>0</v>
      </c>
      <c r="AH213" s="454"/>
      <c r="AI213" s="278"/>
      <c r="AJ213" s="278"/>
      <c r="AK213" s="278"/>
      <c r="AL213" s="444" t="str">
        <f t="array" ref="AL213">IFERROR(IFS(OR(AJ213="A1-Mewtwo", AJ213="A1-Pikachu", AJ213="A1-Charizard", AJ213="A1"), XLOOKUP(AH213, 'Genetic Apex'!$C$2:$C889, 'Genetic Apex'!$B$2:$B889)-2, AJ213="A1a", XLOOKUP(AH213, 'Mythical Island'!$C$2:$C889, 'Mythical Island'!$B$2:$B889)-2, OR(AJ213="A2-Dialga", AJ213="A2-Palkia", AJ213="A2"), XLOOKUP(AH213, 'Space-Time Smackdown'!$C$2:$C889, 'Space-Time Smackdown'!$B$2:$B889)-2))</f>
        <v/>
      </c>
      <c r="AM213" s="444" t="str">
        <f t="shared" si="6"/>
        <v/>
      </c>
      <c r="AN213" s="448" t="str">
        <f t="shared" si="7"/>
        <v/>
      </c>
    </row>
    <row r="214">
      <c r="A214" s="277"/>
      <c r="B214" s="277"/>
      <c r="C214" s="441"/>
      <c r="D214" s="277"/>
      <c r="E214" s="277"/>
      <c r="F214" s="277"/>
      <c r="G214" s="277"/>
      <c r="H214" s="277" t="b">
        <f t="shared" si="1"/>
        <v>0</v>
      </c>
      <c r="I214" s="277" t="str">
        <f>IFERROR(__xludf.DUMMYFUNCTION("""COMPUTED_VALUE"""),"A1 211")</f>
        <v>A1 211</v>
      </c>
      <c r="J214" s="277" t="str">
        <f>IFERROR(__xludf.DUMMYFUNCTION("""COMPUTED_VALUE"""),"Snorlax")</f>
        <v>Snorlax</v>
      </c>
      <c r="K214" s="277" t="str">
        <f>IFERROR(__xludf.DUMMYFUNCTION("""COMPUTED_VALUE"""),"A1-Pikachu")</f>
        <v>A1-Pikachu</v>
      </c>
      <c r="L214" s="277" t="str">
        <f>IFERROR(__xludf.DUMMYFUNCTION("""COMPUTED_VALUE"""),"♢♢♢")</f>
        <v>♢♢♢</v>
      </c>
      <c r="M214" s="440" t="b">
        <f t="shared" si="2"/>
        <v>1</v>
      </c>
      <c r="N214" s="441"/>
      <c r="O214" s="277"/>
      <c r="P214" s="277"/>
      <c r="Q214" s="278"/>
      <c r="R214" s="449" t="str">
        <f t="array" ref="R214">IFERROR(IFS(OR(P214="A1-Mewtwo", P214="A1-Pikachu", P214="A1-Charizard", P214="A1"), XLOOKUP(N214, 'Genetic Apex'!$C$2:$C889, 'Genetic Apex'!$B$2:$B889)-$B$4, P214="A1a", XLOOKUP(N214, 'Mythical Island'!$C$2:$C889, 'Mythical Island'!$B$2:$B889)-$B$4, OR(P214="A2-Dialga", P214="A2-Palkia", P214="A2"), XLOOKUP(N214, 'Space-Time Smackdown'!$C$2:$C889, 'Space-Time Smackdown'!$B$2:$B889)-$B$4))</f>
        <v/>
      </c>
      <c r="S214" s="277" t="str">
        <f>IFERROR(__xludf.DUMMYFUNCTION("""COMPUTED_VALUE"""),"A1 211")</f>
        <v>A1 211</v>
      </c>
      <c r="T214" s="277" t="str">
        <f>IFERROR(__xludf.DUMMYFUNCTION("""COMPUTED_VALUE"""),"Snorlax")</f>
        <v>Snorlax</v>
      </c>
      <c r="U214" s="277" t="str">
        <f>IFERROR(__xludf.DUMMYFUNCTION("""COMPUTED_VALUE"""),"A1-Pikachu")</f>
        <v>A1-Pikachu</v>
      </c>
      <c r="V214" s="278" t="str">
        <f>IFERROR(__xludf.DUMMYFUNCTION("""COMPUTED_VALUE"""),"♢♢♢")</f>
        <v>♢♢♢</v>
      </c>
      <c r="W214" s="443">
        <f t="array" ref="W214">IFERROR(IFS(OR(U214="A1-Mewtwo", U214="A1-Pikachu", U214="A1-Charizard", U214="A1"), $B$5-XLOOKUP(S214, 'Genetic Apex'!$C$2:$C889, 'Genetic Apex'!$B$2:$B889), U214="A1a", $B$5-XLOOKUP(S214, 'Mythical Island'!$C$2:$C889, 'Mythical Island'!$B$2:$B889), OR(U214="A2-Dialga", U214="A2-Palkia", U214="A2"), $B$5-XLOOKUP(S214, 'Space-Time Smackdown'!$C$2:$C889, 'Space-Time Smackdown'!$B$2:$B889)))</f>
        <v>1</v>
      </c>
      <c r="X214" s="444">
        <f t="shared" si="3"/>
        <v>120</v>
      </c>
      <c r="Y214" s="445">
        <f t="shared" si="4"/>
        <v>120</v>
      </c>
      <c r="Z214" s="278"/>
      <c r="AA214" s="466"/>
      <c r="AB214" s="278"/>
      <c r="AC214" s="278"/>
      <c r="AD214" s="278"/>
      <c r="AE214" s="278"/>
      <c r="AF214" s="278"/>
      <c r="AG214" s="278" t="b">
        <f t="shared" si="5"/>
        <v>0</v>
      </c>
      <c r="AH214" s="454"/>
      <c r="AI214" s="278"/>
      <c r="AJ214" s="278"/>
      <c r="AK214" s="278"/>
      <c r="AL214" s="444" t="str">
        <f t="array" ref="AL214">IFERROR(IFS(OR(AJ214="A1-Mewtwo", AJ214="A1-Pikachu", AJ214="A1-Charizard", AJ214="A1"), XLOOKUP(AH214, 'Genetic Apex'!$C$2:$C889, 'Genetic Apex'!$B$2:$B889)-2, AJ214="A1a", XLOOKUP(AH214, 'Mythical Island'!$C$2:$C889, 'Mythical Island'!$B$2:$B889)-2, OR(AJ214="A2-Dialga", AJ214="A2-Palkia", AJ214="A2"), XLOOKUP(AH214, 'Space-Time Smackdown'!$C$2:$C889, 'Space-Time Smackdown'!$B$2:$B889)-2))</f>
        <v/>
      </c>
      <c r="AM214" s="444" t="str">
        <f t="shared" si="6"/>
        <v/>
      </c>
      <c r="AN214" s="448" t="str">
        <f t="shared" si="7"/>
        <v/>
      </c>
    </row>
    <row r="215">
      <c r="A215" s="277"/>
      <c r="B215" s="277"/>
      <c r="C215" s="441"/>
      <c r="D215" s="277"/>
      <c r="E215" s="277"/>
      <c r="F215" s="277"/>
      <c r="G215" s="277"/>
      <c r="H215" s="277" t="b">
        <f t="shared" si="1"/>
        <v>0</v>
      </c>
      <c r="I215" s="277" t="str">
        <f>IFERROR(__xludf.DUMMYFUNCTION("""COMPUTED_VALUE"""),"A1 212")</f>
        <v>A1 212</v>
      </c>
      <c r="J215" s="277" t="str">
        <f>IFERROR(__xludf.DUMMYFUNCTION("""COMPUTED_VALUE"""),"Minccino")</f>
        <v>Minccino</v>
      </c>
      <c r="K215" s="277" t="str">
        <f>IFERROR(__xludf.DUMMYFUNCTION("""COMPUTED_VALUE"""),"A1")</f>
        <v>A1</v>
      </c>
      <c r="L215" s="277" t="str">
        <f>IFERROR(__xludf.DUMMYFUNCTION("""COMPUTED_VALUE"""),"♢")</f>
        <v>♢</v>
      </c>
      <c r="M215" s="440" t="b">
        <f t="shared" si="2"/>
        <v>1</v>
      </c>
      <c r="N215" s="441"/>
      <c r="O215" s="277"/>
      <c r="P215" s="277"/>
      <c r="Q215" s="278"/>
      <c r="R215" s="449" t="str">
        <f t="array" ref="R215">IFERROR(IFS(OR(P215="A1-Mewtwo", P215="A1-Pikachu", P215="A1-Charizard", P215="A1"), XLOOKUP(N215, 'Genetic Apex'!$C$2:$C889, 'Genetic Apex'!$B$2:$B889)-$B$4, P215="A1a", XLOOKUP(N215, 'Mythical Island'!$C$2:$C889, 'Mythical Island'!$B$2:$B889)-$B$4, OR(P215="A2-Dialga", P215="A2-Palkia", P215="A2"), XLOOKUP(N215, 'Space-Time Smackdown'!$C$2:$C889, 'Space-Time Smackdown'!$B$2:$B889)-$B$4))</f>
        <v/>
      </c>
      <c r="S215" s="277" t="str">
        <f>IFERROR(__xludf.DUMMYFUNCTION("""COMPUTED_VALUE"""),"A1 212")</f>
        <v>A1 212</v>
      </c>
      <c r="T215" s="277" t="str">
        <f>IFERROR(__xludf.DUMMYFUNCTION("""COMPUTED_VALUE"""),"Minccino")</f>
        <v>Minccino</v>
      </c>
      <c r="U215" s="277" t="str">
        <f>IFERROR(__xludf.DUMMYFUNCTION("""COMPUTED_VALUE"""),"A1")</f>
        <v>A1</v>
      </c>
      <c r="V215" s="278" t="str">
        <f>IFERROR(__xludf.DUMMYFUNCTION("""COMPUTED_VALUE"""),"♢")</f>
        <v>♢</v>
      </c>
      <c r="W215" s="443">
        <f t="array" ref="W215">IFERROR(IFS(OR(U215="A1-Mewtwo", U215="A1-Pikachu", U215="A1-Charizard", U215="A1"), $B$5-XLOOKUP(S215, 'Genetic Apex'!$C$2:$C889, 'Genetic Apex'!$B$2:$B889), U215="A1a", $B$5-XLOOKUP(S215, 'Mythical Island'!$C$2:$C889, 'Mythical Island'!$B$2:$B889), OR(U215="A2-Dialga", U215="A2-Palkia", U215="A2"), $B$5-XLOOKUP(S215, 'Space-Time Smackdown'!$C$2:$C889, 'Space-Time Smackdown'!$B$2:$B889)))</f>
        <v>1</v>
      </c>
      <c r="X215" s="444">
        <f t="shared" si="3"/>
        <v>0</v>
      </c>
      <c r="Y215" s="445" t="str">
        <f t="shared" si="4"/>
        <v/>
      </c>
      <c r="Z215" s="278"/>
      <c r="AA215" s="466"/>
      <c r="AB215" s="278"/>
      <c r="AC215" s="278"/>
      <c r="AD215" s="278"/>
      <c r="AE215" s="278"/>
      <c r="AF215" s="278"/>
      <c r="AG215" s="278" t="b">
        <f t="shared" si="5"/>
        <v>0</v>
      </c>
      <c r="AH215" s="454"/>
      <c r="AI215" s="278"/>
      <c r="AJ215" s="278"/>
      <c r="AK215" s="278"/>
      <c r="AL215" s="444" t="str">
        <f t="array" ref="AL215">IFERROR(IFS(OR(AJ215="A1-Mewtwo", AJ215="A1-Pikachu", AJ215="A1-Charizard", AJ215="A1"), XLOOKUP(AH215, 'Genetic Apex'!$C$2:$C889, 'Genetic Apex'!$B$2:$B889)-2, AJ215="A1a", XLOOKUP(AH215, 'Mythical Island'!$C$2:$C889, 'Mythical Island'!$B$2:$B889)-2, OR(AJ215="A2-Dialga", AJ215="A2-Palkia", AJ215="A2"), XLOOKUP(AH215, 'Space-Time Smackdown'!$C$2:$C889, 'Space-Time Smackdown'!$B$2:$B889)-2))</f>
        <v/>
      </c>
      <c r="AM215" s="444" t="str">
        <f t="shared" si="6"/>
        <v/>
      </c>
      <c r="AN215" s="448" t="str">
        <f t="shared" si="7"/>
        <v/>
      </c>
    </row>
    <row r="216">
      <c r="A216" s="277"/>
      <c r="B216" s="277"/>
      <c r="C216" s="441"/>
      <c r="D216" s="277"/>
      <c r="E216" s="277"/>
      <c r="F216" s="277"/>
      <c r="G216" s="277"/>
      <c r="H216" s="277" t="b">
        <f t="shared" si="1"/>
        <v>0</v>
      </c>
      <c r="I216" s="277" t="str">
        <f>IFERROR(__xludf.DUMMYFUNCTION("""COMPUTED_VALUE"""),"A1 213")</f>
        <v>A1 213</v>
      </c>
      <c r="J216" s="277" t="str">
        <f>IFERROR(__xludf.DUMMYFUNCTION("""COMPUTED_VALUE"""),"Cinccino")</f>
        <v>Cinccino</v>
      </c>
      <c r="K216" s="277" t="str">
        <f>IFERROR(__xludf.DUMMYFUNCTION("""COMPUTED_VALUE"""),"A1")</f>
        <v>A1</v>
      </c>
      <c r="L216" s="277" t="str">
        <f>IFERROR(__xludf.DUMMYFUNCTION("""COMPUTED_VALUE"""),"♢♢")</f>
        <v>♢♢</v>
      </c>
      <c r="M216" s="440" t="b">
        <f t="shared" si="2"/>
        <v>1</v>
      </c>
      <c r="N216" s="441"/>
      <c r="O216" s="277"/>
      <c r="P216" s="277"/>
      <c r="Q216" s="278"/>
      <c r="R216" s="449" t="str">
        <f t="array" ref="R216">IFERROR(IFS(OR(P216="A1-Mewtwo", P216="A1-Pikachu", P216="A1-Charizard", P216="A1"), XLOOKUP(N216, 'Genetic Apex'!$C$2:$C889, 'Genetic Apex'!$B$2:$B889)-$B$4, P216="A1a", XLOOKUP(N216, 'Mythical Island'!$C$2:$C889, 'Mythical Island'!$B$2:$B889)-$B$4, OR(P216="A2-Dialga", P216="A2-Palkia", P216="A2"), XLOOKUP(N216, 'Space-Time Smackdown'!$C$2:$C889, 'Space-Time Smackdown'!$B$2:$B889)-$B$4))</f>
        <v/>
      </c>
      <c r="S216" s="277" t="str">
        <f>IFERROR(__xludf.DUMMYFUNCTION("""COMPUTED_VALUE"""),"A1 213")</f>
        <v>A1 213</v>
      </c>
      <c r="T216" s="277" t="str">
        <f>IFERROR(__xludf.DUMMYFUNCTION("""COMPUTED_VALUE"""),"Cinccino")</f>
        <v>Cinccino</v>
      </c>
      <c r="U216" s="277" t="str">
        <f>IFERROR(__xludf.DUMMYFUNCTION("""COMPUTED_VALUE"""),"A1")</f>
        <v>A1</v>
      </c>
      <c r="V216" s="278" t="str">
        <f>IFERROR(__xludf.DUMMYFUNCTION("""COMPUTED_VALUE"""),"♢♢")</f>
        <v>♢♢</v>
      </c>
      <c r="W216" s="443">
        <f t="array" ref="W216">IFERROR(IFS(OR(U216="A1-Mewtwo", U216="A1-Pikachu", U216="A1-Charizard", U216="A1"), $B$5-XLOOKUP(S216, 'Genetic Apex'!$C$2:$C889, 'Genetic Apex'!$B$2:$B889), U216="A1a", $B$5-XLOOKUP(S216, 'Mythical Island'!$C$2:$C889, 'Mythical Island'!$B$2:$B889), OR(U216="A2-Dialga", U216="A2-Palkia", U216="A2"), $B$5-XLOOKUP(S216, 'Space-Time Smackdown'!$C$2:$C889, 'Space-Time Smackdown'!$B$2:$B889)))</f>
        <v>1</v>
      </c>
      <c r="X216" s="444">
        <f t="shared" si="3"/>
        <v>0</v>
      </c>
      <c r="Y216" s="445" t="str">
        <f t="shared" si="4"/>
        <v/>
      </c>
      <c r="Z216" s="278"/>
      <c r="AA216" s="466"/>
      <c r="AB216" s="278"/>
      <c r="AC216" s="278"/>
      <c r="AD216" s="278"/>
      <c r="AE216" s="278"/>
      <c r="AF216" s="278"/>
      <c r="AG216" s="278" t="b">
        <f t="shared" si="5"/>
        <v>0</v>
      </c>
      <c r="AH216" s="454"/>
      <c r="AI216" s="278"/>
      <c r="AJ216" s="278"/>
      <c r="AK216" s="278"/>
      <c r="AL216" s="444" t="str">
        <f t="array" ref="AL216">IFERROR(IFS(OR(AJ216="A1-Mewtwo", AJ216="A1-Pikachu", AJ216="A1-Charizard", AJ216="A1"), XLOOKUP(AH216, 'Genetic Apex'!$C$2:$C889, 'Genetic Apex'!$B$2:$B889)-2, AJ216="A1a", XLOOKUP(AH216, 'Mythical Island'!$C$2:$C889, 'Mythical Island'!$B$2:$B889)-2, OR(AJ216="A2-Dialga", AJ216="A2-Palkia", AJ216="A2"), XLOOKUP(AH216, 'Space-Time Smackdown'!$C$2:$C889, 'Space-Time Smackdown'!$B$2:$B889)-2))</f>
        <v/>
      </c>
      <c r="AM216" s="444" t="str">
        <f t="shared" si="6"/>
        <v/>
      </c>
      <c r="AN216" s="448" t="str">
        <f t="shared" si="7"/>
        <v/>
      </c>
    </row>
    <row r="217">
      <c r="A217" s="277"/>
      <c r="B217" s="277"/>
      <c r="C217" s="441"/>
      <c r="D217" s="277"/>
      <c r="E217" s="277"/>
      <c r="F217" s="277"/>
      <c r="G217" s="277"/>
      <c r="H217" s="277" t="b">
        <f t="shared" si="1"/>
        <v>0</v>
      </c>
      <c r="I217" s="277" t="str">
        <f>IFERROR(__xludf.DUMMYFUNCTION("""COMPUTED_VALUE"""),"A1 214")</f>
        <v>A1 214</v>
      </c>
      <c r="J217" s="277" t="str">
        <f>IFERROR(__xludf.DUMMYFUNCTION("""COMPUTED_VALUE"""),"Wooloo")</f>
        <v>Wooloo</v>
      </c>
      <c r="K217" s="277" t="str">
        <f>IFERROR(__xludf.DUMMYFUNCTION("""COMPUTED_VALUE"""),"A1")</f>
        <v>A1</v>
      </c>
      <c r="L217" s="277" t="str">
        <f>IFERROR(__xludf.DUMMYFUNCTION("""COMPUTED_VALUE"""),"♢")</f>
        <v>♢</v>
      </c>
      <c r="M217" s="440" t="b">
        <f t="shared" si="2"/>
        <v>1</v>
      </c>
      <c r="N217" s="441"/>
      <c r="O217" s="277"/>
      <c r="P217" s="277"/>
      <c r="Q217" s="278"/>
      <c r="R217" s="449" t="str">
        <f t="array" ref="R217">IFERROR(IFS(OR(P217="A1-Mewtwo", P217="A1-Pikachu", P217="A1-Charizard", P217="A1"), XLOOKUP(N217, 'Genetic Apex'!$C$2:$C889, 'Genetic Apex'!$B$2:$B889)-$B$4, P217="A1a", XLOOKUP(N217, 'Mythical Island'!$C$2:$C889, 'Mythical Island'!$B$2:$B889)-$B$4, OR(P217="A2-Dialga", P217="A2-Palkia", P217="A2"), XLOOKUP(N217, 'Space-Time Smackdown'!$C$2:$C889, 'Space-Time Smackdown'!$B$2:$B889)-$B$4))</f>
        <v/>
      </c>
      <c r="S217" s="277" t="str">
        <f>IFERROR(__xludf.DUMMYFUNCTION("""COMPUTED_VALUE"""),"A1 214")</f>
        <v>A1 214</v>
      </c>
      <c r="T217" s="277" t="str">
        <f>IFERROR(__xludf.DUMMYFUNCTION("""COMPUTED_VALUE"""),"Wooloo")</f>
        <v>Wooloo</v>
      </c>
      <c r="U217" s="277" t="str">
        <f>IFERROR(__xludf.DUMMYFUNCTION("""COMPUTED_VALUE"""),"A1")</f>
        <v>A1</v>
      </c>
      <c r="V217" s="278" t="str">
        <f>IFERROR(__xludf.DUMMYFUNCTION("""COMPUTED_VALUE"""),"♢")</f>
        <v>♢</v>
      </c>
      <c r="W217" s="443">
        <f t="array" ref="W217">IFERROR(IFS(OR(U217="A1-Mewtwo", U217="A1-Pikachu", U217="A1-Charizard", U217="A1"), $B$5-XLOOKUP(S217, 'Genetic Apex'!$C$2:$C889, 'Genetic Apex'!$B$2:$B889), U217="A1a", $B$5-XLOOKUP(S217, 'Mythical Island'!$C$2:$C889, 'Mythical Island'!$B$2:$B889), OR(U217="A2-Dialga", U217="A2-Palkia", U217="A2"), $B$5-XLOOKUP(S217, 'Space-Time Smackdown'!$C$2:$C889, 'Space-Time Smackdown'!$B$2:$B889)))</f>
        <v>1</v>
      </c>
      <c r="X217" s="444">
        <f t="shared" si="3"/>
        <v>0</v>
      </c>
      <c r="Y217" s="445" t="str">
        <f t="shared" si="4"/>
        <v/>
      </c>
      <c r="Z217" s="278"/>
      <c r="AA217" s="466"/>
      <c r="AB217" s="278"/>
      <c r="AC217" s="278"/>
      <c r="AD217" s="278"/>
      <c r="AE217" s="278"/>
      <c r="AF217" s="278"/>
      <c r="AG217" s="278" t="b">
        <f t="shared" si="5"/>
        <v>0</v>
      </c>
      <c r="AH217" s="454"/>
      <c r="AI217" s="278"/>
      <c r="AJ217" s="278"/>
      <c r="AK217" s="278"/>
      <c r="AL217" s="444" t="str">
        <f t="array" ref="AL217">IFERROR(IFS(OR(AJ217="A1-Mewtwo", AJ217="A1-Pikachu", AJ217="A1-Charizard", AJ217="A1"), XLOOKUP(AH217, 'Genetic Apex'!$C$2:$C889, 'Genetic Apex'!$B$2:$B889)-2, AJ217="A1a", XLOOKUP(AH217, 'Mythical Island'!$C$2:$C889, 'Mythical Island'!$B$2:$B889)-2, OR(AJ217="A2-Dialga", AJ217="A2-Palkia", AJ217="A2"), XLOOKUP(AH217, 'Space-Time Smackdown'!$C$2:$C889, 'Space-Time Smackdown'!$B$2:$B889)-2))</f>
        <v/>
      </c>
      <c r="AM217" s="444" t="str">
        <f t="shared" si="6"/>
        <v/>
      </c>
      <c r="AN217" s="448" t="str">
        <f t="shared" si="7"/>
        <v/>
      </c>
    </row>
    <row r="218">
      <c r="A218" s="277"/>
      <c r="B218" s="277"/>
      <c r="C218" s="441"/>
      <c r="D218" s="277"/>
      <c r="E218" s="277"/>
      <c r="F218" s="277"/>
      <c r="G218" s="277"/>
      <c r="H218" s="277" t="b">
        <f t="shared" si="1"/>
        <v>0</v>
      </c>
      <c r="I218" s="277" t="str">
        <f>IFERROR(__xludf.DUMMYFUNCTION("""COMPUTED_VALUE"""),"A1 215")</f>
        <v>A1 215</v>
      </c>
      <c r="J218" s="277" t="str">
        <f>IFERROR(__xludf.DUMMYFUNCTION("""COMPUTED_VALUE"""),"Dubwool")</f>
        <v>Dubwool</v>
      </c>
      <c r="K218" s="277" t="str">
        <f>IFERROR(__xludf.DUMMYFUNCTION("""COMPUTED_VALUE"""),"A1")</f>
        <v>A1</v>
      </c>
      <c r="L218" s="277" t="str">
        <f>IFERROR(__xludf.DUMMYFUNCTION("""COMPUTED_VALUE"""),"♢")</f>
        <v>♢</v>
      </c>
      <c r="M218" s="440" t="b">
        <f t="shared" si="2"/>
        <v>1</v>
      </c>
      <c r="N218" s="441"/>
      <c r="O218" s="277"/>
      <c r="P218" s="277"/>
      <c r="Q218" s="278"/>
      <c r="R218" s="449" t="str">
        <f t="array" ref="R218">IFERROR(IFS(OR(P218="A1-Mewtwo", P218="A1-Pikachu", P218="A1-Charizard", P218="A1"), XLOOKUP(N218, 'Genetic Apex'!$C$2:$C889, 'Genetic Apex'!$B$2:$B889)-$B$4, P218="A1a", XLOOKUP(N218, 'Mythical Island'!$C$2:$C889, 'Mythical Island'!$B$2:$B889)-$B$4, OR(P218="A2-Dialga", P218="A2-Palkia", P218="A2"), XLOOKUP(N218, 'Space-Time Smackdown'!$C$2:$C889, 'Space-Time Smackdown'!$B$2:$B889)-$B$4))</f>
        <v/>
      </c>
      <c r="S218" s="277" t="str">
        <f>IFERROR(__xludf.DUMMYFUNCTION("""COMPUTED_VALUE"""),"A1 215")</f>
        <v>A1 215</v>
      </c>
      <c r="T218" s="277" t="str">
        <f>IFERROR(__xludf.DUMMYFUNCTION("""COMPUTED_VALUE"""),"Dubwool")</f>
        <v>Dubwool</v>
      </c>
      <c r="U218" s="277" t="str">
        <f>IFERROR(__xludf.DUMMYFUNCTION("""COMPUTED_VALUE"""),"A1")</f>
        <v>A1</v>
      </c>
      <c r="V218" s="278" t="str">
        <f>IFERROR(__xludf.DUMMYFUNCTION("""COMPUTED_VALUE"""),"♢")</f>
        <v>♢</v>
      </c>
      <c r="W218" s="443">
        <f t="array" ref="W218">IFERROR(IFS(OR(U218="A1-Mewtwo", U218="A1-Pikachu", U218="A1-Charizard", U218="A1"), $B$5-XLOOKUP(S218, 'Genetic Apex'!$C$2:$C889, 'Genetic Apex'!$B$2:$B889), U218="A1a", $B$5-XLOOKUP(S218, 'Mythical Island'!$C$2:$C889, 'Mythical Island'!$B$2:$B889), OR(U218="A2-Dialga", U218="A2-Palkia", U218="A2"), $B$5-XLOOKUP(S218, 'Space-Time Smackdown'!$C$2:$C889, 'Space-Time Smackdown'!$B$2:$B889)))</f>
        <v>1</v>
      </c>
      <c r="X218" s="444">
        <f t="shared" si="3"/>
        <v>0</v>
      </c>
      <c r="Y218" s="445" t="str">
        <f t="shared" si="4"/>
        <v/>
      </c>
      <c r="Z218" s="278"/>
      <c r="AA218" s="466"/>
      <c r="AB218" s="278"/>
      <c r="AC218" s="278"/>
      <c r="AD218" s="278"/>
      <c r="AE218" s="278"/>
      <c r="AF218" s="278"/>
      <c r="AG218" s="278" t="b">
        <f t="shared" si="5"/>
        <v>0</v>
      </c>
      <c r="AH218" s="454"/>
      <c r="AI218" s="278"/>
      <c r="AJ218" s="278"/>
      <c r="AK218" s="278"/>
      <c r="AL218" s="444" t="str">
        <f t="array" ref="AL218">IFERROR(IFS(OR(AJ218="A1-Mewtwo", AJ218="A1-Pikachu", AJ218="A1-Charizard", AJ218="A1"), XLOOKUP(AH218, 'Genetic Apex'!$C$2:$C889, 'Genetic Apex'!$B$2:$B889)-2, AJ218="A1a", XLOOKUP(AH218, 'Mythical Island'!$C$2:$C889, 'Mythical Island'!$B$2:$B889)-2, OR(AJ218="A2-Dialga", AJ218="A2-Palkia", AJ218="A2"), XLOOKUP(AH218, 'Space-Time Smackdown'!$C$2:$C889, 'Space-Time Smackdown'!$B$2:$B889)-2))</f>
        <v/>
      </c>
      <c r="AM218" s="444" t="str">
        <f t="shared" si="6"/>
        <v/>
      </c>
      <c r="AN218" s="448" t="str">
        <f t="shared" si="7"/>
        <v/>
      </c>
    </row>
    <row r="219">
      <c r="A219" s="277"/>
      <c r="B219" s="277"/>
      <c r="C219" s="441"/>
      <c r="D219" s="277"/>
      <c r="E219" s="277"/>
      <c r="F219" s="277"/>
      <c r="G219" s="277"/>
      <c r="H219" s="277" t="b">
        <f t="shared" si="1"/>
        <v>0</v>
      </c>
      <c r="I219" s="277" t="str">
        <f>IFERROR(__xludf.DUMMYFUNCTION("""COMPUTED_VALUE"""),"A1 216")</f>
        <v>A1 216</v>
      </c>
      <c r="J219" s="277" t="str">
        <f>IFERROR(__xludf.DUMMYFUNCTION("""COMPUTED_VALUE"""),"Helix Fossil")</f>
        <v>Helix Fossil</v>
      </c>
      <c r="K219" s="277" t="str">
        <f>IFERROR(__xludf.DUMMYFUNCTION("""COMPUTED_VALUE"""),"A1-Pikachu")</f>
        <v>A1-Pikachu</v>
      </c>
      <c r="L219" s="277" t="str">
        <f>IFERROR(__xludf.DUMMYFUNCTION("""COMPUTED_VALUE"""),"♢")</f>
        <v>♢</v>
      </c>
      <c r="M219" s="440" t="b">
        <f t="shared" si="2"/>
        <v>1</v>
      </c>
      <c r="N219" s="441"/>
      <c r="O219" s="277"/>
      <c r="P219" s="277"/>
      <c r="Q219" s="278"/>
      <c r="R219" s="449" t="str">
        <f t="array" ref="R219">IFERROR(IFS(OR(P219="A1-Mewtwo", P219="A1-Pikachu", P219="A1-Charizard", P219="A1"), XLOOKUP(N219, 'Genetic Apex'!$C$2:$C889, 'Genetic Apex'!$B$2:$B889)-$B$4, P219="A1a", XLOOKUP(N219, 'Mythical Island'!$C$2:$C889, 'Mythical Island'!$B$2:$B889)-$B$4, OR(P219="A2-Dialga", P219="A2-Palkia", P219="A2"), XLOOKUP(N219, 'Space-Time Smackdown'!$C$2:$C889, 'Space-Time Smackdown'!$B$2:$B889)-$B$4))</f>
        <v/>
      </c>
      <c r="S219" s="277" t="str">
        <f>IFERROR(__xludf.DUMMYFUNCTION("""COMPUTED_VALUE"""),"A1 216")</f>
        <v>A1 216</v>
      </c>
      <c r="T219" s="277" t="str">
        <f>IFERROR(__xludf.DUMMYFUNCTION("""COMPUTED_VALUE"""),"Helix Fossil")</f>
        <v>Helix Fossil</v>
      </c>
      <c r="U219" s="277" t="str">
        <f>IFERROR(__xludf.DUMMYFUNCTION("""COMPUTED_VALUE"""),"A1-Pikachu")</f>
        <v>A1-Pikachu</v>
      </c>
      <c r="V219" s="278" t="str">
        <f>IFERROR(__xludf.DUMMYFUNCTION("""COMPUTED_VALUE"""),"♢")</f>
        <v>♢</v>
      </c>
      <c r="W219" s="443">
        <f t="array" ref="W219">IFERROR(IFS(OR(U219="A1-Mewtwo", U219="A1-Pikachu", U219="A1-Charizard", U219="A1"), $B$5-XLOOKUP(S219, 'Genetic Apex'!$C$2:$C889, 'Genetic Apex'!$B$2:$B889), U219="A1a", $B$5-XLOOKUP(S219, 'Mythical Island'!$C$2:$C889, 'Mythical Island'!$B$2:$B889), OR(U219="A2-Dialga", U219="A2-Palkia", U219="A2"), $B$5-XLOOKUP(S219, 'Space-Time Smackdown'!$C$2:$C889, 'Space-Time Smackdown'!$B$2:$B889)))</f>
        <v>1</v>
      </c>
      <c r="X219" s="444">
        <f t="shared" si="3"/>
        <v>0</v>
      </c>
      <c r="Y219" s="445" t="str">
        <f t="shared" si="4"/>
        <v/>
      </c>
      <c r="Z219" s="278"/>
      <c r="AA219" s="466"/>
      <c r="AB219" s="278"/>
      <c r="AC219" s="278"/>
      <c r="AD219" s="278"/>
      <c r="AE219" s="278"/>
      <c r="AF219" s="278"/>
      <c r="AG219" s="278" t="b">
        <f t="shared" si="5"/>
        <v>0</v>
      </c>
      <c r="AH219" s="454"/>
      <c r="AI219" s="278"/>
      <c r="AJ219" s="278"/>
      <c r="AK219" s="278"/>
      <c r="AL219" s="444" t="str">
        <f t="array" ref="AL219">IFERROR(IFS(OR(AJ219="A1-Mewtwo", AJ219="A1-Pikachu", AJ219="A1-Charizard", AJ219="A1"), XLOOKUP(AH219, 'Genetic Apex'!$C$2:$C889, 'Genetic Apex'!$B$2:$B889)-2, AJ219="A1a", XLOOKUP(AH219, 'Mythical Island'!$C$2:$C889, 'Mythical Island'!$B$2:$B889)-2, OR(AJ219="A2-Dialga", AJ219="A2-Palkia", AJ219="A2"), XLOOKUP(AH219, 'Space-Time Smackdown'!$C$2:$C889, 'Space-Time Smackdown'!$B$2:$B889)-2))</f>
        <v/>
      </c>
      <c r="AM219" s="444" t="str">
        <f t="shared" si="6"/>
        <v/>
      </c>
      <c r="AN219" s="448" t="str">
        <f t="shared" si="7"/>
        <v/>
      </c>
    </row>
    <row r="220">
      <c r="A220" s="277"/>
      <c r="B220" s="277"/>
      <c r="C220" s="441"/>
      <c r="D220" s="277"/>
      <c r="E220" s="277"/>
      <c r="F220" s="277"/>
      <c r="G220" s="277"/>
      <c r="H220" s="277" t="b">
        <f t="shared" si="1"/>
        <v>0</v>
      </c>
      <c r="I220" s="277" t="str">
        <f>IFERROR(__xludf.DUMMYFUNCTION("""COMPUTED_VALUE"""),"A1 217")</f>
        <v>A1 217</v>
      </c>
      <c r="J220" s="277" t="str">
        <f>IFERROR(__xludf.DUMMYFUNCTION("""COMPUTED_VALUE"""),"Dome Fossil")</f>
        <v>Dome Fossil</v>
      </c>
      <c r="K220" s="277" t="str">
        <f>IFERROR(__xludf.DUMMYFUNCTION("""COMPUTED_VALUE"""),"A1-Charizard")</f>
        <v>A1-Charizard</v>
      </c>
      <c r="L220" s="277" t="str">
        <f>IFERROR(__xludf.DUMMYFUNCTION("""COMPUTED_VALUE"""),"♢")</f>
        <v>♢</v>
      </c>
      <c r="M220" s="440" t="b">
        <f t="shared" si="2"/>
        <v>1</v>
      </c>
      <c r="N220" s="441"/>
      <c r="O220" s="277"/>
      <c r="P220" s="277"/>
      <c r="Q220" s="278"/>
      <c r="R220" s="449" t="str">
        <f t="array" ref="R220">IFERROR(IFS(OR(P220="A1-Mewtwo", P220="A1-Pikachu", P220="A1-Charizard", P220="A1"), XLOOKUP(N220, 'Genetic Apex'!$C$2:$C889, 'Genetic Apex'!$B$2:$B889)-$B$4, P220="A1a", XLOOKUP(N220, 'Mythical Island'!$C$2:$C889, 'Mythical Island'!$B$2:$B889)-$B$4, OR(P220="A2-Dialga", P220="A2-Palkia", P220="A2"), XLOOKUP(N220, 'Space-Time Smackdown'!$C$2:$C889, 'Space-Time Smackdown'!$B$2:$B889)-$B$4))</f>
        <v/>
      </c>
      <c r="S220" s="277" t="str">
        <f>IFERROR(__xludf.DUMMYFUNCTION("""COMPUTED_VALUE"""),"A1 217")</f>
        <v>A1 217</v>
      </c>
      <c r="T220" s="277" t="str">
        <f>IFERROR(__xludf.DUMMYFUNCTION("""COMPUTED_VALUE"""),"Dome Fossil")</f>
        <v>Dome Fossil</v>
      </c>
      <c r="U220" s="277" t="str">
        <f>IFERROR(__xludf.DUMMYFUNCTION("""COMPUTED_VALUE"""),"A1-Charizard")</f>
        <v>A1-Charizard</v>
      </c>
      <c r="V220" s="278" t="str">
        <f>IFERROR(__xludf.DUMMYFUNCTION("""COMPUTED_VALUE"""),"♢")</f>
        <v>♢</v>
      </c>
      <c r="W220" s="443">
        <f t="array" ref="W220">IFERROR(IFS(OR(U220="A1-Mewtwo", U220="A1-Pikachu", U220="A1-Charizard", U220="A1"), $B$5-XLOOKUP(S220, 'Genetic Apex'!$C$2:$C889, 'Genetic Apex'!$B$2:$B889), U220="A1a", $B$5-XLOOKUP(S220, 'Mythical Island'!$C$2:$C889, 'Mythical Island'!$B$2:$B889), OR(U220="A2-Dialga", U220="A2-Palkia", U220="A2"), $B$5-XLOOKUP(S220, 'Space-Time Smackdown'!$C$2:$C889, 'Space-Time Smackdown'!$B$2:$B889)))</f>
        <v>1</v>
      </c>
      <c r="X220" s="444">
        <f t="shared" si="3"/>
        <v>0</v>
      </c>
      <c r="Y220" s="445" t="str">
        <f t="shared" si="4"/>
        <v/>
      </c>
      <c r="Z220" s="278"/>
      <c r="AA220" s="466"/>
      <c r="AB220" s="278"/>
      <c r="AC220" s="278"/>
      <c r="AD220" s="278"/>
      <c r="AE220" s="278"/>
      <c r="AF220" s="278"/>
      <c r="AG220" s="278" t="b">
        <f t="shared" si="5"/>
        <v>0</v>
      </c>
      <c r="AH220" s="454"/>
      <c r="AI220" s="278"/>
      <c r="AJ220" s="278"/>
      <c r="AK220" s="278"/>
      <c r="AL220" s="444" t="str">
        <f t="array" ref="AL220">IFERROR(IFS(OR(AJ220="A1-Mewtwo", AJ220="A1-Pikachu", AJ220="A1-Charizard", AJ220="A1"), XLOOKUP(AH220, 'Genetic Apex'!$C$2:$C889, 'Genetic Apex'!$B$2:$B889)-2, AJ220="A1a", XLOOKUP(AH220, 'Mythical Island'!$C$2:$C889, 'Mythical Island'!$B$2:$B889)-2, OR(AJ220="A2-Dialga", AJ220="A2-Palkia", AJ220="A2"), XLOOKUP(AH220, 'Space-Time Smackdown'!$C$2:$C889, 'Space-Time Smackdown'!$B$2:$B889)-2))</f>
        <v/>
      </c>
      <c r="AM220" s="444" t="str">
        <f t="shared" si="6"/>
        <v/>
      </c>
      <c r="AN220" s="448" t="str">
        <f t="shared" si="7"/>
        <v/>
      </c>
    </row>
    <row r="221">
      <c r="A221" s="277"/>
      <c r="B221" s="277"/>
      <c r="C221" s="441"/>
      <c r="D221" s="277"/>
      <c r="E221" s="277"/>
      <c r="F221" s="277"/>
      <c r="G221" s="277"/>
      <c r="H221" s="277" t="b">
        <f t="shared" si="1"/>
        <v>0</v>
      </c>
      <c r="I221" s="277" t="str">
        <f>IFERROR(__xludf.DUMMYFUNCTION("""COMPUTED_VALUE"""),"A1 218")</f>
        <v>A1 218</v>
      </c>
      <c r="J221" s="277" t="str">
        <f>IFERROR(__xludf.DUMMYFUNCTION("""COMPUTED_VALUE"""),"Old Amber")</f>
        <v>Old Amber</v>
      </c>
      <c r="K221" s="277" t="str">
        <f>IFERROR(__xludf.DUMMYFUNCTION("""COMPUTED_VALUE"""),"A1-Mewtwo")</f>
        <v>A1-Mewtwo</v>
      </c>
      <c r="L221" s="277" t="str">
        <f>IFERROR(__xludf.DUMMYFUNCTION("""COMPUTED_VALUE"""),"♢")</f>
        <v>♢</v>
      </c>
      <c r="M221" s="440" t="b">
        <f t="shared" si="2"/>
        <v>1</v>
      </c>
      <c r="N221" s="441"/>
      <c r="O221" s="277"/>
      <c r="P221" s="277"/>
      <c r="Q221" s="278"/>
      <c r="R221" s="449" t="str">
        <f t="array" ref="R221">IFERROR(IFS(OR(P221="A1-Mewtwo", P221="A1-Pikachu", P221="A1-Charizard", P221="A1"), XLOOKUP(N221, 'Genetic Apex'!$C$2:$C889, 'Genetic Apex'!$B$2:$B889)-$B$4, P221="A1a", XLOOKUP(N221, 'Mythical Island'!$C$2:$C889, 'Mythical Island'!$B$2:$B889)-$B$4, OR(P221="A2-Dialga", P221="A2-Palkia", P221="A2"), XLOOKUP(N221, 'Space-Time Smackdown'!$C$2:$C889, 'Space-Time Smackdown'!$B$2:$B889)-$B$4))</f>
        <v/>
      </c>
      <c r="S221" s="277" t="str">
        <f>IFERROR(__xludf.DUMMYFUNCTION("""COMPUTED_VALUE"""),"A1 218")</f>
        <v>A1 218</v>
      </c>
      <c r="T221" s="277" t="str">
        <f>IFERROR(__xludf.DUMMYFUNCTION("""COMPUTED_VALUE"""),"Old Amber")</f>
        <v>Old Amber</v>
      </c>
      <c r="U221" s="277" t="str">
        <f>IFERROR(__xludf.DUMMYFUNCTION("""COMPUTED_VALUE"""),"A1-Mewtwo")</f>
        <v>A1-Mewtwo</v>
      </c>
      <c r="V221" s="278" t="str">
        <f>IFERROR(__xludf.DUMMYFUNCTION("""COMPUTED_VALUE"""),"♢")</f>
        <v>♢</v>
      </c>
      <c r="W221" s="443">
        <f t="array" ref="W221">IFERROR(IFS(OR(U221="A1-Mewtwo", U221="A1-Pikachu", U221="A1-Charizard", U221="A1"), $B$5-XLOOKUP(S221, 'Genetic Apex'!$C$2:$C889, 'Genetic Apex'!$B$2:$B889), U221="A1a", $B$5-XLOOKUP(S221, 'Mythical Island'!$C$2:$C889, 'Mythical Island'!$B$2:$B889), OR(U221="A2-Dialga", U221="A2-Palkia", U221="A2"), $B$5-XLOOKUP(S221, 'Space-Time Smackdown'!$C$2:$C889, 'Space-Time Smackdown'!$B$2:$B889)))</f>
        <v>1</v>
      </c>
      <c r="X221" s="444">
        <f t="shared" si="3"/>
        <v>0</v>
      </c>
      <c r="Y221" s="445" t="str">
        <f t="shared" si="4"/>
        <v/>
      </c>
      <c r="Z221" s="278"/>
      <c r="AA221" s="466"/>
      <c r="AB221" s="278"/>
      <c r="AC221" s="278"/>
      <c r="AD221" s="278"/>
      <c r="AE221" s="278"/>
      <c r="AF221" s="278"/>
      <c r="AG221" s="278" t="b">
        <f t="shared" si="5"/>
        <v>0</v>
      </c>
      <c r="AH221" s="454"/>
      <c r="AI221" s="278"/>
      <c r="AJ221" s="278"/>
      <c r="AK221" s="278"/>
      <c r="AL221" s="444" t="str">
        <f t="array" ref="AL221">IFERROR(IFS(OR(AJ221="A1-Mewtwo", AJ221="A1-Pikachu", AJ221="A1-Charizard", AJ221="A1"), XLOOKUP(AH221, 'Genetic Apex'!$C$2:$C889, 'Genetic Apex'!$B$2:$B889)-2, AJ221="A1a", XLOOKUP(AH221, 'Mythical Island'!$C$2:$C889, 'Mythical Island'!$B$2:$B889)-2, OR(AJ221="A2-Dialga", AJ221="A2-Palkia", AJ221="A2"), XLOOKUP(AH221, 'Space-Time Smackdown'!$C$2:$C889, 'Space-Time Smackdown'!$B$2:$B889)-2))</f>
        <v/>
      </c>
      <c r="AM221" s="444" t="str">
        <f t="shared" si="6"/>
        <v/>
      </c>
      <c r="AN221" s="448" t="str">
        <f t="shared" si="7"/>
        <v/>
      </c>
    </row>
    <row r="222">
      <c r="A222" s="277"/>
      <c r="B222" s="277"/>
      <c r="C222" s="441"/>
      <c r="D222" s="277"/>
      <c r="E222" s="277"/>
      <c r="F222" s="277"/>
      <c r="G222" s="277"/>
      <c r="H222" s="277" t="b">
        <f t="shared" si="1"/>
        <v>0</v>
      </c>
      <c r="I222" s="277" t="str">
        <f>IFERROR(__xludf.DUMMYFUNCTION("""COMPUTED_VALUE"""),"A1 219")</f>
        <v>A1 219</v>
      </c>
      <c r="J222" s="277" t="str">
        <f>IFERROR(__xludf.DUMMYFUNCTION("""COMPUTED_VALUE"""),"Erika")</f>
        <v>Erika</v>
      </c>
      <c r="K222" s="277" t="str">
        <f>IFERROR(__xludf.DUMMYFUNCTION("""COMPUTED_VALUE"""),"A1-Charizard")</f>
        <v>A1-Charizard</v>
      </c>
      <c r="L222" s="277" t="str">
        <f>IFERROR(__xludf.DUMMYFUNCTION("""COMPUTED_VALUE"""),"♢♢")</f>
        <v>♢♢</v>
      </c>
      <c r="M222" s="440" t="b">
        <f t="shared" si="2"/>
        <v>1</v>
      </c>
      <c r="N222" s="441"/>
      <c r="O222" s="277"/>
      <c r="P222" s="277"/>
      <c r="Q222" s="278"/>
      <c r="R222" s="449" t="str">
        <f t="array" ref="R222">IFERROR(IFS(OR(P222="A1-Mewtwo", P222="A1-Pikachu", P222="A1-Charizard", P222="A1"), XLOOKUP(N222, 'Genetic Apex'!$C$2:$C889, 'Genetic Apex'!$B$2:$B889)-$B$4, P222="A1a", XLOOKUP(N222, 'Mythical Island'!$C$2:$C889, 'Mythical Island'!$B$2:$B889)-$B$4, OR(P222="A2-Dialga", P222="A2-Palkia", P222="A2"), XLOOKUP(N222, 'Space-Time Smackdown'!$C$2:$C889, 'Space-Time Smackdown'!$B$2:$B889)-$B$4))</f>
        <v/>
      </c>
      <c r="S222" s="277" t="str">
        <f>IFERROR(__xludf.DUMMYFUNCTION("""COMPUTED_VALUE"""),"A1 219")</f>
        <v>A1 219</v>
      </c>
      <c r="T222" s="277" t="str">
        <f>IFERROR(__xludf.DUMMYFUNCTION("""COMPUTED_VALUE"""),"Erika")</f>
        <v>Erika</v>
      </c>
      <c r="U222" s="277" t="str">
        <f>IFERROR(__xludf.DUMMYFUNCTION("""COMPUTED_VALUE"""),"A1-Charizard")</f>
        <v>A1-Charizard</v>
      </c>
      <c r="V222" s="278" t="str">
        <f>IFERROR(__xludf.DUMMYFUNCTION("""COMPUTED_VALUE"""),"♢♢")</f>
        <v>♢♢</v>
      </c>
      <c r="W222" s="443">
        <f t="array" ref="W222">IFERROR(IFS(OR(U222="A1-Mewtwo", U222="A1-Pikachu", U222="A1-Charizard", U222="A1"), $B$5-XLOOKUP(S222, 'Genetic Apex'!$C$2:$C889, 'Genetic Apex'!$B$2:$B889), U222="A1a", $B$5-XLOOKUP(S222, 'Mythical Island'!$C$2:$C889, 'Mythical Island'!$B$2:$B889), OR(U222="A2-Dialga", U222="A2-Palkia", U222="A2"), $B$5-XLOOKUP(S222, 'Space-Time Smackdown'!$C$2:$C889, 'Space-Time Smackdown'!$B$2:$B889)))</f>
        <v>1</v>
      </c>
      <c r="X222" s="444">
        <f t="shared" si="3"/>
        <v>0</v>
      </c>
      <c r="Y222" s="445" t="str">
        <f t="shared" si="4"/>
        <v/>
      </c>
      <c r="Z222" s="278"/>
      <c r="AA222" s="466"/>
      <c r="AB222" s="278"/>
      <c r="AC222" s="278"/>
      <c r="AD222" s="278"/>
      <c r="AE222" s="278"/>
      <c r="AF222" s="278"/>
      <c r="AG222" s="278" t="b">
        <f t="shared" si="5"/>
        <v>0</v>
      </c>
      <c r="AH222" s="454"/>
      <c r="AI222" s="278"/>
      <c r="AJ222" s="278"/>
      <c r="AK222" s="278"/>
      <c r="AL222" s="444" t="str">
        <f t="array" ref="AL222">IFERROR(IFS(OR(AJ222="A1-Mewtwo", AJ222="A1-Pikachu", AJ222="A1-Charizard", AJ222="A1"), XLOOKUP(AH222, 'Genetic Apex'!$C$2:$C889, 'Genetic Apex'!$B$2:$B889)-2, AJ222="A1a", XLOOKUP(AH222, 'Mythical Island'!$C$2:$C889, 'Mythical Island'!$B$2:$B889)-2, OR(AJ222="A2-Dialga", AJ222="A2-Palkia", AJ222="A2"), XLOOKUP(AH222, 'Space-Time Smackdown'!$C$2:$C889, 'Space-Time Smackdown'!$B$2:$B889)-2))</f>
        <v/>
      </c>
      <c r="AM222" s="444" t="str">
        <f t="shared" si="6"/>
        <v/>
      </c>
      <c r="AN222" s="448" t="str">
        <f t="shared" si="7"/>
        <v/>
      </c>
    </row>
    <row r="223">
      <c r="A223" s="277"/>
      <c r="B223" s="277"/>
      <c r="C223" s="441"/>
      <c r="D223" s="277"/>
      <c r="E223" s="277"/>
      <c r="F223" s="277"/>
      <c r="G223" s="277"/>
      <c r="H223" s="277" t="b">
        <f t="shared" si="1"/>
        <v>0</v>
      </c>
      <c r="I223" s="277" t="str">
        <f>IFERROR(__xludf.DUMMYFUNCTION("""COMPUTED_VALUE"""),"A1 220")</f>
        <v>A1 220</v>
      </c>
      <c r="J223" s="277" t="str">
        <f>IFERROR(__xludf.DUMMYFUNCTION("""COMPUTED_VALUE"""),"Misty")</f>
        <v>Misty</v>
      </c>
      <c r="K223" s="277" t="str">
        <f>IFERROR(__xludf.DUMMYFUNCTION("""COMPUTED_VALUE"""),"A1-Pikachu")</f>
        <v>A1-Pikachu</v>
      </c>
      <c r="L223" s="277" t="str">
        <f>IFERROR(__xludf.DUMMYFUNCTION("""COMPUTED_VALUE"""),"♢♢")</f>
        <v>♢♢</v>
      </c>
      <c r="M223" s="440" t="b">
        <f t="shared" si="2"/>
        <v>1</v>
      </c>
      <c r="N223" s="441"/>
      <c r="O223" s="277"/>
      <c r="P223" s="277"/>
      <c r="Q223" s="278"/>
      <c r="R223" s="449" t="str">
        <f t="array" ref="R223">IFERROR(IFS(OR(P223="A1-Mewtwo", P223="A1-Pikachu", P223="A1-Charizard", P223="A1"), XLOOKUP(N223, 'Genetic Apex'!$C$2:$C889, 'Genetic Apex'!$B$2:$B889)-$B$4, P223="A1a", XLOOKUP(N223, 'Mythical Island'!$C$2:$C889, 'Mythical Island'!$B$2:$B889)-$B$4, OR(P223="A2-Dialga", P223="A2-Palkia", P223="A2"), XLOOKUP(N223, 'Space-Time Smackdown'!$C$2:$C889, 'Space-Time Smackdown'!$B$2:$B889)-$B$4))</f>
        <v/>
      </c>
      <c r="S223" s="277" t="str">
        <f>IFERROR(__xludf.DUMMYFUNCTION("""COMPUTED_VALUE"""),"A1 220")</f>
        <v>A1 220</v>
      </c>
      <c r="T223" s="277" t="str">
        <f>IFERROR(__xludf.DUMMYFUNCTION("""COMPUTED_VALUE"""),"Misty")</f>
        <v>Misty</v>
      </c>
      <c r="U223" s="277" t="str">
        <f>IFERROR(__xludf.DUMMYFUNCTION("""COMPUTED_VALUE"""),"A1-Pikachu")</f>
        <v>A1-Pikachu</v>
      </c>
      <c r="V223" s="278" t="str">
        <f>IFERROR(__xludf.DUMMYFUNCTION("""COMPUTED_VALUE"""),"♢♢")</f>
        <v>♢♢</v>
      </c>
      <c r="W223" s="443">
        <f t="array" ref="W223">IFERROR(IFS(OR(U223="A1-Mewtwo", U223="A1-Pikachu", U223="A1-Charizard", U223="A1"), $B$5-XLOOKUP(S223, 'Genetic Apex'!$C$2:$C889, 'Genetic Apex'!$B$2:$B889), U223="A1a", $B$5-XLOOKUP(S223, 'Mythical Island'!$C$2:$C889, 'Mythical Island'!$B$2:$B889), OR(U223="A2-Dialga", U223="A2-Palkia", U223="A2"), $B$5-XLOOKUP(S223, 'Space-Time Smackdown'!$C$2:$C889, 'Space-Time Smackdown'!$B$2:$B889)))</f>
        <v>1</v>
      </c>
      <c r="X223" s="444">
        <f t="shared" si="3"/>
        <v>0</v>
      </c>
      <c r="Y223" s="445" t="str">
        <f t="shared" si="4"/>
        <v/>
      </c>
      <c r="Z223" s="278"/>
      <c r="AA223" s="466"/>
      <c r="AB223" s="278"/>
      <c r="AC223" s="278"/>
      <c r="AD223" s="278"/>
      <c r="AE223" s="278"/>
      <c r="AF223" s="278"/>
      <c r="AG223" s="278" t="b">
        <f t="shared" si="5"/>
        <v>0</v>
      </c>
      <c r="AH223" s="454"/>
      <c r="AI223" s="278"/>
      <c r="AJ223" s="278"/>
      <c r="AK223" s="278"/>
      <c r="AL223" s="444" t="str">
        <f t="array" ref="AL223">IFERROR(IFS(OR(AJ223="A1-Mewtwo", AJ223="A1-Pikachu", AJ223="A1-Charizard", AJ223="A1"), XLOOKUP(AH223, 'Genetic Apex'!$C$2:$C889, 'Genetic Apex'!$B$2:$B889)-2, AJ223="A1a", XLOOKUP(AH223, 'Mythical Island'!$C$2:$C889, 'Mythical Island'!$B$2:$B889)-2, OR(AJ223="A2-Dialga", AJ223="A2-Palkia", AJ223="A2"), XLOOKUP(AH223, 'Space-Time Smackdown'!$C$2:$C889, 'Space-Time Smackdown'!$B$2:$B889)-2))</f>
        <v/>
      </c>
      <c r="AM223" s="444" t="str">
        <f t="shared" si="6"/>
        <v/>
      </c>
      <c r="AN223" s="448" t="str">
        <f t="shared" si="7"/>
        <v/>
      </c>
    </row>
    <row r="224">
      <c r="A224" s="277"/>
      <c r="B224" s="277"/>
      <c r="C224" s="441"/>
      <c r="D224" s="277"/>
      <c r="E224" s="277"/>
      <c r="F224" s="277"/>
      <c r="G224" s="277"/>
      <c r="H224" s="277" t="b">
        <f t="shared" si="1"/>
        <v>0</v>
      </c>
      <c r="I224" s="277" t="str">
        <f>IFERROR(__xludf.DUMMYFUNCTION("""COMPUTED_VALUE"""),"A1 221")</f>
        <v>A1 221</v>
      </c>
      <c r="J224" s="277" t="str">
        <f>IFERROR(__xludf.DUMMYFUNCTION("""COMPUTED_VALUE"""),"Blaine")</f>
        <v>Blaine</v>
      </c>
      <c r="K224" s="277" t="str">
        <f>IFERROR(__xludf.DUMMYFUNCTION("""COMPUTED_VALUE"""),"A1-Charizard")</f>
        <v>A1-Charizard</v>
      </c>
      <c r="L224" s="277" t="str">
        <f>IFERROR(__xludf.DUMMYFUNCTION("""COMPUTED_VALUE"""),"♢♢")</f>
        <v>♢♢</v>
      </c>
      <c r="M224" s="440" t="b">
        <f t="shared" si="2"/>
        <v>1</v>
      </c>
      <c r="N224" s="441"/>
      <c r="O224" s="277"/>
      <c r="P224" s="277"/>
      <c r="Q224" s="278"/>
      <c r="R224" s="449" t="str">
        <f t="array" ref="R224">IFERROR(IFS(OR(P224="A1-Mewtwo", P224="A1-Pikachu", P224="A1-Charizard", P224="A1"), XLOOKUP(N224, 'Genetic Apex'!$C$2:$C889, 'Genetic Apex'!$B$2:$B889)-$B$4, P224="A1a", XLOOKUP(N224, 'Mythical Island'!$C$2:$C889, 'Mythical Island'!$B$2:$B889)-$B$4, OR(P224="A2-Dialga", P224="A2-Palkia", P224="A2"), XLOOKUP(N224, 'Space-Time Smackdown'!$C$2:$C889, 'Space-Time Smackdown'!$B$2:$B889)-$B$4))</f>
        <v/>
      </c>
      <c r="S224" s="277" t="str">
        <f>IFERROR(__xludf.DUMMYFUNCTION("""COMPUTED_VALUE"""),"A1 221")</f>
        <v>A1 221</v>
      </c>
      <c r="T224" s="277" t="str">
        <f>IFERROR(__xludf.DUMMYFUNCTION("""COMPUTED_VALUE"""),"Blaine")</f>
        <v>Blaine</v>
      </c>
      <c r="U224" s="277" t="str">
        <f>IFERROR(__xludf.DUMMYFUNCTION("""COMPUTED_VALUE"""),"A1-Charizard")</f>
        <v>A1-Charizard</v>
      </c>
      <c r="V224" s="278" t="str">
        <f>IFERROR(__xludf.DUMMYFUNCTION("""COMPUTED_VALUE"""),"♢♢")</f>
        <v>♢♢</v>
      </c>
      <c r="W224" s="443">
        <f t="array" ref="W224">IFERROR(IFS(OR(U224="A1-Mewtwo", U224="A1-Pikachu", U224="A1-Charizard", U224="A1"), $B$5-XLOOKUP(S224, 'Genetic Apex'!$C$2:$C889, 'Genetic Apex'!$B$2:$B889), U224="A1a", $B$5-XLOOKUP(S224, 'Mythical Island'!$C$2:$C889, 'Mythical Island'!$B$2:$B889), OR(U224="A2-Dialga", U224="A2-Palkia", U224="A2"), $B$5-XLOOKUP(S224, 'Space-Time Smackdown'!$C$2:$C889, 'Space-Time Smackdown'!$B$2:$B889)))</f>
        <v>1</v>
      </c>
      <c r="X224" s="444">
        <f t="shared" si="3"/>
        <v>0</v>
      </c>
      <c r="Y224" s="445" t="str">
        <f t="shared" si="4"/>
        <v/>
      </c>
      <c r="Z224" s="278"/>
      <c r="AA224" s="466"/>
      <c r="AB224" s="278"/>
      <c r="AC224" s="278"/>
      <c r="AD224" s="278"/>
      <c r="AE224" s="278"/>
      <c r="AF224" s="278"/>
      <c r="AG224" s="278" t="b">
        <f t="shared" si="5"/>
        <v>0</v>
      </c>
      <c r="AH224" s="454"/>
      <c r="AI224" s="278"/>
      <c r="AJ224" s="278"/>
      <c r="AK224" s="278"/>
      <c r="AL224" s="444" t="str">
        <f t="array" ref="AL224">IFERROR(IFS(OR(AJ224="A1-Mewtwo", AJ224="A1-Pikachu", AJ224="A1-Charizard", AJ224="A1"), XLOOKUP(AH224, 'Genetic Apex'!$C$2:$C889, 'Genetic Apex'!$B$2:$B889)-2, AJ224="A1a", XLOOKUP(AH224, 'Mythical Island'!$C$2:$C889, 'Mythical Island'!$B$2:$B889)-2, OR(AJ224="A2-Dialga", AJ224="A2-Palkia", AJ224="A2"), XLOOKUP(AH224, 'Space-Time Smackdown'!$C$2:$C889, 'Space-Time Smackdown'!$B$2:$B889)-2))</f>
        <v/>
      </c>
      <c r="AM224" s="444" t="str">
        <f t="shared" si="6"/>
        <v/>
      </c>
      <c r="AN224" s="448" t="str">
        <f t="shared" si="7"/>
        <v/>
      </c>
    </row>
    <row r="225">
      <c r="A225" s="277"/>
      <c r="B225" s="277"/>
      <c r="C225" s="441"/>
      <c r="D225" s="277"/>
      <c r="E225" s="277"/>
      <c r="F225" s="277"/>
      <c r="G225" s="277"/>
      <c r="H225" s="277" t="b">
        <f t="shared" si="1"/>
        <v>0</v>
      </c>
      <c r="I225" s="277" t="str">
        <f>IFERROR(__xludf.DUMMYFUNCTION("""COMPUTED_VALUE"""),"A1 222")</f>
        <v>A1 222</v>
      </c>
      <c r="J225" s="277" t="str">
        <f>IFERROR(__xludf.DUMMYFUNCTION("""COMPUTED_VALUE"""),"Koga")</f>
        <v>Koga</v>
      </c>
      <c r="K225" s="277" t="str">
        <f>IFERROR(__xludf.DUMMYFUNCTION("""COMPUTED_VALUE"""),"A1-Mewtwo")</f>
        <v>A1-Mewtwo</v>
      </c>
      <c r="L225" s="277" t="str">
        <f>IFERROR(__xludf.DUMMYFUNCTION("""COMPUTED_VALUE"""),"♢♢")</f>
        <v>♢♢</v>
      </c>
      <c r="M225" s="440" t="b">
        <f t="shared" si="2"/>
        <v>1</v>
      </c>
      <c r="N225" s="441"/>
      <c r="O225" s="277"/>
      <c r="P225" s="277"/>
      <c r="Q225" s="278"/>
      <c r="R225" s="449" t="str">
        <f t="array" ref="R225">IFERROR(IFS(OR(P225="A1-Mewtwo", P225="A1-Pikachu", P225="A1-Charizard", P225="A1"), XLOOKUP(N225, 'Genetic Apex'!$C$2:$C889, 'Genetic Apex'!$B$2:$B889)-$B$4, P225="A1a", XLOOKUP(N225, 'Mythical Island'!$C$2:$C889, 'Mythical Island'!$B$2:$B889)-$B$4, OR(P225="A2-Dialga", P225="A2-Palkia", P225="A2"), XLOOKUP(N225, 'Space-Time Smackdown'!$C$2:$C889, 'Space-Time Smackdown'!$B$2:$B889)-$B$4))</f>
        <v/>
      </c>
      <c r="S225" s="277" t="str">
        <f>IFERROR(__xludf.DUMMYFUNCTION("""COMPUTED_VALUE"""),"A1 222")</f>
        <v>A1 222</v>
      </c>
      <c r="T225" s="277" t="str">
        <f>IFERROR(__xludf.DUMMYFUNCTION("""COMPUTED_VALUE"""),"Koga")</f>
        <v>Koga</v>
      </c>
      <c r="U225" s="277" t="str">
        <f>IFERROR(__xludf.DUMMYFUNCTION("""COMPUTED_VALUE"""),"A1-Mewtwo")</f>
        <v>A1-Mewtwo</v>
      </c>
      <c r="V225" s="278" t="str">
        <f>IFERROR(__xludf.DUMMYFUNCTION("""COMPUTED_VALUE"""),"♢♢")</f>
        <v>♢♢</v>
      </c>
      <c r="W225" s="443">
        <f t="array" ref="W225">IFERROR(IFS(OR(U225="A1-Mewtwo", U225="A1-Pikachu", U225="A1-Charizard", U225="A1"), $B$5-XLOOKUP(S225, 'Genetic Apex'!$C$2:$C889, 'Genetic Apex'!$B$2:$B889), U225="A1a", $B$5-XLOOKUP(S225, 'Mythical Island'!$C$2:$C889, 'Mythical Island'!$B$2:$B889), OR(U225="A2-Dialga", U225="A2-Palkia", U225="A2"), $B$5-XLOOKUP(S225, 'Space-Time Smackdown'!$C$2:$C889, 'Space-Time Smackdown'!$B$2:$B889)))</f>
        <v>1</v>
      </c>
      <c r="X225" s="444">
        <f t="shared" si="3"/>
        <v>0</v>
      </c>
      <c r="Y225" s="445" t="str">
        <f t="shared" si="4"/>
        <v/>
      </c>
      <c r="Z225" s="278"/>
      <c r="AA225" s="466"/>
      <c r="AB225" s="278"/>
      <c r="AC225" s="278"/>
      <c r="AD225" s="278"/>
      <c r="AE225" s="278"/>
      <c r="AF225" s="278"/>
      <c r="AG225" s="278" t="b">
        <f t="shared" si="5"/>
        <v>0</v>
      </c>
      <c r="AH225" s="454"/>
      <c r="AI225" s="278"/>
      <c r="AJ225" s="278"/>
      <c r="AK225" s="278"/>
      <c r="AL225" s="444" t="str">
        <f t="array" ref="AL225">IFERROR(IFS(OR(AJ225="A1-Mewtwo", AJ225="A1-Pikachu", AJ225="A1-Charizard", AJ225="A1"), XLOOKUP(AH225, 'Genetic Apex'!$C$2:$C889, 'Genetic Apex'!$B$2:$B889)-2, AJ225="A1a", XLOOKUP(AH225, 'Mythical Island'!$C$2:$C889, 'Mythical Island'!$B$2:$B889)-2, OR(AJ225="A2-Dialga", AJ225="A2-Palkia", AJ225="A2"), XLOOKUP(AH225, 'Space-Time Smackdown'!$C$2:$C889, 'Space-Time Smackdown'!$B$2:$B889)-2))</f>
        <v/>
      </c>
      <c r="AM225" s="444" t="str">
        <f t="shared" si="6"/>
        <v/>
      </c>
      <c r="AN225" s="448" t="str">
        <f t="shared" si="7"/>
        <v/>
      </c>
    </row>
    <row r="226">
      <c r="A226" s="277"/>
      <c r="B226" s="277"/>
      <c r="C226" s="441"/>
      <c r="D226" s="277"/>
      <c r="E226" s="277"/>
      <c r="F226" s="277"/>
      <c r="G226" s="277"/>
      <c r="H226" s="277" t="b">
        <f t="shared" si="1"/>
        <v>0</v>
      </c>
      <c r="I226" s="277" t="str">
        <f>IFERROR(__xludf.DUMMYFUNCTION("""COMPUTED_VALUE"""),"A1 223")</f>
        <v>A1 223</v>
      </c>
      <c r="J226" s="277" t="str">
        <f>IFERROR(__xludf.DUMMYFUNCTION("""COMPUTED_VALUE"""),"Giovanni")</f>
        <v>Giovanni</v>
      </c>
      <c r="K226" s="277" t="str">
        <f>IFERROR(__xludf.DUMMYFUNCTION("""COMPUTED_VALUE"""),"A1-Mewtwo")</f>
        <v>A1-Mewtwo</v>
      </c>
      <c r="L226" s="277" t="str">
        <f>IFERROR(__xludf.DUMMYFUNCTION("""COMPUTED_VALUE"""),"♢♢")</f>
        <v>♢♢</v>
      </c>
      <c r="M226" s="440" t="b">
        <f t="shared" si="2"/>
        <v>1</v>
      </c>
      <c r="N226" s="441"/>
      <c r="O226" s="277"/>
      <c r="P226" s="277"/>
      <c r="Q226" s="278"/>
      <c r="R226" s="449" t="str">
        <f t="array" ref="R226">IFERROR(IFS(OR(P226="A1-Mewtwo", P226="A1-Pikachu", P226="A1-Charizard", P226="A1"), XLOOKUP(N226, 'Genetic Apex'!$C$2:$C889, 'Genetic Apex'!$B$2:$B889)-$B$4, P226="A1a", XLOOKUP(N226, 'Mythical Island'!$C$2:$C889, 'Mythical Island'!$B$2:$B889)-$B$4, OR(P226="A2-Dialga", P226="A2-Palkia", P226="A2"), XLOOKUP(N226, 'Space-Time Smackdown'!$C$2:$C889, 'Space-Time Smackdown'!$B$2:$B889)-$B$4))</f>
        <v/>
      </c>
      <c r="S226" s="277" t="str">
        <f>IFERROR(__xludf.DUMMYFUNCTION("""COMPUTED_VALUE"""),"A1 223")</f>
        <v>A1 223</v>
      </c>
      <c r="T226" s="277" t="str">
        <f>IFERROR(__xludf.DUMMYFUNCTION("""COMPUTED_VALUE"""),"Giovanni")</f>
        <v>Giovanni</v>
      </c>
      <c r="U226" s="277" t="str">
        <f>IFERROR(__xludf.DUMMYFUNCTION("""COMPUTED_VALUE"""),"A1-Mewtwo")</f>
        <v>A1-Mewtwo</v>
      </c>
      <c r="V226" s="278" t="str">
        <f>IFERROR(__xludf.DUMMYFUNCTION("""COMPUTED_VALUE"""),"♢♢")</f>
        <v>♢♢</v>
      </c>
      <c r="W226" s="443">
        <f t="array" ref="W226">IFERROR(IFS(OR(U226="A1-Mewtwo", U226="A1-Pikachu", U226="A1-Charizard", U226="A1"), $B$5-XLOOKUP(S226, 'Genetic Apex'!$C$2:$C889, 'Genetic Apex'!$B$2:$B889), U226="A1a", $B$5-XLOOKUP(S226, 'Mythical Island'!$C$2:$C889, 'Mythical Island'!$B$2:$B889), OR(U226="A2-Dialga", U226="A2-Palkia", U226="A2"), $B$5-XLOOKUP(S226, 'Space-Time Smackdown'!$C$2:$C889, 'Space-Time Smackdown'!$B$2:$B889)))</f>
        <v>1</v>
      </c>
      <c r="X226" s="444">
        <f t="shared" si="3"/>
        <v>0</v>
      </c>
      <c r="Y226" s="445" t="str">
        <f t="shared" si="4"/>
        <v/>
      </c>
      <c r="Z226" s="278"/>
      <c r="AA226" s="466"/>
      <c r="AB226" s="278"/>
      <c r="AC226" s="278"/>
      <c r="AD226" s="278"/>
      <c r="AE226" s="278"/>
      <c r="AF226" s="278"/>
      <c r="AG226" s="278" t="b">
        <f t="shared" si="5"/>
        <v>0</v>
      </c>
      <c r="AH226" s="454"/>
      <c r="AI226" s="278"/>
      <c r="AJ226" s="278"/>
      <c r="AK226" s="278"/>
      <c r="AL226" s="444" t="str">
        <f t="array" ref="AL226">IFERROR(IFS(OR(AJ226="A1-Mewtwo", AJ226="A1-Pikachu", AJ226="A1-Charizard", AJ226="A1"), XLOOKUP(AH226, 'Genetic Apex'!$C$2:$C889, 'Genetic Apex'!$B$2:$B889)-2, AJ226="A1a", XLOOKUP(AH226, 'Mythical Island'!$C$2:$C889, 'Mythical Island'!$B$2:$B889)-2, OR(AJ226="A2-Dialga", AJ226="A2-Palkia", AJ226="A2"), XLOOKUP(AH226, 'Space-Time Smackdown'!$C$2:$C889, 'Space-Time Smackdown'!$B$2:$B889)-2))</f>
        <v/>
      </c>
      <c r="AM226" s="444" t="str">
        <f t="shared" si="6"/>
        <v/>
      </c>
      <c r="AN226" s="448" t="str">
        <f t="shared" si="7"/>
        <v/>
      </c>
    </row>
    <row r="227">
      <c r="A227" s="277"/>
      <c r="B227" s="277"/>
      <c r="C227" s="441"/>
      <c r="D227" s="277"/>
      <c r="E227" s="277"/>
      <c r="F227" s="277"/>
      <c r="G227" s="277"/>
      <c r="H227" s="277" t="b">
        <f t="shared" si="1"/>
        <v>0</v>
      </c>
      <c r="I227" s="277" t="str">
        <f>IFERROR(__xludf.DUMMYFUNCTION("""COMPUTED_VALUE"""),"A1 224")</f>
        <v>A1 224</v>
      </c>
      <c r="J227" s="277" t="str">
        <f>IFERROR(__xludf.DUMMYFUNCTION("""COMPUTED_VALUE"""),"Brock")</f>
        <v>Brock</v>
      </c>
      <c r="K227" s="277" t="str">
        <f>IFERROR(__xludf.DUMMYFUNCTION("""COMPUTED_VALUE"""),"A1-Pikachu")</f>
        <v>A1-Pikachu</v>
      </c>
      <c r="L227" s="277" t="str">
        <f>IFERROR(__xludf.DUMMYFUNCTION("""COMPUTED_VALUE"""),"♢♢")</f>
        <v>♢♢</v>
      </c>
      <c r="M227" s="440" t="b">
        <f t="shared" si="2"/>
        <v>1</v>
      </c>
      <c r="N227" s="441"/>
      <c r="O227" s="277"/>
      <c r="P227" s="277"/>
      <c r="Q227" s="278"/>
      <c r="R227" s="449" t="str">
        <f t="array" ref="R227">IFERROR(IFS(OR(P227="A1-Mewtwo", P227="A1-Pikachu", P227="A1-Charizard", P227="A1"), XLOOKUP(N227, 'Genetic Apex'!$C$2:$C889, 'Genetic Apex'!$B$2:$B889)-$B$4, P227="A1a", XLOOKUP(N227, 'Mythical Island'!$C$2:$C889, 'Mythical Island'!$B$2:$B889)-$B$4, OR(P227="A2-Dialga", P227="A2-Palkia", P227="A2"), XLOOKUP(N227, 'Space-Time Smackdown'!$C$2:$C889, 'Space-Time Smackdown'!$B$2:$B889)-$B$4))</f>
        <v/>
      </c>
      <c r="S227" s="277" t="str">
        <f>IFERROR(__xludf.DUMMYFUNCTION("""COMPUTED_VALUE"""),"A1 224")</f>
        <v>A1 224</v>
      </c>
      <c r="T227" s="277" t="str">
        <f>IFERROR(__xludf.DUMMYFUNCTION("""COMPUTED_VALUE"""),"Brock")</f>
        <v>Brock</v>
      </c>
      <c r="U227" s="277" t="str">
        <f>IFERROR(__xludf.DUMMYFUNCTION("""COMPUTED_VALUE"""),"A1-Pikachu")</f>
        <v>A1-Pikachu</v>
      </c>
      <c r="V227" s="278" t="str">
        <f>IFERROR(__xludf.DUMMYFUNCTION("""COMPUTED_VALUE"""),"♢♢")</f>
        <v>♢♢</v>
      </c>
      <c r="W227" s="443">
        <f t="array" ref="W227">IFERROR(IFS(OR(U227="A1-Mewtwo", U227="A1-Pikachu", U227="A1-Charizard", U227="A1"), $B$5-XLOOKUP(S227, 'Genetic Apex'!$C$2:$C889, 'Genetic Apex'!$B$2:$B889), U227="A1a", $B$5-XLOOKUP(S227, 'Mythical Island'!$C$2:$C889, 'Mythical Island'!$B$2:$B889), OR(U227="A2-Dialga", U227="A2-Palkia", U227="A2"), $B$5-XLOOKUP(S227, 'Space-Time Smackdown'!$C$2:$C889, 'Space-Time Smackdown'!$B$2:$B889)))</f>
        <v>1</v>
      </c>
      <c r="X227" s="444">
        <f t="shared" si="3"/>
        <v>0</v>
      </c>
      <c r="Y227" s="445" t="str">
        <f t="shared" si="4"/>
        <v/>
      </c>
      <c r="Z227" s="278"/>
      <c r="AA227" s="466"/>
      <c r="AB227" s="278"/>
      <c r="AC227" s="278"/>
      <c r="AD227" s="278"/>
      <c r="AE227" s="278"/>
      <c r="AF227" s="278"/>
      <c r="AG227" s="278" t="b">
        <f t="shared" si="5"/>
        <v>0</v>
      </c>
      <c r="AH227" s="454"/>
      <c r="AI227" s="278"/>
      <c r="AJ227" s="278"/>
      <c r="AK227" s="278"/>
      <c r="AL227" s="444" t="str">
        <f t="array" ref="AL227">IFERROR(IFS(OR(AJ227="A1-Mewtwo", AJ227="A1-Pikachu", AJ227="A1-Charizard", AJ227="A1"), XLOOKUP(AH227, 'Genetic Apex'!$C$2:$C889, 'Genetic Apex'!$B$2:$B889)-2, AJ227="A1a", XLOOKUP(AH227, 'Mythical Island'!$C$2:$C889, 'Mythical Island'!$B$2:$B889)-2, OR(AJ227="A2-Dialga", AJ227="A2-Palkia", AJ227="A2"), XLOOKUP(AH227, 'Space-Time Smackdown'!$C$2:$C889, 'Space-Time Smackdown'!$B$2:$B889)-2))</f>
        <v/>
      </c>
      <c r="AM227" s="444" t="str">
        <f t="shared" si="6"/>
        <v/>
      </c>
      <c r="AN227" s="448" t="str">
        <f t="shared" si="7"/>
        <v/>
      </c>
    </row>
    <row r="228">
      <c r="A228" s="277"/>
      <c r="B228" s="277"/>
      <c r="C228" s="441"/>
      <c r="D228" s="277"/>
      <c r="E228" s="277"/>
      <c r="F228" s="277"/>
      <c r="G228" s="277"/>
      <c r="H228" s="277" t="b">
        <f t="shared" si="1"/>
        <v>0</v>
      </c>
      <c r="I228" s="277" t="str">
        <f>IFERROR(__xludf.DUMMYFUNCTION("""COMPUTED_VALUE"""),"A1 225")</f>
        <v>A1 225</v>
      </c>
      <c r="J228" s="277" t="str">
        <f>IFERROR(__xludf.DUMMYFUNCTION("""COMPUTED_VALUE"""),"Sabrina")</f>
        <v>Sabrina</v>
      </c>
      <c r="K228" s="277" t="str">
        <f>IFERROR(__xludf.DUMMYFUNCTION("""COMPUTED_VALUE"""),"A1-Charizard")</f>
        <v>A1-Charizard</v>
      </c>
      <c r="L228" s="277" t="str">
        <f>IFERROR(__xludf.DUMMYFUNCTION("""COMPUTED_VALUE"""),"♢♢")</f>
        <v>♢♢</v>
      </c>
      <c r="M228" s="440" t="b">
        <f t="shared" si="2"/>
        <v>1</v>
      </c>
      <c r="N228" s="441"/>
      <c r="O228" s="277"/>
      <c r="P228" s="277"/>
      <c r="Q228" s="278"/>
      <c r="R228" s="449" t="str">
        <f t="array" ref="R228">IFERROR(IFS(OR(P228="A1-Mewtwo", P228="A1-Pikachu", P228="A1-Charizard", P228="A1"), XLOOKUP(N228, 'Genetic Apex'!$C$2:$C889, 'Genetic Apex'!$B$2:$B889)-$B$4, P228="A1a", XLOOKUP(N228, 'Mythical Island'!$C$2:$C889, 'Mythical Island'!$B$2:$B889)-$B$4, OR(P228="A2-Dialga", P228="A2-Palkia", P228="A2"), XLOOKUP(N228, 'Space-Time Smackdown'!$C$2:$C889, 'Space-Time Smackdown'!$B$2:$B889)-$B$4))</f>
        <v/>
      </c>
      <c r="S228" s="277" t="str">
        <f>IFERROR(__xludf.DUMMYFUNCTION("""COMPUTED_VALUE"""),"A1 225")</f>
        <v>A1 225</v>
      </c>
      <c r="T228" s="277" t="str">
        <f>IFERROR(__xludf.DUMMYFUNCTION("""COMPUTED_VALUE"""),"Sabrina")</f>
        <v>Sabrina</v>
      </c>
      <c r="U228" s="277" t="str">
        <f>IFERROR(__xludf.DUMMYFUNCTION("""COMPUTED_VALUE"""),"A1-Charizard")</f>
        <v>A1-Charizard</v>
      </c>
      <c r="V228" s="278" t="str">
        <f>IFERROR(__xludf.DUMMYFUNCTION("""COMPUTED_VALUE"""),"♢♢")</f>
        <v>♢♢</v>
      </c>
      <c r="W228" s="443">
        <f t="array" ref="W228">IFERROR(IFS(OR(U228="A1-Mewtwo", U228="A1-Pikachu", U228="A1-Charizard", U228="A1"), $B$5-XLOOKUP(S228, 'Genetic Apex'!$C$2:$C889, 'Genetic Apex'!$B$2:$B889), U228="A1a", $B$5-XLOOKUP(S228, 'Mythical Island'!$C$2:$C889, 'Mythical Island'!$B$2:$B889), OR(U228="A2-Dialga", U228="A2-Palkia", U228="A2"), $B$5-XLOOKUP(S228, 'Space-Time Smackdown'!$C$2:$C889, 'Space-Time Smackdown'!$B$2:$B889)))</f>
        <v>1</v>
      </c>
      <c r="X228" s="444">
        <f t="shared" si="3"/>
        <v>0</v>
      </c>
      <c r="Y228" s="445" t="str">
        <f t="shared" si="4"/>
        <v/>
      </c>
      <c r="Z228" s="278"/>
      <c r="AA228" s="466"/>
      <c r="AB228" s="278"/>
      <c r="AC228" s="278"/>
      <c r="AD228" s="278"/>
      <c r="AE228" s="278"/>
      <c r="AF228" s="278"/>
      <c r="AG228" s="278" t="b">
        <f t="shared" si="5"/>
        <v>0</v>
      </c>
      <c r="AH228" s="454"/>
      <c r="AI228" s="278"/>
      <c r="AJ228" s="278"/>
      <c r="AK228" s="278"/>
      <c r="AL228" s="444" t="str">
        <f t="array" ref="AL228">IFERROR(IFS(OR(AJ228="A1-Mewtwo", AJ228="A1-Pikachu", AJ228="A1-Charizard", AJ228="A1"), XLOOKUP(AH228, 'Genetic Apex'!$C$2:$C889, 'Genetic Apex'!$B$2:$B889)-2, AJ228="A1a", XLOOKUP(AH228, 'Mythical Island'!$C$2:$C889, 'Mythical Island'!$B$2:$B889)-2, OR(AJ228="A2-Dialga", AJ228="A2-Palkia", AJ228="A2"), XLOOKUP(AH228, 'Space-Time Smackdown'!$C$2:$C889, 'Space-Time Smackdown'!$B$2:$B889)-2))</f>
        <v/>
      </c>
      <c r="AM228" s="444" t="str">
        <f t="shared" si="6"/>
        <v/>
      </c>
      <c r="AN228" s="448" t="str">
        <f t="shared" si="7"/>
        <v/>
      </c>
    </row>
    <row r="229">
      <c r="A229" s="277"/>
      <c r="B229" s="277"/>
      <c r="C229" s="441"/>
      <c r="D229" s="277"/>
      <c r="E229" s="277"/>
      <c r="F229" s="277"/>
      <c r="G229" s="277"/>
      <c r="H229" s="277" t="b">
        <f t="shared" si="1"/>
        <v>0</v>
      </c>
      <c r="I229" s="277" t="str">
        <f>IFERROR(__xludf.DUMMYFUNCTION("""COMPUTED_VALUE"""),"A1 226")</f>
        <v>A1 226</v>
      </c>
      <c r="J229" s="277" t="str">
        <f>IFERROR(__xludf.DUMMYFUNCTION("""COMPUTED_VALUE"""),"Lt. Surge")</f>
        <v>Lt. Surge</v>
      </c>
      <c r="K229" s="277" t="str">
        <f>IFERROR(__xludf.DUMMYFUNCTION("""COMPUTED_VALUE"""),"A1-Pikachu")</f>
        <v>A1-Pikachu</v>
      </c>
      <c r="L229" s="277" t="str">
        <f>IFERROR(__xludf.DUMMYFUNCTION("""COMPUTED_VALUE"""),"♢♢")</f>
        <v>♢♢</v>
      </c>
      <c r="M229" s="440" t="b">
        <f t="shared" si="2"/>
        <v>1</v>
      </c>
      <c r="N229" s="441"/>
      <c r="O229" s="277"/>
      <c r="P229" s="277"/>
      <c r="Q229" s="278"/>
      <c r="R229" s="449" t="str">
        <f t="array" ref="R229">IFERROR(IFS(OR(P229="A1-Mewtwo", P229="A1-Pikachu", P229="A1-Charizard", P229="A1"), XLOOKUP(N229, 'Genetic Apex'!$C$2:$C889, 'Genetic Apex'!$B$2:$B889)-$B$4, P229="A1a", XLOOKUP(N229, 'Mythical Island'!$C$2:$C889, 'Mythical Island'!$B$2:$B889)-$B$4, OR(P229="A2-Dialga", P229="A2-Palkia", P229="A2"), XLOOKUP(N229, 'Space-Time Smackdown'!$C$2:$C889, 'Space-Time Smackdown'!$B$2:$B889)-$B$4))</f>
        <v/>
      </c>
      <c r="S229" s="277" t="str">
        <f>IFERROR(__xludf.DUMMYFUNCTION("""COMPUTED_VALUE"""),"A1 226")</f>
        <v>A1 226</v>
      </c>
      <c r="T229" s="277" t="str">
        <f>IFERROR(__xludf.DUMMYFUNCTION("""COMPUTED_VALUE"""),"Lt. Surge")</f>
        <v>Lt. Surge</v>
      </c>
      <c r="U229" s="277" t="str">
        <f>IFERROR(__xludf.DUMMYFUNCTION("""COMPUTED_VALUE"""),"A1-Pikachu")</f>
        <v>A1-Pikachu</v>
      </c>
      <c r="V229" s="278" t="str">
        <f>IFERROR(__xludf.DUMMYFUNCTION("""COMPUTED_VALUE"""),"♢♢")</f>
        <v>♢♢</v>
      </c>
      <c r="W229" s="443">
        <f t="array" ref="W229">IFERROR(IFS(OR(U229="A1-Mewtwo", U229="A1-Pikachu", U229="A1-Charizard", U229="A1"), $B$5-XLOOKUP(S229, 'Genetic Apex'!$C$2:$C889, 'Genetic Apex'!$B$2:$B889), U229="A1a", $B$5-XLOOKUP(S229, 'Mythical Island'!$C$2:$C889, 'Mythical Island'!$B$2:$B889), OR(U229="A2-Dialga", U229="A2-Palkia", U229="A2"), $B$5-XLOOKUP(S229, 'Space-Time Smackdown'!$C$2:$C889, 'Space-Time Smackdown'!$B$2:$B889)))</f>
        <v>1</v>
      </c>
      <c r="X229" s="444">
        <f t="shared" si="3"/>
        <v>0</v>
      </c>
      <c r="Y229" s="445" t="str">
        <f t="shared" si="4"/>
        <v/>
      </c>
      <c r="Z229" s="278"/>
      <c r="AA229" s="466"/>
      <c r="AB229" s="278"/>
      <c r="AC229" s="278"/>
      <c r="AD229" s="278"/>
      <c r="AE229" s="278"/>
      <c r="AF229" s="278"/>
      <c r="AG229" s="278" t="b">
        <f t="shared" si="5"/>
        <v>0</v>
      </c>
      <c r="AH229" s="454"/>
      <c r="AI229" s="278"/>
      <c r="AJ229" s="278"/>
      <c r="AK229" s="278"/>
      <c r="AL229" s="444" t="str">
        <f t="array" ref="AL229">IFERROR(IFS(OR(AJ229="A1-Mewtwo", AJ229="A1-Pikachu", AJ229="A1-Charizard", AJ229="A1"), XLOOKUP(AH229, 'Genetic Apex'!$C$2:$C889, 'Genetic Apex'!$B$2:$B889)-2, AJ229="A1a", XLOOKUP(AH229, 'Mythical Island'!$C$2:$C889, 'Mythical Island'!$B$2:$B889)-2, OR(AJ229="A2-Dialga", AJ229="A2-Palkia", AJ229="A2"), XLOOKUP(AH229, 'Space-Time Smackdown'!$C$2:$C889, 'Space-Time Smackdown'!$B$2:$B889)-2))</f>
        <v/>
      </c>
      <c r="AM229" s="444" t="str">
        <f t="shared" si="6"/>
        <v/>
      </c>
      <c r="AN229" s="448" t="str">
        <f t="shared" si="7"/>
        <v/>
      </c>
    </row>
    <row r="230">
      <c r="A230" s="277"/>
      <c r="B230" s="277"/>
      <c r="C230" s="441"/>
      <c r="D230" s="277"/>
      <c r="E230" s="277"/>
      <c r="F230" s="277"/>
      <c r="G230" s="277"/>
      <c r="H230" s="277" t="b">
        <f t="shared" si="1"/>
        <v>0</v>
      </c>
      <c r="I230" s="277" t="str">
        <f>IFERROR(__xludf.DUMMYFUNCTION("""COMPUTED_VALUE"""),"A1 227")</f>
        <v>A1 227</v>
      </c>
      <c r="J230" s="277" t="str">
        <f>IFERROR(__xludf.DUMMYFUNCTION("""COMPUTED_VALUE"""),"Bulbasaur")</f>
        <v>Bulbasaur</v>
      </c>
      <c r="K230" s="277" t="str">
        <f>IFERROR(__xludf.DUMMYFUNCTION("""COMPUTED_VALUE"""),"A1-Mewtwo")</f>
        <v>A1-Mewtwo</v>
      </c>
      <c r="L230" s="277" t="str">
        <f>IFERROR(__xludf.DUMMYFUNCTION("""COMPUTED_VALUE"""),"☆")</f>
        <v>☆</v>
      </c>
      <c r="M230" s="440" t="b">
        <f t="shared" si="2"/>
        <v>1</v>
      </c>
      <c r="N230" s="441"/>
      <c r="O230" s="277"/>
      <c r="P230" s="277"/>
      <c r="Q230" s="278"/>
      <c r="R230" s="449" t="str">
        <f t="array" ref="R230">IFERROR(IFS(OR(P230="A1-Mewtwo", P230="A1-Pikachu", P230="A1-Charizard", P230="A1"), XLOOKUP(N230, 'Genetic Apex'!$C$2:$C889, 'Genetic Apex'!$B$2:$B889)-$B$4, P230="A1a", XLOOKUP(N230, 'Mythical Island'!$C$2:$C889, 'Mythical Island'!$B$2:$B889)-$B$4, OR(P230="A2-Dialga", P230="A2-Palkia", P230="A2"), XLOOKUP(N230, 'Space-Time Smackdown'!$C$2:$C889, 'Space-Time Smackdown'!$B$2:$B889)-$B$4))</f>
        <v/>
      </c>
      <c r="S230" s="277" t="str">
        <f>IFERROR(__xludf.DUMMYFUNCTION("""COMPUTED_VALUE"""),"A1 227")</f>
        <v>A1 227</v>
      </c>
      <c r="T230" s="277" t="str">
        <f>IFERROR(__xludf.DUMMYFUNCTION("""COMPUTED_VALUE"""),"Bulbasaur")</f>
        <v>Bulbasaur</v>
      </c>
      <c r="U230" s="277" t="str">
        <f>IFERROR(__xludf.DUMMYFUNCTION("""COMPUTED_VALUE"""),"A1-Mewtwo")</f>
        <v>A1-Mewtwo</v>
      </c>
      <c r="V230" s="278" t="str">
        <f>IFERROR(__xludf.DUMMYFUNCTION("""COMPUTED_VALUE"""),"☆")</f>
        <v>☆</v>
      </c>
      <c r="W230" s="443">
        <f t="array" ref="W230">IFERROR(IFS(OR(U230="A1-Mewtwo", U230="A1-Pikachu", U230="A1-Charizard", U230="A1"), $B$5-XLOOKUP(S230, 'Genetic Apex'!$C$2:$C889, 'Genetic Apex'!$B$2:$B889), U230="A1a", $B$5-XLOOKUP(S230, 'Mythical Island'!$C$2:$C889, 'Mythical Island'!$B$2:$B889), OR(U230="A2-Dialga", U230="A2-Palkia", U230="A2"), $B$5-XLOOKUP(S230, 'Space-Time Smackdown'!$C$2:$C889, 'Space-Time Smackdown'!$B$2:$B889)))</f>
        <v>1</v>
      </c>
      <c r="X230" s="444">
        <f t="shared" si="3"/>
        <v>400</v>
      </c>
      <c r="Y230" s="445">
        <f t="shared" si="4"/>
        <v>400</v>
      </c>
      <c r="Z230" s="278"/>
      <c r="AA230" s="466"/>
      <c r="AB230" s="278"/>
      <c r="AC230" s="278"/>
      <c r="AD230" s="278"/>
      <c r="AE230" s="278"/>
      <c r="AF230" s="278"/>
      <c r="AG230" s="278" t="b">
        <f t="shared" si="5"/>
        <v>0</v>
      </c>
      <c r="AH230" s="454"/>
      <c r="AI230" s="278"/>
      <c r="AJ230" s="278"/>
      <c r="AK230" s="278"/>
      <c r="AL230" s="444" t="str">
        <f t="array" ref="AL230">IFERROR(IFS(OR(AJ230="A1-Mewtwo", AJ230="A1-Pikachu", AJ230="A1-Charizard", AJ230="A1"), XLOOKUP(AH230, 'Genetic Apex'!$C$2:$C889, 'Genetic Apex'!$B$2:$B889)-2, AJ230="A1a", XLOOKUP(AH230, 'Mythical Island'!$C$2:$C889, 'Mythical Island'!$B$2:$B889)-2, OR(AJ230="A2-Dialga", AJ230="A2-Palkia", AJ230="A2"), XLOOKUP(AH230, 'Space-Time Smackdown'!$C$2:$C889, 'Space-Time Smackdown'!$B$2:$B889)-2))</f>
        <v/>
      </c>
      <c r="AM230" s="444" t="str">
        <f t="shared" si="6"/>
        <v/>
      </c>
      <c r="AN230" s="448" t="str">
        <f t="shared" si="7"/>
        <v/>
      </c>
    </row>
    <row r="231">
      <c r="A231" s="277"/>
      <c r="B231" s="277"/>
      <c r="C231" s="441"/>
      <c r="D231" s="277"/>
      <c r="E231" s="277"/>
      <c r="F231" s="277"/>
      <c r="G231" s="277"/>
      <c r="H231" s="277" t="b">
        <f t="shared" si="1"/>
        <v>0</v>
      </c>
      <c r="I231" s="277" t="str">
        <f>IFERROR(__xludf.DUMMYFUNCTION("""COMPUTED_VALUE"""),"A1 228")</f>
        <v>A1 228</v>
      </c>
      <c r="J231" s="277" t="str">
        <f>IFERROR(__xludf.DUMMYFUNCTION("""COMPUTED_VALUE"""),"Gloom")</f>
        <v>Gloom</v>
      </c>
      <c r="K231" s="277" t="str">
        <f>IFERROR(__xludf.DUMMYFUNCTION("""COMPUTED_VALUE"""),"A1-Charizard")</f>
        <v>A1-Charizard</v>
      </c>
      <c r="L231" s="277" t="str">
        <f>IFERROR(__xludf.DUMMYFUNCTION("""COMPUTED_VALUE"""),"☆")</f>
        <v>☆</v>
      </c>
      <c r="M231" s="440" t="b">
        <f t="shared" si="2"/>
        <v>1</v>
      </c>
      <c r="N231" s="441"/>
      <c r="O231" s="277"/>
      <c r="P231" s="277"/>
      <c r="Q231" s="278"/>
      <c r="R231" s="449" t="str">
        <f t="array" ref="R231">IFERROR(IFS(OR(P231="A1-Mewtwo", P231="A1-Pikachu", P231="A1-Charizard", P231="A1"), XLOOKUP(N231, 'Genetic Apex'!$C$2:$C889, 'Genetic Apex'!$B$2:$B889)-$B$4, P231="A1a", XLOOKUP(N231, 'Mythical Island'!$C$2:$C889, 'Mythical Island'!$B$2:$B889)-$B$4, OR(P231="A2-Dialga", P231="A2-Palkia", P231="A2"), XLOOKUP(N231, 'Space-Time Smackdown'!$C$2:$C889, 'Space-Time Smackdown'!$B$2:$B889)-$B$4))</f>
        <v/>
      </c>
      <c r="S231" s="277" t="str">
        <f>IFERROR(__xludf.DUMMYFUNCTION("""COMPUTED_VALUE"""),"A1 228")</f>
        <v>A1 228</v>
      </c>
      <c r="T231" s="277" t="str">
        <f>IFERROR(__xludf.DUMMYFUNCTION("""COMPUTED_VALUE"""),"Gloom")</f>
        <v>Gloom</v>
      </c>
      <c r="U231" s="277" t="str">
        <f>IFERROR(__xludf.DUMMYFUNCTION("""COMPUTED_VALUE"""),"A1-Charizard")</f>
        <v>A1-Charizard</v>
      </c>
      <c r="V231" s="278" t="str">
        <f>IFERROR(__xludf.DUMMYFUNCTION("""COMPUTED_VALUE"""),"☆")</f>
        <v>☆</v>
      </c>
      <c r="W231" s="443">
        <f t="array" ref="W231">IFERROR(IFS(OR(U231="A1-Mewtwo", U231="A1-Pikachu", U231="A1-Charizard", U231="A1"), $B$5-XLOOKUP(S231, 'Genetic Apex'!$C$2:$C889, 'Genetic Apex'!$B$2:$B889), U231="A1a", $B$5-XLOOKUP(S231, 'Mythical Island'!$C$2:$C889, 'Mythical Island'!$B$2:$B889), OR(U231="A2-Dialga", U231="A2-Palkia", U231="A2"), $B$5-XLOOKUP(S231, 'Space-Time Smackdown'!$C$2:$C889, 'Space-Time Smackdown'!$B$2:$B889)))</f>
        <v>1</v>
      </c>
      <c r="X231" s="444">
        <f t="shared" si="3"/>
        <v>400</v>
      </c>
      <c r="Y231" s="445">
        <f t="shared" si="4"/>
        <v>400</v>
      </c>
      <c r="Z231" s="278"/>
      <c r="AA231" s="466"/>
      <c r="AB231" s="278"/>
      <c r="AC231" s="278"/>
      <c r="AD231" s="278"/>
      <c r="AE231" s="278"/>
      <c r="AF231" s="278"/>
      <c r="AG231" s="278" t="b">
        <f t="shared" si="5"/>
        <v>0</v>
      </c>
      <c r="AH231" s="454"/>
      <c r="AI231" s="278"/>
      <c r="AJ231" s="278"/>
      <c r="AK231" s="278"/>
      <c r="AL231" s="444" t="str">
        <f t="array" ref="AL231">IFERROR(IFS(OR(AJ231="A1-Mewtwo", AJ231="A1-Pikachu", AJ231="A1-Charizard", AJ231="A1"), XLOOKUP(AH231, 'Genetic Apex'!$C$2:$C889, 'Genetic Apex'!$B$2:$B889)-2, AJ231="A1a", XLOOKUP(AH231, 'Mythical Island'!$C$2:$C889, 'Mythical Island'!$B$2:$B889)-2, OR(AJ231="A2-Dialga", AJ231="A2-Palkia", AJ231="A2"), XLOOKUP(AH231, 'Space-Time Smackdown'!$C$2:$C889, 'Space-Time Smackdown'!$B$2:$B889)-2))</f>
        <v/>
      </c>
      <c r="AM231" s="444" t="str">
        <f t="shared" si="6"/>
        <v/>
      </c>
      <c r="AN231" s="448" t="str">
        <f t="shared" si="7"/>
        <v/>
      </c>
    </row>
    <row r="232">
      <c r="A232" s="277"/>
      <c r="B232" s="277"/>
      <c r="C232" s="441"/>
      <c r="D232" s="277"/>
      <c r="E232" s="277"/>
      <c r="F232" s="277"/>
      <c r="G232" s="277"/>
      <c r="H232" s="277" t="b">
        <f t="shared" si="1"/>
        <v>0</v>
      </c>
      <c r="I232" s="277" t="str">
        <f>IFERROR(__xludf.DUMMYFUNCTION("""COMPUTED_VALUE"""),"A1 229")</f>
        <v>A1 229</v>
      </c>
      <c r="J232" s="277" t="str">
        <f>IFERROR(__xludf.DUMMYFUNCTION("""COMPUTED_VALUE"""),"Pinsir")</f>
        <v>Pinsir</v>
      </c>
      <c r="K232" s="277" t="str">
        <f>IFERROR(__xludf.DUMMYFUNCTION("""COMPUTED_VALUE"""),"A1-Charizard")</f>
        <v>A1-Charizard</v>
      </c>
      <c r="L232" s="277" t="str">
        <f>IFERROR(__xludf.DUMMYFUNCTION("""COMPUTED_VALUE"""),"☆")</f>
        <v>☆</v>
      </c>
      <c r="M232" s="440" t="b">
        <f t="shared" si="2"/>
        <v>1</v>
      </c>
      <c r="N232" s="441"/>
      <c r="O232" s="277"/>
      <c r="P232" s="277"/>
      <c r="Q232" s="278"/>
      <c r="R232" s="449" t="str">
        <f t="array" ref="R232">IFERROR(IFS(OR(P232="A1-Mewtwo", P232="A1-Pikachu", P232="A1-Charizard", P232="A1"), XLOOKUP(N232, 'Genetic Apex'!$C$2:$C889, 'Genetic Apex'!$B$2:$B889)-$B$4, P232="A1a", XLOOKUP(N232, 'Mythical Island'!$C$2:$C889, 'Mythical Island'!$B$2:$B889)-$B$4, OR(P232="A2-Dialga", P232="A2-Palkia", P232="A2"), XLOOKUP(N232, 'Space-Time Smackdown'!$C$2:$C889, 'Space-Time Smackdown'!$B$2:$B889)-$B$4))</f>
        <v/>
      </c>
      <c r="S232" s="277" t="str">
        <f>IFERROR(__xludf.DUMMYFUNCTION("""COMPUTED_VALUE"""),"A1 229")</f>
        <v>A1 229</v>
      </c>
      <c r="T232" s="277" t="str">
        <f>IFERROR(__xludf.DUMMYFUNCTION("""COMPUTED_VALUE"""),"Pinsir")</f>
        <v>Pinsir</v>
      </c>
      <c r="U232" s="277" t="str">
        <f>IFERROR(__xludf.DUMMYFUNCTION("""COMPUTED_VALUE"""),"A1-Charizard")</f>
        <v>A1-Charizard</v>
      </c>
      <c r="V232" s="278" t="str">
        <f>IFERROR(__xludf.DUMMYFUNCTION("""COMPUTED_VALUE"""),"☆")</f>
        <v>☆</v>
      </c>
      <c r="W232" s="443">
        <f t="array" ref="W232">IFERROR(IFS(OR(U232="A1-Mewtwo", U232="A1-Pikachu", U232="A1-Charizard", U232="A1"), $B$5-XLOOKUP(S232, 'Genetic Apex'!$C$2:$C889, 'Genetic Apex'!$B$2:$B889), U232="A1a", $B$5-XLOOKUP(S232, 'Mythical Island'!$C$2:$C889, 'Mythical Island'!$B$2:$B889), OR(U232="A2-Dialga", U232="A2-Palkia", U232="A2"), $B$5-XLOOKUP(S232, 'Space-Time Smackdown'!$C$2:$C889, 'Space-Time Smackdown'!$B$2:$B889)))</f>
        <v>1</v>
      </c>
      <c r="X232" s="444">
        <f t="shared" si="3"/>
        <v>400</v>
      </c>
      <c r="Y232" s="445">
        <f t="shared" si="4"/>
        <v>400</v>
      </c>
      <c r="Z232" s="278"/>
      <c r="AA232" s="466"/>
      <c r="AB232" s="278"/>
      <c r="AC232" s="278"/>
      <c r="AD232" s="278"/>
      <c r="AE232" s="278"/>
      <c r="AF232" s="278"/>
      <c r="AG232" s="278" t="b">
        <f t="shared" si="5"/>
        <v>0</v>
      </c>
      <c r="AH232" s="454"/>
      <c r="AI232" s="278"/>
      <c r="AJ232" s="278"/>
      <c r="AK232" s="278"/>
      <c r="AL232" s="444" t="str">
        <f t="array" ref="AL232">IFERROR(IFS(OR(AJ232="A1-Mewtwo", AJ232="A1-Pikachu", AJ232="A1-Charizard", AJ232="A1"), XLOOKUP(AH232, 'Genetic Apex'!$C$2:$C889, 'Genetic Apex'!$B$2:$B889)-2, AJ232="A1a", XLOOKUP(AH232, 'Mythical Island'!$C$2:$C889, 'Mythical Island'!$B$2:$B889)-2, OR(AJ232="A2-Dialga", AJ232="A2-Palkia", AJ232="A2"), XLOOKUP(AH232, 'Space-Time Smackdown'!$C$2:$C889, 'Space-Time Smackdown'!$B$2:$B889)-2))</f>
        <v/>
      </c>
      <c r="AM232" s="444" t="str">
        <f t="shared" si="6"/>
        <v/>
      </c>
      <c r="AN232" s="448" t="str">
        <f t="shared" si="7"/>
        <v/>
      </c>
    </row>
    <row r="233">
      <c r="A233" s="277"/>
      <c r="B233" s="277"/>
      <c r="C233" s="441"/>
      <c r="D233" s="277"/>
      <c r="E233" s="277"/>
      <c r="F233" s="277"/>
      <c r="G233" s="277"/>
      <c r="H233" s="277" t="b">
        <f t="shared" si="1"/>
        <v>0</v>
      </c>
      <c r="I233" s="277" t="str">
        <f>IFERROR(__xludf.DUMMYFUNCTION("""COMPUTED_VALUE"""),"A1 230")</f>
        <v>A1 230</v>
      </c>
      <c r="J233" s="277" t="str">
        <f>IFERROR(__xludf.DUMMYFUNCTION("""COMPUTED_VALUE"""),"Charmander")</f>
        <v>Charmander</v>
      </c>
      <c r="K233" s="277" t="str">
        <f>IFERROR(__xludf.DUMMYFUNCTION("""COMPUTED_VALUE"""),"A1-Charizard")</f>
        <v>A1-Charizard</v>
      </c>
      <c r="L233" s="277" t="str">
        <f>IFERROR(__xludf.DUMMYFUNCTION("""COMPUTED_VALUE"""),"☆")</f>
        <v>☆</v>
      </c>
      <c r="M233" s="440" t="b">
        <f t="shared" si="2"/>
        <v>1</v>
      </c>
      <c r="N233" s="441"/>
      <c r="O233" s="277"/>
      <c r="P233" s="277"/>
      <c r="Q233" s="278"/>
      <c r="R233" s="449" t="str">
        <f t="array" ref="R233">IFERROR(IFS(OR(P233="A1-Mewtwo", P233="A1-Pikachu", P233="A1-Charizard", P233="A1"), XLOOKUP(N233, 'Genetic Apex'!$C$2:$C889, 'Genetic Apex'!$B$2:$B889)-$B$4, P233="A1a", XLOOKUP(N233, 'Mythical Island'!$C$2:$C889, 'Mythical Island'!$B$2:$B889)-$B$4, OR(P233="A2-Dialga", P233="A2-Palkia", P233="A2"), XLOOKUP(N233, 'Space-Time Smackdown'!$C$2:$C889, 'Space-Time Smackdown'!$B$2:$B889)-$B$4))</f>
        <v/>
      </c>
      <c r="S233" s="277" t="str">
        <f>IFERROR(__xludf.DUMMYFUNCTION("""COMPUTED_VALUE"""),"A1 230")</f>
        <v>A1 230</v>
      </c>
      <c r="T233" s="277" t="str">
        <f>IFERROR(__xludf.DUMMYFUNCTION("""COMPUTED_VALUE"""),"Charmander")</f>
        <v>Charmander</v>
      </c>
      <c r="U233" s="277" t="str">
        <f>IFERROR(__xludf.DUMMYFUNCTION("""COMPUTED_VALUE"""),"A1-Charizard")</f>
        <v>A1-Charizard</v>
      </c>
      <c r="V233" s="278" t="str">
        <f>IFERROR(__xludf.DUMMYFUNCTION("""COMPUTED_VALUE"""),"☆")</f>
        <v>☆</v>
      </c>
      <c r="W233" s="443">
        <f t="array" ref="W233">IFERROR(IFS(OR(U233="A1-Mewtwo", U233="A1-Pikachu", U233="A1-Charizard", U233="A1"), $B$5-XLOOKUP(S233, 'Genetic Apex'!$C$2:$C889, 'Genetic Apex'!$B$2:$B889), U233="A1a", $B$5-XLOOKUP(S233, 'Mythical Island'!$C$2:$C889, 'Mythical Island'!$B$2:$B889), OR(U233="A2-Dialga", U233="A2-Palkia", U233="A2"), $B$5-XLOOKUP(S233, 'Space-Time Smackdown'!$C$2:$C889, 'Space-Time Smackdown'!$B$2:$B889)))</f>
        <v>1</v>
      </c>
      <c r="X233" s="444">
        <f t="shared" si="3"/>
        <v>400</v>
      </c>
      <c r="Y233" s="445">
        <f t="shared" si="4"/>
        <v>400</v>
      </c>
      <c r="Z233" s="278"/>
      <c r="AA233" s="466"/>
      <c r="AB233" s="278"/>
      <c r="AC233" s="278"/>
      <c r="AD233" s="278"/>
      <c r="AE233" s="278"/>
      <c r="AF233" s="278"/>
      <c r="AG233" s="278" t="b">
        <f t="shared" si="5"/>
        <v>0</v>
      </c>
      <c r="AH233" s="454"/>
      <c r="AI233" s="278"/>
      <c r="AJ233" s="278"/>
      <c r="AK233" s="278"/>
      <c r="AL233" s="444" t="str">
        <f t="array" ref="AL233">IFERROR(IFS(OR(AJ233="A1-Mewtwo", AJ233="A1-Pikachu", AJ233="A1-Charizard", AJ233="A1"), XLOOKUP(AH233, 'Genetic Apex'!$C$2:$C889, 'Genetic Apex'!$B$2:$B889)-2, AJ233="A1a", XLOOKUP(AH233, 'Mythical Island'!$C$2:$C889, 'Mythical Island'!$B$2:$B889)-2, OR(AJ233="A2-Dialga", AJ233="A2-Palkia", AJ233="A2"), XLOOKUP(AH233, 'Space-Time Smackdown'!$C$2:$C889, 'Space-Time Smackdown'!$B$2:$B889)-2))</f>
        <v/>
      </c>
      <c r="AM233" s="444" t="str">
        <f t="shared" si="6"/>
        <v/>
      </c>
      <c r="AN233" s="448" t="str">
        <f t="shared" si="7"/>
        <v/>
      </c>
    </row>
    <row r="234">
      <c r="A234" s="277"/>
      <c r="B234" s="277"/>
      <c r="C234" s="441"/>
      <c r="D234" s="277"/>
      <c r="E234" s="277"/>
      <c r="F234" s="277"/>
      <c r="G234" s="277"/>
      <c r="H234" s="277" t="b">
        <f t="shared" si="1"/>
        <v>0</v>
      </c>
      <c r="I234" s="277" t="str">
        <f>IFERROR(__xludf.DUMMYFUNCTION("""COMPUTED_VALUE"""),"A1 231")</f>
        <v>A1 231</v>
      </c>
      <c r="J234" s="277" t="str">
        <f>IFERROR(__xludf.DUMMYFUNCTION("""COMPUTED_VALUE"""),"Rapidash")</f>
        <v>Rapidash</v>
      </c>
      <c r="K234" s="277" t="str">
        <f>IFERROR(__xludf.DUMMYFUNCTION("""COMPUTED_VALUE"""),"A1-Charizard")</f>
        <v>A1-Charizard</v>
      </c>
      <c r="L234" s="277" t="str">
        <f>IFERROR(__xludf.DUMMYFUNCTION("""COMPUTED_VALUE"""),"☆")</f>
        <v>☆</v>
      </c>
      <c r="M234" s="440" t="b">
        <f t="shared" si="2"/>
        <v>1</v>
      </c>
      <c r="N234" s="441"/>
      <c r="O234" s="277"/>
      <c r="P234" s="277"/>
      <c r="Q234" s="278"/>
      <c r="R234" s="449" t="str">
        <f t="array" ref="R234">IFERROR(IFS(OR(P234="A1-Mewtwo", P234="A1-Pikachu", P234="A1-Charizard", P234="A1"), XLOOKUP(N234, 'Genetic Apex'!$C$2:$C889, 'Genetic Apex'!$B$2:$B889)-$B$4, P234="A1a", XLOOKUP(N234, 'Mythical Island'!$C$2:$C889, 'Mythical Island'!$B$2:$B889)-$B$4, OR(P234="A2-Dialga", P234="A2-Palkia", P234="A2"), XLOOKUP(N234, 'Space-Time Smackdown'!$C$2:$C889, 'Space-Time Smackdown'!$B$2:$B889)-$B$4))</f>
        <v/>
      </c>
      <c r="S234" s="277" t="str">
        <f>IFERROR(__xludf.DUMMYFUNCTION("""COMPUTED_VALUE"""),"A1 231")</f>
        <v>A1 231</v>
      </c>
      <c r="T234" s="277" t="str">
        <f>IFERROR(__xludf.DUMMYFUNCTION("""COMPUTED_VALUE"""),"Rapidash")</f>
        <v>Rapidash</v>
      </c>
      <c r="U234" s="277" t="str">
        <f>IFERROR(__xludf.DUMMYFUNCTION("""COMPUTED_VALUE"""),"A1-Charizard")</f>
        <v>A1-Charizard</v>
      </c>
      <c r="V234" s="278" t="str">
        <f>IFERROR(__xludf.DUMMYFUNCTION("""COMPUTED_VALUE"""),"☆")</f>
        <v>☆</v>
      </c>
      <c r="W234" s="443">
        <f t="array" ref="W234">IFERROR(IFS(OR(U234="A1-Mewtwo", U234="A1-Pikachu", U234="A1-Charizard", U234="A1"), $B$5-XLOOKUP(S234, 'Genetic Apex'!$C$2:$C889, 'Genetic Apex'!$B$2:$B889), U234="A1a", $B$5-XLOOKUP(S234, 'Mythical Island'!$C$2:$C889, 'Mythical Island'!$B$2:$B889), OR(U234="A2-Dialga", U234="A2-Palkia", U234="A2"), $B$5-XLOOKUP(S234, 'Space-Time Smackdown'!$C$2:$C889, 'Space-Time Smackdown'!$B$2:$B889)))</f>
        <v>1</v>
      </c>
      <c r="X234" s="444">
        <f t="shared" si="3"/>
        <v>400</v>
      </c>
      <c r="Y234" s="445">
        <f t="shared" si="4"/>
        <v>400</v>
      </c>
      <c r="Z234" s="278"/>
      <c r="AA234" s="466"/>
      <c r="AB234" s="278"/>
      <c r="AC234" s="278"/>
      <c r="AD234" s="278"/>
      <c r="AE234" s="278"/>
      <c r="AF234" s="278"/>
      <c r="AG234" s="278" t="b">
        <f t="shared" si="5"/>
        <v>0</v>
      </c>
      <c r="AH234" s="454"/>
      <c r="AI234" s="278"/>
      <c r="AJ234" s="278"/>
      <c r="AK234" s="278"/>
      <c r="AL234" s="444" t="str">
        <f t="array" ref="AL234">IFERROR(IFS(OR(AJ234="A1-Mewtwo", AJ234="A1-Pikachu", AJ234="A1-Charizard", AJ234="A1"), XLOOKUP(AH234, 'Genetic Apex'!$C$2:$C889, 'Genetic Apex'!$B$2:$B889)-2, AJ234="A1a", XLOOKUP(AH234, 'Mythical Island'!$C$2:$C889, 'Mythical Island'!$B$2:$B889)-2, OR(AJ234="A2-Dialga", AJ234="A2-Palkia", AJ234="A2"), XLOOKUP(AH234, 'Space-Time Smackdown'!$C$2:$C889, 'Space-Time Smackdown'!$B$2:$B889)-2))</f>
        <v/>
      </c>
      <c r="AM234" s="444" t="str">
        <f t="shared" si="6"/>
        <v/>
      </c>
      <c r="AN234" s="448" t="str">
        <f t="shared" si="7"/>
        <v/>
      </c>
    </row>
    <row r="235">
      <c r="A235" s="277"/>
      <c r="B235" s="277"/>
      <c r="C235" s="441"/>
      <c r="D235" s="277"/>
      <c r="E235" s="277"/>
      <c r="F235" s="277"/>
      <c r="G235" s="277"/>
      <c r="H235" s="277" t="b">
        <f t="shared" si="1"/>
        <v>0</v>
      </c>
      <c r="I235" s="277" t="str">
        <f>IFERROR(__xludf.DUMMYFUNCTION("""COMPUTED_VALUE"""),"A1 232")</f>
        <v>A1 232</v>
      </c>
      <c r="J235" s="277" t="str">
        <f>IFERROR(__xludf.DUMMYFUNCTION("""COMPUTED_VALUE"""),"Squirtle")</f>
        <v>Squirtle</v>
      </c>
      <c r="K235" s="277" t="str">
        <f>IFERROR(__xludf.DUMMYFUNCTION("""COMPUTED_VALUE"""),"A1-Pikachu")</f>
        <v>A1-Pikachu</v>
      </c>
      <c r="L235" s="277" t="str">
        <f>IFERROR(__xludf.DUMMYFUNCTION("""COMPUTED_VALUE"""),"☆")</f>
        <v>☆</v>
      </c>
      <c r="M235" s="440" t="b">
        <f t="shared" si="2"/>
        <v>1</v>
      </c>
      <c r="N235" s="441"/>
      <c r="O235" s="277"/>
      <c r="P235" s="277"/>
      <c r="Q235" s="278"/>
      <c r="R235" s="449" t="str">
        <f t="array" ref="R235">IFERROR(IFS(OR(P235="A1-Mewtwo", P235="A1-Pikachu", P235="A1-Charizard", P235="A1"), XLOOKUP(N235, 'Genetic Apex'!$C$2:$C889, 'Genetic Apex'!$B$2:$B889)-$B$4, P235="A1a", XLOOKUP(N235, 'Mythical Island'!$C$2:$C889, 'Mythical Island'!$B$2:$B889)-$B$4, OR(P235="A2-Dialga", P235="A2-Palkia", P235="A2"), XLOOKUP(N235, 'Space-Time Smackdown'!$C$2:$C889, 'Space-Time Smackdown'!$B$2:$B889)-$B$4))</f>
        <v/>
      </c>
      <c r="S235" s="277" t="str">
        <f>IFERROR(__xludf.DUMMYFUNCTION("""COMPUTED_VALUE"""),"A1 232")</f>
        <v>A1 232</v>
      </c>
      <c r="T235" s="277" t="str">
        <f>IFERROR(__xludf.DUMMYFUNCTION("""COMPUTED_VALUE"""),"Squirtle")</f>
        <v>Squirtle</v>
      </c>
      <c r="U235" s="277" t="str">
        <f>IFERROR(__xludf.DUMMYFUNCTION("""COMPUTED_VALUE"""),"A1-Pikachu")</f>
        <v>A1-Pikachu</v>
      </c>
      <c r="V235" s="278" t="str">
        <f>IFERROR(__xludf.DUMMYFUNCTION("""COMPUTED_VALUE"""),"☆")</f>
        <v>☆</v>
      </c>
      <c r="W235" s="443">
        <f t="array" ref="W235">IFERROR(IFS(OR(U235="A1-Mewtwo", U235="A1-Pikachu", U235="A1-Charizard", U235="A1"), $B$5-XLOOKUP(S235, 'Genetic Apex'!$C$2:$C889, 'Genetic Apex'!$B$2:$B889), U235="A1a", $B$5-XLOOKUP(S235, 'Mythical Island'!$C$2:$C889, 'Mythical Island'!$B$2:$B889), OR(U235="A2-Dialga", U235="A2-Palkia", U235="A2"), $B$5-XLOOKUP(S235, 'Space-Time Smackdown'!$C$2:$C889, 'Space-Time Smackdown'!$B$2:$B889)))</f>
        <v>1</v>
      </c>
      <c r="X235" s="444">
        <f t="shared" si="3"/>
        <v>400</v>
      </c>
      <c r="Y235" s="445">
        <f t="shared" si="4"/>
        <v>400</v>
      </c>
      <c r="Z235" s="278"/>
      <c r="AA235" s="466"/>
      <c r="AB235" s="278"/>
      <c r="AC235" s="278"/>
      <c r="AD235" s="278"/>
      <c r="AE235" s="278"/>
      <c r="AF235" s="278"/>
      <c r="AG235" s="278" t="b">
        <f t="shared" si="5"/>
        <v>0</v>
      </c>
      <c r="AH235" s="454"/>
      <c r="AI235" s="278"/>
      <c r="AJ235" s="278"/>
      <c r="AK235" s="278"/>
      <c r="AL235" s="444" t="str">
        <f t="array" ref="AL235">IFERROR(IFS(OR(AJ235="A1-Mewtwo", AJ235="A1-Pikachu", AJ235="A1-Charizard", AJ235="A1"), XLOOKUP(AH235, 'Genetic Apex'!$C$2:$C889, 'Genetic Apex'!$B$2:$B889)-2, AJ235="A1a", XLOOKUP(AH235, 'Mythical Island'!$C$2:$C889, 'Mythical Island'!$B$2:$B889)-2, OR(AJ235="A2-Dialga", AJ235="A2-Palkia", AJ235="A2"), XLOOKUP(AH235, 'Space-Time Smackdown'!$C$2:$C889, 'Space-Time Smackdown'!$B$2:$B889)-2))</f>
        <v/>
      </c>
      <c r="AM235" s="444" t="str">
        <f t="shared" si="6"/>
        <v/>
      </c>
      <c r="AN235" s="448" t="str">
        <f t="shared" si="7"/>
        <v/>
      </c>
    </row>
    <row r="236">
      <c r="A236" s="277"/>
      <c r="B236" s="277"/>
      <c r="C236" s="441"/>
      <c r="D236" s="277"/>
      <c r="E236" s="277"/>
      <c r="F236" s="277"/>
      <c r="G236" s="277"/>
      <c r="H236" s="277" t="b">
        <f t="shared" si="1"/>
        <v>0</v>
      </c>
      <c r="I236" s="277" t="str">
        <f>IFERROR(__xludf.DUMMYFUNCTION("""COMPUTED_VALUE"""),"A1 233")</f>
        <v>A1 233</v>
      </c>
      <c r="J236" s="277" t="str">
        <f>IFERROR(__xludf.DUMMYFUNCTION("""COMPUTED_VALUE"""),"Gyarados")</f>
        <v>Gyarados</v>
      </c>
      <c r="K236" s="277" t="str">
        <f>IFERROR(__xludf.DUMMYFUNCTION("""COMPUTED_VALUE"""),"A1-Pikachu")</f>
        <v>A1-Pikachu</v>
      </c>
      <c r="L236" s="277" t="str">
        <f>IFERROR(__xludf.DUMMYFUNCTION("""COMPUTED_VALUE"""),"☆")</f>
        <v>☆</v>
      </c>
      <c r="M236" s="440" t="b">
        <f t="shared" si="2"/>
        <v>1</v>
      </c>
      <c r="N236" s="441"/>
      <c r="O236" s="277"/>
      <c r="P236" s="277"/>
      <c r="Q236" s="278"/>
      <c r="R236" s="449" t="str">
        <f t="array" ref="R236">IFERROR(IFS(OR(P236="A1-Mewtwo", P236="A1-Pikachu", P236="A1-Charizard", P236="A1"), XLOOKUP(N236, 'Genetic Apex'!$C$2:$C889, 'Genetic Apex'!$B$2:$B889)-$B$4, P236="A1a", XLOOKUP(N236, 'Mythical Island'!$C$2:$C889, 'Mythical Island'!$B$2:$B889)-$B$4, OR(P236="A2-Dialga", P236="A2-Palkia", P236="A2"), XLOOKUP(N236, 'Space-Time Smackdown'!$C$2:$C889, 'Space-Time Smackdown'!$B$2:$B889)-$B$4))</f>
        <v/>
      </c>
      <c r="S236" s="277" t="str">
        <f>IFERROR(__xludf.DUMMYFUNCTION("""COMPUTED_VALUE"""),"A1 233")</f>
        <v>A1 233</v>
      </c>
      <c r="T236" s="277" t="str">
        <f>IFERROR(__xludf.DUMMYFUNCTION("""COMPUTED_VALUE"""),"Gyarados")</f>
        <v>Gyarados</v>
      </c>
      <c r="U236" s="277" t="str">
        <f>IFERROR(__xludf.DUMMYFUNCTION("""COMPUTED_VALUE"""),"A1-Pikachu")</f>
        <v>A1-Pikachu</v>
      </c>
      <c r="V236" s="278" t="str">
        <f>IFERROR(__xludf.DUMMYFUNCTION("""COMPUTED_VALUE"""),"☆")</f>
        <v>☆</v>
      </c>
      <c r="W236" s="443">
        <f t="array" ref="W236">IFERROR(IFS(OR(U236="A1-Mewtwo", U236="A1-Pikachu", U236="A1-Charizard", U236="A1"), $B$5-XLOOKUP(S236, 'Genetic Apex'!$C$2:$C889, 'Genetic Apex'!$B$2:$B889), U236="A1a", $B$5-XLOOKUP(S236, 'Mythical Island'!$C$2:$C889, 'Mythical Island'!$B$2:$B889), OR(U236="A2-Dialga", U236="A2-Palkia", U236="A2"), $B$5-XLOOKUP(S236, 'Space-Time Smackdown'!$C$2:$C889, 'Space-Time Smackdown'!$B$2:$B889)))</f>
        <v>1</v>
      </c>
      <c r="X236" s="444">
        <f t="shared" si="3"/>
        <v>400</v>
      </c>
      <c r="Y236" s="445">
        <f t="shared" si="4"/>
        <v>400</v>
      </c>
      <c r="Z236" s="278"/>
      <c r="AA236" s="466"/>
      <c r="AB236" s="278"/>
      <c r="AC236" s="278"/>
      <c r="AD236" s="278"/>
      <c r="AE236" s="278"/>
      <c r="AF236" s="278"/>
      <c r="AG236" s="278" t="b">
        <f t="shared" si="5"/>
        <v>0</v>
      </c>
      <c r="AH236" s="454"/>
      <c r="AI236" s="278"/>
      <c r="AJ236" s="278"/>
      <c r="AK236" s="278"/>
      <c r="AL236" s="444" t="str">
        <f t="array" ref="AL236">IFERROR(IFS(OR(AJ236="A1-Mewtwo", AJ236="A1-Pikachu", AJ236="A1-Charizard", AJ236="A1"), XLOOKUP(AH236, 'Genetic Apex'!$C$2:$C889, 'Genetic Apex'!$B$2:$B889)-2, AJ236="A1a", XLOOKUP(AH236, 'Mythical Island'!$C$2:$C889, 'Mythical Island'!$B$2:$B889)-2, OR(AJ236="A2-Dialga", AJ236="A2-Palkia", AJ236="A2"), XLOOKUP(AH236, 'Space-Time Smackdown'!$C$2:$C889, 'Space-Time Smackdown'!$B$2:$B889)-2))</f>
        <v/>
      </c>
      <c r="AM236" s="444" t="str">
        <f t="shared" si="6"/>
        <v/>
      </c>
      <c r="AN236" s="448" t="str">
        <f t="shared" si="7"/>
        <v/>
      </c>
    </row>
    <row r="237">
      <c r="A237" s="277"/>
      <c r="B237" s="277"/>
      <c r="C237" s="441"/>
      <c r="D237" s="277"/>
      <c r="E237" s="277"/>
      <c r="F237" s="277"/>
      <c r="G237" s="277"/>
      <c r="H237" s="277" t="b">
        <f t="shared" si="1"/>
        <v>0</v>
      </c>
      <c r="I237" s="277" t="str">
        <f>IFERROR(__xludf.DUMMYFUNCTION("""COMPUTED_VALUE"""),"A1 234")</f>
        <v>A1 234</v>
      </c>
      <c r="J237" s="277" t="str">
        <f>IFERROR(__xludf.DUMMYFUNCTION("""COMPUTED_VALUE"""),"Lapras")</f>
        <v>Lapras</v>
      </c>
      <c r="K237" s="277" t="str">
        <f>IFERROR(__xludf.DUMMYFUNCTION("""COMPUTED_VALUE"""),"A1-Charizard")</f>
        <v>A1-Charizard</v>
      </c>
      <c r="L237" s="277" t="str">
        <f>IFERROR(__xludf.DUMMYFUNCTION("""COMPUTED_VALUE"""),"☆")</f>
        <v>☆</v>
      </c>
      <c r="M237" s="440" t="b">
        <f t="shared" si="2"/>
        <v>1</v>
      </c>
      <c r="N237" s="441"/>
      <c r="O237" s="277"/>
      <c r="P237" s="277"/>
      <c r="Q237" s="278"/>
      <c r="R237" s="449" t="str">
        <f t="array" ref="R237">IFERROR(IFS(OR(P237="A1-Mewtwo", P237="A1-Pikachu", P237="A1-Charizard", P237="A1"), XLOOKUP(N237, 'Genetic Apex'!$C$2:$C889, 'Genetic Apex'!$B$2:$B889)-$B$4, P237="A1a", XLOOKUP(N237, 'Mythical Island'!$C$2:$C889, 'Mythical Island'!$B$2:$B889)-$B$4, OR(P237="A2-Dialga", P237="A2-Palkia", P237="A2"), XLOOKUP(N237, 'Space-Time Smackdown'!$C$2:$C889, 'Space-Time Smackdown'!$B$2:$B889)-$B$4))</f>
        <v/>
      </c>
      <c r="S237" s="277" t="str">
        <f>IFERROR(__xludf.DUMMYFUNCTION("""COMPUTED_VALUE"""),"A1 234")</f>
        <v>A1 234</v>
      </c>
      <c r="T237" s="277" t="str">
        <f>IFERROR(__xludf.DUMMYFUNCTION("""COMPUTED_VALUE"""),"Lapras")</f>
        <v>Lapras</v>
      </c>
      <c r="U237" s="277" t="str">
        <f>IFERROR(__xludf.DUMMYFUNCTION("""COMPUTED_VALUE"""),"A1-Charizard")</f>
        <v>A1-Charizard</v>
      </c>
      <c r="V237" s="278" t="str">
        <f>IFERROR(__xludf.DUMMYFUNCTION("""COMPUTED_VALUE"""),"☆")</f>
        <v>☆</v>
      </c>
      <c r="W237" s="443">
        <f t="array" ref="W237">IFERROR(IFS(OR(U237="A1-Mewtwo", U237="A1-Pikachu", U237="A1-Charizard", U237="A1"), $B$5-XLOOKUP(S237, 'Genetic Apex'!$C$2:$C889, 'Genetic Apex'!$B$2:$B889), U237="A1a", $B$5-XLOOKUP(S237, 'Mythical Island'!$C$2:$C889, 'Mythical Island'!$B$2:$B889), OR(U237="A2-Dialga", U237="A2-Palkia", U237="A2"), $B$5-XLOOKUP(S237, 'Space-Time Smackdown'!$C$2:$C889, 'Space-Time Smackdown'!$B$2:$B889)))</f>
        <v>1</v>
      </c>
      <c r="X237" s="444">
        <f t="shared" si="3"/>
        <v>400</v>
      </c>
      <c r="Y237" s="445">
        <f t="shared" si="4"/>
        <v>400</v>
      </c>
      <c r="Z237" s="278"/>
      <c r="AA237" s="466"/>
      <c r="AB237" s="278"/>
      <c r="AC237" s="278"/>
      <c r="AD237" s="278"/>
      <c r="AE237" s="278"/>
      <c r="AF237" s="278"/>
      <c r="AG237" s="278" t="b">
        <f t="shared" si="5"/>
        <v>0</v>
      </c>
      <c r="AH237" s="454"/>
      <c r="AI237" s="278"/>
      <c r="AJ237" s="278"/>
      <c r="AK237" s="278"/>
      <c r="AL237" s="444" t="str">
        <f t="array" ref="AL237">IFERROR(IFS(OR(AJ237="A1-Mewtwo", AJ237="A1-Pikachu", AJ237="A1-Charizard", AJ237="A1"), XLOOKUP(AH237, 'Genetic Apex'!$C$2:$C889, 'Genetic Apex'!$B$2:$B889)-2, AJ237="A1a", XLOOKUP(AH237, 'Mythical Island'!$C$2:$C889, 'Mythical Island'!$B$2:$B889)-2, OR(AJ237="A2-Dialga", AJ237="A2-Palkia", AJ237="A2"), XLOOKUP(AH237, 'Space-Time Smackdown'!$C$2:$C889, 'Space-Time Smackdown'!$B$2:$B889)-2))</f>
        <v/>
      </c>
      <c r="AM237" s="444" t="str">
        <f t="shared" si="6"/>
        <v/>
      </c>
      <c r="AN237" s="448" t="str">
        <f t="shared" si="7"/>
        <v/>
      </c>
    </row>
    <row r="238">
      <c r="A238" s="277"/>
      <c r="B238" s="277"/>
      <c r="C238" s="441"/>
      <c r="D238" s="277"/>
      <c r="E238" s="277"/>
      <c r="F238" s="277"/>
      <c r="G238" s="277"/>
      <c r="H238" s="277" t="b">
        <f t="shared" si="1"/>
        <v>0</v>
      </c>
      <c r="I238" s="277" t="str">
        <f>IFERROR(__xludf.DUMMYFUNCTION("""COMPUTED_VALUE"""),"A1 235")</f>
        <v>A1 235</v>
      </c>
      <c r="J238" s="277" t="str">
        <f>IFERROR(__xludf.DUMMYFUNCTION("""COMPUTED_VALUE"""),"Electrode")</f>
        <v>Electrode</v>
      </c>
      <c r="K238" s="277" t="str">
        <f>IFERROR(__xludf.DUMMYFUNCTION("""COMPUTED_VALUE"""),"A1-Pikachu")</f>
        <v>A1-Pikachu</v>
      </c>
      <c r="L238" s="277" t="str">
        <f>IFERROR(__xludf.DUMMYFUNCTION("""COMPUTED_VALUE"""),"☆")</f>
        <v>☆</v>
      </c>
      <c r="M238" s="440" t="b">
        <f t="shared" si="2"/>
        <v>1</v>
      </c>
      <c r="N238" s="441"/>
      <c r="O238" s="277"/>
      <c r="P238" s="277"/>
      <c r="Q238" s="278"/>
      <c r="R238" s="449" t="str">
        <f t="array" ref="R238">IFERROR(IFS(OR(P238="A1-Mewtwo", P238="A1-Pikachu", P238="A1-Charizard", P238="A1"), XLOOKUP(N238, 'Genetic Apex'!$C$2:$C889, 'Genetic Apex'!$B$2:$B889)-$B$4, P238="A1a", XLOOKUP(N238, 'Mythical Island'!$C$2:$C889, 'Mythical Island'!$B$2:$B889)-$B$4, OR(P238="A2-Dialga", P238="A2-Palkia", P238="A2"), XLOOKUP(N238, 'Space-Time Smackdown'!$C$2:$C889, 'Space-Time Smackdown'!$B$2:$B889)-$B$4))</f>
        <v/>
      </c>
      <c r="S238" s="277" t="str">
        <f>IFERROR(__xludf.DUMMYFUNCTION("""COMPUTED_VALUE"""),"A1 235")</f>
        <v>A1 235</v>
      </c>
      <c r="T238" s="277" t="str">
        <f>IFERROR(__xludf.DUMMYFUNCTION("""COMPUTED_VALUE"""),"Electrode")</f>
        <v>Electrode</v>
      </c>
      <c r="U238" s="277" t="str">
        <f>IFERROR(__xludf.DUMMYFUNCTION("""COMPUTED_VALUE"""),"A1-Pikachu")</f>
        <v>A1-Pikachu</v>
      </c>
      <c r="V238" s="278" t="str">
        <f>IFERROR(__xludf.DUMMYFUNCTION("""COMPUTED_VALUE"""),"☆")</f>
        <v>☆</v>
      </c>
      <c r="W238" s="443">
        <f t="array" ref="W238">IFERROR(IFS(OR(U238="A1-Mewtwo", U238="A1-Pikachu", U238="A1-Charizard", U238="A1"), $B$5-XLOOKUP(S238, 'Genetic Apex'!$C$2:$C889, 'Genetic Apex'!$B$2:$B889), U238="A1a", $B$5-XLOOKUP(S238, 'Mythical Island'!$C$2:$C889, 'Mythical Island'!$B$2:$B889), OR(U238="A2-Dialga", U238="A2-Palkia", U238="A2"), $B$5-XLOOKUP(S238, 'Space-Time Smackdown'!$C$2:$C889, 'Space-Time Smackdown'!$B$2:$B889)))</f>
        <v>1</v>
      </c>
      <c r="X238" s="444">
        <f t="shared" si="3"/>
        <v>400</v>
      </c>
      <c r="Y238" s="445">
        <f t="shared" si="4"/>
        <v>400</v>
      </c>
      <c r="Z238" s="278"/>
      <c r="AA238" s="466"/>
      <c r="AB238" s="278"/>
      <c r="AC238" s="278"/>
      <c r="AD238" s="278"/>
      <c r="AE238" s="278"/>
      <c r="AF238" s="278"/>
      <c r="AG238" s="278" t="b">
        <f t="shared" si="5"/>
        <v>0</v>
      </c>
      <c r="AH238" s="454"/>
      <c r="AI238" s="278"/>
      <c r="AJ238" s="278"/>
      <c r="AK238" s="278"/>
      <c r="AL238" s="444" t="str">
        <f t="array" ref="AL238">IFERROR(IFS(OR(AJ238="A1-Mewtwo", AJ238="A1-Pikachu", AJ238="A1-Charizard", AJ238="A1"), XLOOKUP(AH238, 'Genetic Apex'!$C$2:$C889, 'Genetic Apex'!$B$2:$B889)-2, AJ238="A1a", XLOOKUP(AH238, 'Mythical Island'!$C$2:$C889, 'Mythical Island'!$B$2:$B889)-2, OR(AJ238="A2-Dialga", AJ238="A2-Palkia", AJ238="A2"), XLOOKUP(AH238, 'Space-Time Smackdown'!$C$2:$C889, 'Space-Time Smackdown'!$B$2:$B889)-2))</f>
        <v/>
      </c>
      <c r="AM238" s="444" t="str">
        <f t="shared" si="6"/>
        <v/>
      </c>
      <c r="AN238" s="448" t="str">
        <f t="shared" si="7"/>
        <v/>
      </c>
    </row>
    <row r="239">
      <c r="A239" s="277"/>
      <c r="B239" s="277"/>
      <c r="C239" s="441"/>
      <c r="D239" s="277"/>
      <c r="E239" s="277"/>
      <c r="F239" s="277"/>
      <c r="G239" s="277"/>
      <c r="H239" s="277" t="b">
        <f t="shared" si="1"/>
        <v>0</v>
      </c>
      <c r="I239" s="277" t="str">
        <f>IFERROR(__xludf.DUMMYFUNCTION("""COMPUTED_VALUE"""),"A1 236")</f>
        <v>A1 236</v>
      </c>
      <c r="J239" s="277" t="str">
        <f>IFERROR(__xludf.DUMMYFUNCTION("""COMPUTED_VALUE"""),"Alakazam")</f>
        <v>Alakazam</v>
      </c>
      <c r="K239" s="277" t="str">
        <f>IFERROR(__xludf.DUMMYFUNCTION("""COMPUTED_VALUE"""),"A1-Charizard")</f>
        <v>A1-Charizard</v>
      </c>
      <c r="L239" s="277" t="str">
        <f>IFERROR(__xludf.DUMMYFUNCTION("""COMPUTED_VALUE"""),"☆")</f>
        <v>☆</v>
      </c>
      <c r="M239" s="440" t="b">
        <f t="shared" si="2"/>
        <v>1</v>
      </c>
      <c r="N239" s="441"/>
      <c r="O239" s="277"/>
      <c r="P239" s="277"/>
      <c r="Q239" s="278"/>
      <c r="R239" s="449" t="str">
        <f t="array" ref="R239">IFERROR(IFS(OR(P239="A1-Mewtwo", P239="A1-Pikachu", P239="A1-Charizard", P239="A1"), XLOOKUP(N239, 'Genetic Apex'!$C$2:$C889, 'Genetic Apex'!$B$2:$B889)-$B$4, P239="A1a", XLOOKUP(N239, 'Mythical Island'!$C$2:$C889, 'Mythical Island'!$B$2:$B889)-$B$4, OR(P239="A2-Dialga", P239="A2-Palkia", P239="A2"), XLOOKUP(N239, 'Space-Time Smackdown'!$C$2:$C889, 'Space-Time Smackdown'!$B$2:$B889)-$B$4))</f>
        <v/>
      </c>
      <c r="S239" s="277" t="str">
        <f>IFERROR(__xludf.DUMMYFUNCTION("""COMPUTED_VALUE"""),"A1 236")</f>
        <v>A1 236</v>
      </c>
      <c r="T239" s="277" t="str">
        <f>IFERROR(__xludf.DUMMYFUNCTION("""COMPUTED_VALUE"""),"Alakazam")</f>
        <v>Alakazam</v>
      </c>
      <c r="U239" s="277" t="str">
        <f>IFERROR(__xludf.DUMMYFUNCTION("""COMPUTED_VALUE"""),"A1-Charizard")</f>
        <v>A1-Charizard</v>
      </c>
      <c r="V239" s="278" t="str">
        <f>IFERROR(__xludf.DUMMYFUNCTION("""COMPUTED_VALUE"""),"☆")</f>
        <v>☆</v>
      </c>
      <c r="W239" s="443">
        <f t="array" ref="W239">IFERROR(IFS(OR(U239="A1-Mewtwo", U239="A1-Pikachu", U239="A1-Charizard", U239="A1"), $B$5-XLOOKUP(S239, 'Genetic Apex'!$C$2:$C889, 'Genetic Apex'!$B$2:$B889), U239="A1a", $B$5-XLOOKUP(S239, 'Mythical Island'!$C$2:$C889, 'Mythical Island'!$B$2:$B889), OR(U239="A2-Dialga", U239="A2-Palkia", U239="A2"), $B$5-XLOOKUP(S239, 'Space-Time Smackdown'!$C$2:$C889, 'Space-Time Smackdown'!$B$2:$B889)))</f>
        <v>1</v>
      </c>
      <c r="X239" s="444">
        <f t="shared" si="3"/>
        <v>400</v>
      </c>
      <c r="Y239" s="445">
        <f t="shared" si="4"/>
        <v>400</v>
      </c>
      <c r="Z239" s="278"/>
      <c r="AA239" s="466"/>
      <c r="AB239" s="278"/>
      <c r="AC239" s="278"/>
      <c r="AD239" s="278"/>
      <c r="AE239" s="278"/>
      <c r="AF239" s="278"/>
      <c r="AG239" s="278" t="b">
        <f t="shared" si="5"/>
        <v>0</v>
      </c>
      <c r="AH239" s="454"/>
      <c r="AI239" s="278"/>
      <c r="AJ239" s="278"/>
      <c r="AK239" s="278"/>
      <c r="AL239" s="444" t="str">
        <f t="array" ref="AL239">IFERROR(IFS(OR(AJ239="A1-Mewtwo", AJ239="A1-Pikachu", AJ239="A1-Charizard", AJ239="A1"), XLOOKUP(AH239, 'Genetic Apex'!$C$2:$C889, 'Genetic Apex'!$B$2:$B889)-2, AJ239="A1a", XLOOKUP(AH239, 'Mythical Island'!$C$2:$C889, 'Mythical Island'!$B$2:$B889)-2, OR(AJ239="A2-Dialga", AJ239="A2-Palkia", AJ239="A2"), XLOOKUP(AH239, 'Space-Time Smackdown'!$C$2:$C889, 'Space-Time Smackdown'!$B$2:$B889)-2))</f>
        <v/>
      </c>
      <c r="AM239" s="444" t="str">
        <f t="shared" si="6"/>
        <v/>
      </c>
      <c r="AN239" s="448" t="str">
        <f t="shared" si="7"/>
        <v/>
      </c>
    </row>
    <row r="240">
      <c r="A240" s="277"/>
      <c r="B240" s="277"/>
      <c r="C240" s="441"/>
      <c r="D240" s="277"/>
      <c r="E240" s="277"/>
      <c r="F240" s="277"/>
      <c r="G240" s="277"/>
      <c r="H240" s="277" t="b">
        <f t="shared" si="1"/>
        <v>0</v>
      </c>
      <c r="I240" s="277" t="str">
        <f>IFERROR(__xludf.DUMMYFUNCTION("""COMPUTED_VALUE"""),"A1 237")</f>
        <v>A1 237</v>
      </c>
      <c r="J240" s="277" t="str">
        <f>IFERROR(__xludf.DUMMYFUNCTION("""COMPUTED_VALUE"""),"Slowpoke")</f>
        <v>Slowpoke</v>
      </c>
      <c r="K240" s="277" t="str">
        <f>IFERROR(__xludf.DUMMYFUNCTION("""COMPUTED_VALUE"""),"A1-Charizard")</f>
        <v>A1-Charizard</v>
      </c>
      <c r="L240" s="277" t="str">
        <f>IFERROR(__xludf.DUMMYFUNCTION("""COMPUTED_VALUE"""),"☆")</f>
        <v>☆</v>
      </c>
      <c r="M240" s="440" t="b">
        <f t="shared" si="2"/>
        <v>1</v>
      </c>
      <c r="N240" s="441"/>
      <c r="O240" s="277"/>
      <c r="P240" s="277"/>
      <c r="Q240" s="278"/>
      <c r="R240" s="449" t="str">
        <f t="array" ref="R240">IFERROR(IFS(OR(P240="A1-Mewtwo", P240="A1-Pikachu", P240="A1-Charizard", P240="A1"), XLOOKUP(N240, 'Genetic Apex'!$C$2:$C889, 'Genetic Apex'!$B$2:$B889)-$B$4, P240="A1a", XLOOKUP(N240, 'Mythical Island'!$C$2:$C889, 'Mythical Island'!$B$2:$B889)-$B$4, OR(P240="A2-Dialga", P240="A2-Palkia", P240="A2"), XLOOKUP(N240, 'Space-Time Smackdown'!$C$2:$C889, 'Space-Time Smackdown'!$B$2:$B889)-$B$4))</f>
        <v/>
      </c>
      <c r="S240" s="277" t="str">
        <f>IFERROR(__xludf.DUMMYFUNCTION("""COMPUTED_VALUE"""),"A1 237")</f>
        <v>A1 237</v>
      </c>
      <c r="T240" s="277" t="str">
        <f>IFERROR(__xludf.DUMMYFUNCTION("""COMPUTED_VALUE"""),"Slowpoke")</f>
        <v>Slowpoke</v>
      </c>
      <c r="U240" s="277" t="str">
        <f>IFERROR(__xludf.DUMMYFUNCTION("""COMPUTED_VALUE"""),"A1-Charizard")</f>
        <v>A1-Charizard</v>
      </c>
      <c r="V240" s="278" t="str">
        <f>IFERROR(__xludf.DUMMYFUNCTION("""COMPUTED_VALUE"""),"☆")</f>
        <v>☆</v>
      </c>
      <c r="W240" s="443">
        <f t="array" ref="W240">IFERROR(IFS(OR(U240="A1-Mewtwo", U240="A1-Pikachu", U240="A1-Charizard", U240="A1"), $B$5-XLOOKUP(S240, 'Genetic Apex'!$C$2:$C889, 'Genetic Apex'!$B$2:$B889), U240="A1a", $B$5-XLOOKUP(S240, 'Mythical Island'!$C$2:$C889, 'Mythical Island'!$B$2:$B889), OR(U240="A2-Dialga", U240="A2-Palkia", U240="A2"), $B$5-XLOOKUP(S240, 'Space-Time Smackdown'!$C$2:$C889, 'Space-Time Smackdown'!$B$2:$B889)))</f>
        <v>1</v>
      </c>
      <c r="X240" s="444">
        <f t="shared" si="3"/>
        <v>400</v>
      </c>
      <c r="Y240" s="445">
        <f t="shared" si="4"/>
        <v>400</v>
      </c>
      <c r="Z240" s="278"/>
      <c r="AA240" s="466"/>
      <c r="AB240" s="278"/>
      <c r="AC240" s="278"/>
      <c r="AD240" s="278"/>
      <c r="AE240" s="278"/>
      <c r="AF240" s="278"/>
      <c r="AG240" s="278" t="b">
        <f t="shared" si="5"/>
        <v>0</v>
      </c>
      <c r="AH240" s="454"/>
      <c r="AI240" s="278"/>
      <c r="AJ240" s="278"/>
      <c r="AK240" s="278"/>
      <c r="AL240" s="444" t="str">
        <f t="array" ref="AL240">IFERROR(IFS(OR(AJ240="A1-Mewtwo", AJ240="A1-Pikachu", AJ240="A1-Charizard", AJ240="A1"), XLOOKUP(AH240, 'Genetic Apex'!$C$2:$C889, 'Genetic Apex'!$B$2:$B889)-2, AJ240="A1a", XLOOKUP(AH240, 'Mythical Island'!$C$2:$C889, 'Mythical Island'!$B$2:$B889)-2, OR(AJ240="A2-Dialga", AJ240="A2-Palkia", AJ240="A2"), XLOOKUP(AH240, 'Space-Time Smackdown'!$C$2:$C889, 'Space-Time Smackdown'!$B$2:$B889)-2))</f>
        <v/>
      </c>
      <c r="AM240" s="444" t="str">
        <f t="shared" si="6"/>
        <v/>
      </c>
      <c r="AN240" s="448" t="str">
        <f t="shared" si="7"/>
        <v/>
      </c>
    </row>
    <row r="241">
      <c r="A241" s="277"/>
      <c r="B241" s="277"/>
      <c r="C241" s="441"/>
      <c r="D241" s="277"/>
      <c r="E241" s="277"/>
      <c r="F241" s="277"/>
      <c r="G241" s="277"/>
      <c r="H241" s="277" t="b">
        <f t="shared" si="1"/>
        <v>0</v>
      </c>
      <c r="I241" s="277" t="str">
        <f>IFERROR(__xludf.DUMMYFUNCTION("""COMPUTED_VALUE"""),"A1 238")</f>
        <v>A1 238</v>
      </c>
      <c r="J241" s="277" t="str">
        <f>IFERROR(__xludf.DUMMYFUNCTION("""COMPUTED_VALUE"""),"Diglett")</f>
        <v>Diglett</v>
      </c>
      <c r="K241" s="277" t="str">
        <f>IFERROR(__xludf.DUMMYFUNCTION("""COMPUTED_VALUE"""),"A1-Pikachu")</f>
        <v>A1-Pikachu</v>
      </c>
      <c r="L241" s="277" t="str">
        <f>IFERROR(__xludf.DUMMYFUNCTION("""COMPUTED_VALUE"""),"☆")</f>
        <v>☆</v>
      </c>
      <c r="M241" s="440" t="b">
        <f t="shared" si="2"/>
        <v>1</v>
      </c>
      <c r="N241" s="441"/>
      <c r="O241" s="277"/>
      <c r="P241" s="277"/>
      <c r="Q241" s="278"/>
      <c r="R241" s="449" t="str">
        <f t="array" ref="R241">IFERROR(IFS(OR(P241="A1-Mewtwo", P241="A1-Pikachu", P241="A1-Charizard", P241="A1"), XLOOKUP(N241, 'Genetic Apex'!$C$2:$C889, 'Genetic Apex'!$B$2:$B889)-$B$4, P241="A1a", XLOOKUP(N241, 'Mythical Island'!$C$2:$C889, 'Mythical Island'!$B$2:$B889)-$B$4, OR(P241="A2-Dialga", P241="A2-Palkia", P241="A2"), XLOOKUP(N241, 'Space-Time Smackdown'!$C$2:$C889, 'Space-Time Smackdown'!$B$2:$B889)-$B$4))</f>
        <v/>
      </c>
      <c r="S241" s="277" t="str">
        <f>IFERROR(__xludf.DUMMYFUNCTION("""COMPUTED_VALUE"""),"A1 238")</f>
        <v>A1 238</v>
      </c>
      <c r="T241" s="277" t="str">
        <f>IFERROR(__xludf.DUMMYFUNCTION("""COMPUTED_VALUE"""),"Diglett")</f>
        <v>Diglett</v>
      </c>
      <c r="U241" s="277" t="str">
        <f>IFERROR(__xludf.DUMMYFUNCTION("""COMPUTED_VALUE"""),"A1-Pikachu")</f>
        <v>A1-Pikachu</v>
      </c>
      <c r="V241" s="278" t="str">
        <f>IFERROR(__xludf.DUMMYFUNCTION("""COMPUTED_VALUE"""),"☆")</f>
        <v>☆</v>
      </c>
      <c r="W241" s="443">
        <f t="array" ref="W241">IFERROR(IFS(OR(U241="A1-Mewtwo", U241="A1-Pikachu", U241="A1-Charizard", U241="A1"), $B$5-XLOOKUP(S241, 'Genetic Apex'!$C$2:$C889, 'Genetic Apex'!$B$2:$B889), U241="A1a", $B$5-XLOOKUP(S241, 'Mythical Island'!$C$2:$C889, 'Mythical Island'!$B$2:$B889), OR(U241="A2-Dialga", U241="A2-Palkia", U241="A2"), $B$5-XLOOKUP(S241, 'Space-Time Smackdown'!$C$2:$C889, 'Space-Time Smackdown'!$B$2:$B889)))</f>
        <v>1</v>
      </c>
      <c r="X241" s="444">
        <f t="shared" si="3"/>
        <v>400</v>
      </c>
      <c r="Y241" s="445">
        <f t="shared" si="4"/>
        <v>400</v>
      </c>
      <c r="Z241" s="278"/>
      <c r="AA241" s="466"/>
      <c r="AB241" s="278"/>
      <c r="AC241" s="278"/>
      <c r="AD241" s="278"/>
      <c r="AE241" s="278"/>
      <c r="AF241" s="278"/>
      <c r="AG241" s="278" t="b">
        <f t="shared" si="5"/>
        <v>0</v>
      </c>
      <c r="AH241" s="454"/>
      <c r="AI241" s="278"/>
      <c r="AJ241" s="278"/>
      <c r="AK241" s="278"/>
      <c r="AL241" s="444" t="str">
        <f t="array" ref="AL241">IFERROR(IFS(OR(AJ241="A1-Mewtwo", AJ241="A1-Pikachu", AJ241="A1-Charizard", AJ241="A1"), XLOOKUP(AH241, 'Genetic Apex'!$C$2:$C889, 'Genetic Apex'!$B$2:$B889)-2, AJ241="A1a", XLOOKUP(AH241, 'Mythical Island'!$C$2:$C889, 'Mythical Island'!$B$2:$B889)-2, OR(AJ241="A2-Dialga", AJ241="A2-Palkia", AJ241="A2"), XLOOKUP(AH241, 'Space-Time Smackdown'!$C$2:$C889, 'Space-Time Smackdown'!$B$2:$B889)-2))</f>
        <v/>
      </c>
      <c r="AM241" s="444" t="str">
        <f t="shared" si="6"/>
        <v/>
      </c>
      <c r="AN241" s="448" t="str">
        <f t="shared" si="7"/>
        <v/>
      </c>
    </row>
    <row r="242">
      <c r="A242" s="277"/>
      <c r="B242" s="277"/>
      <c r="C242" s="441"/>
      <c r="D242" s="277"/>
      <c r="E242" s="277"/>
      <c r="F242" s="277"/>
      <c r="G242" s="277"/>
      <c r="H242" s="277" t="b">
        <f t="shared" si="1"/>
        <v>0</v>
      </c>
      <c r="I242" s="277" t="str">
        <f>IFERROR(__xludf.DUMMYFUNCTION("""COMPUTED_VALUE"""),"A1 239")</f>
        <v>A1 239</v>
      </c>
      <c r="J242" s="277" t="str">
        <f>IFERROR(__xludf.DUMMYFUNCTION("""COMPUTED_VALUE"""),"Cubone")</f>
        <v>Cubone</v>
      </c>
      <c r="K242" s="277" t="str">
        <f>IFERROR(__xludf.DUMMYFUNCTION("""COMPUTED_VALUE"""),"A1-Mewtwo")</f>
        <v>A1-Mewtwo</v>
      </c>
      <c r="L242" s="277" t="str">
        <f>IFERROR(__xludf.DUMMYFUNCTION("""COMPUTED_VALUE"""),"☆")</f>
        <v>☆</v>
      </c>
      <c r="M242" s="440" t="b">
        <f t="shared" si="2"/>
        <v>1</v>
      </c>
      <c r="N242" s="441"/>
      <c r="O242" s="277"/>
      <c r="P242" s="277"/>
      <c r="Q242" s="278"/>
      <c r="R242" s="449" t="str">
        <f t="array" ref="R242">IFERROR(IFS(OR(P242="A1-Mewtwo", P242="A1-Pikachu", P242="A1-Charizard", P242="A1"), XLOOKUP(N242, 'Genetic Apex'!$C$2:$C889, 'Genetic Apex'!$B$2:$B889)-$B$4, P242="A1a", XLOOKUP(N242, 'Mythical Island'!$C$2:$C889, 'Mythical Island'!$B$2:$B889)-$B$4, OR(P242="A2-Dialga", P242="A2-Palkia", P242="A2"), XLOOKUP(N242, 'Space-Time Smackdown'!$C$2:$C889, 'Space-Time Smackdown'!$B$2:$B889)-$B$4))</f>
        <v/>
      </c>
      <c r="S242" s="277" t="str">
        <f>IFERROR(__xludf.DUMMYFUNCTION("""COMPUTED_VALUE"""),"A1 239")</f>
        <v>A1 239</v>
      </c>
      <c r="T242" s="277" t="str">
        <f>IFERROR(__xludf.DUMMYFUNCTION("""COMPUTED_VALUE"""),"Cubone")</f>
        <v>Cubone</v>
      </c>
      <c r="U242" s="277" t="str">
        <f>IFERROR(__xludf.DUMMYFUNCTION("""COMPUTED_VALUE"""),"A1-Mewtwo")</f>
        <v>A1-Mewtwo</v>
      </c>
      <c r="V242" s="278" t="str">
        <f>IFERROR(__xludf.DUMMYFUNCTION("""COMPUTED_VALUE"""),"☆")</f>
        <v>☆</v>
      </c>
      <c r="W242" s="443">
        <f t="array" ref="W242">IFERROR(IFS(OR(U242="A1-Mewtwo", U242="A1-Pikachu", U242="A1-Charizard", U242="A1"), $B$5-XLOOKUP(S242, 'Genetic Apex'!$C$2:$C889, 'Genetic Apex'!$B$2:$B889), U242="A1a", $B$5-XLOOKUP(S242, 'Mythical Island'!$C$2:$C889, 'Mythical Island'!$B$2:$B889), OR(U242="A2-Dialga", U242="A2-Palkia", U242="A2"), $B$5-XLOOKUP(S242, 'Space-Time Smackdown'!$C$2:$C889, 'Space-Time Smackdown'!$B$2:$B889)))</f>
        <v>1</v>
      </c>
      <c r="X242" s="444">
        <f t="shared" si="3"/>
        <v>400</v>
      </c>
      <c r="Y242" s="445">
        <f t="shared" si="4"/>
        <v>400</v>
      </c>
      <c r="Z242" s="278"/>
      <c r="AA242" s="466"/>
      <c r="AB242" s="278"/>
      <c r="AC242" s="278"/>
      <c r="AD242" s="278"/>
      <c r="AE242" s="278"/>
      <c r="AF242" s="278"/>
      <c r="AG242" s="278" t="b">
        <f t="shared" si="5"/>
        <v>0</v>
      </c>
      <c r="AH242" s="454"/>
      <c r="AI242" s="278"/>
      <c r="AJ242" s="278"/>
      <c r="AK242" s="278"/>
      <c r="AL242" s="444" t="str">
        <f t="array" ref="AL242">IFERROR(IFS(OR(AJ242="A1-Mewtwo", AJ242="A1-Pikachu", AJ242="A1-Charizard", AJ242="A1"), XLOOKUP(AH242, 'Genetic Apex'!$C$2:$C889, 'Genetic Apex'!$B$2:$B889)-2, AJ242="A1a", XLOOKUP(AH242, 'Mythical Island'!$C$2:$C889, 'Mythical Island'!$B$2:$B889)-2, OR(AJ242="A2-Dialga", AJ242="A2-Palkia", AJ242="A2"), XLOOKUP(AH242, 'Space-Time Smackdown'!$C$2:$C889, 'Space-Time Smackdown'!$B$2:$B889)-2))</f>
        <v/>
      </c>
      <c r="AM242" s="444" t="str">
        <f t="shared" si="6"/>
        <v/>
      </c>
      <c r="AN242" s="448" t="str">
        <f t="shared" si="7"/>
        <v/>
      </c>
    </row>
    <row r="243">
      <c r="A243" s="277"/>
      <c r="B243" s="277"/>
      <c r="C243" s="441"/>
      <c r="D243" s="277"/>
      <c r="E243" s="277"/>
      <c r="F243" s="277"/>
      <c r="G243" s="277"/>
      <c r="H243" s="277" t="b">
        <f t="shared" si="1"/>
        <v>0</v>
      </c>
      <c r="I243" s="277" t="str">
        <f>IFERROR(__xludf.DUMMYFUNCTION("""COMPUTED_VALUE"""),"A1 240")</f>
        <v>A1 240</v>
      </c>
      <c r="J243" s="277" t="str">
        <f>IFERROR(__xludf.DUMMYFUNCTION("""COMPUTED_VALUE"""),"Nidoqueen")</f>
        <v>Nidoqueen</v>
      </c>
      <c r="K243" s="277" t="str">
        <f>IFERROR(__xludf.DUMMYFUNCTION("""COMPUTED_VALUE"""),"A1-Pikachu")</f>
        <v>A1-Pikachu</v>
      </c>
      <c r="L243" s="277" t="str">
        <f>IFERROR(__xludf.DUMMYFUNCTION("""COMPUTED_VALUE"""),"☆")</f>
        <v>☆</v>
      </c>
      <c r="M243" s="440" t="b">
        <f t="shared" si="2"/>
        <v>1</v>
      </c>
      <c r="N243" s="441"/>
      <c r="O243" s="277"/>
      <c r="P243" s="277"/>
      <c r="Q243" s="278"/>
      <c r="R243" s="449" t="str">
        <f t="array" ref="R243">IFERROR(IFS(OR(P243="A1-Mewtwo", P243="A1-Pikachu", P243="A1-Charizard", P243="A1"), XLOOKUP(N243, 'Genetic Apex'!$C$2:$C889, 'Genetic Apex'!$B$2:$B889)-$B$4, P243="A1a", XLOOKUP(N243, 'Mythical Island'!$C$2:$C889, 'Mythical Island'!$B$2:$B889)-$B$4, OR(P243="A2-Dialga", P243="A2-Palkia", P243="A2"), XLOOKUP(N243, 'Space-Time Smackdown'!$C$2:$C889, 'Space-Time Smackdown'!$B$2:$B889)-$B$4))</f>
        <v/>
      </c>
      <c r="S243" s="277" t="str">
        <f>IFERROR(__xludf.DUMMYFUNCTION("""COMPUTED_VALUE"""),"A1 240")</f>
        <v>A1 240</v>
      </c>
      <c r="T243" s="277" t="str">
        <f>IFERROR(__xludf.DUMMYFUNCTION("""COMPUTED_VALUE"""),"Nidoqueen")</f>
        <v>Nidoqueen</v>
      </c>
      <c r="U243" s="277" t="str">
        <f>IFERROR(__xludf.DUMMYFUNCTION("""COMPUTED_VALUE"""),"A1-Pikachu")</f>
        <v>A1-Pikachu</v>
      </c>
      <c r="V243" s="278" t="str">
        <f>IFERROR(__xludf.DUMMYFUNCTION("""COMPUTED_VALUE"""),"☆")</f>
        <v>☆</v>
      </c>
      <c r="W243" s="443">
        <f t="array" ref="W243">IFERROR(IFS(OR(U243="A1-Mewtwo", U243="A1-Pikachu", U243="A1-Charizard", U243="A1"), $B$5-XLOOKUP(S243, 'Genetic Apex'!$C$2:$C889, 'Genetic Apex'!$B$2:$B889), U243="A1a", $B$5-XLOOKUP(S243, 'Mythical Island'!$C$2:$C889, 'Mythical Island'!$B$2:$B889), OR(U243="A2-Dialga", U243="A2-Palkia", U243="A2"), $B$5-XLOOKUP(S243, 'Space-Time Smackdown'!$C$2:$C889, 'Space-Time Smackdown'!$B$2:$B889)))</f>
        <v>1</v>
      </c>
      <c r="X243" s="444">
        <f t="shared" si="3"/>
        <v>400</v>
      </c>
      <c r="Y243" s="445">
        <f t="shared" si="4"/>
        <v>400</v>
      </c>
      <c r="Z243" s="278"/>
      <c r="AA243" s="466"/>
      <c r="AB243" s="278"/>
      <c r="AC243" s="278"/>
      <c r="AD243" s="278"/>
      <c r="AE243" s="278"/>
      <c r="AF243" s="278"/>
      <c r="AG243" s="278" t="b">
        <f t="shared" si="5"/>
        <v>0</v>
      </c>
      <c r="AH243" s="454"/>
      <c r="AI243" s="278"/>
      <c r="AJ243" s="278"/>
      <c r="AK243" s="278"/>
      <c r="AL243" s="444" t="str">
        <f t="array" ref="AL243">IFERROR(IFS(OR(AJ243="A1-Mewtwo", AJ243="A1-Pikachu", AJ243="A1-Charizard", AJ243="A1"), XLOOKUP(AH243, 'Genetic Apex'!$C$2:$C889, 'Genetic Apex'!$B$2:$B889)-2, AJ243="A1a", XLOOKUP(AH243, 'Mythical Island'!$C$2:$C889, 'Mythical Island'!$B$2:$B889)-2, OR(AJ243="A2-Dialga", AJ243="A2-Palkia", AJ243="A2"), XLOOKUP(AH243, 'Space-Time Smackdown'!$C$2:$C889, 'Space-Time Smackdown'!$B$2:$B889)-2))</f>
        <v/>
      </c>
      <c r="AM243" s="444" t="str">
        <f t="shared" si="6"/>
        <v/>
      </c>
      <c r="AN243" s="448" t="str">
        <f t="shared" si="7"/>
        <v/>
      </c>
    </row>
    <row r="244">
      <c r="A244" s="277"/>
      <c r="B244" s="277"/>
      <c r="C244" s="441"/>
      <c r="D244" s="277"/>
      <c r="E244" s="277"/>
      <c r="F244" s="277"/>
      <c r="G244" s="277"/>
      <c r="H244" s="277" t="b">
        <f t="shared" si="1"/>
        <v>0</v>
      </c>
      <c r="I244" s="277" t="str">
        <f>IFERROR(__xludf.DUMMYFUNCTION("""COMPUTED_VALUE"""),"A1 241")</f>
        <v>A1 241</v>
      </c>
      <c r="J244" s="277" t="str">
        <f>IFERROR(__xludf.DUMMYFUNCTION("""COMPUTED_VALUE"""),"Nidoking")</f>
        <v>Nidoking</v>
      </c>
      <c r="K244" s="277" t="str">
        <f>IFERROR(__xludf.DUMMYFUNCTION("""COMPUTED_VALUE"""),"A1-Pikachu")</f>
        <v>A1-Pikachu</v>
      </c>
      <c r="L244" s="277" t="str">
        <f>IFERROR(__xludf.DUMMYFUNCTION("""COMPUTED_VALUE"""),"☆")</f>
        <v>☆</v>
      </c>
      <c r="M244" s="440" t="b">
        <f t="shared" si="2"/>
        <v>1</v>
      </c>
      <c r="N244" s="441"/>
      <c r="O244" s="277"/>
      <c r="P244" s="277"/>
      <c r="Q244" s="278"/>
      <c r="R244" s="449" t="str">
        <f t="array" ref="R244">IFERROR(IFS(OR(P244="A1-Mewtwo", P244="A1-Pikachu", P244="A1-Charizard", P244="A1"), XLOOKUP(N244, 'Genetic Apex'!$C$2:$C889, 'Genetic Apex'!$B$2:$B889)-$B$4, P244="A1a", XLOOKUP(N244, 'Mythical Island'!$C$2:$C889, 'Mythical Island'!$B$2:$B889)-$B$4, OR(P244="A2-Dialga", P244="A2-Palkia", P244="A2"), XLOOKUP(N244, 'Space-Time Smackdown'!$C$2:$C889, 'Space-Time Smackdown'!$B$2:$B889)-$B$4))</f>
        <v/>
      </c>
      <c r="S244" s="277" t="str">
        <f>IFERROR(__xludf.DUMMYFUNCTION("""COMPUTED_VALUE"""),"A1 241")</f>
        <v>A1 241</v>
      </c>
      <c r="T244" s="277" t="str">
        <f>IFERROR(__xludf.DUMMYFUNCTION("""COMPUTED_VALUE"""),"Nidoking")</f>
        <v>Nidoking</v>
      </c>
      <c r="U244" s="277" t="str">
        <f>IFERROR(__xludf.DUMMYFUNCTION("""COMPUTED_VALUE"""),"A1-Pikachu")</f>
        <v>A1-Pikachu</v>
      </c>
      <c r="V244" s="278" t="str">
        <f>IFERROR(__xludf.DUMMYFUNCTION("""COMPUTED_VALUE"""),"☆")</f>
        <v>☆</v>
      </c>
      <c r="W244" s="443">
        <f t="array" ref="W244">IFERROR(IFS(OR(U244="A1-Mewtwo", U244="A1-Pikachu", U244="A1-Charizard", U244="A1"), $B$5-XLOOKUP(S244, 'Genetic Apex'!$C$2:$C889, 'Genetic Apex'!$B$2:$B889), U244="A1a", $B$5-XLOOKUP(S244, 'Mythical Island'!$C$2:$C889, 'Mythical Island'!$B$2:$B889), OR(U244="A2-Dialga", U244="A2-Palkia", U244="A2"), $B$5-XLOOKUP(S244, 'Space-Time Smackdown'!$C$2:$C889, 'Space-Time Smackdown'!$B$2:$B889)))</f>
        <v>1</v>
      </c>
      <c r="X244" s="444">
        <f t="shared" si="3"/>
        <v>400</v>
      </c>
      <c r="Y244" s="445">
        <f t="shared" si="4"/>
        <v>400</v>
      </c>
      <c r="Z244" s="278"/>
      <c r="AA244" s="466"/>
      <c r="AB244" s="278"/>
      <c r="AC244" s="278"/>
      <c r="AD244" s="278"/>
      <c r="AE244" s="278"/>
      <c r="AF244" s="278"/>
      <c r="AG244" s="278" t="b">
        <f t="shared" si="5"/>
        <v>0</v>
      </c>
      <c r="AH244" s="454"/>
      <c r="AI244" s="278"/>
      <c r="AJ244" s="278"/>
      <c r="AK244" s="278"/>
      <c r="AL244" s="444" t="str">
        <f t="array" ref="AL244">IFERROR(IFS(OR(AJ244="A1-Mewtwo", AJ244="A1-Pikachu", AJ244="A1-Charizard", AJ244="A1"), XLOOKUP(AH244, 'Genetic Apex'!$C$2:$C889, 'Genetic Apex'!$B$2:$B889)-2, AJ244="A1a", XLOOKUP(AH244, 'Mythical Island'!$C$2:$C889, 'Mythical Island'!$B$2:$B889)-2, OR(AJ244="A2-Dialga", AJ244="A2-Palkia", AJ244="A2"), XLOOKUP(AH244, 'Space-Time Smackdown'!$C$2:$C889, 'Space-Time Smackdown'!$B$2:$B889)-2))</f>
        <v/>
      </c>
      <c r="AM244" s="444" t="str">
        <f t="shared" si="6"/>
        <v/>
      </c>
      <c r="AN244" s="448" t="str">
        <f t="shared" si="7"/>
        <v/>
      </c>
    </row>
    <row r="245">
      <c r="A245" s="277"/>
      <c r="B245" s="277"/>
      <c r="C245" s="441"/>
      <c r="D245" s="277"/>
      <c r="E245" s="277"/>
      <c r="F245" s="277"/>
      <c r="G245" s="277"/>
      <c r="H245" s="277" t="b">
        <f t="shared" si="1"/>
        <v>0</v>
      </c>
      <c r="I245" s="277" t="str">
        <f>IFERROR(__xludf.DUMMYFUNCTION("""COMPUTED_VALUE"""),"A1 242")</f>
        <v>A1 242</v>
      </c>
      <c r="J245" s="277" t="str">
        <f>IFERROR(__xludf.DUMMYFUNCTION("""COMPUTED_VALUE"""),"Golbat")</f>
        <v>Golbat</v>
      </c>
      <c r="K245" s="277" t="str">
        <f>IFERROR(__xludf.DUMMYFUNCTION("""COMPUTED_VALUE"""),"A1-Mewtwo")</f>
        <v>A1-Mewtwo</v>
      </c>
      <c r="L245" s="277" t="str">
        <f>IFERROR(__xludf.DUMMYFUNCTION("""COMPUTED_VALUE"""),"☆")</f>
        <v>☆</v>
      </c>
      <c r="M245" s="440" t="b">
        <f t="shared" si="2"/>
        <v>1</v>
      </c>
      <c r="N245" s="441"/>
      <c r="O245" s="277"/>
      <c r="P245" s="277"/>
      <c r="Q245" s="278"/>
      <c r="R245" s="449" t="str">
        <f t="array" ref="R245">IFERROR(IFS(OR(P245="A1-Mewtwo", P245="A1-Pikachu", P245="A1-Charizard", P245="A1"), XLOOKUP(N245, 'Genetic Apex'!$C$2:$C889, 'Genetic Apex'!$B$2:$B889)-$B$4, P245="A1a", XLOOKUP(N245, 'Mythical Island'!$C$2:$C889, 'Mythical Island'!$B$2:$B889)-$B$4, OR(P245="A2-Dialga", P245="A2-Palkia", P245="A2"), XLOOKUP(N245, 'Space-Time Smackdown'!$C$2:$C889, 'Space-Time Smackdown'!$B$2:$B889)-$B$4))</f>
        <v/>
      </c>
      <c r="S245" s="277" t="str">
        <f>IFERROR(__xludf.DUMMYFUNCTION("""COMPUTED_VALUE"""),"A1 242")</f>
        <v>A1 242</v>
      </c>
      <c r="T245" s="277" t="str">
        <f>IFERROR(__xludf.DUMMYFUNCTION("""COMPUTED_VALUE"""),"Golbat")</f>
        <v>Golbat</v>
      </c>
      <c r="U245" s="277" t="str">
        <f>IFERROR(__xludf.DUMMYFUNCTION("""COMPUTED_VALUE"""),"A1-Mewtwo")</f>
        <v>A1-Mewtwo</v>
      </c>
      <c r="V245" s="278" t="str">
        <f>IFERROR(__xludf.DUMMYFUNCTION("""COMPUTED_VALUE"""),"☆")</f>
        <v>☆</v>
      </c>
      <c r="W245" s="443">
        <f t="array" ref="W245">IFERROR(IFS(OR(U245="A1-Mewtwo", U245="A1-Pikachu", U245="A1-Charizard", U245="A1"), $B$5-XLOOKUP(S245, 'Genetic Apex'!$C$2:$C889, 'Genetic Apex'!$B$2:$B889), U245="A1a", $B$5-XLOOKUP(S245, 'Mythical Island'!$C$2:$C889, 'Mythical Island'!$B$2:$B889), OR(U245="A2-Dialga", U245="A2-Palkia", U245="A2"), $B$5-XLOOKUP(S245, 'Space-Time Smackdown'!$C$2:$C889, 'Space-Time Smackdown'!$B$2:$B889)))</f>
        <v>1</v>
      </c>
      <c r="X245" s="444">
        <f t="shared" si="3"/>
        <v>400</v>
      </c>
      <c r="Y245" s="445">
        <f t="shared" si="4"/>
        <v>400</v>
      </c>
      <c r="Z245" s="278"/>
      <c r="AA245" s="466"/>
      <c r="AB245" s="278"/>
      <c r="AC245" s="278"/>
      <c r="AD245" s="278"/>
      <c r="AE245" s="278"/>
      <c r="AF245" s="278"/>
      <c r="AG245" s="278" t="b">
        <f t="shared" si="5"/>
        <v>0</v>
      </c>
      <c r="AH245" s="454"/>
      <c r="AI245" s="278"/>
      <c r="AJ245" s="278"/>
      <c r="AK245" s="278"/>
      <c r="AL245" s="444" t="str">
        <f t="array" ref="AL245">IFERROR(IFS(OR(AJ245="A1-Mewtwo", AJ245="A1-Pikachu", AJ245="A1-Charizard", AJ245="A1"), XLOOKUP(AH245, 'Genetic Apex'!$C$2:$C889, 'Genetic Apex'!$B$2:$B889)-2, AJ245="A1a", XLOOKUP(AH245, 'Mythical Island'!$C$2:$C889, 'Mythical Island'!$B$2:$B889)-2, OR(AJ245="A2-Dialga", AJ245="A2-Palkia", AJ245="A2"), XLOOKUP(AH245, 'Space-Time Smackdown'!$C$2:$C889, 'Space-Time Smackdown'!$B$2:$B889)-2))</f>
        <v/>
      </c>
      <c r="AM245" s="444" t="str">
        <f t="shared" si="6"/>
        <v/>
      </c>
      <c r="AN245" s="448" t="str">
        <f t="shared" si="7"/>
        <v/>
      </c>
    </row>
    <row r="246">
      <c r="A246" s="277"/>
      <c r="B246" s="277"/>
      <c r="C246" s="441"/>
      <c r="D246" s="277"/>
      <c r="E246" s="277"/>
      <c r="F246" s="277"/>
      <c r="G246" s="277"/>
      <c r="H246" s="277" t="b">
        <f t="shared" si="1"/>
        <v>0</v>
      </c>
      <c r="I246" s="277" t="str">
        <f>IFERROR(__xludf.DUMMYFUNCTION("""COMPUTED_VALUE"""),"A1 243")</f>
        <v>A1 243</v>
      </c>
      <c r="J246" s="277" t="str">
        <f>IFERROR(__xludf.DUMMYFUNCTION("""COMPUTED_VALUE"""),"Weezing")</f>
        <v>Weezing</v>
      </c>
      <c r="K246" s="277" t="str">
        <f>IFERROR(__xludf.DUMMYFUNCTION("""COMPUTED_VALUE"""),"A1-Mewtwo")</f>
        <v>A1-Mewtwo</v>
      </c>
      <c r="L246" s="277" t="str">
        <f>IFERROR(__xludf.DUMMYFUNCTION("""COMPUTED_VALUE"""),"☆")</f>
        <v>☆</v>
      </c>
      <c r="M246" s="440" t="b">
        <f t="shared" si="2"/>
        <v>1</v>
      </c>
      <c r="N246" s="441"/>
      <c r="O246" s="277"/>
      <c r="P246" s="277"/>
      <c r="Q246" s="278"/>
      <c r="R246" s="449" t="str">
        <f t="array" ref="R246">IFERROR(IFS(OR(P246="A1-Mewtwo", P246="A1-Pikachu", P246="A1-Charizard", P246="A1"), XLOOKUP(N246, 'Genetic Apex'!$C$2:$C889, 'Genetic Apex'!$B$2:$B889)-$B$4, P246="A1a", XLOOKUP(N246, 'Mythical Island'!$C$2:$C889, 'Mythical Island'!$B$2:$B889)-$B$4, OR(P246="A2-Dialga", P246="A2-Palkia", P246="A2"), XLOOKUP(N246, 'Space-Time Smackdown'!$C$2:$C889, 'Space-Time Smackdown'!$B$2:$B889)-$B$4))</f>
        <v/>
      </c>
      <c r="S246" s="277" t="str">
        <f>IFERROR(__xludf.DUMMYFUNCTION("""COMPUTED_VALUE"""),"A1 243")</f>
        <v>A1 243</v>
      </c>
      <c r="T246" s="277" t="str">
        <f>IFERROR(__xludf.DUMMYFUNCTION("""COMPUTED_VALUE"""),"Weezing")</f>
        <v>Weezing</v>
      </c>
      <c r="U246" s="277" t="str">
        <f>IFERROR(__xludf.DUMMYFUNCTION("""COMPUTED_VALUE"""),"A1-Mewtwo")</f>
        <v>A1-Mewtwo</v>
      </c>
      <c r="V246" s="278" t="str">
        <f>IFERROR(__xludf.DUMMYFUNCTION("""COMPUTED_VALUE"""),"☆")</f>
        <v>☆</v>
      </c>
      <c r="W246" s="443">
        <f t="array" ref="W246">IFERROR(IFS(OR(U246="A1-Mewtwo", U246="A1-Pikachu", U246="A1-Charizard", U246="A1"), $B$5-XLOOKUP(S246, 'Genetic Apex'!$C$2:$C889, 'Genetic Apex'!$B$2:$B889), U246="A1a", $B$5-XLOOKUP(S246, 'Mythical Island'!$C$2:$C889, 'Mythical Island'!$B$2:$B889), OR(U246="A2-Dialga", U246="A2-Palkia", U246="A2"), $B$5-XLOOKUP(S246, 'Space-Time Smackdown'!$C$2:$C889, 'Space-Time Smackdown'!$B$2:$B889)))</f>
        <v>1</v>
      </c>
      <c r="X246" s="444">
        <f t="shared" si="3"/>
        <v>400</v>
      </c>
      <c r="Y246" s="445">
        <f t="shared" si="4"/>
        <v>400</v>
      </c>
      <c r="Z246" s="278"/>
      <c r="AA246" s="466"/>
      <c r="AB246" s="278"/>
      <c r="AC246" s="278"/>
      <c r="AD246" s="278"/>
      <c r="AE246" s="278"/>
      <c r="AF246" s="278"/>
      <c r="AG246" s="278" t="b">
        <f t="shared" si="5"/>
        <v>0</v>
      </c>
      <c r="AH246" s="454"/>
      <c r="AI246" s="278"/>
      <c r="AJ246" s="278"/>
      <c r="AK246" s="278"/>
      <c r="AL246" s="444" t="str">
        <f t="array" ref="AL246">IFERROR(IFS(OR(AJ246="A1-Mewtwo", AJ246="A1-Pikachu", AJ246="A1-Charizard", AJ246="A1"), XLOOKUP(AH246, 'Genetic Apex'!$C$2:$C889, 'Genetic Apex'!$B$2:$B889)-2, AJ246="A1a", XLOOKUP(AH246, 'Mythical Island'!$C$2:$C889, 'Mythical Island'!$B$2:$B889)-2, OR(AJ246="A2-Dialga", AJ246="A2-Palkia", AJ246="A2"), XLOOKUP(AH246, 'Space-Time Smackdown'!$C$2:$C889, 'Space-Time Smackdown'!$B$2:$B889)-2))</f>
        <v/>
      </c>
      <c r="AM246" s="444" t="str">
        <f t="shared" si="6"/>
        <v/>
      </c>
      <c r="AN246" s="448" t="str">
        <f t="shared" si="7"/>
        <v/>
      </c>
    </row>
    <row r="247">
      <c r="A247" s="277"/>
      <c r="B247" s="277"/>
      <c r="C247" s="441"/>
      <c r="D247" s="277"/>
      <c r="E247" s="277"/>
      <c r="F247" s="277"/>
      <c r="G247" s="277"/>
      <c r="H247" s="277" t="b">
        <f t="shared" si="1"/>
        <v>0</v>
      </c>
      <c r="I247" s="277" t="str">
        <f>IFERROR(__xludf.DUMMYFUNCTION("""COMPUTED_VALUE"""),"A1 244")</f>
        <v>A1 244</v>
      </c>
      <c r="J247" s="277" t="str">
        <f>IFERROR(__xludf.DUMMYFUNCTION("""COMPUTED_VALUE"""),"Dragonite")</f>
        <v>Dragonite</v>
      </c>
      <c r="K247" s="277" t="str">
        <f>IFERROR(__xludf.DUMMYFUNCTION("""COMPUTED_VALUE"""),"A1-Mewtwo")</f>
        <v>A1-Mewtwo</v>
      </c>
      <c r="L247" s="277" t="str">
        <f>IFERROR(__xludf.DUMMYFUNCTION("""COMPUTED_VALUE"""),"☆")</f>
        <v>☆</v>
      </c>
      <c r="M247" s="440" t="b">
        <f t="shared" si="2"/>
        <v>1</v>
      </c>
      <c r="N247" s="441"/>
      <c r="O247" s="277"/>
      <c r="P247" s="277"/>
      <c r="Q247" s="278"/>
      <c r="R247" s="449" t="str">
        <f t="array" ref="R247">IFERROR(IFS(OR(P247="A1-Mewtwo", P247="A1-Pikachu", P247="A1-Charizard", P247="A1"), XLOOKUP(N247, 'Genetic Apex'!$C$2:$C889, 'Genetic Apex'!$B$2:$B889)-$B$4, P247="A1a", XLOOKUP(N247, 'Mythical Island'!$C$2:$C889, 'Mythical Island'!$B$2:$B889)-$B$4, OR(P247="A2-Dialga", P247="A2-Palkia", P247="A2"), XLOOKUP(N247, 'Space-Time Smackdown'!$C$2:$C889, 'Space-Time Smackdown'!$B$2:$B889)-$B$4))</f>
        <v/>
      </c>
      <c r="S247" s="277" t="str">
        <f>IFERROR(__xludf.DUMMYFUNCTION("""COMPUTED_VALUE"""),"A1 244")</f>
        <v>A1 244</v>
      </c>
      <c r="T247" s="277" t="str">
        <f>IFERROR(__xludf.DUMMYFUNCTION("""COMPUTED_VALUE"""),"Dragonite")</f>
        <v>Dragonite</v>
      </c>
      <c r="U247" s="277" t="str">
        <f>IFERROR(__xludf.DUMMYFUNCTION("""COMPUTED_VALUE"""),"A1-Mewtwo")</f>
        <v>A1-Mewtwo</v>
      </c>
      <c r="V247" s="278" t="str">
        <f>IFERROR(__xludf.DUMMYFUNCTION("""COMPUTED_VALUE"""),"☆")</f>
        <v>☆</v>
      </c>
      <c r="W247" s="443">
        <f t="array" ref="W247">IFERROR(IFS(OR(U247="A1-Mewtwo", U247="A1-Pikachu", U247="A1-Charizard", U247="A1"), $B$5-XLOOKUP(S247, 'Genetic Apex'!$C$2:$C889, 'Genetic Apex'!$B$2:$B889), U247="A1a", $B$5-XLOOKUP(S247, 'Mythical Island'!$C$2:$C889, 'Mythical Island'!$B$2:$B889), OR(U247="A2-Dialga", U247="A2-Palkia", U247="A2"), $B$5-XLOOKUP(S247, 'Space-Time Smackdown'!$C$2:$C889, 'Space-Time Smackdown'!$B$2:$B889)))</f>
        <v>1</v>
      </c>
      <c r="X247" s="444">
        <f t="shared" si="3"/>
        <v>400</v>
      </c>
      <c r="Y247" s="445">
        <f t="shared" si="4"/>
        <v>400</v>
      </c>
      <c r="Z247" s="278"/>
      <c r="AA247" s="466"/>
      <c r="AB247" s="278"/>
      <c r="AC247" s="278"/>
      <c r="AD247" s="278"/>
      <c r="AE247" s="278"/>
      <c r="AF247" s="278"/>
      <c r="AG247" s="278" t="b">
        <f t="shared" si="5"/>
        <v>0</v>
      </c>
      <c r="AH247" s="454"/>
      <c r="AI247" s="278"/>
      <c r="AJ247" s="278"/>
      <c r="AK247" s="278"/>
      <c r="AL247" s="444" t="str">
        <f t="array" ref="AL247">IFERROR(IFS(OR(AJ247="A1-Mewtwo", AJ247="A1-Pikachu", AJ247="A1-Charizard", AJ247="A1"), XLOOKUP(AH247, 'Genetic Apex'!$C$2:$C889, 'Genetic Apex'!$B$2:$B889)-2, AJ247="A1a", XLOOKUP(AH247, 'Mythical Island'!$C$2:$C889, 'Mythical Island'!$B$2:$B889)-2, OR(AJ247="A2-Dialga", AJ247="A2-Palkia", AJ247="A2"), XLOOKUP(AH247, 'Space-Time Smackdown'!$C$2:$C889, 'Space-Time Smackdown'!$B$2:$B889)-2))</f>
        <v/>
      </c>
      <c r="AM247" s="444" t="str">
        <f t="shared" si="6"/>
        <v/>
      </c>
      <c r="AN247" s="448" t="str">
        <f t="shared" si="7"/>
        <v/>
      </c>
    </row>
    <row r="248">
      <c r="A248" s="277"/>
      <c r="B248" s="277"/>
      <c r="C248" s="441"/>
      <c r="D248" s="277"/>
      <c r="E248" s="277"/>
      <c r="F248" s="277"/>
      <c r="G248" s="277"/>
      <c r="H248" s="277" t="b">
        <f t="shared" si="1"/>
        <v>0</v>
      </c>
      <c r="I248" s="277" t="str">
        <f>IFERROR(__xludf.DUMMYFUNCTION("""COMPUTED_VALUE"""),"A1 245")</f>
        <v>A1 245</v>
      </c>
      <c r="J248" s="277" t="str">
        <f>IFERROR(__xludf.DUMMYFUNCTION("""COMPUTED_VALUE"""),"Pidgeot")</f>
        <v>Pidgeot</v>
      </c>
      <c r="K248" s="277" t="str">
        <f>IFERROR(__xludf.DUMMYFUNCTION("""COMPUTED_VALUE"""),"A1-Mewtwo")</f>
        <v>A1-Mewtwo</v>
      </c>
      <c r="L248" s="277" t="str">
        <f>IFERROR(__xludf.DUMMYFUNCTION("""COMPUTED_VALUE"""),"☆")</f>
        <v>☆</v>
      </c>
      <c r="M248" s="440" t="b">
        <f t="shared" si="2"/>
        <v>1</v>
      </c>
      <c r="N248" s="441"/>
      <c r="O248" s="277"/>
      <c r="P248" s="277"/>
      <c r="Q248" s="278"/>
      <c r="R248" s="449" t="str">
        <f t="array" ref="R248">IFERROR(IFS(OR(P248="A1-Mewtwo", P248="A1-Pikachu", P248="A1-Charizard", P248="A1"), XLOOKUP(N248, 'Genetic Apex'!$C$2:$C889, 'Genetic Apex'!$B$2:$B889)-$B$4, P248="A1a", XLOOKUP(N248, 'Mythical Island'!$C$2:$C889, 'Mythical Island'!$B$2:$B889)-$B$4, OR(P248="A2-Dialga", P248="A2-Palkia", P248="A2"), XLOOKUP(N248, 'Space-Time Smackdown'!$C$2:$C889, 'Space-Time Smackdown'!$B$2:$B889)-$B$4))</f>
        <v/>
      </c>
      <c r="S248" s="277" t="str">
        <f>IFERROR(__xludf.DUMMYFUNCTION("""COMPUTED_VALUE"""),"A1 245")</f>
        <v>A1 245</v>
      </c>
      <c r="T248" s="277" t="str">
        <f>IFERROR(__xludf.DUMMYFUNCTION("""COMPUTED_VALUE"""),"Pidgeot")</f>
        <v>Pidgeot</v>
      </c>
      <c r="U248" s="277" t="str">
        <f>IFERROR(__xludf.DUMMYFUNCTION("""COMPUTED_VALUE"""),"A1-Mewtwo")</f>
        <v>A1-Mewtwo</v>
      </c>
      <c r="V248" s="278" t="str">
        <f>IFERROR(__xludf.DUMMYFUNCTION("""COMPUTED_VALUE"""),"☆")</f>
        <v>☆</v>
      </c>
      <c r="W248" s="443">
        <f t="array" ref="W248">IFERROR(IFS(OR(U248="A1-Mewtwo", U248="A1-Pikachu", U248="A1-Charizard", U248="A1"), $B$5-XLOOKUP(S248, 'Genetic Apex'!$C$2:$C889, 'Genetic Apex'!$B$2:$B889), U248="A1a", $B$5-XLOOKUP(S248, 'Mythical Island'!$C$2:$C889, 'Mythical Island'!$B$2:$B889), OR(U248="A2-Dialga", U248="A2-Palkia", U248="A2"), $B$5-XLOOKUP(S248, 'Space-Time Smackdown'!$C$2:$C889, 'Space-Time Smackdown'!$B$2:$B889)))</f>
        <v>1</v>
      </c>
      <c r="X248" s="444">
        <f t="shared" si="3"/>
        <v>400</v>
      </c>
      <c r="Y248" s="445">
        <f t="shared" si="4"/>
        <v>400</v>
      </c>
      <c r="Z248" s="278"/>
      <c r="AA248" s="466"/>
      <c r="AB248" s="278"/>
      <c r="AC248" s="278"/>
      <c r="AD248" s="278"/>
      <c r="AE248" s="278"/>
      <c r="AF248" s="278"/>
      <c r="AG248" s="278" t="b">
        <f t="shared" si="5"/>
        <v>0</v>
      </c>
      <c r="AH248" s="454"/>
      <c r="AI248" s="278"/>
      <c r="AJ248" s="278"/>
      <c r="AK248" s="278"/>
      <c r="AL248" s="444" t="str">
        <f t="array" ref="AL248">IFERROR(IFS(OR(AJ248="A1-Mewtwo", AJ248="A1-Pikachu", AJ248="A1-Charizard", AJ248="A1"), XLOOKUP(AH248, 'Genetic Apex'!$C$2:$C889, 'Genetic Apex'!$B$2:$B889)-2, AJ248="A1a", XLOOKUP(AH248, 'Mythical Island'!$C$2:$C889, 'Mythical Island'!$B$2:$B889)-2, OR(AJ248="A2-Dialga", AJ248="A2-Palkia", AJ248="A2"), XLOOKUP(AH248, 'Space-Time Smackdown'!$C$2:$C889, 'Space-Time Smackdown'!$B$2:$B889)-2))</f>
        <v/>
      </c>
      <c r="AM248" s="444" t="str">
        <f t="shared" si="6"/>
        <v/>
      </c>
      <c r="AN248" s="448" t="str">
        <f t="shared" si="7"/>
        <v/>
      </c>
    </row>
    <row r="249">
      <c r="A249" s="277"/>
      <c r="B249" s="277"/>
      <c r="C249" s="441"/>
      <c r="D249" s="277"/>
      <c r="E249" s="277"/>
      <c r="F249" s="277"/>
      <c r="G249" s="277"/>
      <c r="H249" s="277" t="b">
        <f t="shared" si="1"/>
        <v>0</v>
      </c>
      <c r="I249" s="277" t="str">
        <f>IFERROR(__xludf.DUMMYFUNCTION("""COMPUTED_VALUE"""),"A1 246")</f>
        <v>A1 246</v>
      </c>
      <c r="J249" s="277" t="str">
        <f>IFERROR(__xludf.DUMMYFUNCTION("""COMPUTED_VALUE"""),"Meowth")</f>
        <v>Meowth</v>
      </c>
      <c r="K249" s="277" t="str">
        <f>IFERROR(__xludf.DUMMYFUNCTION("""COMPUTED_VALUE"""),"A1-Charizard")</f>
        <v>A1-Charizard</v>
      </c>
      <c r="L249" s="277" t="str">
        <f>IFERROR(__xludf.DUMMYFUNCTION("""COMPUTED_VALUE"""),"☆")</f>
        <v>☆</v>
      </c>
      <c r="M249" s="440" t="b">
        <f t="shared" si="2"/>
        <v>1</v>
      </c>
      <c r="N249" s="441"/>
      <c r="O249" s="277"/>
      <c r="P249" s="277"/>
      <c r="Q249" s="278"/>
      <c r="R249" s="449" t="str">
        <f t="array" ref="R249">IFERROR(IFS(OR(P249="A1-Mewtwo", P249="A1-Pikachu", P249="A1-Charizard", P249="A1"), XLOOKUP(N249, 'Genetic Apex'!$C$2:$C889, 'Genetic Apex'!$B$2:$B889)-$B$4, P249="A1a", XLOOKUP(N249, 'Mythical Island'!$C$2:$C889, 'Mythical Island'!$B$2:$B889)-$B$4, OR(P249="A2-Dialga", P249="A2-Palkia", P249="A2"), XLOOKUP(N249, 'Space-Time Smackdown'!$C$2:$C889, 'Space-Time Smackdown'!$B$2:$B889)-$B$4))</f>
        <v/>
      </c>
      <c r="S249" s="277" t="str">
        <f>IFERROR(__xludf.DUMMYFUNCTION("""COMPUTED_VALUE"""),"A1 246")</f>
        <v>A1 246</v>
      </c>
      <c r="T249" s="277" t="str">
        <f>IFERROR(__xludf.DUMMYFUNCTION("""COMPUTED_VALUE"""),"Meowth")</f>
        <v>Meowth</v>
      </c>
      <c r="U249" s="277" t="str">
        <f>IFERROR(__xludf.DUMMYFUNCTION("""COMPUTED_VALUE"""),"A1-Charizard")</f>
        <v>A1-Charizard</v>
      </c>
      <c r="V249" s="278" t="str">
        <f>IFERROR(__xludf.DUMMYFUNCTION("""COMPUTED_VALUE"""),"☆")</f>
        <v>☆</v>
      </c>
      <c r="W249" s="443">
        <f t="array" ref="W249">IFERROR(IFS(OR(U249="A1-Mewtwo", U249="A1-Pikachu", U249="A1-Charizard", U249="A1"), $B$5-XLOOKUP(S249, 'Genetic Apex'!$C$2:$C889, 'Genetic Apex'!$B$2:$B889), U249="A1a", $B$5-XLOOKUP(S249, 'Mythical Island'!$C$2:$C889, 'Mythical Island'!$B$2:$B889), OR(U249="A2-Dialga", U249="A2-Palkia", U249="A2"), $B$5-XLOOKUP(S249, 'Space-Time Smackdown'!$C$2:$C889, 'Space-Time Smackdown'!$B$2:$B889)))</f>
        <v>1</v>
      </c>
      <c r="X249" s="444">
        <f t="shared" si="3"/>
        <v>400</v>
      </c>
      <c r="Y249" s="445">
        <f t="shared" si="4"/>
        <v>400</v>
      </c>
      <c r="Z249" s="278"/>
      <c r="AA249" s="466"/>
      <c r="AB249" s="278"/>
      <c r="AC249" s="278"/>
      <c r="AD249" s="278"/>
      <c r="AE249" s="278"/>
      <c r="AF249" s="278"/>
      <c r="AG249" s="278" t="b">
        <f t="shared" si="5"/>
        <v>0</v>
      </c>
      <c r="AH249" s="454"/>
      <c r="AI249" s="278"/>
      <c r="AJ249" s="278"/>
      <c r="AK249" s="278"/>
      <c r="AL249" s="444" t="str">
        <f t="array" ref="AL249">IFERROR(IFS(OR(AJ249="A1-Mewtwo", AJ249="A1-Pikachu", AJ249="A1-Charizard", AJ249="A1"), XLOOKUP(AH249, 'Genetic Apex'!$C$2:$C889, 'Genetic Apex'!$B$2:$B889)-2, AJ249="A1a", XLOOKUP(AH249, 'Mythical Island'!$C$2:$C889, 'Mythical Island'!$B$2:$B889)-2, OR(AJ249="A2-Dialga", AJ249="A2-Palkia", AJ249="A2"), XLOOKUP(AH249, 'Space-Time Smackdown'!$C$2:$C889, 'Space-Time Smackdown'!$B$2:$B889)-2))</f>
        <v/>
      </c>
      <c r="AM249" s="444" t="str">
        <f t="shared" si="6"/>
        <v/>
      </c>
      <c r="AN249" s="448" t="str">
        <f t="shared" si="7"/>
        <v/>
      </c>
    </row>
    <row r="250">
      <c r="A250" s="277"/>
      <c r="B250" s="277"/>
      <c r="C250" s="441"/>
      <c r="D250" s="277"/>
      <c r="E250" s="277"/>
      <c r="F250" s="277"/>
      <c r="G250" s="277"/>
      <c r="H250" s="277" t="b">
        <f t="shared" si="1"/>
        <v>0</v>
      </c>
      <c r="I250" s="277" t="str">
        <f>IFERROR(__xludf.DUMMYFUNCTION("""COMPUTED_VALUE"""),"A1 247")</f>
        <v>A1 247</v>
      </c>
      <c r="J250" s="277" t="str">
        <f>IFERROR(__xludf.DUMMYFUNCTION("""COMPUTED_VALUE"""),"Ditto")</f>
        <v>Ditto</v>
      </c>
      <c r="K250" s="277" t="str">
        <f>IFERROR(__xludf.DUMMYFUNCTION("""COMPUTED_VALUE"""),"A1-Mewtwo")</f>
        <v>A1-Mewtwo</v>
      </c>
      <c r="L250" s="277" t="str">
        <f>IFERROR(__xludf.DUMMYFUNCTION("""COMPUTED_VALUE"""),"☆")</f>
        <v>☆</v>
      </c>
      <c r="M250" s="440" t="b">
        <f t="shared" si="2"/>
        <v>1</v>
      </c>
      <c r="N250" s="441"/>
      <c r="O250" s="277"/>
      <c r="P250" s="277"/>
      <c r="Q250" s="278"/>
      <c r="R250" s="449" t="str">
        <f t="array" ref="R250">IFERROR(IFS(OR(P250="A1-Mewtwo", P250="A1-Pikachu", P250="A1-Charizard", P250="A1"), XLOOKUP(N250, 'Genetic Apex'!$C$2:$C889, 'Genetic Apex'!$B$2:$B889)-$B$4, P250="A1a", XLOOKUP(N250, 'Mythical Island'!$C$2:$C889, 'Mythical Island'!$B$2:$B889)-$B$4, OR(P250="A2-Dialga", P250="A2-Palkia", P250="A2"), XLOOKUP(N250, 'Space-Time Smackdown'!$C$2:$C889, 'Space-Time Smackdown'!$B$2:$B889)-$B$4))</f>
        <v/>
      </c>
      <c r="S250" s="277" t="str">
        <f>IFERROR(__xludf.DUMMYFUNCTION("""COMPUTED_VALUE"""),"A1 247")</f>
        <v>A1 247</v>
      </c>
      <c r="T250" s="277" t="str">
        <f>IFERROR(__xludf.DUMMYFUNCTION("""COMPUTED_VALUE"""),"Ditto")</f>
        <v>Ditto</v>
      </c>
      <c r="U250" s="277" t="str">
        <f>IFERROR(__xludf.DUMMYFUNCTION("""COMPUTED_VALUE"""),"A1-Mewtwo")</f>
        <v>A1-Mewtwo</v>
      </c>
      <c r="V250" s="278" t="str">
        <f>IFERROR(__xludf.DUMMYFUNCTION("""COMPUTED_VALUE"""),"☆")</f>
        <v>☆</v>
      </c>
      <c r="W250" s="443">
        <f t="array" ref="W250">IFERROR(IFS(OR(U250="A1-Mewtwo", U250="A1-Pikachu", U250="A1-Charizard", U250="A1"), $B$5-XLOOKUP(S250, 'Genetic Apex'!$C$2:$C889, 'Genetic Apex'!$B$2:$B889), U250="A1a", $B$5-XLOOKUP(S250, 'Mythical Island'!$C$2:$C889, 'Mythical Island'!$B$2:$B889), OR(U250="A2-Dialga", U250="A2-Palkia", U250="A2"), $B$5-XLOOKUP(S250, 'Space-Time Smackdown'!$C$2:$C889, 'Space-Time Smackdown'!$B$2:$B889)))</f>
        <v>1</v>
      </c>
      <c r="X250" s="444">
        <f t="shared" si="3"/>
        <v>400</v>
      </c>
      <c r="Y250" s="445">
        <f t="shared" si="4"/>
        <v>400</v>
      </c>
      <c r="Z250" s="278"/>
      <c r="AA250" s="466"/>
      <c r="AB250" s="278"/>
      <c r="AC250" s="278"/>
      <c r="AD250" s="278"/>
      <c r="AE250" s="278"/>
      <c r="AF250" s="278"/>
      <c r="AG250" s="278" t="b">
        <f t="shared" si="5"/>
        <v>0</v>
      </c>
      <c r="AH250" s="454"/>
      <c r="AI250" s="278"/>
      <c r="AJ250" s="278"/>
      <c r="AK250" s="278"/>
      <c r="AL250" s="444" t="str">
        <f t="array" ref="AL250">IFERROR(IFS(OR(AJ250="A1-Mewtwo", AJ250="A1-Pikachu", AJ250="A1-Charizard", AJ250="A1"), XLOOKUP(AH250, 'Genetic Apex'!$C$2:$C889, 'Genetic Apex'!$B$2:$B889)-2, AJ250="A1a", XLOOKUP(AH250, 'Mythical Island'!$C$2:$C889, 'Mythical Island'!$B$2:$B889)-2, OR(AJ250="A2-Dialga", AJ250="A2-Palkia", AJ250="A2"), XLOOKUP(AH250, 'Space-Time Smackdown'!$C$2:$C889, 'Space-Time Smackdown'!$B$2:$B889)-2))</f>
        <v/>
      </c>
      <c r="AM250" s="444" t="str">
        <f t="shared" si="6"/>
        <v/>
      </c>
      <c r="AN250" s="448" t="str">
        <f t="shared" si="7"/>
        <v/>
      </c>
    </row>
    <row r="251">
      <c r="A251" s="277"/>
      <c r="B251" s="277"/>
      <c r="C251" s="441"/>
      <c r="D251" s="277"/>
      <c r="E251" s="277"/>
      <c r="F251" s="277"/>
      <c r="G251" s="277"/>
      <c r="H251" s="277" t="b">
        <f t="shared" si="1"/>
        <v>0</v>
      </c>
      <c r="I251" s="277" t="str">
        <f>IFERROR(__xludf.DUMMYFUNCTION("""COMPUTED_VALUE"""),"A1 248")</f>
        <v>A1 248</v>
      </c>
      <c r="J251" s="277" t="str">
        <f>IFERROR(__xludf.DUMMYFUNCTION("""COMPUTED_VALUE"""),"Eevee")</f>
        <v>Eevee</v>
      </c>
      <c r="K251" s="277" t="str">
        <f>IFERROR(__xludf.DUMMYFUNCTION("""COMPUTED_VALUE"""),"A1-Pikachu")</f>
        <v>A1-Pikachu</v>
      </c>
      <c r="L251" s="277" t="str">
        <f>IFERROR(__xludf.DUMMYFUNCTION("""COMPUTED_VALUE"""),"☆")</f>
        <v>☆</v>
      </c>
      <c r="M251" s="440" t="b">
        <f t="shared" si="2"/>
        <v>1</v>
      </c>
      <c r="N251" s="441"/>
      <c r="O251" s="277"/>
      <c r="P251" s="277"/>
      <c r="Q251" s="278"/>
      <c r="R251" s="449" t="str">
        <f t="array" ref="R251">IFERROR(IFS(OR(P251="A1-Mewtwo", P251="A1-Pikachu", P251="A1-Charizard", P251="A1"), XLOOKUP(N251, 'Genetic Apex'!$C$2:$C889, 'Genetic Apex'!$B$2:$B889)-$B$4, P251="A1a", XLOOKUP(N251, 'Mythical Island'!$C$2:$C889, 'Mythical Island'!$B$2:$B889)-$B$4, OR(P251="A2-Dialga", P251="A2-Palkia", P251="A2"), XLOOKUP(N251, 'Space-Time Smackdown'!$C$2:$C889, 'Space-Time Smackdown'!$B$2:$B889)-$B$4))</f>
        <v/>
      </c>
      <c r="S251" s="277" t="str">
        <f>IFERROR(__xludf.DUMMYFUNCTION("""COMPUTED_VALUE"""),"A1 248")</f>
        <v>A1 248</v>
      </c>
      <c r="T251" s="277" t="str">
        <f>IFERROR(__xludf.DUMMYFUNCTION("""COMPUTED_VALUE"""),"Eevee")</f>
        <v>Eevee</v>
      </c>
      <c r="U251" s="277" t="str">
        <f>IFERROR(__xludf.DUMMYFUNCTION("""COMPUTED_VALUE"""),"A1-Pikachu")</f>
        <v>A1-Pikachu</v>
      </c>
      <c r="V251" s="278" t="str">
        <f>IFERROR(__xludf.DUMMYFUNCTION("""COMPUTED_VALUE"""),"☆")</f>
        <v>☆</v>
      </c>
      <c r="W251" s="443">
        <f t="array" ref="W251">IFERROR(IFS(OR(U251="A1-Mewtwo", U251="A1-Pikachu", U251="A1-Charizard", U251="A1"), $B$5-XLOOKUP(S251, 'Genetic Apex'!$C$2:$C889, 'Genetic Apex'!$B$2:$B889), U251="A1a", $B$5-XLOOKUP(S251, 'Mythical Island'!$C$2:$C889, 'Mythical Island'!$B$2:$B889), OR(U251="A2-Dialga", U251="A2-Palkia", U251="A2"), $B$5-XLOOKUP(S251, 'Space-Time Smackdown'!$C$2:$C889, 'Space-Time Smackdown'!$B$2:$B889)))</f>
        <v>1</v>
      </c>
      <c r="X251" s="444">
        <f t="shared" si="3"/>
        <v>400</v>
      </c>
      <c r="Y251" s="445">
        <f t="shared" si="4"/>
        <v>400</v>
      </c>
      <c r="Z251" s="278"/>
      <c r="AA251" s="466"/>
      <c r="AB251" s="278"/>
      <c r="AC251" s="278"/>
      <c r="AD251" s="278"/>
      <c r="AE251" s="278"/>
      <c r="AF251" s="278"/>
      <c r="AG251" s="278" t="b">
        <f t="shared" si="5"/>
        <v>0</v>
      </c>
      <c r="AH251" s="454"/>
      <c r="AI251" s="278"/>
      <c r="AJ251" s="278"/>
      <c r="AK251" s="278"/>
      <c r="AL251" s="444" t="str">
        <f t="array" ref="AL251">IFERROR(IFS(OR(AJ251="A1-Mewtwo", AJ251="A1-Pikachu", AJ251="A1-Charizard", AJ251="A1"), XLOOKUP(AH251, 'Genetic Apex'!$C$2:$C889, 'Genetic Apex'!$B$2:$B889)-2, AJ251="A1a", XLOOKUP(AH251, 'Mythical Island'!$C$2:$C889, 'Mythical Island'!$B$2:$B889)-2, OR(AJ251="A2-Dialga", AJ251="A2-Palkia", AJ251="A2"), XLOOKUP(AH251, 'Space-Time Smackdown'!$C$2:$C889, 'Space-Time Smackdown'!$B$2:$B889)-2))</f>
        <v/>
      </c>
      <c r="AM251" s="444" t="str">
        <f t="shared" si="6"/>
        <v/>
      </c>
      <c r="AN251" s="448" t="str">
        <f t="shared" si="7"/>
        <v/>
      </c>
    </row>
    <row r="252">
      <c r="A252" s="277"/>
      <c r="B252" s="277"/>
      <c r="C252" s="441"/>
      <c r="D252" s="277"/>
      <c r="E252" s="277"/>
      <c r="F252" s="277"/>
      <c r="G252" s="277"/>
      <c r="H252" s="277" t="b">
        <f t="shared" si="1"/>
        <v>0</v>
      </c>
      <c r="I252" s="277" t="str">
        <f>IFERROR(__xludf.DUMMYFUNCTION("""COMPUTED_VALUE"""),"A1 249")</f>
        <v>A1 249</v>
      </c>
      <c r="J252" s="277" t="str">
        <f>IFERROR(__xludf.DUMMYFUNCTION("""COMPUTED_VALUE"""),"Porygon")</f>
        <v>Porygon</v>
      </c>
      <c r="K252" s="277" t="str">
        <f>IFERROR(__xludf.DUMMYFUNCTION("""COMPUTED_VALUE"""),"A1-Mewtwo")</f>
        <v>A1-Mewtwo</v>
      </c>
      <c r="L252" s="277" t="str">
        <f>IFERROR(__xludf.DUMMYFUNCTION("""COMPUTED_VALUE"""),"☆")</f>
        <v>☆</v>
      </c>
      <c r="M252" s="440" t="b">
        <f t="shared" si="2"/>
        <v>1</v>
      </c>
      <c r="N252" s="441"/>
      <c r="O252" s="277"/>
      <c r="P252" s="277"/>
      <c r="Q252" s="278"/>
      <c r="R252" s="449" t="str">
        <f t="array" ref="R252">IFERROR(IFS(OR(P252="A1-Mewtwo", P252="A1-Pikachu", P252="A1-Charizard", P252="A1"), XLOOKUP(N252, 'Genetic Apex'!$C$2:$C889, 'Genetic Apex'!$B$2:$B889)-$B$4, P252="A1a", XLOOKUP(N252, 'Mythical Island'!$C$2:$C889, 'Mythical Island'!$B$2:$B889)-$B$4, OR(P252="A2-Dialga", P252="A2-Palkia", P252="A2"), XLOOKUP(N252, 'Space-Time Smackdown'!$C$2:$C889, 'Space-Time Smackdown'!$B$2:$B889)-$B$4))</f>
        <v/>
      </c>
      <c r="S252" s="277" t="str">
        <f>IFERROR(__xludf.DUMMYFUNCTION("""COMPUTED_VALUE"""),"A1 249")</f>
        <v>A1 249</v>
      </c>
      <c r="T252" s="277" t="str">
        <f>IFERROR(__xludf.DUMMYFUNCTION("""COMPUTED_VALUE"""),"Porygon")</f>
        <v>Porygon</v>
      </c>
      <c r="U252" s="277" t="str">
        <f>IFERROR(__xludf.DUMMYFUNCTION("""COMPUTED_VALUE"""),"A1-Mewtwo")</f>
        <v>A1-Mewtwo</v>
      </c>
      <c r="V252" s="278" t="str">
        <f>IFERROR(__xludf.DUMMYFUNCTION("""COMPUTED_VALUE"""),"☆")</f>
        <v>☆</v>
      </c>
      <c r="W252" s="443">
        <f t="array" ref="W252">IFERROR(IFS(OR(U252="A1-Mewtwo", U252="A1-Pikachu", U252="A1-Charizard", U252="A1"), $B$5-XLOOKUP(S252, 'Genetic Apex'!$C$2:$C889, 'Genetic Apex'!$B$2:$B889), U252="A1a", $B$5-XLOOKUP(S252, 'Mythical Island'!$C$2:$C889, 'Mythical Island'!$B$2:$B889), OR(U252="A2-Dialga", U252="A2-Palkia", U252="A2"), $B$5-XLOOKUP(S252, 'Space-Time Smackdown'!$C$2:$C889, 'Space-Time Smackdown'!$B$2:$B889)))</f>
        <v>1</v>
      </c>
      <c r="X252" s="444">
        <f t="shared" si="3"/>
        <v>400</v>
      </c>
      <c r="Y252" s="445">
        <f t="shared" si="4"/>
        <v>400</v>
      </c>
      <c r="Z252" s="278"/>
      <c r="AA252" s="466"/>
      <c r="AB252" s="278"/>
      <c r="AC252" s="278"/>
      <c r="AD252" s="278"/>
      <c r="AE252" s="278"/>
      <c r="AF252" s="278"/>
      <c r="AG252" s="278" t="b">
        <f t="shared" si="5"/>
        <v>0</v>
      </c>
      <c r="AH252" s="454"/>
      <c r="AI252" s="278"/>
      <c r="AJ252" s="278"/>
      <c r="AK252" s="278"/>
      <c r="AL252" s="444" t="str">
        <f t="array" ref="AL252">IFERROR(IFS(OR(AJ252="A1-Mewtwo", AJ252="A1-Pikachu", AJ252="A1-Charizard", AJ252="A1"), XLOOKUP(AH252, 'Genetic Apex'!$C$2:$C889, 'Genetic Apex'!$B$2:$B889)-2, AJ252="A1a", XLOOKUP(AH252, 'Mythical Island'!$C$2:$C889, 'Mythical Island'!$B$2:$B889)-2, OR(AJ252="A2-Dialga", AJ252="A2-Palkia", AJ252="A2"), XLOOKUP(AH252, 'Space-Time Smackdown'!$C$2:$C889, 'Space-Time Smackdown'!$B$2:$B889)-2))</f>
        <v/>
      </c>
      <c r="AM252" s="444" t="str">
        <f t="shared" si="6"/>
        <v/>
      </c>
      <c r="AN252" s="448" t="str">
        <f t="shared" si="7"/>
        <v/>
      </c>
    </row>
    <row r="253">
      <c r="A253" s="277"/>
      <c r="B253" s="277"/>
      <c r="C253" s="441"/>
      <c r="D253" s="277"/>
      <c r="E253" s="277"/>
      <c r="F253" s="277"/>
      <c r="G253" s="277"/>
      <c r="H253" s="277" t="b">
        <f t="shared" si="1"/>
        <v>0</v>
      </c>
      <c r="I253" s="277" t="str">
        <f>IFERROR(__xludf.DUMMYFUNCTION("""COMPUTED_VALUE"""),"A1 250")</f>
        <v>A1 250</v>
      </c>
      <c r="J253" s="277" t="str">
        <f>IFERROR(__xludf.DUMMYFUNCTION("""COMPUTED_VALUE"""),"Snorlax")</f>
        <v>Snorlax</v>
      </c>
      <c r="K253" s="277" t="str">
        <f>IFERROR(__xludf.DUMMYFUNCTION("""COMPUTED_VALUE"""),"A1-Pikachu")</f>
        <v>A1-Pikachu</v>
      </c>
      <c r="L253" s="277" t="str">
        <f>IFERROR(__xludf.DUMMYFUNCTION("""COMPUTED_VALUE"""),"☆")</f>
        <v>☆</v>
      </c>
      <c r="M253" s="440" t="b">
        <f t="shared" si="2"/>
        <v>1</v>
      </c>
      <c r="N253" s="441"/>
      <c r="O253" s="277"/>
      <c r="P253" s="277"/>
      <c r="Q253" s="278"/>
      <c r="R253" s="449" t="str">
        <f t="array" ref="R253">IFERROR(IFS(OR(P253="A1-Mewtwo", P253="A1-Pikachu", P253="A1-Charizard", P253="A1"), XLOOKUP(N253, 'Genetic Apex'!$C$2:$C889, 'Genetic Apex'!$B$2:$B889)-$B$4, P253="A1a", XLOOKUP(N253, 'Mythical Island'!$C$2:$C889, 'Mythical Island'!$B$2:$B889)-$B$4, OR(P253="A2-Dialga", P253="A2-Palkia", P253="A2"), XLOOKUP(N253, 'Space-Time Smackdown'!$C$2:$C889, 'Space-Time Smackdown'!$B$2:$B889)-$B$4))</f>
        <v/>
      </c>
      <c r="S253" s="277" t="str">
        <f>IFERROR(__xludf.DUMMYFUNCTION("""COMPUTED_VALUE"""),"A1 250")</f>
        <v>A1 250</v>
      </c>
      <c r="T253" s="277" t="str">
        <f>IFERROR(__xludf.DUMMYFUNCTION("""COMPUTED_VALUE"""),"Snorlax")</f>
        <v>Snorlax</v>
      </c>
      <c r="U253" s="277" t="str">
        <f>IFERROR(__xludf.DUMMYFUNCTION("""COMPUTED_VALUE"""),"A1-Pikachu")</f>
        <v>A1-Pikachu</v>
      </c>
      <c r="V253" s="278" t="str">
        <f>IFERROR(__xludf.DUMMYFUNCTION("""COMPUTED_VALUE"""),"☆")</f>
        <v>☆</v>
      </c>
      <c r="W253" s="443">
        <f t="array" ref="W253">IFERROR(IFS(OR(U253="A1-Mewtwo", U253="A1-Pikachu", U253="A1-Charizard", U253="A1"), $B$5-XLOOKUP(S253, 'Genetic Apex'!$C$2:$C889, 'Genetic Apex'!$B$2:$B889), U253="A1a", $B$5-XLOOKUP(S253, 'Mythical Island'!$C$2:$C889, 'Mythical Island'!$B$2:$B889), OR(U253="A2-Dialga", U253="A2-Palkia", U253="A2"), $B$5-XLOOKUP(S253, 'Space-Time Smackdown'!$C$2:$C889, 'Space-Time Smackdown'!$B$2:$B889)))</f>
        <v>1</v>
      </c>
      <c r="X253" s="444">
        <f t="shared" si="3"/>
        <v>400</v>
      </c>
      <c r="Y253" s="445">
        <f t="shared" si="4"/>
        <v>400</v>
      </c>
      <c r="Z253" s="278"/>
      <c r="AA253" s="466"/>
      <c r="AB253" s="278"/>
      <c r="AC253" s="278"/>
      <c r="AD253" s="278"/>
      <c r="AE253" s="278"/>
      <c r="AF253" s="278"/>
      <c r="AG253" s="278" t="b">
        <f t="shared" si="5"/>
        <v>0</v>
      </c>
      <c r="AH253" s="454"/>
      <c r="AI253" s="278"/>
      <c r="AJ253" s="278"/>
      <c r="AK253" s="278"/>
      <c r="AL253" s="444" t="str">
        <f t="array" ref="AL253">IFERROR(IFS(OR(AJ253="A1-Mewtwo", AJ253="A1-Pikachu", AJ253="A1-Charizard", AJ253="A1"), XLOOKUP(AH253, 'Genetic Apex'!$C$2:$C889, 'Genetic Apex'!$B$2:$B889)-2, AJ253="A1a", XLOOKUP(AH253, 'Mythical Island'!$C$2:$C889, 'Mythical Island'!$B$2:$B889)-2, OR(AJ253="A2-Dialga", AJ253="A2-Palkia", AJ253="A2"), XLOOKUP(AH253, 'Space-Time Smackdown'!$C$2:$C889, 'Space-Time Smackdown'!$B$2:$B889)-2))</f>
        <v/>
      </c>
      <c r="AM253" s="444" t="str">
        <f t="shared" si="6"/>
        <v/>
      </c>
      <c r="AN253" s="448" t="str">
        <f t="shared" si="7"/>
        <v/>
      </c>
    </row>
    <row r="254">
      <c r="A254" s="277"/>
      <c r="B254" s="277"/>
      <c r="C254" s="441"/>
      <c r="D254" s="277"/>
      <c r="E254" s="277"/>
      <c r="F254" s="277"/>
      <c r="G254" s="277"/>
      <c r="H254" s="277" t="b">
        <f t="shared" si="1"/>
        <v>0</v>
      </c>
      <c r="I254" s="277" t="str">
        <f>IFERROR(__xludf.DUMMYFUNCTION("""COMPUTED_VALUE"""),"A1 251")</f>
        <v>A1 251</v>
      </c>
      <c r="J254" s="277" t="str">
        <f>IFERROR(__xludf.DUMMYFUNCTION("""COMPUTED_VALUE"""),"Venusaur ex")</f>
        <v>Venusaur ex</v>
      </c>
      <c r="K254" s="277" t="str">
        <f>IFERROR(__xludf.DUMMYFUNCTION("""COMPUTED_VALUE"""),"A1-Mewtwo")</f>
        <v>A1-Mewtwo</v>
      </c>
      <c r="L254" s="277" t="str">
        <f>IFERROR(__xludf.DUMMYFUNCTION("""COMPUTED_VALUE"""),"☆☆")</f>
        <v>☆☆</v>
      </c>
      <c r="M254" s="440" t="b">
        <f t="shared" si="2"/>
        <v>1</v>
      </c>
      <c r="N254" s="441"/>
      <c r="O254" s="277"/>
      <c r="P254" s="277"/>
      <c r="Q254" s="278"/>
      <c r="R254" s="449" t="str">
        <f t="array" ref="R254">IFERROR(IFS(OR(P254="A1-Mewtwo", P254="A1-Pikachu", P254="A1-Charizard", P254="A1"), XLOOKUP(N254, 'Genetic Apex'!$C$2:$C889, 'Genetic Apex'!$B$2:$B889)-$B$4, P254="A1a", XLOOKUP(N254, 'Mythical Island'!$C$2:$C889, 'Mythical Island'!$B$2:$B889)-$B$4, OR(P254="A2-Dialga", P254="A2-Palkia", P254="A2"), XLOOKUP(N254, 'Space-Time Smackdown'!$C$2:$C889, 'Space-Time Smackdown'!$B$2:$B889)-$B$4))</f>
        <v/>
      </c>
      <c r="S254" s="277" t="str">
        <f>IFERROR(__xludf.DUMMYFUNCTION("""COMPUTED_VALUE"""),"A1a 001")</f>
        <v>A1a 001</v>
      </c>
      <c r="T254" s="277" t="str">
        <f>IFERROR(__xludf.DUMMYFUNCTION("""COMPUTED_VALUE"""),"Exeggcute")</f>
        <v>Exeggcute</v>
      </c>
      <c r="U254" s="277" t="str">
        <f>IFERROR(__xludf.DUMMYFUNCTION("""COMPUTED_VALUE"""),"A1a")</f>
        <v>A1a</v>
      </c>
      <c r="V254" s="278" t="str">
        <f>IFERROR(__xludf.DUMMYFUNCTION("""COMPUTED_VALUE"""),"♢")</f>
        <v>♢</v>
      </c>
      <c r="W254" s="443">
        <f t="array" ref="W254">IFERROR(IFS(OR(U254="A1-Mewtwo", U254="A1-Pikachu", U254="A1-Charizard", U254="A1"), $B$5-XLOOKUP(S254, 'Genetic Apex'!$C$2:$C889, 'Genetic Apex'!$B$2:$B889), U254="A1a", $B$5-XLOOKUP(S254, 'Mythical Island'!$C$2:$C889, 'Mythical Island'!$B$2:$B889), OR(U254="A2-Dialga", U254="A2-Palkia", U254="A2"), $B$5-XLOOKUP(S254, 'Space-Time Smackdown'!$C$2:$C889, 'Space-Time Smackdown'!$B$2:$B889)))</f>
        <v>1</v>
      </c>
      <c r="X254" s="444">
        <f t="shared" si="3"/>
        <v>0</v>
      </c>
      <c r="Y254" s="445" t="str">
        <f t="shared" si="4"/>
        <v/>
      </c>
      <c r="Z254" s="278"/>
      <c r="AA254" s="466"/>
      <c r="AB254" s="278"/>
      <c r="AC254" s="278"/>
      <c r="AD254" s="278"/>
      <c r="AE254" s="278"/>
      <c r="AF254" s="278"/>
      <c r="AG254" s="278" t="b">
        <f t="shared" si="5"/>
        <v>0</v>
      </c>
      <c r="AH254" s="454"/>
      <c r="AI254" s="278"/>
      <c r="AJ254" s="278"/>
      <c r="AK254" s="278"/>
      <c r="AL254" s="444" t="str">
        <f t="array" ref="AL254">IFERROR(IFS(OR(AJ254="A1-Mewtwo", AJ254="A1-Pikachu", AJ254="A1-Charizard", AJ254="A1"), XLOOKUP(AH254, 'Genetic Apex'!$C$2:$C889, 'Genetic Apex'!$B$2:$B889)-2, AJ254="A1a", XLOOKUP(AH254, 'Mythical Island'!$C$2:$C889, 'Mythical Island'!$B$2:$B889)-2, OR(AJ254="A2-Dialga", AJ254="A2-Palkia", AJ254="A2"), XLOOKUP(AH254, 'Space-Time Smackdown'!$C$2:$C889, 'Space-Time Smackdown'!$B$2:$B889)-2))</f>
        <v/>
      </c>
      <c r="AM254" s="444" t="str">
        <f t="shared" si="6"/>
        <v/>
      </c>
      <c r="AN254" s="448" t="str">
        <f t="shared" si="7"/>
        <v/>
      </c>
    </row>
    <row r="255">
      <c r="A255" s="277"/>
      <c r="B255" s="277"/>
      <c r="C255" s="441"/>
      <c r="D255" s="277"/>
      <c r="E255" s="277"/>
      <c r="F255" s="277"/>
      <c r="G255" s="277"/>
      <c r="H255" s="277" t="b">
        <f t="shared" si="1"/>
        <v>0</v>
      </c>
      <c r="I255" s="277" t="str">
        <f>IFERROR(__xludf.DUMMYFUNCTION("""COMPUTED_VALUE"""),"A1 252")</f>
        <v>A1 252</v>
      </c>
      <c r="J255" s="277" t="str">
        <f>IFERROR(__xludf.DUMMYFUNCTION("""COMPUTED_VALUE"""),"Exeggutor ex")</f>
        <v>Exeggutor ex</v>
      </c>
      <c r="K255" s="277" t="str">
        <f>IFERROR(__xludf.DUMMYFUNCTION("""COMPUTED_VALUE"""),"A1-Charizard")</f>
        <v>A1-Charizard</v>
      </c>
      <c r="L255" s="277" t="str">
        <f>IFERROR(__xludf.DUMMYFUNCTION("""COMPUTED_VALUE"""),"☆☆")</f>
        <v>☆☆</v>
      </c>
      <c r="M255" s="440" t="b">
        <f t="shared" si="2"/>
        <v>1</v>
      </c>
      <c r="N255" s="441"/>
      <c r="O255" s="277"/>
      <c r="P255" s="277"/>
      <c r="Q255" s="278"/>
      <c r="R255" s="449" t="str">
        <f t="array" ref="R255">IFERROR(IFS(OR(P255="A1-Mewtwo", P255="A1-Pikachu", P255="A1-Charizard", P255="A1"), XLOOKUP(N255, 'Genetic Apex'!$C$2:$C889, 'Genetic Apex'!$B$2:$B889)-$B$4, P255="A1a", XLOOKUP(N255, 'Mythical Island'!$C$2:$C889, 'Mythical Island'!$B$2:$B889)-$B$4, OR(P255="A2-Dialga", P255="A2-Palkia", P255="A2"), XLOOKUP(N255, 'Space-Time Smackdown'!$C$2:$C889, 'Space-Time Smackdown'!$B$2:$B889)-$B$4))</f>
        <v/>
      </c>
      <c r="S255" s="277" t="str">
        <f>IFERROR(__xludf.DUMMYFUNCTION("""COMPUTED_VALUE"""),"A1a 002")</f>
        <v>A1a 002</v>
      </c>
      <c r="T255" s="277" t="str">
        <f>IFERROR(__xludf.DUMMYFUNCTION("""COMPUTED_VALUE"""),"Exeggutor")</f>
        <v>Exeggutor</v>
      </c>
      <c r="U255" s="277" t="str">
        <f>IFERROR(__xludf.DUMMYFUNCTION("""COMPUTED_VALUE"""),"A1a")</f>
        <v>A1a</v>
      </c>
      <c r="V255" s="278" t="str">
        <f>IFERROR(__xludf.DUMMYFUNCTION("""COMPUTED_VALUE"""),"♢♢")</f>
        <v>♢♢</v>
      </c>
      <c r="W255" s="443">
        <f t="array" ref="W255">IFERROR(IFS(OR(U255="A1-Mewtwo", U255="A1-Pikachu", U255="A1-Charizard", U255="A1"), $B$5-XLOOKUP(S255, 'Genetic Apex'!$C$2:$C889, 'Genetic Apex'!$B$2:$B889), U255="A1a", $B$5-XLOOKUP(S255, 'Mythical Island'!$C$2:$C889, 'Mythical Island'!$B$2:$B889), OR(U255="A2-Dialga", U255="A2-Palkia", U255="A2"), $B$5-XLOOKUP(S255, 'Space-Time Smackdown'!$C$2:$C889, 'Space-Time Smackdown'!$B$2:$B889)))</f>
        <v>1</v>
      </c>
      <c r="X255" s="444">
        <f t="shared" si="3"/>
        <v>0</v>
      </c>
      <c r="Y255" s="445" t="str">
        <f t="shared" si="4"/>
        <v/>
      </c>
      <c r="Z255" s="278"/>
      <c r="AA255" s="466"/>
      <c r="AB255" s="278"/>
      <c r="AC255" s="278"/>
      <c r="AD255" s="278"/>
      <c r="AE255" s="278"/>
      <c r="AF255" s="278"/>
      <c r="AG255" s="278" t="b">
        <f t="shared" si="5"/>
        <v>0</v>
      </c>
      <c r="AH255" s="454"/>
      <c r="AI255" s="278"/>
      <c r="AJ255" s="278"/>
      <c r="AK255" s="278"/>
      <c r="AL255" s="444" t="str">
        <f t="array" ref="AL255">IFERROR(IFS(OR(AJ255="A1-Mewtwo", AJ255="A1-Pikachu", AJ255="A1-Charizard", AJ255="A1"), XLOOKUP(AH255, 'Genetic Apex'!$C$2:$C889, 'Genetic Apex'!$B$2:$B889)-2, AJ255="A1a", XLOOKUP(AH255, 'Mythical Island'!$C$2:$C889, 'Mythical Island'!$B$2:$B889)-2, OR(AJ255="A2-Dialga", AJ255="A2-Palkia", AJ255="A2"), XLOOKUP(AH255, 'Space-Time Smackdown'!$C$2:$C889, 'Space-Time Smackdown'!$B$2:$B889)-2))</f>
        <v/>
      </c>
      <c r="AM255" s="444" t="str">
        <f t="shared" si="6"/>
        <v/>
      </c>
      <c r="AN255" s="448" t="str">
        <f t="shared" si="7"/>
        <v/>
      </c>
    </row>
    <row r="256">
      <c r="A256" s="277"/>
      <c r="B256" s="277"/>
      <c r="C256" s="441"/>
      <c r="D256" s="277"/>
      <c r="E256" s="277"/>
      <c r="F256" s="277"/>
      <c r="G256" s="277"/>
      <c r="H256" s="277" t="b">
        <f t="shared" si="1"/>
        <v>0</v>
      </c>
      <c r="I256" s="277" t="str">
        <f>IFERROR(__xludf.DUMMYFUNCTION("""COMPUTED_VALUE"""),"A1 253")</f>
        <v>A1 253</v>
      </c>
      <c r="J256" s="277" t="str">
        <f>IFERROR(__xludf.DUMMYFUNCTION("""COMPUTED_VALUE"""),"Charizard ex")</f>
        <v>Charizard ex</v>
      </c>
      <c r="K256" s="277" t="str">
        <f>IFERROR(__xludf.DUMMYFUNCTION("""COMPUTED_VALUE"""),"A1-Charizard")</f>
        <v>A1-Charizard</v>
      </c>
      <c r="L256" s="277" t="str">
        <f>IFERROR(__xludf.DUMMYFUNCTION("""COMPUTED_VALUE"""),"☆☆")</f>
        <v>☆☆</v>
      </c>
      <c r="M256" s="440" t="b">
        <f t="shared" si="2"/>
        <v>1</v>
      </c>
      <c r="N256" s="441"/>
      <c r="O256" s="277"/>
      <c r="P256" s="277"/>
      <c r="Q256" s="278"/>
      <c r="R256" s="449" t="str">
        <f t="array" ref="R256">IFERROR(IFS(OR(P256="A1-Mewtwo", P256="A1-Pikachu", P256="A1-Charizard", P256="A1"), XLOOKUP(N256, 'Genetic Apex'!$C$2:$C889, 'Genetic Apex'!$B$2:$B889)-$B$4, P256="A1a", XLOOKUP(N256, 'Mythical Island'!$C$2:$C889, 'Mythical Island'!$B$2:$B889)-$B$4, OR(P256="A2-Dialga", P256="A2-Palkia", P256="A2"), XLOOKUP(N256, 'Space-Time Smackdown'!$C$2:$C889, 'Space-Time Smackdown'!$B$2:$B889)-$B$4))</f>
        <v/>
      </c>
      <c r="S256" s="277" t="str">
        <f>IFERROR(__xludf.DUMMYFUNCTION("""COMPUTED_VALUE"""),"A1a 003")</f>
        <v>A1a 003</v>
      </c>
      <c r="T256" s="277" t="str">
        <f>IFERROR(__xludf.DUMMYFUNCTION("""COMPUTED_VALUE"""),"Celebi ex")</f>
        <v>Celebi ex</v>
      </c>
      <c r="U256" s="277" t="str">
        <f>IFERROR(__xludf.DUMMYFUNCTION("""COMPUTED_VALUE"""),"A1a")</f>
        <v>A1a</v>
      </c>
      <c r="V256" s="278" t="str">
        <f>IFERROR(__xludf.DUMMYFUNCTION("""COMPUTED_VALUE"""),"♢♢♢♢")</f>
        <v>♢♢♢♢</v>
      </c>
      <c r="W256" s="443">
        <f t="array" ref="W256">IFERROR(IFS(OR(U256="A1-Mewtwo", U256="A1-Pikachu", U256="A1-Charizard", U256="A1"), $B$5-XLOOKUP(S256, 'Genetic Apex'!$C$2:$C889, 'Genetic Apex'!$B$2:$B889), U256="A1a", $B$5-XLOOKUP(S256, 'Mythical Island'!$C$2:$C889, 'Mythical Island'!$B$2:$B889), OR(U256="A2-Dialga", U256="A2-Palkia", U256="A2"), $B$5-XLOOKUP(S256, 'Space-Time Smackdown'!$C$2:$C889, 'Space-Time Smackdown'!$B$2:$B889)))</f>
        <v>1</v>
      </c>
      <c r="X256" s="444">
        <f t="shared" si="3"/>
        <v>500</v>
      </c>
      <c r="Y256" s="445">
        <f t="shared" si="4"/>
        <v>500</v>
      </c>
      <c r="Z256" s="278"/>
      <c r="AA256" s="466"/>
      <c r="AB256" s="278"/>
      <c r="AC256" s="278"/>
      <c r="AD256" s="278"/>
      <c r="AE256" s="278"/>
      <c r="AF256" s="278"/>
      <c r="AG256" s="278" t="b">
        <f t="shared" si="5"/>
        <v>0</v>
      </c>
      <c r="AH256" s="454"/>
      <c r="AI256" s="278"/>
      <c r="AJ256" s="278"/>
      <c r="AK256" s="278"/>
      <c r="AL256" s="444" t="str">
        <f t="array" ref="AL256">IFERROR(IFS(OR(AJ256="A1-Mewtwo", AJ256="A1-Pikachu", AJ256="A1-Charizard", AJ256="A1"), XLOOKUP(AH256, 'Genetic Apex'!$C$2:$C889, 'Genetic Apex'!$B$2:$B889)-2, AJ256="A1a", XLOOKUP(AH256, 'Mythical Island'!$C$2:$C889, 'Mythical Island'!$B$2:$B889)-2, OR(AJ256="A2-Dialga", AJ256="A2-Palkia", AJ256="A2"), XLOOKUP(AH256, 'Space-Time Smackdown'!$C$2:$C889, 'Space-Time Smackdown'!$B$2:$B889)-2))</f>
        <v/>
      </c>
      <c r="AM256" s="444" t="str">
        <f t="shared" si="6"/>
        <v/>
      </c>
      <c r="AN256" s="448" t="str">
        <f t="shared" si="7"/>
        <v/>
      </c>
    </row>
    <row r="257">
      <c r="A257" s="277"/>
      <c r="B257" s="277"/>
      <c r="C257" s="441"/>
      <c r="D257" s="277"/>
      <c r="E257" s="277"/>
      <c r="F257" s="277"/>
      <c r="G257" s="277"/>
      <c r="H257" s="277" t="b">
        <f t="shared" si="1"/>
        <v>0</v>
      </c>
      <c r="I257" s="277" t="str">
        <f>IFERROR(__xludf.DUMMYFUNCTION("""COMPUTED_VALUE"""),"A1 254")</f>
        <v>A1 254</v>
      </c>
      <c r="J257" s="277" t="str">
        <f>IFERROR(__xludf.DUMMYFUNCTION("""COMPUTED_VALUE"""),"Arcanine ex")</f>
        <v>Arcanine ex</v>
      </c>
      <c r="K257" s="277" t="str">
        <f>IFERROR(__xludf.DUMMYFUNCTION("""COMPUTED_VALUE"""),"A1-Pikachu")</f>
        <v>A1-Pikachu</v>
      </c>
      <c r="L257" s="277" t="str">
        <f>IFERROR(__xludf.DUMMYFUNCTION("""COMPUTED_VALUE"""),"☆☆")</f>
        <v>☆☆</v>
      </c>
      <c r="M257" s="440" t="b">
        <f t="shared" si="2"/>
        <v>1</v>
      </c>
      <c r="N257" s="441"/>
      <c r="O257" s="277"/>
      <c r="P257" s="277"/>
      <c r="Q257" s="278"/>
      <c r="R257" s="449" t="str">
        <f t="array" ref="R257">IFERROR(IFS(OR(P257="A1-Mewtwo", P257="A1-Pikachu", P257="A1-Charizard", P257="A1"), XLOOKUP(N257, 'Genetic Apex'!$C$2:$C889, 'Genetic Apex'!$B$2:$B889)-$B$4, P257="A1a", XLOOKUP(N257, 'Mythical Island'!$C$2:$C889, 'Mythical Island'!$B$2:$B889)-$B$4, OR(P257="A2-Dialga", P257="A2-Palkia", P257="A2"), XLOOKUP(N257, 'Space-Time Smackdown'!$C$2:$C889, 'Space-Time Smackdown'!$B$2:$B889)-$B$4))</f>
        <v/>
      </c>
      <c r="S257" s="277" t="str">
        <f>IFERROR(__xludf.DUMMYFUNCTION("""COMPUTED_VALUE"""),"A1a 004")</f>
        <v>A1a 004</v>
      </c>
      <c r="T257" s="277" t="str">
        <f>IFERROR(__xludf.DUMMYFUNCTION("""COMPUTED_VALUE"""),"Snivy")</f>
        <v>Snivy</v>
      </c>
      <c r="U257" s="277" t="str">
        <f>IFERROR(__xludf.DUMMYFUNCTION("""COMPUTED_VALUE"""),"A1a")</f>
        <v>A1a</v>
      </c>
      <c r="V257" s="278" t="str">
        <f>IFERROR(__xludf.DUMMYFUNCTION("""COMPUTED_VALUE"""),"♢")</f>
        <v>♢</v>
      </c>
      <c r="W257" s="443">
        <f t="array" ref="W257">IFERROR(IFS(OR(U257="A1-Mewtwo", U257="A1-Pikachu", U257="A1-Charizard", U257="A1"), $B$5-XLOOKUP(S257, 'Genetic Apex'!$C$2:$C889, 'Genetic Apex'!$B$2:$B889), U257="A1a", $B$5-XLOOKUP(S257, 'Mythical Island'!$C$2:$C889, 'Mythical Island'!$B$2:$B889), OR(U257="A2-Dialga", U257="A2-Palkia", U257="A2"), $B$5-XLOOKUP(S257, 'Space-Time Smackdown'!$C$2:$C889, 'Space-Time Smackdown'!$B$2:$B889)))</f>
        <v>1</v>
      </c>
      <c r="X257" s="444">
        <f t="shared" si="3"/>
        <v>0</v>
      </c>
      <c r="Y257" s="445" t="str">
        <f t="shared" si="4"/>
        <v/>
      </c>
      <c r="Z257" s="278"/>
      <c r="AA257" s="466"/>
      <c r="AB257" s="278"/>
      <c r="AC257" s="278"/>
      <c r="AD257" s="278"/>
      <c r="AE257" s="278"/>
      <c r="AF257" s="278"/>
      <c r="AG257" s="278" t="b">
        <f t="shared" si="5"/>
        <v>0</v>
      </c>
      <c r="AH257" s="454"/>
      <c r="AI257" s="278"/>
      <c r="AJ257" s="278"/>
      <c r="AK257" s="278"/>
      <c r="AL257" s="444" t="str">
        <f t="array" ref="AL257">IFERROR(IFS(OR(AJ257="A1-Mewtwo", AJ257="A1-Pikachu", AJ257="A1-Charizard", AJ257="A1"), XLOOKUP(AH257, 'Genetic Apex'!$C$2:$C889, 'Genetic Apex'!$B$2:$B889)-2, AJ257="A1a", XLOOKUP(AH257, 'Mythical Island'!$C$2:$C889, 'Mythical Island'!$B$2:$B889)-2, OR(AJ257="A2-Dialga", AJ257="A2-Palkia", AJ257="A2"), XLOOKUP(AH257, 'Space-Time Smackdown'!$C$2:$C889, 'Space-Time Smackdown'!$B$2:$B889)-2))</f>
        <v/>
      </c>
      <c r="AM257" s="444" t="str">
        <f t="shared" si="6"/>
        <v/>
      </c>
      <c r="AN257" s="448" t="str">
        <f t="shared" si="7"/>
        <v/>
      </c>
    </row>
    <row r="258">
      <c r="A258" s="277"/>
      <c r="B258" s="277"/>
      <c r="C258" s="441"/>
      <c r="D258" s="277"/>
      <c r="E258" s="277"/>
      <c r="F258" s="277"/>
      <c r="G258" s="277"/>
      <c r="H258" s="277" t="b">
        <f t="shared" si="1"/>
        <v>0</v>
      </c>
      <c r="I258" s="277" t="str">
        <f>IFERROR(__xludf.DUMMYFUNCTION("""COMPUTED_VALUE"""),"A1 255")</f>
        <v>A1 255</v>
      </c>
      <c r="J258" s="277" t="str">
        <f>IFERROR(__xludf.DUMMYFUNCTION("""COMPUTED_VALUE"""),"Moltres ex")</f>
        <v>Moltres ex</v>
      </c>
      <c r="K258" s="277" t="str">
        <f>IFERROR(__xludf.DUMMYFUNCTION("""COMPUTED_VALUE"""),"A1-Charizard")</f>
        <v>A1-Charizard</v>
      </c>
      <c r="L258" s="277" t="str">
        <f>IFERROR(__xludf.DUMMYFUNCTION("""COMPUTED_VALUE"""),"☆☆")</f>
        <v>☆☆</v>
      </c>
      <c r="M258" s="440" t="b">
        <f t="shared" si="2"/>
        <v>1</v>
      </c>
      <c r="N258" s="441"/>
      <c r="O258" s="277"/>
      <c r="P258" s="277"/>
      <c r="Q258" s="278"/>
      <c r="R258" s="449" t="str">
        <f t="array" ref="R258">IFERROR(IFS(OR(P258="A1-Mewtwo", P258="A1-Pikachu", P258="A1-Charizard", P258="A1"), XLOOKUP(N258, 'Genetic Apex'!$C$2:$C889, 'Genetic Apex'!$B$2:$B889)-$B$4, P258="A1a", XLOOKUP(N258, 'Mythical Island'!$C$2:$C889, 'Mythical Island'!$B$2:$B889)-$B$4, OR(P258="A2-Dialga", P258="A2-Palkia", P258="A2"), XLOOKUP(N258, 'Space-Time Smackdown'!$C$2:$C889, 'Space-Time Smackdown'!$B$2:$B889)-$B$4))</f>
        <v/>
      </c>
      <c r="S258" s="277" t="str">
        <f>IFERROR(__xludf.DUMMYFUNCTION("""COMPUTED_VALUE"""),"A1a 005")</f>
        <v>A1a 005</v>
      </c>
      <c r="T258" s="277" t="str">
        <f>IFERROR(__xludf.DUMMYFUNCTION("""COMPUTED_VALUE"""),"Servine")</f>
        <v>Servine</v>
      </c>
      <c r="U258" s="277" t="str">
        <f>IFERROR(__xludf.DUMMYFUNCTION("""COMPUTED_VALUE"""),"A1a")</f>
        <v>A1a</v>
      </c>
      <c r="V258" s="278" t="str">
        <f>IFERROR(__xludf.DUMMYFUNCTION("""COMPUTED_VALUE"""),"♢♢")</f>
        <v>♢♢</v>
      </c>
      <c r="W258" s="443">
        <f t="array" ref="W258">IFERROR(IFS(OR(U258="A1-Mewtwo", U258="A1-Pikachu", U258="A1-Charizard", U258="A1"), $B$5-XLOOKUP(S258, 'Genetic Apex'!$C$2:$C889, 'Genetic Apex'!$B$2:$B889), U258="A1a", $B$5-XLOOKUP(S258, 'Mythical Island'!$C$2:$C889, 'Mythical Island'!$B$2:$B889), OR(U258="A2-Dialga", U258="A2-Palkia", U258="A2"), $B$5-XLOOKUP(S258, 'Space-Time Smackdown'!$C$2:$C889, 'Space-Time Smackdown'!$B$2:$B889)))</f>
        <v>1</v>
      </c>
      <c r="X258" s="444">
        <f t="shared" si="3"/>
        <v>0</v>
      </c>
      <c r="Y258" s="445" t="str">
        <f t="shared" si="4"/>
        <v/>
      </c>
      <c r="Z258" s="278"/>
      <c r="AA258" s="466"/>
      <c r="AB258" s="278"/>
      <c r="AC258" s="278"/>
      <c r="AD258" s="278"/>
      <c r="AE258" s="278"/>
      <c r="AF258" s="278"/>
      <c r="AG258" s="278" t="b">
        <f t="shared" si="5"/>
        <v>0</v>
      </c>
      <c r="AH258" s="454"/>
      <c r="AI258" s="278"/>
      <c r="AJ258" s="278"/>
      <c r="AK258" s="278"/>
      <c r="AL258" s="444" t="str">
        <f t="array" ref="AL258">IFERROR(IFS(OR(AJ258="A1-Mewtwo", AJ258="A1-Pikachu", AJ258="A1-Charizard", AJ258="A1"), XLOOKUP(AH258, 'Genetic Apex'!$C$2:$C889, 'Genetic Apex'!$B$2:$B889)-2, AJ258="A1a", XLOOKUP(AH258, 'Mythical Island'!$C$2:$C889, 'Mythical Island'!$B$2:$B889)-2, OR(AJ258="A2-Dialga", AJ258="A2-Palkia", AJ258="A2"), XLOOKUP(AH258, 'Space-Time Smackdown'!$C$2:$C889, 'Space-Time Smackdown'!$B$2:$B889)-2))</f>
        <v/>
      </c>
      <c r="AM258" s="444" t="str">
        <f t="shared" si="6"/>
        <v/>
      </c>
      <c r="AN258" s="448" t="str">
        <f t="shared" si="7"/>
        <v/>
      </c>
    </row>
    <row r="259">
      <c r="A259" s="277"/>
      <c r="B259" s="277"/>
      <c r="C259" s="441"/>
      <c r="D259" s="277"/>
      <c r="E259" s="277"/>
      <c r="F259" s="277"/>
      <c r="G259" s="277"/>
      <c r="H259" s="277" t="b">
        <f t="shared" si="1"/>
        <v>0</v>
      </c>
      <c r="I259" s="277" t="str">
        <f>IFERROR(__xludf.DUMMYFUNCTION("""COMPUTED_VALUE"""),"A1 256")</f>
        <v>A1 256</v>
      </c>
      <c r="J259" s="277" t="str">
        <f>IFERROR(__xludf.DUMMYFUNCTION("""COMPUTED_VALUE"""),"Blastoise ex")</f>
        <v>Blastoise ex</v>
      </c>
      <c r="K259" s="277" t="str">
        <f>IFERROR(__xludf.DUMMYFUNCTION("""COMPUTED_VALUE"""),"A1-Pikachu")</f>
        <v>A1-Pikachu</v>
      </c>
      <c r="L259" s="277" t="str">
        <f>IFERROR(__xludf.DUMMYFUNCTION("""COMPUTED_VALUE"""),"☆☆")</f>
        <v>☆☆</v>
      </c>
      <c r="M259" s="440" t="b">
        <f t="shared" si="2"/>
        <v>1</v>
      </c>
      <c r="N259" s="441"/>
      <c r="O259" s="277"/>
      <c r="P259" s="277"/>
      <c r="Q259" s="278"/>
      <c r="R259" s="449" t="str">
        <f t="array" ref="R259">IFERROR(IFS(OR(P259="A1-Mewtwo", P259="A1-Pikachu", P259="A1-Charizard", P259="A1"), XLOOKUP(N259, 'Genetic Apex'!$C$2:$C889, 'Genetic Apex'!$B$2:$B889)-$B$4, P259="A1a", XLOOKUP(N259, 'Mythical Island'!$C$2:$C889, 'Mythical Island'!$B$2:$B889)-$B$4, OR(P259="A2-Dialga", P259="A2-Palkia", P259="A2"), XLOOKUP(N259, 'Space-Time Smackdown'!$C$2:$C889, 'Space-Time Smackdown'!$B$2:$B889)-$B$4))</f>
        <v/>
      </c>
      <c r="S259" s="277" t="str">
        <f>IFERROR(__xludf.DUMMYFUNCTION("""COMPUTED_VALUE"""),"A1a 006")</f>
        <v>A1a 006</v>
      </c>
      <c r="T259" s="277" t="str">
        <f>IFERROR(__xludf.DUMMYFUNCTION("""COMPUTED_VALUE"""),"Serperior")</f>
        <v>Serperior</v>
      </c>
      <c r="U259" s="277" t="str">
        <f>IFERROR(__xludf.DUMMYFUNCTION("""COMPUTED_VALUE"""),"A1a")</f>
        <v>A1a</v>
      </c>
      <c r="V259" s="278" t="str">
        <f>IFERROR(__xludf.DUMMYFUNCTION("""COMPUTED_VALUE"""),"♢♢♢")</f>
        <v>♢♢♢</v>
      </c>
      <c r="W259" s="443">
        <f t="array" ref="W259">IFERROR(IFS(OR(U259="A1-Mewtwo", U259="A1-Pikachu", U259="A1-Charizard", U259="A1"), $B$5-XLOOKUP(S259, 'Genetic Apex'!$C$2:$C889, 'Genetic Apex'!$B$2:$B889), U259="A1a", $B$5-XLOOKUP(S259, 'Mythical Island'!$C$2:$C889, 'Mythical Island'!$B$2:$B889), OR(U259="A2-Dialga", U259="A2-Palkia", U259="A2"), $B$5-XLOOKUP(S259, 'Space-Time Smackdown'!$C$2:$C889, 'Space-Time Smackdown'!$B$2:$B889)))</f>
        <v>1</v>
      </c>
      <c r="X259" s="444">
        <f t="shared" si="3"/>
        <v>120</v>
      </c>
      <c r="Y259" s="445">
        <f t="shared" si="4"/>
        <v>120</v>
      </c>
      <c r="Z259" s="278"/>
      <c r="AA259" s="466"/>
      <c r="AB259" s="278"/>
      <c r="AC259" s="278"/>
      <c r="AD259" s="278"/>
      <c r="AE259" s="278"/>
      <c r="AF259" s="278"/>
      <c r="AG259" s="278" t="b">
        <f t="shared" si="5"/>
        <v>0</v>
      </c>
      <c r="AH259" s="454"/>
      <c r="AI259" s="278"/>
      <c r="AJ259" s="278"/>
      <c r="AK259" s="278"/>
      <c r="AL259" s="444" t="str">
        <f t="array" ref="AL259">IFERROR(IFS(OR(AJ259="A1-Mewtwo", AJ259="A1-Pikachu", AJ259="A1-Charizard", AJ259="A1"), XLOOKUP(AH259, 'Genetic Apex'!$C$2:$C889, 'Genetic Apex'!$B$2:$B889)-2, AJ259="A1a", XLOOKUP(AH259, 'Mythical Island'!$C$2:$C889, 'Mythical Island'!$B$2:$B889)-2, OR(AJ259="A2-Dialga", AJ259="A2-Palkia", AJ259="A2"), XLOOKUP(AH259, 'Space-Time Smackdown'!$C$2:$C889, 'Space-Time Smackdown'!$B$2:$B889)-2))</f>
        <v/>
      </c>
      <c r="AM259" s="444" t="str">
        <f t="shared" si="6"/>
        <v/>
      </c>
      <c r="AN259" s="448" t="str">
        <f t="shared" si="7"/>
        <v/>
      </c>
    </row>
    <row r="260">
      <c r="A260" s="277"/>
      <c r="B260" s="277"/>
      <c r="C260" s="441"/>
      <c r="D260" s="277"/>
      <c r="E260" s="277"/>
      <c r="F260" s="277"/>
      <c r="G260" s="277"/>
      <c r="H260" s="277" t="b">
        <f t="shared" si="1"/>
        <v>0</v>
      </c>
      <c r="I260" s="277" t="str">
        <f>IFERROR(__xludf.DUMMYFUNCTION("""COMPUTED_VALUE"""),"A1 257")</f>
        <v>A1 257</v>
      </c>
      <c r="J260" s="277" t="str">
        <f>IFERROR(__xludf.DUMMYFUNCTION("""COMPUTED_VALUE"""),"Starmie ex")</f>
        <v>Starmie ex</v>
      </c>
      <c r="K260" s="277" t="str">
        <f>IFERROR(__xludf.DUMMYFUNCTION("""COMPUTED_VALUE"""),"A1-Charizard")</f>
        <v>A1-Charizard</v>
      </c>
      <c r="L260" s="277" t="str">
        <f>IFERROR(__xludf.DUMMYFUNCTION("""COMPUTED_VALUE"""),"☆☆")</f>
        <v>☆☆</v>
      </c>
      <c r="M260" s="440" t="b">
        <f t="shared" si="2"/>
        <v>1</v>
      </c>
      <c r="N260" s="441"/>
      <c r="O260" s="277"/>
      <c r="P260" s="277"/>
      <c r="Q260" s="278"/>
      <c r="R260" s="449" t="str">
        <f t="array" ref="R260">IFERROR(IFS(OR(P260="A1-Mewtwo", P260="A1-Pikachu", P260="A1-Charizard", P260="A1"), XLOOKUP(N260, 'Genetic Apex'!$C$2:$C889, 'Genetic Apex'!$B$2:$B889)-$B$4, P260="A1a", XLOOKUP(N260, 'Mythical Island'!$C$2:$C889, 'Mythical Island'!$B$2:$B889)-$B$4, OR(P260="A2-Dialga", P260="A2-Palkia", P260="A2"), XLOOKUP(N260, 'Space-Time Smackdown'!$C$2:$C889, 'Space-Time Smackdown'!$B$2:$B889)-$B$4))</f>
        <v/>
      </c>
      <c r="S260" s="277" t="str">
        <f>IFERROR(__xludf.DUMMYFUNCTION("""COMPUTED_VALUE"""),"A1a 007")</f>
        <v>A1a 007</v>
      </c>
      <c r="T260" s="277" t="str">
        <f>IFERROR(__xludf.DUMMYFUNCTION("""COMPUTED_VALUE"""),"Morelull")</f>
        <v>Morelull</v>
      </c>
      <c r="U260" s="277" t="str">
        <f>IFERROR(__xludf.DUMMYFUNCTION("""COMPUTED_VALUE"""),"A1a")</f>
        <v>A1a</v>
      </c>
      <c r="V260" s="278" t="str">
        <f>IFERROR(__xludf.DUMMYFUNCTION("""COMPUTED_VALUE"""),"♢")</f>
        <v>♢</v>
      </c>
      <c r="W260" s="443">
        <f t="array" ref="W260">IFERROR(IFS(OR(U260="A1-Mewtwo", U260="A1-Pikachu", U260="A1-Charizard", U260="A1"), $B$5-XLOOKUP(S260, 'Genetic Apex'!$C$2:$C889, 'Genetic Apex'!$B$2:$B889), U260="A1a", $B$5-XLOOKUP(S260, 'Mythical Island'!$C$2:$C889, 'Mythical Island'!$B$2:$B889), OR(U260="A2-Dialga", U260="A2-Palkia", U260="A2"), $B$5-XLOOKUP(S260, 'Space-Time Smackdown'!$C$2:$C889, 'Space-Time Smackdown'!$B$2:$B889)))</f>
        <v>1</v>
      </c>
      <c r="X260" s="444">
        <f t="shared" si="3"/>
        <v>0</v>
      </c>
      <c r="Y260" s="445" t="str">
        <f t="shared" si="4"/>
        <v/>
      </c>
      <c r="Z260" s="278"/>
      <c r="AA260" s="466"/>
      <c r="AB260" s="278"/>
      <c r="AC260" s="278"/>
      <c r="AD260" s="278"/>
      <c r="AE260" s="278"/>
      <c r="AF260" s="278"/>
      <c r="AG260" s="278" t="b">
        <f t="shared" si="5"/>
        <v>0</v>
      </c>
      <c r="AH260" s="454"/>
      <c r="AI260" s="278"/>
      <c r="AJ260" s="278"/>
      <c r="AK260" s="278"/>
      <c r="AL260" s="444" t="str">
        <f t="array" ref="AL260">IFERROR(IFS(OR(AJ260="A1-Mewtwo", AJ260="A1-Pikachu", AJ260="A1-Charizard", AJ260="A1"), XLOOKUP(AH260, 'Genetic Apex'!$C$2:$C889, 'Genetic Apex'!$B$2:$B889)-2, AJ260="A1a", XLOOKUP(AH260, 'Mythical Island'!$C$2:$C889, 'Mythical Island'!$B$2:$B889)-2, OR(AJ260="A2-Dialga", AJ260="A2-Palkia", AJ260="A2"), XLOOKUP(AH260, 'Space-Time Smackdown'!$C$2:$C889, 'Space-Time Smackdown'!$B$2:$B889)-2))</f>
        <v/>
      </c>
      <c r="AM260" s="444" t="str">
        <f t="shared" si="6"/>
        <v/>
      </c>
      <c r="AN260" s="448" t="str">
        <f t="shared" si="7"/>
        <v/>
      </c>
    </row>
    <row r="261">
      <c r="A261" s="277"/>
      <c r="B261" s="277"/>
      <c r="C261" s="441"/>
      <c r="D261" s="277"/>
      <c r="E261" s="277"/>
      <c r="F261" s="277"/>
      <c r="G261" s="277"/>
      <c r="H261" s="277" t="b">
        <f t="shared" si="1"/>
        <v>0</v>
      </c>
      <c r="I261" s="277" t="str">
        <f>IFERROR(__xludf.DUMMYFUNCTION("""COMPUTED_VALUE"""),"A1 258")</f>
        <v>A1 258</v>
      </c>
      <c r="J261" s="277" t="str">
        <f>IFERROR(__xludf.DUMMYFUNCTION("""COMPUTED_VALUE"""),"Articuno ex")</f>
        <v>Articuno ex</v>
      </c>
      <c r="K261" s="277" t="str">
        <f>IFERROR(__xludf.DUMMYFUNCTION("""COMPUTED_VALUE"""),"A1-Mewtwo")</f>
        <v>A1-Mewtwo</v>
      </c>
      <c r="L261" s="277" t="str">
        <f>IFERROR(__xludf.DUMMYFUNCTION("""COMPUTED_VALUE"""),"☆☆")</f>
        <v>☆☆</v>
      </c>
      <c r="M261" s="440" t="b">
        <f t="shared" si="2"/>
        <v>1</v>
      </c>
      <c r="N261" s="441"/>
      <c r="O261" s="277"/>
      <c r="P261" s="277"/>
      <c r="Q261" s="278"/>
      <c r="R261" s="449" t="str">
        <f t="array" ref="R261">IFERROR(IFS(OR(P261="A1-Mewtwo", P261="A1-Pikachu", P261="A1-Charizard", P261="A1"), XLOOKUP(N261, 'Genetic Apex'!$C$2:$C889, 'Genetic Apex'!$B$2:$B889)-$B$4, P261="A1a", XLOOKUP(N261, 'Mythical Island'!$C$2:$C889, 'Mythical Island'!$B$2:$B889)-$B$4, OR(P261="A2-Dialga", P261="A2-Palkia", P261="A2"), XLOOKUP(N261, 'Space-Time Smackdown'!$C$2:$C889, 'Space-Time Smackdown'!$B$2:$B889)-$B$4))</f>
        <v/>
      </c>
      <c r="S261" s="277" t="str">
        <f>IFERROR(__xludf.DUMMYFUNCTION("""COMPUTED_VALUE"""),"A1a 008")</f>
        <v>A1a 008</v>
      </c>
      <c r="T261" s="277" t="str">
        <f>IFERROR(__xludf.DUMMYFUNCTION("""COMPUTED_VALUE"""),"Shiinotic")</f>
        <v>Shiinotic</v>
      </c>
      <c r="U261" s="277" t="str">
        <f>IFERROR(__xludf.DUMMYFUNCTION("""COMPUTED_VALUE"""),"A1a")</f>
        <v>A1a</v>
      </c>
      <c r="V261" s="278" t="str">
        <f>IFERROR(__xludf.DUMMYFUNCTION("""COMPUTED_VALUE"""),"♢♢")</f>
        <v>♢♢</v>
      </c>
      <c r="W261" s="443">
        <f t="array" ref="W261">IFERROR(IFS(OR(U261="A1-Mewtwo", U261="A1-Pikachu", U261="A1-Charizard", U261="A1"), $B$5-XLOOKUP(S261, 'Genetic Apex'!$C$2:$C889, 'Genetic Apex'!$B$2:$B889), U261="A1a", $B$5-XLOOKUP(S261, 'Mythical Island'!$C$2:$C889, 'Mythical Island'!$B$2:$B889), OR(U261="A2-Dialga", U261="A2-Palkia", U261="A2"), $B$5-XLOOKUP(S261, 'Space-Time Smackdown'!$C$2:$C889, 'Space-Time Smackdown'!$B$2:$B889)))</f>
        <v>1</v>
      </c>
      <c r="X261" s="444">
        <f t="shared" si="3"/>
        <v>0</v>
      </c>
      <c r="Y261" s="445" t="str">
        <f t="shared" si="4"/>
        <v/>
      </c>
      <c r="Z261" s="278"/>
      <c r="AA261" s="466"/>
      <c r="AB261" s="278"/>
      <c r="AC261" s="278"/>
      <c r="AD261" s="278"/>
      <c r="AE261" s="278"/>
      <c r="AF261" s="278"/>
      <c r="AG261" s="278" t="b">
        <f t="shared" si="5"/>
        <v>0</v>
      </c>
      <c r="AH261" s="454"/>
      <c r="AI261" s="278"/>
      <c r="AJ261" s="278"/>
      <c r="AK261" s="278"/>
      <c r="AL261" s="444" t="str">
        <f t="array" ref="AL261">IFERROR(IFS(OR(AJ261="A1-Mewtwo", AJ261="A1-Pikachu", AJ261="A1-Charizard", AJ261="A1"), XLOOKUP(AH261, 'Genetic Apex'!$C$2:$C889, 'Genetic Apex'!$B$2:$B889)-2, AJ261="A1a", XLOOKUP(AH261, 'Mythical Island'!$C$2:$C889, 'Mythical Island'!$B$2:$B889)-2, OR(AJ261="A2-Dialga", AJ261="A2-Palkia", AJ261="A2"), XLOOKUP(AH261, 'Space-Time Smackdown'!$C$2:$C889, 'Space-Time Smackdown'!$B$2:$B889)-2))</f>
        <v/>
      </c>
      <c r="AM261" s="444" t="str">
        <f t="shared" si="6"/>
        <v/>
      </c>
      <c r="AN261" s="448" t="str">
        <f t="shared" si="7"/>
        <v/>
      </c>
    </row>
    <row r="262">
      <c r="A262" s="277"/>
      <c r="B262" s="277"/>
      <c r="C262" s="441"/>
      <c r="D262" s="277"/>
      <c r="E262" s="277"/>
      <c r="F262" s="277"/>
      <c r="G262" s="277"/>
      <c r="H262" s="277" t="b">
        <f t="shared" si="1"/>
        <v>0</v>
      </c>
      <c r="I262" s="277" t="str">
        <f>IFERROR(__xludf.DUMMYFUNCTION("""COMPUTED_VALUE"""),"A1 259")</f>
        <v>A1 259</v>
      </c>
      <c r="J262" s="277" t="str">
        <f>IFERROR(__xludf.DUMMYFUNCTION("""COMPUTED_VALUE"""),"Pikachu ex")</f>
        <v>Pikachu ex</v>
      </c>
      <c r="K262" s="277" t="str">
        <f>IFERROR(__xludf.DUMMYFUNCTION("""COMPUTED_VALUE"""),"A1-Pikachu")</f>
        <v>A1-Pikachu</v>
      </c>
      <c r="L262" s="277" t="str">
        <f>IFERROR(__xludf.DUMMYFUNCTION("""COMPUTED_VALUE"""),"☆☆")</f>
        <v>☆☆</v>
      </c>
      <c r="M262" s="440" t="b">
        <f t="shared" si="2"/>
        <v>1</v>
      </c>
      <c r="N262" s="441"/>
      <c r="O262" s="277"/>
      <c r="P262" s="277"/>
      <c r="Q262" s="278"/>
      <c r="R262" s="449" t="str">
        <f t="array" ref="R262">IFERROR(IFS(OR(P262="A1-Mewtwo", P262="A1-Pikachu", P262="A1-Charizard", P262="A1"), XLOOKUP(N262, 'Genetic Apex'!$C$2:$C889, 'Genetic Apex'!$B$2:$B889)-$B$4, P262="A1a", XLOOKUP(N262, 'Mythical Island'!$C$2:$C889, 'Mythical Island'!$B$2:$B889)-$B$4, OR(P262="A2-Dialga", P262="A2-Palkia", P262="A2"), XLOOKUP(N262, 'Space-Time Smackdown'!$C$2:$C889, 'Space-Time Smackdown'!$B$2:$B889)-$B$4))</f>
        <v/>
      </c>
      <c r="S262" s="277" t="str">
        <f>IFERROR(__xludf.DUMMYFUNCTION("""COMPUTED_VALUE"""),"A1a 009")</f>
        <v>A1a 009</v>
      </c>
      <c r="T262" s="277" t="str">
        <f>IFERROR(__xludf.DUMMYFUNCTION("""COMPUTED_VALUE"""),"Dhelmise")</f>
        <v>Dhelmise</v>
      </c>
      <c r="U262" s="277" t="str">
        <f>IFERROR(__xludf.DUMMYFUNCTION("""COMPUTED_VALUE"""),"A1a")</f>
        <v>A1a</v>
      </c>
      <c r="V262" s="278" t="str">
        <f>IFERROR(__xludf.DUMMYFUNCTION("""COMPUTED_VALUE"""),"♢♢")</f>
        <v>♢♢</v>
      </c>
      <c r="W262" s="443">
        <f t="array" ref="W262">IFERROR(IFS(OR(U262="A1-Mewtwo", U262="A1-Pikachu", U262="A1-Charizard", U262="A1"), $B$5-XLOOKUP(S262, 'Genetic Apex'!$C$2:$C889, 'Genetic Apex'!$B$2:$B889), U262="A1a", $B$5-XLOOKUP(S262, 'Mythical Island'!$C$2:$C889, 'Mythical Island'!$B$2:$B889), OR(U262="A2-Dialga", U262="A2-Palkia", U262="A2"), $B$5-XLOOKUP(S262, 'Space-Time Smackdown'!$C$2:$C889, 'Space-Time Smackdown'!$B$2:$B889)))</f>
        <v>1</v>
      </c>
      <c r="X262" s="444">
        <f t="shared" si="3"/>
        <v>0</v>
      </c>
      <c r="Y262" s="445" t="str">
        <f t="shared" si="4"/>
        <v/>
      </c>
      <c r="Z262" s="278"/>
      <c r="AA262" s="466"/>
      <c r="AB262" s="278"/>
      <c r="AC262" s="278"/>
      <c r="AD262" s="278"/>
      <c r="AE262" s="278"/>
      <c r="AF262" s="278"/>
      <c r="AG262" s="278" t="b">
        <f t="shared" si="5"/>
        <v>0</v>
      </c>
      <c r="AH262" s="454"/>
      <c r="AI262" s="278"/>
      <c r="AJ262" s="278"/>
      <c r="AK262" s="278"/>
      <c r="AL262" s="444" t="str">
        <f t="array" ref="AL262">IFERROR(IFS(OR(AJ262="A1-Mewtwo", AJ262="A1-Pikachu", AJ262="A1-Charizard", AJ262="A1"), XLOOKUP(AH262, 'Genetic Apex'!$C$2:$C889, 'Genetic Apex'!$B$2:$B889)-2, AJ262="A1a", XLOOKUP(AH262, 'Mythical Island'!$C$2:$C889, 'Mythical Island'!$B$2:$B889)-2, OR(AJ262="A2-Dialga", AJ262="A2-Palkia", AJ262="A2"), XLOOKUP(AH262, 'Space-Time Smackdown'!$C$2:$C889, 'Space-Time Smackdown'!$B$2:$B889)-2))</f>
        <v/>
      </c>
      <c r="AM262" s="444" t="str">
        <f t="shared" si="6"/>
        <v/>
      </c>
      <c r="AN262" s="448" t="str">
        <f t="shared" si="7"/>
        <v/>
      </c>
    </row>
    <row r="263">
      <c r="A263" s="277"/>
      <c r="B263" s="277"/>
      <c r="C263" s="441"/>
      <c r="D263" s="277"/>
      <c r="E263" s="277"/>
      <c r="F263" s="277"/>
      <c r="G263" s="277"/>
      <c r="H263" s="277" t="b">
        <f t="shared" si="1"/>
        <v>0</v>
      </c>
      <c r="I263" s="277" t="str">
        <f>IFERROR(__xludf.DUMMYFUNCTION("""COMPUTED_VALUE"""),"A1 260")</f>
        <v>A1 260</v>
      </c>
      <c r="J263" s="277" t="str">
        <f>IFERROR(__xludf.DUMMYFUNCTION("""COMPUTED_VALUE"""),"Zapdos ex")</f>
        <v>Zapdos ex</v>
      </c>
      <c r="K263" s="277" t="str">
        <f>IFERROR(__xludf.DUMMYFUNCTION("""COMPUTED_VALUE"""),"A1-Pikachu")</f>
        <v>A1-Pikachu</v>
      </c>
      <c r="L263" s="277" t="str">
        <f>IFERROR(__xludf.DUMMYFUNCTION("""COMPUTED_VALUE"""),"☆☆")</f>
        <v>☆☆</v>
      </c>
      <c r="M263" s="440" t="b">
        <f t="shared" si="2"/>
        <v>1</v>
      </c>
      <c r="N263" s="441"/>
      <c r="O263" s="277"/>
      <c r="P263" s="277"/>
      <c r="Q263" s="278"/>
      <c r="R263" s="449" t="str">
        <f t="array" ref="R263">IFERROR(IFS(OR(P263="A1-Mewtwo", P263="A1-Pikachu", P263="A1-Charizard", P263="A1"), XLOOKUP(N263, 'Genetic Apex'!$C$2:$C889, 'Genetic Apex'!$B$2:$B889)-$B$4, P263="A1a", XLOOKUP(N263, 'Mythical Island'!$C$2:$C889, 'Mythical Island'!$B$2:$B889)-$B$4, OR(P263="A2-Dialga", P263="A2-Palkia", P263="A2"), XLOOKUP(N263, 'Space-Time Smackdown'!$C$2:$C889, 'Space-Time Smackdown'!$B$2:$B889)-$B$4))</f>
        <v/>
      </c>
      <c r="S263" s="277" t="str">
        <f>IFERROR(__xludf.DUMMYFUNCTION("""COMPUTED_VALUE"""),"A1a 010")</f>
        <v>A1a 010</v>
      </c>
      <c r="T263" s="277" t="str">
        <f>IFERROR(__xludf.DUMMYFUNCTION("""COMPUTED_VALUE"""),"Ponyta")</f>
        <v>Ponyta</v>
      </c>
      <c r="U263" s="277" t="str">
        <f>IFERROR(__xludf.DUMMYFUNCTION("""COMPUTED_VALUE"""),"A1a")</f>
        <v>A1a</v>
      </c>
      <c r="V263" s="278" t="str">
        <f>IFERROR(__xludf.DUMMYFUNCTION("""COMPUTED_VALUE"""),"♢")</f>
        <v>♢</v>
      </c>
      <c r="W263" s="443">
        <f t="array" ref="W263">IFERROR(IFS(OR(U263="A1-Mewtwo", U263="A1-Pikachu", U263="A1-Charizard", U263="A1"), $B$5-XLOOKUP(S263, 'Genetic Apex'!$C$2:$C889, 'Genetic Apex'!$B$2:$B889), U263="A1a", $B$5-XLOOKUP(S263, 'Mythical Island'!$C$2:$C889, 'Mythical Island'!$B$2:$B889), OR(U263="A2-Dialga", U263="A2-Palkia", U263="A2"), $B$5-XLOOKUP(S263, 'Space-Time Smackdown'!$C$2:$C889, 'Space-Time Smackdown'!$B$2:$B889)))</f>
        <v>1</v>
      </c>
      <c r="X263" s="444">
        <f t="shared" si="3"/>
        <v>0</v>
      </c>
      <c r="Y263" s="445" t="str">
        <f t="shared" si="4"/>
        <v/>
      </c>
      <c r="Z263" s="278"/>
      <c r="AA263" s="466"/>
      <c r="AB263" s="278"/>
      <c r="AC263" s="278"/>
      <c r="AD263" s="278"/>
      <c r="AE263" s="278"/>
      <c r="AF263" s="278"/>
      <c r="AG263" s="278" t="b">
        <f t="shared" si="5"/>
        <v>0</v>
      </c>
      <c r="AH263" s="454"/>
      <c r="AI263" s="278"/>
      <c r="AJ263" s="278"/>
      <c r="AK263" s="278"/>
      <c r="AL263" s="444" t="str">
        <f t="array" ref="AL263">IFERROR(IFS(OR(AJ263="A1-Mewtwo", AJ263="A1-Pikachu", AJ263="A1-Charizard", AJ263="A1"), XLOOKUP(AH263, 'Genetic Apex'!$C$2:$C889, 'Genetic Apex'!$B$2:$B889)-2, AJ263="A1a", XLOOKUP(AH263, 'Mythical Island'!$C$2:$C889, 'Mythical Island'!$B$2:$B889)-2, OR(AJ263="A2-Dialga", AJ263="A2-Palkia", AJ263="A2"), XLOOKUP(AH263, 'Space-Time Smackdown'!$C$2:$C889, 'Space-Time Smackdown'!$B$2:$B889)-2))</f>
        <v/>
      </c>
      <c r="AM263" s="444" t="str">
        <f t="shared" si="6"/>
        <v/>
      </c>
      <c r="AN263" s="448" t="str">
        <f t="shared" si="7"/>
        <v/>
      </c>
    </row>
    <row r="264">
      <c r="A264" s="277"/>
      <c r="B264" s="277"/>
      <c r="C264" s="441"/>
      <c r="D264" s="277"/>
      <c r="E264" s="277"/>
      <c r="F264" s="277"/>
      <c r="G264" s="277"/>
      <c r="H264" s="277" t="b">
        <f t="shared" si="1"/>
        <v>0</v>
      </c>
      <c r="I264" s="277" t="str">
        <f>IFERROR(__xludf.DUMMYFUNCTION("""COMPUTED_VALUE"""),"A1 261")</f>
        <v>A1 261</v>
      </c>
      <c r="J264" s="277" t="str">
        <f>IFERROR(__xludf.DUMMYFUNCTION("""COMPUTED_VALUE"""),"Gengar ex")</f>
        <v>Gengar ex</v>
      </c>
      <c r="K264" s="277" t="str">
        <f>IFERROR(__xludf.DUMMYFUNCTION("""COMPUTED_VALUE"""),"A1-Mewtwo")</f>
        <v>A1-Mewtwo</v>
      </c>
      <c r="L264" s="277" t="str">
        <f>IFERROR(__xludf.DUMMYFUNCTION("""COMPUTED_VALUE"""),"☆☆")</f>
        <v>☆☆</v>
      </c>
      <c r="M264" s="440" t="b">
        <f t="shared" si="2"/>
        <v>1</v>
      </c>
      <c r="N264" s="441"/>
      <c r="O264" s="277"/>
      <c r="P264" s="277"/>
      <c r="Q264" s="278"/>
      <c r="R264" s="449" t="str">
        <f t="array" ref="R264">IFERROR(IFS(OR(P264="A1-Mewtwo", P264="A1-Pikachu", P264="A1-Charizard", P264="A1"), XLOOKUP(N264, 'Genetic Apex'!$C$2:$C889, 'Genetic Apex'!$B$2:$B889)-$B$4, P264="A1a", XLOOKUP(N264, 'Mythical Island'!$C$2:$C889, 'Mythical Island'!$B$2:$B889)-$B$4, OR(P264="A2-Dialga", P264="A2-Palkia", P264="A2"), XLOOKUP(N264, 'Space-Time Smackdown'!$C$2:$C889, 'Space-Time Smackdown'!$B$2:$B889)-$B$4))</f>
        <v/>
      </c>
      <c r="S264" s="277" t="str">
        <f>IFERROR(__xludf.DUMMYFUNCTION("""COMPUTED_VALUE"""),"A1a 011")</f>
        <v>A1a 011</v>
      </c>
      <c r="T264" s="277" t="str">
        <f>IFERROR(__xludf.DUMMYFUNCTION("""COMPUTED_VALUE"""),"Rapidash")</f>
        <v>Rapidash</v>
      </c>
      <c r="U264" s="277" t="str">
        <f>IFERROR(__xludf.DUMMYFUNCTION("""COMPUTED_VALUE"""),"A1a")</f>
        <v>A1a</v>
      </c>
      <c r="V264" s="278" t="str">
        <f>IFERROR(__xludf.DUMMYFUNCTION("""COMPUTED_VALUE"""),"♢♢")</f>
        <v>♢♢</v>
      </c>
      <c r="W264" s="443">
        <f t="array" ref="W264">IFERROR(IFS(OR(U264="A1-Mewtwo", U264="A1-Pikachu", U264="A1-Charizard", U264="A1"), $B$5-XLOOKUP(S264, 'Genetic Apex'!$C$2:$C889, 'Genetic Apex'!$B$2:$B889), U264="A1a", $B$5-XLOOKUP(S264, 'Mythical Island'!$C$2:$C889, 'Mythical Island'!$B$2:$B889), OR(U264="A2-Dialga", U264="A2-Palkia", U264="A2"), $B$5-XLOOKUP(S264, 'Space-Time Smackdown'!$C$2:$C889, 'Space-Time Smackdown'!$B$2:$B889)))</f>
        <v>1</v>
      </c>
      <c r="X264" s="444">
        <f t="shared" si="3"/>
        <v>0</v>
      </c>
      <c r="Y264" s="445" t="str">
        <f t="shared" si="4"/>
        <v/>
      </c>
      <c r="Z264" s="278"/>
      <c r="AA264" s="466"/>
      <c r="AB264" s="278"/>
      <c r="AC264" s="278"/>
      <c r="AD264" s="278"/>
      <c r="AE264" s="278"/>
      <c r="AF264" s="278"/>
      <c r="AG264" s="278" t="b">
        <f t="shared" si="5"/>
        <v>0</v>
      </c>
      <c r="AH264" s="454"/>
      <c r="AI264" s="278"/>
      <c r="AJ264" s="278"/>
      <c r="AK264" s="278"/>
      <c r="AL264" s="444" t="str">
        <f t="array" ref="AL264">IFERROR(IFS(OR(AJ264="A1-Mewtwo", AJ264="A1-Pikachu", AJ264="A1-Charizard", AJ264="A1"), XLOOKUP(AH264, 'Genetic Apex'!$C$2:$C889, 'Genetic Apex'!$B$2:$B889)-2, AJ264="A1a", XLOOKUP(AH264, 'Mythical Island'!$C$2:$C889, 'Mythical Island'!$B$2:$B889)-2, OR(AJ264="A2-Dialga", AJ264="A2-Palkia", AJ264="A2"), XLOOKUP(AH264, 'Space-Time Smackdown'!$C$2:$C889, 'Space-Time Smackdown'!$B$2:$B889)-2))</f>
        <v/>
      </c>
      <c r="AM264" s="444" t="str">
        <f t="shared" si="6"/>
        <v/>
      </c>
      <c r="AN264" s="448" t="str">
        <f t="shared" si="7"/>
        <v/>
      </c>
    </row>
    <row r="265">
      <c r="A265" s="277"/>
      <c r="B265" s="277"/>
      <c r="C265" s="441"/>
      <c r="D265" s="277"/>
      <c r="E265" s="277"/>
      <c r="F265" s="277"/>
      <c r="G265" s="277"/>
      <c r="H265" s="277" t="b">
        <f t="shared" si="1"/>
        <v>0</v>
      </c>
      <c r="I265" s="277" t="str">
        <f>IFERROR(__xludf.DUMMYFUNCTION("""COMPUTED_VALUE"""),"A1 262")</f>
        <v>A1 262</v>
      </c>
      <c r="J265" s="277" t="str">
        <f>IFERROR(__xludf.DUMMYFUNCTION("""COMPUTED_VALUE"""),"Mewtwo ex")</f>
        <v>Mewtwo ex</v>
      </c>
      <c r="K265" s="277" t="str">
        <f>IFERROR(__xludf.DUMMYFUNCTION("""COMPUTED_VALUE"""),"A1-Mewtwo")</f>
        <v>A1-Mewtwo</v>
      </c>
      <c r="L265" s="277" t="str">
        <f>IFERROR(__xludf.DUMMYFUNCTION("""COMPUTED_VALUE"""),"☆☆")</f>
        <v>☆☆</v>
      </c>
      <c r="M265" s="440" t="b">
        <f t="shared" si="2"/>
        <v>1</v>
      </c>
      <c r="N265" s="441"/>
      <c r="O265" s="277"/>
      <c r="P265" s="277"/>
      <c r="Q265" s="278"/>
      <c r="R265" s="449" t="str">
        <f t="array" ref="R265">IFERROR(IFS(OR(P265="A1-Mewtwo", P265="A1-Pikachu", P265="A1-Charizard", P265="A1"), XLOOKUP(N265, 'Genetic Apex'!$C$2:$C889, 'Genetic Apex'!$B$2:$B889)-$B$4, P265="A1a", XLOOKUP(N265, 'Mythical Island'!$C$2:$C889, 'Mythical Island'!$B$2:$B889)-$B$4, OR(P265="A2-Dialga", P265="A2-Palkia", P265="A2"), XLOOKUP(N265, 'Space-Time Smackdown'!$C$2:$C889, 'Space-Time Smackdown'!$B$2:$B889)-$B$4))</f>
        <v/>
      </c>
      <c r="S265" s="277" t="str">
        <f>IFERROR(__xludf.DUMMYFUNCTION("""COMPUTED_VALUE"""),"A1a 012")</f>
        <v>A1a 012</v>
      </c>
      <c r="T265" s="277" t="str">
        <f>IFERROR(__xludf.DUMMYFUNCTION("""COMPUTED_VALUE"""),"Magmar")</f>
        <v>Magmar</v>
      </c>
      <c r="U265" s="277" t="str">
        <f>IFERROR(__xludf.DUMMYFUNCTION("""COMPUTED_VALUE"""),"A1a")</f>
        <v>A1a</v>
      </c>
      <c r="V265" s="278" t="str">
        <f>IFERROR(__xludf.DUMMYFUNCTION("""COMPUTED_VALUE"""),"♢♢")</f>
        <v>♢♢</v>
      </c>
      <c r="W265" s="443">
        <f t="array" ref="W265">IFERROR(IFS(OR(U265="A1-Mewtwo", U265="A1-Pikachu", U265="A1-Charizard", U265="A1"), $B$5-XLOOKUP(S265, 'Genetic Apex'!$C$2:$C889, 'Genetic Apex'!$B$2:$B889), U265="A1a", $B$5-XLOOKUP(S265, 'Mythical Island'!$C$2:$C889, 'Mythical Island'!$B$2:$B889), OR(U265="A2-Dialga", U265="A2-Palkia", U265="A2"), $B$5-XLOOKUP(S265, 'Space-Time Smackdown'!$C$2:$C889, 'Space-Time Smackdown'!$B$2:$B889)))</f>
        <v>1</v>
      </c>
      <c r="X265" s="444">
        <f t="shared" si="3"/>
        <v>0</v>
      </c>
      <c r="Y265" s="445" t="str">
        <f t="shared" si="4"/>
        <v/>
      </c>
      <c r="Z265" s="278"/>
      <c r="AA265" s="466"/>
      <c r="AB265" s="278"/>
      <c r="AC265" s="278"/>
      <c r="AD265" s="278"/>
      <c r="AE265" s="278"/>
      <c r="AF265" s="278"/>
      <c r="AG265" s="278" t="b">
        <f t="shared" si="5"/>
        <v>0</v>
      </c>
      <c r="AH265" s="454"/>
      <c r="AI265" s="278"/>
      <c r="AJ265" s="278"/>
      <c r="AK265" s="278"/>
      <c r="AL265" s="444" t="str">
        <f t="array" ref="AL265">IFERROR(IFS(OR(AJ265="A1-Mewtwo", AJ265="A1-Pikachu", AJ265="A1-Charizard", AJ265="A1"), XLOOKUP(AH265, 'Genetic Apex'!$C$2:$C889, 'Genetic Apex'!$B$2:$B889)-2, AJ265="A1a", XLOOKUP(AH265, 'Mythical Island'!$C$2:$C889, 'Mythical Island'!$B$2:$B889)-2, OR(AJ265="A2-Dialga", AJ265="A2-Palkia", AJ265="A2"), XLOOKUP(AH265, 'Space-Time Smackdown'!$C$2:$C889, 'Space-Time Smackdown'!$B$2:$B889)-2))</f>
        <v/>
      </c>
      <c r="AM265" s="444" t="str">
        <f t="shared" si="6"/>
        <v/>
      </c>
      <c r="AN265" s="448" t="str">
        <f t="shared" si="7"/>
        <v/>
      </c>
    </row>
    <row r="266">
      <c r="A266" s="277"/>
      <c r="B266" s="277"/>
      <c r="C266" s="441"/>
      <c r="D266" s="277"/>
      <c r="E266" s="277"/>
      <c r="F266" s="277"/>
      <c r="G266" s="277"/>
      <c r="H266" s="277" t="b">
        <f t="shared" si="1"/>
        <v>0</v>
      </c>
      <c r="I266" s="277" t="str">
        <f>IFERROR(__xludf.DUMMYFUNCTION("""COMPUTED_VALUE"""),"A1 263")</f>
        <v>A1 263</v>
      </c>
      <c r="J266" s="277" t="str">
        <f>IFERROR(__xludf.DUMMYFUNCTION("""COMPUTED_VALUE"""),"Machamp ex")</f>
        <v>Machamp ex</v>
      </c>
      <c r="K266" s="277" t="str">
        <f>IFERROR(__xludf.DUMMYFUNCTION("""COMPUTED_VALUE"""),"A1-Charizard")</f>
        <v>A1-Charizard</v>
      </c>
      <c r="L266" s="277" t="str">
        <f>IFERROR(__xludf.DUMMYFUNCTION("""COMPUTED_VALUE"""),"☆☆")</f>
        <v>☆☆</v>
      </c>
      <c r="M266" s="440" t="b">
        <f t="shared" si="2"/>
        <v>1</v>
      </c>
      <c r="N266" s="441"/>
      <c r="O266" s="277"/>
      <c r="P266" s="277"/>
      <c r="Q266" s="278"/>
      <c r="R266" s="449" t="str">
        <f t="array" ref="R266">IFERROR(IFS(OR(P266="A1-Mewtwo", P266="A1-Pikachu", P266="A1-Charizard", P266="A1"), XLOOKUP(N266, 'Genetic Apex'!$C$2:$C889, 'Genetic Apex'!$B$2:$B889)-$B$4, P266="A1a", XLOOKUP(N266, 'Mythical Island'!$C$2:$C889, 'Mythical Island'!$B$2:$B889)-$B$4, OR(P266="A2-Dialga", P266="A2-Palkia", P266="A2"), XLOOKUP(N266, 'Space-Time Smackdown'!$C$2:$C889, 'Space-Time Smackdown'!$B$2:$B889)-$B$4))</f>
        <v/>
      </c>
      <c r="S266" s="277" t="str">
        <f>IFERROR(__xludf.DUMMYFUNCTION("""COMPUTED_VALUE"""),"A1a 013")</f>
        <v>A1a 013</v>
      </c>
      <c r="T266" s="277" t="str">
        <f>IFERROR(__xludf.DUMMYFUNCTION("""COMPUTED_VALUE"""),"Larvesta")</f>
        <v>Larvesta</v>
      </c>
      <c r="U266" s="277" t="str">
        <f>IFERROR(__xludf.DUMMYFUNCTION("""COMPUTED_VALUE"""),"A1a")</f>
        <v>A1a</v>
      </c>
      <c r="V266" s="278" t="str">
        <f>IFERROR(__xludf.DUMMYFUNCTION("""COMPUTED_VALUE"""),"♢")</f>
        <v>♢</v>
      </c>
      <c r="W266" s="443">
        <f t="array" ref="W266">IFERROR(IFS(OR(U266="A1-Mewtwo", U266="A1-Pikachu", U266="A1-Charizard", U266="A1"), $B$5-XLOOKUP(S266, 'Genetic Apex'!$C$2:$C889, 'Genetic Apex'!$B$2:$B889), U266="A1a", $B$5-XLOOKUP(S266, 'Mythical Island'!$C$2:$C889, 'Mythical Island'!$B$2:$B889), OR(U266="A2-Dialga", U266="A2-Palkia", U266="A2"), $B$5-XLOOKUP(S266, 'Space-Time Smackdown'!$C$2:$C889, 'Space-Time Smackdown'!$B$2:$B889)))</f>
        <v>1</v>
      </c>
      <c r="X266" s="444">
        <f t="shared" si="3"/>
        <v>0</v>
      </c>
      <c r="Y266" s="445" t="str">
        <f t="shared" si="4"/>
        <v/>
      </c>
      <c r="Z266" s="278"/>
      <c r="AA266" s="466"/>
      <c r="AB266" s="278"/>
      <c r="AC266" s="278"/>
      <c r="AD266" s="278"/>
      <c r="AE266" s="278"/>
      <c r="AF266" s="278"/>
      <c r="AG266" s="278" t="b">
        <f t="shared" si="5"/>
        <v>0</v>
      </c>
      <c r="AH266" s="454"/>
      <c r="AI266" s="278"/>
      <c r="AJ266" s="278"/>
      <c r="AK266" s="278"/>
      <c r="AL266" s="444" t="str">
        <f t="array" ref="AL266">IFERROR(IFS(OR(AJ266="A1-Mewtwo", AJ266="A1-Pikachu", AJ266="A1-Charizard", AJ266="A1"), XLOOKUP(AH266, 'Genetic Apex'!$C$2:$C889, 'Genetic Apex'!$B$2:$B889)-2, AJ266="A1a", XLOOKUP(AH266, 'Mythical Island'!$C$2:$C889, 'Mythical Island'!$B$2:$B889)-2, OR(AJ266="A2-Dialga", AJ266="A2-Palkia", AJ266="A2"), XLOOKUP(AH266, 'Space-Time Smackdown'!$C$2:$C889, 'Space-Time Smackdown'!$B$2:$B889)-2))</f>
        <v/>
      </c>
      <c r="AM266" s="444" t="str">
        <f t="shared" si="6"/>
        <v/>
      </c>
      <c r="AN266" s="448" t="str">
        <f t="shared" si="7"/>
        <v/>
      </c>
    </row>
    <row r="267">
      <c r="A267" s="277"/>
      <c r="B267" s="277"/>
      <c r="C267" s="441"/>
      <c r="D267" s="277"/>
      <c r="E267" s="277"/>
      <c r="F267" s="277"/>
      <c r="G267" s="277"/>
      <c r="H267" s="277" t="b">
        <f t="shared" si="1"/>
        <v>0</v>
      </c>
      <c r="I267" s="277" t="str">
        <f>IFERROR(__xludf.DUMMYFUNCTION("""COMPUTED_VALUE"""),"A1 264")</f>
        <v>A1 264</v>
      </c>
      <c r="J267" s="277" t="str">
        <f>IFERROR(__xludf.DUMMYFUNCTION("""COMPUTED_VALUE"""),"Marowak ex")</f>
        <v>Marowak ex</v>
      </c>
      <c r="K267" s="277" t="str">
        <f>IFERROR(__xludf.DUMMYFUNCTION("""COMPUTED_VALUE"""),"A1-Mewtwo")</f>
        <v>A1-Mewtwo</v>
      </c>
      <c r="L267" s="277" t="str">
        <f>IFERROR(__xludf.DUMMYFUNCTION("""COMPUTED_VALUE"""),"☆☆")</f>
        <v>☆☆</v>
      </c>
      <c r="M267" s="440" t="b">
        <f t="shared" si="2"/>
        <v>1</v>
      </c>
      <c r="N267" s="441"/>
      <c r="O267" s="277"/>
      <c r="P267" s="277"/>
      <c r="Q267" s="278"/>
      <c r="R267" s="449" t="str">
        <f t="array" ref="R267">IFERROR(IFS(OR(P267="A1-Mewtwo", P267="A1-Pikachu", P267="A1-Charizard", P267="A1"), XLOOKUP(N267, 'Genetic Apex'!$C$2:$C889, 'Genetic Apex'!$B$2:$B889)-$B$4, P267="A1a", XLOOKUP(N267, 'Mythical Island'!$C$2:$C889, 'Mythical Island'!$B$2:$B889)-$B$4, OR(P267="A2-Dialga", P267="A2-Palkia", P267="A2"), XLOOKUP(N267, 'Space-Time Smackdown'!$C$2:$C889, 'Space-Time Smackdown'!$B$2:$B889)-$B$4))</f>
        <v/>
      </c>
      <c r="S267" s="277" t="str">
        <f>IFERROR(__xludf.DUMMYFUNCTION("""COMPUTED_VALUE"""),"A1a 014")</f>
        <v>A1a 014</v>
      </c>
      <c r="T267" s="277" t="str">
        <f>IFERROR(__xludf.DUMMYFUNCTION("""COMPUTED_VALUE"""),"Volcarona")</f>
        <v>Volcarona</v>
      </c>
      <c r="U267" s="277" t="str">
        <f>IFERROR(__xludf.DUMMYFUNCTION("""COMPUTED_VALUE"""),"A1a")</f>
        <v>A1a</v>
      </c>
      <c r="V267" s="278" t="str">
        <f>IFERROR(__xludf.DUMMYFUNCTION("""COMPUTED_VALUE"""),"♢♢♢")</f>
        <v>♢♢♢</v>
      </c>
      <c r="W267" s="443">
        <f t="array" ref="W267">IFERROR(IFS(OR(U267="A1-Mewtwo", U267="A1-Pikachu", U267="A1-Charizard", U267="A1"), $B$5-XLOOKUP(S267, 'Genetic Apex'!$C$2:$C889, 'Genetic Apex'!$B$2:$B889), U267="A1a", $B$5-XLOOKUP(S267, 'Mythical Island'!$C$2:$C889, 'Mythical Island'!$B$2:$B889), OR(U267="A2-Dialga", U267="A2-Palkia", U267="A2"), $B$5-XLOOKUP(S267, 'Space-Time Smackdown'!$C$2:$C889, 'Space-Time Smackdown'!$B$2:$B889)))</f>
        <v>1</v>
      </c>
      <c r="X267" s="444">
        <f t="shared" si="3"/>
        <v>120</v>
      </c>
      <c r="Y267" s="445">
        <f t="shared" si="4"/>
        <v>120</v>
      </c>
      <c r="Z267" s="278"/>
      <c r="AA267" s="466"/>
      <c r="AB267" s="278"/>
      <c r="AC267" s="278"/>
      <c r="AD267" s="278"/>
      <c r="AE267" s="278"/>
      <c r="AF267" s="278"/>
      <c r="AG267" s="278" t="b">
        <f t="shared" si="5"/>
        <v>0</v>
      </c>
      <c r="AH267" s="454"/>
      <c r="AI267" s="278"/>
      <c r="AJ267" s="278"/>
      <c r="AK267" s="278"/>
      <c r="AL267" s="444" t="str">
        <f t="array" ref="AL267">IFERROR(IFS(OR(AJ267="A1-Mewtwo", AJ267="A1-Pikachu", AJ267="A1-Charizard", AJ267="A1"), XLOOKUP(AH267, 'Genetic Apex'!$C$2:$C889, 'Genetic Apex'!$B$2:$B889)-2, AJ267="A1a", XLOOKUP(AH267, 'Mythical Island'!$C$2:$C889, 'Mythical Island'!$B$2:$B889)-2, OR(AJ267="A2-Dialga", AJ267="A2-Palkia", AJ267="A2"), XLOOKUP(AH267, 'Space-Time Smackdown'!$C$2:$C889, 'Space-Time Smackdown'!$B$2:$B889)-2))</f>
        <v/>
      </c>
      <c r="AM267" s="444" t="str">
        <f t="shared" si="6"/>
        <v/>
      </c>
      <c r="AN267" s="448" t="str">
        <f t="shared" si="7"/>
        <v/>
      </c>
    </row>
    <row r="268">
      <c r="A268" s="277"/>
      <c r="B268" s="277"/>
      <c r="C268" s="441"/>
      <c r="D268" s="277"/>
      <c r="E268" s="277"/>
      <c r="F268" s="277"/>
      <c r="G268" s="277"/>
      <c r="H268" s="277" t="b">
        <f t="shared" si="1"/>
        <v>0</v>
      </c>
      <c r="I268" s="277" t="str">
        <f>IFERROR(__xludf.DUMMYFUNCTION("""COMPUTED_VALUE"""),"A1 265")</f>
        <v>A1 265</v>
      </c>
      <c r="J268" s="277" t="str">
        <f>IFERROR(__xludf.DUMMYFUNCTION("""COMPUTED_VALUE"""),"Wigglytuff ex")</f>
        <v>Wigglytuff ex</v>
      </c>
      <c r="K268" s="277" t="str">
        <f>IFERROR(__xludf.DUMMYFUNCTION("""COMPUTED_VALUE"""),"A1-Pikachu")</f>
        <v>A1-Pikachu</v>
      </c>
      <c r="L268" s="277" t="str">
        <f>IFERROR(__xludf.DUMMYFUNCTION("""COMPUTED_VALUE"""),"☆☆")</f>
        <v>☆☆</v>
      </c>
      <c r="M268" s="440" t="b">
        <f t="shared" si="2"/>
        <v>1</v>
      </c>
      <c r="N268" s="441"/>
      <c r="O268" s="277"/>
      <c r="P268" s="277"/>
      <c r="Q268" s="278"/>
      <c r="R268" s="449" t="str">
        <f t="array" ref="R268">IFERROR(IFS(OR(P268="A1-Mewtwo", P268="A1-Pikachu", P268="A1-Charizard", P268="A1"), XLOOKUP(N268, 'Genetic Apex'!$C$2:$C889, 'Genetic Apex'!$B$2:$B889)-$B$4, P268="A1a", XLOOKUP(N268, 'Mythical Island'!$C$2:$C889, 'Mythical Island'!$B$2:$B889)-$B$4, OR(P268="A2-Dialga", P268="A2-Palkia", P268="A2"), XLOOKUP(N268, 'Space-Time Smackdown'!$C$2:$C889, 'Space-Time Smackdown'!$B$2:$B889)-$B$4))</f>
        <v/>
      </c>
      <c r="S268" s="277" t="str">
        <f>IFERROR(__xludf.DUMMYFUNCTION("""COMPUTED_VALUE"""),"A1a 015")</f>
        <v>A1a 015</v>
      </c>
      <c r="T268" s="277" t="str">
        <f>IFERROR(__xludf.DUMMYFUNCTION("""COMPUTED_VALUE"""),"Salandit")</f>
        <v>Salandit</v>
      </c>
      <c r="U268" s="277" t="str">
        <f>IFERROR(__xludf.DUMMYFUNCTION("""COMPUTED_VALUE"""),"A1a")</f>
        <v>A1a</v>
      </c>
      <c r="V268" s="278" t="str">
        <f>IFERROR(__xludf.DUMMYFUNCTION("""COMPUTED_VALUE"""),"♢")</f>
        <v>♢</v>
      </c>
      <c r="W268" s="443">
        <f t="array" ref="W268">IFERROR(IFS(OR(U268="A1-Mewtwo", U268="A1-Pikachu", U268="A1-Charizard", U268="A1"), $B$5-XLOOKUP(S268, 'Genetic Apex'!$C$2:$C889, 'Genetic Apex'!$B$2:$B889), U268="A1a", $B$5-XLOOKUP(S268, 'Mythical Island'!$C$2:$C889, 'Mythical Island'!$B$2:$B889), OR(U268="A2-Dialga", U268="A2-Palkia", U268="A2"), $B$5-XLOOKUP(S268, 'Space-Time Smackdown'!$C$2:$C889, 'Space-Time Smackdown'!$B$2:$B889)))</f>
        <v>1</v>
      </c>
      <c r="X268" s="444">
        <f t="shared" si="3"/>
        <v>0</v>
      </c>
      <c r="Y268" s="445" t="str">
        <f t="shared" si="4"/>
        <v/>
      </c>
      <c r="Z268" s="278"/>
      <c r="AA268" s="466"/>
      <c r="AB268" s="278"/>
      <c r="AC268" s="278"/>
      <c r="AD268" s="278"/>
      <c r="AE268" s="278"/>
      <c r="AF268" s="278"/>
      <c r="AG268" s="278" t="b">
        <f t="shared" si="5"/>
        <v>0</v>
      </c>
      <c r="AH268" s="454"/>
      <c r="AI268" s="278"/>
      <c r="AJ268" s="278"/>
      <c r="AK268" s="278"/>
      <c r="AL268" s="444" t="str">
        <f t="array" ref="AL268">IFERROR(IFS(OR(AJ268="A1-Mewtwo", AJ268="A1-Pikachu", AJ268="A1-Charizard", AJ268="A1"), XLOOKUP(AH268, 'Genetic Apex'!$C$2:$C889, 'Genetic Apex'!$B$2:$B889)-2, AJ268="A1a", XLOOKUP(AH268, 'Mythical Island'!$C$2:$C889, 'Mythical Island'!$B$2:$B889)-2, OR(AJ268="A2-Dialga", AJ268="A2-Palkia", AJ268="A2"), XLOOKUP(AH268, 'Space-Time Smackdown'!$C$2:$C889, 'Space-Time Smackdown'!$B$2:$B889)-2))</f>
        <v/>
      </c>
      <c r="AM268" s="444" t="str">
        <f t="shared" si="6"/>
        <v/>
      </c>
      <c r="AN268" s="448" t="str">
        <f t="shared" si="7"/>
        <v/>
      </c>
    </row>
    <row r="269">
      <c r="A269" s="277"/>
      <c r="B269" s="277"/>
      <c r="C269" s="441"/>
      <c r="D269" s="277"/>
      <c r="E269" s="277"/>
      <c r="F269" s="277"/>
      <c r="G269" s="277"/>
      <c r="H269" s="277" t="b">
        <f t="shared" si="1"/>
        <v>0</v>
      </c>
      <c r="I269" s="277" t="str">
        <f>IFERROR(__xludf.DUMMYFUNCTION("""COMPUTED_VALUE"""),"A1 266")</f>
        <v>A1 266</v>
      </c>
      <c r="J269" s="277" t="str">
        <f>IFERROR(__xludf.DUMMYFUNCTION("""COMPUTED_VALUE"""),"Erika")</f>
        <v>Erika</v>
      </c>
      <c r="K269" s="277" t="str">
        <f>IFERROR(__xludf.DUMMYFUNCTION("""COMPUTED_VALUE"""),"A1-Charizard")</f>
        <v>A1-Charizard</v>
      </c>
      <c r="L269" s="277" t="str">
        <f>IFERROR(__xludf.DUMMYFUNCTION("""COMPUTED_VALUE"""),"☆☆")</f>
        <v>☆☆</v>
      </c>
      <c r="M269" s="440" t="b">
        <f t="shared" si="2"/>
        <v>1</v>
      </c>
      <c r="N269" s="441"/>
      <c r="O269" s="277"/>
      <c r="P269" s="277"/>
      <c r="Q269" s="278"/>
      <c r="R269" s="449" t="str">
        <f t="array" ref="R269">IFERROR(IFS(OR(P269="A1-Mewtwo", P269="A1-Pikachu", P269="A1-Charizard", P269="A1"), XLOOKUP(N269, 'Genetic Apex'!$C$2:$C889, 'Genetic Apex'!$B$2:$B889)-$B$4, P269="A1a", XLOOKUP(N269, 'Mythical Island'!$C$2:$C889, 'Mythical Island'!$B$2:$B889)-$B$4, OR(P269="A2-Dialga", P269="A2-Palkia", P269="A2"), XLOOKUP(N269, 'Space-Time Smackdown'!$C$2:$C889, 'Space-Time Smackdown'!$B$2:$B889)-$B$4))</f>
        <v/>
      </c>
      <c r="S269" s="277" t="str">
        <f>IFERROR(__xludf.DUMMYFUNCTION("""COMPUTED_VALUE"""),"A1a 016")</f>
        <v>A1a 016</v>
      </c>
      <c r="T269" s="277" t="str">
        <f>IFERROR(__xludf.DUMMYFUNCTION("""COMPUTED_VALUE"""),"Salazzle")</f>
        <v>Salazzle</v>
      </c>
      <c r="U269" s="277" t="str">
        <f>IFERROR(__xludf.DUMMYFUNCTION("""COMPUTED_VALUE"""),"A1a")</f>
        <v>A1a</v>
      </c>
      <c r="V269" s="278" t="str">
        <f>IFERROR(__xludf.DUMMYFUNCTION("""COMPUTED_VALUE"""),"♢")</f>
        <v>♢</v>
      </c>
      <c r="W269" s="443">
        <f t="array" ref="W269">IFERROR(IFS(OR(U269="A1-Mewtwo", U269="A1-Pikachu", U269="A1-Charizard", U269="A1"), $B$5-XLOOKUP(S269, 'Genetic Apex'!$C$2:$C889, 'Genetic Apex'!$B$2:$B889), U269="A1a", $B$5-XLOOKUP(S269, 'Mythical Island'!$C$2:$C889, 'Mythical Island'!$B$2:$B889), OR(U269="A2-Dialga", U269="A2-Palkia", U269="A2"), $B$5-XLOOKUP(S269, 'Space-Time Smackdown'!$C$2:$C889, 'Space-Time Smackdown'!$B$2:$B889)))</f>
        <v>1</v>
      </c>
      <c r="X269" s="444">
        <f t="shared" si="3"/>
        <v>0</v>
      </c>
      <c r="Y269" s="445" t="str">
        <f t="shared" si="4"/>
        <v/>
      </c>
      <c r="Z269" s="278"/>
      <c r="AA269" s="466"/>
      <c r="AB269" s="278"/>
      <c r="AC269" s="278"/>
      <c r="AD269" s="278"/>
      <c r="AE269" s="278"/>
      <c r="AF269" s="278"/>
      <c r="AG269" s="278" t="b">
        <f t="shared" si="5"/>
        <v>0</v>
      </c>
      <c r="AH269" s="454"/>
      <c r="AI269" s="278"/>
      <c r="AJ269" s="278"/>
      <c r="AK269" s="278"/>
      <c r="AL269" s="444" t="str">
        <f t="array" ref="AL269">IFERROR(IFS(OR(AJ269="A1-Mewtwo", AJ269="A1-Pikachu", AJ269="A1-Charizard", AJ269="A1"), XLOOKUP(AH269, 'Genetic Apex'!$C$2:$C889, 'Genetic Apex'!$B$2:$B889)-2, AJ269="A1a", XLOOKUP(AH269, 'Mythical Island'!$C$2:$C889, 'Mythical Island'!$B$2:$B889)-2, OR(AJ269="A2-Dialga", AJ269="A2-Palkia", AJ269="A2"), XLOOKUP(AH269, 'Space-Time Smackdown'!$C$2:$C889, 'Space-Time Smackdown'!$B$2:$B889)-2))</f>
        <v/>
      </c>
      <c r="AM269" s="444" t="str">
        <f t="shared" si="6"/>
        <v/>
      </c>
      <c r="AN269" s="448" t="str">
        <f t="shared" si="7"/>
        <v/>
      </c>
    </row>
    <row r="270">
      <c r="A270" s="277"/>
      <c r="B270" s="277"/>
      <c r="C270" s="441"/>
      <c r="D270" s="277"/>
      <c r="E270" s="277"/>
      <c r="F270" s="277"/>
      <c r="G270" s="277"/>
      <c r="H270" s="277" t="b">
        <f t="shared" si="1"/>
        <v>0</v>
      </c>
      <c r="I270" s="277" t="str">
        <f>IFERROR(__xludf.DUMMYFUNCTION("""COMPUTED_VALUE"""),"A1 267")</f>
        <v>A1 267</v>
      </c>
      <c r="J270" s="277" t="str">
        <f>IFERROR(__xludf.DUMMYFUNCTION("""COMPUTED_VALUE"""),"Misty")</f>
        <v>Misty</v>
      </c>
      <c r="K270" s="277" t="str">
        <f>IFERROR(__xludf.DUMMYFUNCTION("""COMPUTED_VALUE"""),"A1-Pikachu")</f>
        <v>A1-Pikachu</v>
      </c>
      <c r="L270" s="277" t="str">
        <f>IFERROR(__xludf.DUMMYFUNCTION("""COMPUTED_VALUE"""),"☆☆")</f>
        <v>☆☆</v>
      </c>
      <c r="M270" s="440" t="b">
        <f t="shared" si="2"/>
        <v>1</v>
      </c>
      <c r="N270" s="441"/>
      <c r="O270" s="277"/>
      <c r="P270" s="277"/>
      <c r="Q270" s="278"/>
      <c r="R270" s="449" t="str">
        <f t="array" ref="R270">IFERROR(IFS(OR(P270="A1-Mewtwo", P270="A1-Pikachu", P270="A1-Charizard", P270="A1"), XLOOKUP(N270, 'Genetic Apex'!$C$2:$C889, 'Genetic Apex'!$B$2:$B889)-$B$4, P270="A1a", XLOOKUP(N270, 'Mythical Island'!$C$2:$C889, 'Mythical Island'!$B$2:$B889)-$B$4, OR(P270="A2-Dialga", P270="A2-Palkia", P270="A2"), XLOOKUP(N270, 'Space-Time Smackdown'!$C$2:$C889, 'Space-Time Smackdown'!$B$2:$B889)-$B$4))</f>
        <v/>
      </c>
      <c r="S270" s="277" t="str">
        <f>IFERROR(__xludf.DUMMYFUNCTION("""COMPUTED_VALUE"""),"A1a 017")</f>
        <v>A1a 017</v>
      </c>
      <c r="T270" s="277" t="str">
        <f>IFERROR(__xludf.DUMMYFUNCTION("""COMPUTED_VALUE"""),"Magikarp")</f>
        <v>Magikarp</v>
      </c>
      <c r="U270" s="277" t="str">
        <f>IFERROR(__xludf.DUMMYFUNCTION("""COMPUTED_VALUE"""),"A1a")</f>
        <v>A1a</v>
      </c>
      <c r="V270" s="278" t="str">
        <f>IFERROR(__xludf.DUMMYFUNCTION("""COMPUTED_VALUE"""),"♢")</f>
        <v>♢</v>
      </c>
      <c r="W270" s="443">
        <f t="array" ref="W270">IFERROR(IFS(OR(U270="A1-Mewtwo", U270="A1-Pikachu", U270="A1-Charizard", U270="A1"), $B$5-XLOOKUP(S270, 'Genetic Apex'!$C$2:$C889, 'Genetic Apex'!$B$2:$B889), U270="A1a", $B$5-XLOOKUP(S270, 'Mythical Island'!$C$2:$C889, 'Mythical Island'!$B$2:$B889), OR(U270="A2-Dialga", U270="A2-Palkia", U270="A2"), $B$5-XLOOKUP(S270, 'Space-Time Smackdown'!$C$2:$C889, 'Space-Time Smackdown'!$B$2:$B889)))</f>
        <v>1</v>
      </c>
      <c r="X270" s="444">
        <f t="shared" si="3"/>
        <v>0</v>
      </c>
      <c r="Y270" s="445" t="str">
        <f t="shared" si="4"/>
        <v/>
      </c>
      <c r="Z270" s="278"/>
      <c r="AA270" s="466"/>
      <c r="AB270" s="278"/>
      <c r="AC270" s="278"/>
      <c r="AD270" s="278"/>
      <c r="AE270" s="278"/>
      <c r="AF270" s="278"/>
      <c r="AG270" s="278" t="b">
        <f t="shared" si="5"/>
        <v>0</v>
      </c>
      <c r="AH270" s="454"/>
      <c r="AI270" s="278"/>
      <c r="AJ270" s="278"/>
      <c r="AK270" s="278"/>
      <c r="AL270" s="444" t="str">
        <f t="array" ref="AL270">IFERROR(IFS(OR(AJ270="A1-Mewtwo", AJ270="A1-Pikachu", AJ270="A1-Charizard", AJ270="A1"), XLOOKUP(AH270, 'Genetic Apex'!$C$2:$C889, 'Genetic Apex'!$B$2:$B889)-2, AJ270="A1a", XLOOKUP(AH270, 'Mythical Island'!$C$2:$C889, 'Mythical Island'!$B$2:$B889)-2, OR(AJ270="A2-Dialga", AJ270="A2-Palkia", AJ270="A2"), XLOOKUP(AH270, 'Space-Time Smackdown'!$C$2:$C889, 'Space-Time Smackdown'!$B$2:$B889)-2))</f>
        <v/>
      </c>
      <c r="AM270" s="444" t="str">
        <f t="shared" si="6"/>
        <v/>
      </c>
      <c r="AN270" s="448" t="str">
        <f t="shared" si="7"/>
        <v/>
      </c>
    </row>
    <row r="271">
      <c r="A271" s="277"/>
      <c r="B271" s="277"/>
      <c r="C271" s="441"/>
      <c r="D271" s="277"/>
      <c r="E271" s="277"/>
      <c r="F271" s="277"/>
      <c r="G271" s="277"/>
      <c r="H271" s="277" t="b">
        <f t="shared" si="1"/>
        <v>0</v>
      </c>
      <c r="I271" s="277" t="str">
        <f>IFERROR(__xludf.DUMMYFUNCTION("""COMPUTED_VALUE"""),"A1 268")</f>
        <v>A1 268</v>
      </c>
      <c r="J271" s="277" t="str">
        <f>IFERROR(__xludf.DUMMYFUNCTION("""COMPUTED_VALUE"""),"Blaine")</f>
        <v>Blaine</v>
      </c>
      <c r="K271" s="277" t="str">
        <f>IFERROR(__xludf.DUMMYFUNCTION("""COMPUTED_VALUE"""),"A1-Charizard")</f>
        <v>A1-Charizard</v>
      </c>
      <c r="L271" s="277" t="str">
        <f>IFERROR(__xludf.DUMMYFUNCTION("""COMPUTED_VALUE"""),"☆☆")</f>
        <v>☆☆</v>
      </c>
      <c r="M271" s="440" t="b">
        <f t="shared" si="2"/>
        <v>1</v>
      </c>
      <c r="N271" s="441"/>
      <c r="O271" s="277"/>
      <c r="P271" s="277"/>
      <c r="Q271" s="278"/>
      <c r="R271" s="449" t="str">
        <f t="array" ref="R271">IFERROR(IFS(OR(P271="A1-Mewtwo", P271="A1-Pikachu", P271="A1-Charizard", P271="A1"), XLOOKUP(N271, 'Genetic Apex'!$C$2:$C889, 'Genetic Apex'!$B$2:$B889)-$B$4, P271="A1a", XLOOKUP(N271, 'Mythical Island'!$C$2:$C889, 'Mythical Island'!$B$2:$B889)-$B$4, OR(P271="A2-Dialga", P271="A2-Palkia", P271="A2"), XLOOKUP(N271, 'Space-Time Smackdown'!$C$2:$C889, 'Space-Time Smackdown'!$B$2:$B889)-$B$4))</f>
        <v/>
      </c>
      <c r="S271" s="277" t="str">
        <f>IFERROR(__xludf.DUMMYFUNCTION("""COMPUTED_VALUE"""),"A1a 018")</f>
        <v>A1a 018</v>
      </c>
      <c r="T271" s="277" t="str">
        <f>IFERROR(__xludf.DUMMYFUNCTION("""COMPUTED_VALUE"""),"Gyarados ex")</f>
        <v>Gyarados ex</v>
      </c>
      <c r="U271" s="277" t="str">
        <f>IFERROR(__xludf.DUMMYFUNCTION("""COMPUTED_VALUE"""),"A1a")</f>
        <v>A1a</v>
      </c>
      <c r="V271" s="278" t="str">
        <f>IFERROR(__xludf.DUMMYFUNCTION("""COMPUTED_VALUE"""),"♢♢♢♢")</f>
        <v>♢♢♢♢</v>
      </c>
      <c r="W271" s="443">
        <f t="array" ref="W271">IFERROR(IFS(OR(U271="A1-Mewtwo", U271="A1-Pikachu", U271="A1-Charizard", U271="A1"), $B$5-XLOOKUP(S271, 'Genetic Apex'!$C$2:$C889, 'Genetic Apex'!$B$2:$B889), U271="A1a", $B$5-XLOOKUP(S271, 'Mythical Island'!$C$2:$C889, 'Mythical Island'!$B$2:$B889), OR(U271="A2-Dialga", U271="A2-Palkia", U271="A2"), $B$5-XLOOKUP(S271, 'Space-Time Smackdown'!$C$2:$C889, 'Space-Time Smackdown'!$B$2:$B889)))</f>
        <v>1</v>
      </c>
      <c r="X271" s="444">
        <f t="shared" si="3"/>
        <v>500</v>
      </c>
      <c r="Y271" s="445">
        <f t="shared" si="4"/>
        <v>500</v>
      </c>
      <c r="Z271" s="278"/>
      <c r="AA271" s="466"/>
      <c r="AB271" s="278"/>
      <c r="AC271" s="278"/>
      <c r="AD271" s="278"/>
      <c r="AE271" s="278"/>
      <c r="AF271" s="278"/>
      <c r="AG271" s="278" t="b">
        <f t="shared" si="5"/>
        <v>0</v>
      </c>
      <c r="AH271" s="454"/>
      <c r="AI271" s="278"/>
      <c r="AJ271" s="278"/>
      <c r="AK271" s="278"/>
      <c r="AL271" s="444" t="str">
        <f t="array" ref="AL271">IFERROR(IFS(OR(AJ271="A1-Mewtwo", AJ271="A1-Pikachu", AJ271="A1-Charizard", AJ271="A1"), XLOOKUP(AH271, 'Genetic Apex'!$C$2:$C889, 'Genetic Apex'!$B$2:$B889)-2, AJ271="A1a", XLOOKUP(AH271, 'Mythical Island'!$C$2:$C889, 'Mythical Island'!$B$2:$B889)-2, OR(AJ271="A2-Dialga", AJ271="A2-Palkia", AJ271="A2"), XLOOKUP(AH271, 'Space-Time Smackdown'!$C$2:$C889, 'Space-Time Smackdown'!$B$2:$B889)-2))</f>
        <v/>
      </c>
      <c r="AM271" s="444" t="str">
        <f t="shared" si="6"/>
        <v/>
      </c>
      <c r="AN271" s="448" t="str">
        <f t="shared" si="7"/>
        <v/>
      </c>
    </row>
    <row r="272">
      <c r="A272" s="277"/>
      <c r="B272" s="277"/>
      <c r="C272" s="441"/>
      <c r="D272" s="277"/>
      <c r="E272" s="277"/>
      <c r="F272" s="277"/>
      <c r="G272" s="277"/>
      <c r="H272" s="277" t="b">
        <f t="shared" si="1"/>
        <v>0</v>
      </c>
      <c r="I272" s="277" t="str">
        <f>IFERROR(__xludf.DUMMYFUNCTION("""COMPUTED_VALUE"""),"A1 269")</f>
        <v>A1 269</v>
      </c>
      <c r="J272" s="277" t="str">
        <f>IFERROR(__xludf.DUMMYFUNCTION("""COMPUTED_VALUE"""),"Koga")</f>
        <v>Koga</v>
      </c>
      <c r="K272" s="277" t="str">
        <f>IFERROR(__xludf.DUMMYFUNCTION("""COMPUTED_VALUE"""),"A1-Mewtwo")</f>
        <v>A1-Mewtwo</v>
      </c>
      <c r="L272" s="277" t="str">
        <f>IFERROR(__xludf.DUMMYFUNCTION("""COMPUTED_VALUE"""),"☆☆")</f>
        <v>☆☆</v>
      </c>
      <c r="M272" s="440" t="b">
        <f t="shared" si="2"/>
        <v>1</v>
      </c>
      <c r="N272" s="441"/>
      <c r="O272" s="277"/>
      <c r="P272" s="277"/>
      <c r="Q272" s="278"/>
      <c r="R272" s="449" t="str">
        <f t="array" ref="R272">IFERROR(IFS(OR(P272="A1-Mewtwo", P272="A1-Pikachu", P272="A1-Charizard", P272="A1"), XLOOKUP(N272, 'Genetic Apex'!$C$2:$C889, 'Genetic Apex'!$B$2:$B889)-$B$4, P272="A1a", XLOOKUP(N272, 'Mythical Island'!$C$2:$C889, 'Mythical Island'!$B$2:$B889)-$B$4, OR(P272="A2-Dialga", P272="A2-Palkia", P272="A2"), XLOOKUP(N272, 'Space-Time Smackdown'!$C$2:$C889, 'Space-Time Smackdown'!$B$2:$B889)-$B$4))</f>
        <v/>
      </c>
      <c r="S272" s="277" t="str">
        <f>IFERROR(__xludf.DUMMYFUNCTION("""COMPUTED_VALUE"""),"A1a 019")</f>
        <v>A1a 019</v>
      </c>
      <c r="T272" s="277" t="str">
        <f>IFERROR(__xludf.DUMMYFUNCTION("""COMPUTED_VALUE"""),"Vaporeon")</f>
        <v>Vaporeon</v>
      </c>
      <c r="U272" s="277" t="str">
        <f>IFERROR(__xludf.DUMMYFUNCTION("""COMPUTED_VALUE"""),"A1a")</f>
        <v>A1a</v>
      </c>
      <c r="V272" s="278" t="str">
        <f>IFERROR(__xludf.DUMMYFUNCTION("""COMPUTED_VALUE"""),"♢♢♢")</f>
        <v>♢♢♢</v>
      </c>
      <c r="W272" s="443">
        <f t="array" ref="W272">IFERROR(IFS(OR(U272="A1-Mewtwo", U272="A1-Pikachu", U272="A1-Charizard", U272="A1"), $B$5-XLOOKUP(S272, 'Genetic Apex'!$C$2:$C889, 'Genetic Apex'!$B$2:$B889), U272="A1a", $B$5-XLOOKUP(S272, 'Mythical Island'!$C$2:$C889, 'Mythical Island'!$B$2:$B889), OR(U272="A2-Dialga", U272="A2-Palkia", U272="A2"), $B$5-XLOOKUP(S272, 'Space-Time Smackdown'!$C$2:$C889, 'Space-Time Smackdown'!$B$2:$B889)))</f>
        <v>1</v>
      </c>
      <c r="X272" s="444">
        <f t="shared" si="3"/>
        <v>120</v>
      </c>
      <c r="Y272" s="445">
        <f t="shared" si="4"/>
        <v>120</v>
      </c>
      <c r="Z272" s="278"/>
      <c r="AA272" s="466"/>
      <c r="AB272" s="278"/>
      <c r="AC272" s="278"/>
      <c r="AD272" s="278"/>
      <c r="AE272" s="278"/>
      <c r="AF272" s="278"/>
      <c r="AG272" s="278" t="b">
        <f t="shared" si="5"/>
        <v>0</v>
      </c>
      <c r="AH272" s="454"/>
      <c r="AI272" s="278"/>
      <c r="AJ272" s="278"/>
      <c r="AK272" s="278"/>
      <c r="AL272" s="444" t="str">
        <f t="array" ref="AL272">IFERROR(IFS(OR(AJ272="A1-Mewtwo", AJ272="A1-Pikachu", AJ272="A1-Charizard", AJ272="A1"), XLOOKUP(AH272, 'Genetic Apex'!$C$2:$C889, 'Genetic Apex'!$B$2:$B889)-2, AJ272="A1a", XLOOKUP(AH272, 'Mythical Island'!$C$2:$C889, 'Mythical Island'!$B$2:$B889)-2, OR(AJ272="A2-Dialga", AJ272="A2-Palkia", AJ272="A2"), XLOOKUP(AH272, 'Space-Time Smackdown'!$C$2:$C889, 'Space-Time Smackdown'!$B$2:$B889)-2))</f>
        <v/>
      </c>
      <c r="AM272" s="444" t="str">
        <f t="shared" si="6"/>
        <v/>
      </c>
      <c r="AN272" s="448" t="str">
        <f t="shared" si="7"/>
        <v/>
      </c>
    </row>
    <row r="273">
      <c r="A273" s="277"/>
      <c r="B273" s="277"/>
      <c r="C273" s="441"/>
      <c r="D273" s="277"/>
      <c r="E273" s="277"/>
      <c r="F273" s="277"/>
      <c r="G273" s="277"/>
      <c r="H273" s="277" t="b">
        <f t="shared" si="1"/>
        <v>0</v>
      </c>
      <c r="I273" s="277" t="str">
        <f>IFERROR(__xludf.DUMMYFUNCTION("""COMPUTED_VALUE"""),"A1 270")</f>
        <v>A1 270</v>
      </c>
      <c r="J273" s="277" t="str">
        <f>IFERROR(__xludf.DUMMYFUNCTION("""COMPUTED_VALUE"""),"Giovanni")</f>
        <v>Giovanni</v>
      </c>
      <c r="K273" s="277" t="str">
        <f>IFERROR(__xludf.DUMMYFUNCTION("""COMPUTED_VALUE"""),"A1-Mewtwo")</f>
        <v>A1-Mewtwo</v>
      </c>
      <c r="L273" s="277" t="str">
        <f>IFERROR(__xludf.DUMMYFUNCTION("""COMPUTED_VALUE"""),"☆☆")</f>
        <v>☆☆</v>
      </c>
      <c r="M273" s="440" t="b">
        <f t="shared" si="2"/>
        <v>1</v>
      </c>
      <c r="N273" s="441"/>
      <c r="O273" s="277"/>
      <c r="P273" s="277"/>
      <c r="Q273" s="278"/>
      <c r="R273" s="449" t="str">
        <f t="array" ref="R273">IFERROR(IFS(OR(P273="A1-Mewtwo", P273="A1-Pikachu", P273="A1-Charizard", P273="A1"), XLOOKUP(N273, 'Genetic Apex'!$C$2:$C889, 'Genetic Apex'!$B$2:$B889)-$B$4, P273="A1a", XLOOKUP(N273, 'Mythical Island'!$C$2:$C889, 'Mythical Island'!$B$2:$B889)-$B$4, OR(P273="A2-Dialga", P273="A2-Palkia", P273="A2"), XLOOKUP(N273, 'Space-Time Smackdown'!$C$2:$C889, 'Space-Time Smackdown'!$B$2:$B889)-$B$4))</f>
        <v/>
      </c>
      <c r="S273" s="277" t="str">
        <f>IFERROR(__xludf.DUMMYFUNCTION("""COMPUTED_VALUE"""),"A1a 020")</f>
        <v>A1a 020</v>
      </c>
      <c r="T273" s="277" t="str">
        <f>IFERROR(__xludf.DUMMYFUNCTION("""COMPUTED_VALUE"""),"Finneon")</f>
        <v>Finneon</v>
      </c>
      <c r="U273" s="277" t="str">
        <f>IFERROR(__xludf.DUMMYFUNCTION("""COMPUTED_VALUE"""),"A1a")</f>
        <v>A1a</v>
      </c>
      <c r="V273" s="278" t="str">
        <f>IFERROR(__xludf.DUMMYFUNCTION("""COMPUTED_VALUE"""),"♢")</f>
        <v>♢</v>
      </c>
      <c r="W273" s="443">
        <f t="array" ref="W273">IFERROR(IFS(OR(U273="A1-Mewtwo", U273="A1-Pikachu", U273="A1-Charizard", U273="A1"), $B$5-XLOOKUP(S273, 'Genetic Apex'!$C$2:$C889, 'Genetic Apex'!$B$2:$B889), U273="A1a", $B$5-XLOOKUP(S273, 'Mythical Island'!$C$2:$C889, 'Mythical Island'!$B$2:$B889), OR(U273="A2-Dialga", U273="A2-Palkia", U273="A2"), $B$5-XLOOKUP(S273, 'Space-Time Smackdown'!$C$2:$C889, 'Space-Time Smackdown'!$B$2:$B889)))</f>
        <v>1</v>
      </c>
      <c r="X273" s="444">
        <f t="shared" si="3"/>
        <v>0</v>
      </c>
      <c r="Y273" s="445" t="str">
        <f t="shared" si="4"/>
        <v/>
      </c>
      <c r="Z273" s="278"/>
      <c r="AA273" s="466"/>
      <c r="AB273" s="278"/>
      <c r="AC273" s="278"/>
      <c r="AD273" s="278"/>
      <c r="AE273" s="278"/>
      <c r="AF273" s="278"/>
      <c r="AG273" s="278" t="b">
        <f t="shared" si="5"/>
        <v>0</v>
      </c>
      <c r="AH273" s="454"/>
      <c r="AI273" s="278"/>
      <c r="AJ273" s="278"/>
      <c r="AK273" s="278"/>
      <c r="AL273" s="444" t="str">
        <f t="array" ref="AL273">IFERROR(IFS(OR(AJ273="A1-Mewtwo", AJ273="A1-Pikachu", AJ273="A1-Charizard", AJ273="A1"), XLOOKUP(AH273, 'Genetic Apex'!$C$2:$C889, 'Genetic Apex'!$B$2:$B889)-2, AJ273="A1a", XLOOKUP(AH273, 'Mythical Island'!$C$2:$C889, 'Mythical Island'!$B$2:$B889)-2, OR(AJ273="A2-Dialga", AJ273="A2-Palkia", AJ273="A2"), XLOOKUP(AH273, 'Space-Time Smackdown'!$C$2:$C889, 'Space-Time Smackdown'!$B$2:$B889)-2))</f>
        <v/>
      </c>
      <c r="AM273" s="444" t="str">
        <f t="shared" si="6"/>
        <v/>
      </c>
      <c r="AN273" s="448" t="str">
        <f t="shared" si="7"/>
        <v/>
      </c>
    </row>
    <row r="274">
      <c r="A274" s="277"/>
      <c r="B274" s="277"/>
      <c r="C274" s="441"/>
      <c r="D274" s="277"/>
      <c r="E274" s="277"/>
      <c r="F274" s="277"/>
      <c r="G274" s="277"/>
      <c r="H274" s="277" t="b">
        <f t="shared" si="1"/>
        <v>0</v>
      </c>
      <c r="I274" s="277" t="str">
        <f>IFERROR(__xludf.DUMMYFUNCTION("""COMPUTED_VALUE"""),"A1 271")</f>
        <v>A1 271</v>
      </c>
      <c r="J274" s="277" t="str">
        <f>IFERROR(__xludf.DUMMYFUNCTION("""COMPUTED_VALUE"""),"Brock")</f>
        <v>Brock</v>
      </c>
      <c r="K274" s="277" t="str">
        <f>IFERROR(__xludf.DUMMYFUNCTION("""COMPUTED_VALUE"""),"A1-Pikachu")</f>
        <v>A1-Pikachu</v>
      </c>
      <c r="L274" s="277" t="str">
        <f>IFERROR(__xludf.DUMMYFUNCTION("""COMPUTED_VALUE"""),"☆☆")</f>
        <v>☆☆</v>
      </c>
      <c r="M274" s="440" t="b">
        <f t="shared" si="2"/>
        <v>1</v>
      </c>
      <c r="N274" s="441"/>
      <c r="O274" s="277"/>
      <c r="P274" s="277"/>
      <c r="Q274" s="278"/>
      <c r="R274" s="449" t="str">
        <f t="array" ref="R274">IFERROR(IFS(OR(P274="A1-Mewtwo", P274="A1-Pikachu", P274="A1-Charizard", P274="A1"), XLOOKUP(N274, 'Genetic Apex'!$C$2:$C889, 'Genetic Apex'!$B$2:$B889)-$B$4, P274="A1a", XLOOKUP(N274, 'Mythical Island'!$C$2:$C889, 'Mythical Island'!$B$2:$B889)-$B$4, OR(P274="A2-Dialga", P274="A2-Palkia", P274="A2"), XLOOKUP(N274, 'Space-Time Smackdown'!$C$2:$C889, 'Space-Time Smackdown'!$B$2:$B889)-$B$4))</f>
        <v/>
      </c>
      <c r="S274" s="277" t="str">
        <f>IFERROR(__xludf.DUMMYFUNCTION("""COMPUTED_VALUE"""),"A1a 021")</f>
        <v>A1a 021</v>
      </c>
      <c r="T274" s="277" t="str">
        <f>IFERROR(__xludf.DUMMYFUNCTION("""COMPUTED_VALUE"""),"Lumineon")</f>
        <v>Lumineon</v>
      </c>
      <c r="U274" s="277" t="str">
        <f>IFERROR(__xludf.DUMMYFUNCTION("""COMPUTED_VALUE"""),"A1a")</f>
        <v>A1a</v>
      </c>
      <c r="V274" s="278" t="str">
        <f>IFERROR(__xludf.DUMMYFUNCTION("""COMPUTED_VALUE"""),"♢♢")</f>
        <v>♢♢</v>
      </c>
      <c r="W274" s="443">
        <f t="array" ref="W274">IFERROR(IFS(OR(U274="A1-Mewtwo", U274="A1-Pikachu", U274="A1-Charizard", U274="A1"), $B$5-XLOOKUP(S274, 'Genetic Apex'!$C$2:$C889, 'Genetic Apex'!$B$2:$B889), U274="A1a", $B$5-XLOOKUP(S274, 'Mythical Island'!$C$2:$C889, 'Mythical Island'!$B$2:$B889), OR(U274="A2-Dialga", U274="A2-Palkia", U274="A2"), $B$5-XLOOKUP(S274, 'Space-Time Smackdown'!$C$2:$C889, 'Space-Time Smackdown'!$B$2:$B889)))</f>
        <v>1</v>
      </c>
      <c r="X274" s="444">
        <f t="shared" si="3"/>
        <v>0</v>
      </c>
      <c r="Y274" s="445" t="str">
        <f t="shared" si="4"/>
        <v/>
      </c>
      <c r="Z274" s="278"/>
      <c r="AA274" s="466"/>
      <c r="AB274" s="278"/>
      <c r="AC274" s="278"/>
      <c r="AD274" s="278"/>
      <c r="AE274" s="278"/>
      <c r="AF274" s="278"/>
      <c r="AG274" s="278" t="b">
        <f t="shared" si="5"/>
        <v>0</v>
      </c>
      <c r="AH274" s="454"/>
      <c r="AI274" s="278"/>
      <c r="AJ274" s="278"/>
      <c r="AK274" s="278"/>
      <c r="AL274" s="444" t="str">
        <f t="array" ref="AL274">IFERROR(IFS(OR(AJ274="A1-Mewtwo", AJ274="A1-Pikachu", AJ274="A1-Charizard", AJ274="A1"), XLOOKUP(AH274, 'Genetic Apex'!$C$2:$C889, 'Genetic Apex'!$B$2:$B889)-2, AJ274="A1a", XLOOKUP(AH274, 'Mythical Island'!$C$2:$C889, 'Mythical Island'!$B$2:$B889)-2, OR(AJ274="A2-Dialga", AJ274="A2-Palkia", AJ274="A2"), XLOOKUP(AH274, 'Space-Time Smackdown'!$C$2:$C889, 'Space-Time Smackdown'!$B$2:$B889)-2))</f>
        <v/>
      </c>
      <c r="AM274" s="444" t="str">
        <f t="shared" si="6"/>
        <v/>
      </c>
      <c r="AN274" s="448" t="str">
        <f t="shared" si="7"/>
        <v/>
      </c>
    </row>
    <row r="275">
      <c r="A275" s="277"/>
      <c r="B275" s="277"/>
      <c r="C275" s="441"/>
      <c r="D275" s="277"/>
      <c r="E275" s="277"/>
      <c r="F275" s="277"/>
      <c r="G275" s="277"/>
      <c r="H275" s="277" t="b">
        <f t="shared" si="1"/>
        <v>0</v>
      </c>
      <c r="I275" s="277" t="str">
        <f>IFERROR(__xludf.DUMMYFUNCTION("""COMPUTED_VALUE"""),"A1 272")</f>
        <v>A1 272</v>
      </c>
      <c r="J275" s="277" t="str">
        <f>IFERROR(__xludf.DUMMYFUNCTION("""COMPUTED_VALUE"""),"Sabrina")</f>
        <v>Sabrina</v>
      </c>
      <c r="K275" s="277" t="str">
        <f>IFERROR(__xludf.DUMMYFUNCTION("""COMPUTED_VALUE"""),"A1-Charizard")</f>
        <v>A1-Charizard</v>
      </c>
      <c r="L275" s="277" t="str">
        <f>IFERROR(__xludf.DUMMYFUNCTION("""COMPUTED_VALUE"""),"☆☆")</f>
        <v>☆☆</v>
      </c>
      <c r="M275" s="440" t="b">
        <f t="shared" si="2"/>
        <v>1</v>
      </c>
      <c r="N275" s="441"/>
      <c r="O275" s="277"/>
      <c r="P275" s="277"/>
      <c r="Q275" s="278"/>
      <c r="R275" s="449" t="str">
        <f t="array" ref="R275">IFERROR(IFS(OR(P275="A1-Mewtwo", P275="A1-Pikachu", P275="A1-Charizard", P275="A1"), XLOOKUP(N275, 'Genetic Apex'!$C$2:$C889, 'Genetic Apex'!$B$2:$B889)-$B$4, P275="A1a", XLOOKUP(N275, 'Mythical Island'!$C$2:$C889, 'Mythical Island'!$B$2:$B889)-$B$4, OR(P275="A2-Dialga", P275="A2-Palkia", P275="A2"), XLOOKUP(N275, 'Space-Time Smackdown'!$C$2:$C889, 'Space-Time Smackdown'!$B$2:$B889)-$B$4))</f>
        <v/>
      </c>
      <c r="S275" s="277" t="str">
        <f>IFERROR(__xludf.DUMMYFUNCTION("""COMPUTED_VALUE"""),"A1a 022")</f>
        <v>A1a 022</v>
      </c>
      <c r="T275" s="277" t="str">
        <f>IFERROR(__xludf.DUMMYFUNCTION("""COMPUTED_VALUE"""),"Chewtle")</f>
        <v>Chewtle</v>
      </c>
      <c r="U275" s="277" t="str">
        <f>IFERROR(__xludf.DUMMYFUNCTION("""COMPUTED_VALUE"""),"A1a")</f>
        <v>A1a</v>
      </c>
      <c r="V275" s="278" t="str">
        <f>IFERROR(__xludf.DUMMYFUNCTION("""COMPUTED_VALUE"""),"♢")</f>
        <v>♢</v>
      </c>
      <c r="W275" s="443">
        <f t="array" ref="W275">IFERROR(IFS(OR(U275="A1-Mewtwo", U275="A1-Pikachu", U275="A1-Charizard", U275="A1"), $B$5-XLOOKUP(S275, 'Genetic Apex'!$C$2:$C889, 'Genetic Apex'!$B$2:$B889), U275="A1a", $B$5-XLOOKUP(S275, 'Mythical Island'!$C$2:$C889, 'Mythical Island'!$B$2:$B889), OR(U275="A2-Dialga", U275="A2-Palkia", U275="A2"), $B$5-XLOOKUP(S275, 'Space-Time Smackdown'!$C$2:$C889, 'Space-Time Smackdown'!$B$2:$B889)))</f>
        <v>1</v>
      </c>
      <c r="X275" s="444">
        <f t="shared" si="3"/>
        <v>0</v>
      </c>
      <c r="Y275" s="445" t="str">
        <f t="shared" si="4"/>
        <v/>
      </c>
      <c r="Z275" s="278"/>
      <c r="AA275" s="466"/>
      <c r="AB275" s="278"/>
      <c r="AC275" s="278"/>
      <c r="AD275" s="278"/>
      <c r="AE275" s="278"/>
      <c r="AF275" s="278"/>
      <c r="AG275" s="278" t="b">
        <f t="shared" si="5"/>
        <v>0</v>
      </c>
      <c r="AH275" s="454"/>
      <c r="AI275" s="278"/>
      <c r="AJ275" s="278"/>
      <c r="AK275" s="278"/>
      <c r="AL275" s="444" t="str">
        <f t="array" ref="AL275">IFERROR(IFS(OR(AJ275="A1-Mewtwo", AJ275="A1-Pikachu", AJ275="A1-Charizard", AJ275="A1"), XLOOKUP(AH275, 'Genetic Apex'!$C$2:$C889, 'Genetic Apex'!$B$2:$B889)-2, AJ275="A1a", XLOOKUP(AH275, 'Mythical Island'!$C$2:$C889, 'Mythical Island'!$B$2:$B889)-2, OR(AJ275="A2-Dialga", AJ275="A2-Palkia", AJ275="A2"), XLOOKUP(AH275, 'Space-Time Smackdown'!$C$2:$C889, 'Space-Time Smackdown'!$B$2:$B889)-2))</f>
        <v/>
      </c>
      <c r="AM275" s="444" t="str">
        <f t="shared" si="6"/>
        <v/>
      </c>
      <c r="AN275" s="448" t="str">
        <f t="shared" si="7"/>
        <v/>
      </c>
    </row>
    <row r="276">
      <c r="A276" s="277"/>
      <c r="B276" s="277"/>
      <c r="C276" s="441"/>
      <c r="D276" s="277"/>
      <c r="E276" s="277"/>
      <c r="F276" s="277"/>
      <c r="G276" s="277"/>
      <c r="H276" s="277" t="b">
        <f t="shared" si="1"/>
        <v>0</v>
      </c>
      <c r="I276" s="277" t="str">
        <f>IFERROR(__xludf.DUMMYFUNCTION("""COMPUTED_VALUE"""),"A1 273")</f>
        <v>A1 273</v>
      </c>
      <c r="J276" s="277" t="str">
        <f>IFERROR(__xludf.DUMMYFUNCTION("""COMPUTED_VALUE"""),"Lt. Surge")</f>
        <v>Lt. Surge</v>
      </c>
      <c r="K276" s="277" t="str">
        <f>IFERROR(__xludf.DUMMYFUNCTION("""COMPUTED_VALUE"""),"A1-Pikachu")</f>
        <v>A1-Pikachu</v>
      </c>
      <c r="L276" s="277" t="str">
        <f>IFERROR(__xludf.DUMMYFUNCTION("""COMPUTED_VALUE"""),"☆☆")</f>
        <v>☆☆</v>
      </c>
      <c r="M276" s="440" t="b">
        <f t="shared" si="2"/>
        <v>1</v>
      </c>
      <c r="N276" s="441"/>
      <c r="O276" s="277"/>
      <c r="P276" s="277"/>
      <c r="Q276" s="278"/>
      <c r="R276" s="449" t="str">
        <f t="array" ref="R276">IFERROR(IFS(OR(P276="A1-Mewtwo", P276="A1-Pikachu", P276="A1-Charizard", P276="A1"), XLOOKUP(N276, 'Genetic Apex'!$C$2:$C889, 'Genetic Apex'!$B$2:$B889)-$B$4, P276="A1a", XLOOKUP(N276, 'Mythical Island'!$C$2:$C889, 'Mythical Island'!$B$2:$B889)-$B$4, OR(P276="A2-Dialga", P276="A2-Palkia", P276="A2"), XLOOKUP(N276, 'Space-Time Smackdown'!$C$2:$C889, 'Space-Time Smackdown'!$B$2:$B889)-$B$4))</f>
        <v/>
      </c>
      <c r="S276" s="277" t="str">
        <f>IFERROR(__xludf.DUMMYFUNCTION("""COMPUTED_VALUE"""),"A1a 023")</f>
        <v>A1a 023</v>
      </c>
      <c r="T276" s="277" t="str">
        <f>IFERROR(__xludf.DUMMYFUNCTION("""COMPUTED_VALUE"""),"Drednaw")</f>
        <v>Drednaw</v>
      </c>
      <c r="U276" s="277" t="str">
        <f>IFERROR(__xludf.DUMMYFUNCTION("""COMPUTED_VALUE"""),"A1a")</f>
        <v>A1a</v>
      </c>
      <c r="V276" s="278" t="str">
        <f>IFERROR(__xludf.DUMMYFUNCTION("""COMPUTED_VALUE"""),"♢♢")</f>
        <v>♢♢</v>
      </c>
      <c r="W276" s="443">
        <f t="array" ref="W276">IFERROR(IFS(OR(U276="A1-Mewtwo", U276="A1-Pikachu", U276="A1-Charizard", U276="A1"), $B$5-XLOOKUP(S276, 'Genetic Apex'!$C$2:$C889, 'Genetic Apex'!$B$2:$B889), U276="A1a", $B$5-XLOOKUP(S276, 'Mythical Island'!$C$2:$C889, 'Mythical Island'!$B$2:$B889), OR(U276="A2-Dialga", U276="A2-Palkia", U276="A2"), $B$5-XLOOKUP(S276, 'Space-Time Smackdown'!$C$2:$C889, 'Space-Time Smackdown'!$B$2:$B889)))</f>
        <v>1</v>
      </c>
      <c r="X276" s="444">
        <f t="shared" si="3"/>
        <v>0</v>
      </c>
      <c r="Y276" s="445" t="str">
        <f t="shared" si="4"/>
        <v/>
      </c>
      <c r="Z276" s="278"/>
      <c r="AA276" s="466"/>
      <c r="AB276" s="278"/>
      <c r="AC276" s="278"/>
      <c r="AD276" s="278"/>
      <c r="AE276" s="278"/>
      <c r="AF276" s="278"/>
      <c r="AG276" s="278" t="b">
        <f t="shared" si="5"/>
        <v>0</v>
      </c>
      <c r="AH276" s="454"/>
      <c r="AI276" s="278"/>
      <c r="AJ276" s="278"/>
      <c r="AK276" s="278"/>
      <c r="AL276" s="444" t="str">
        <f t="array" ref="AL276">IFERROR(IFS(OR(AJ276="A1-Mewtwo", AJ276="A1-Pikachu", AJ276="A1-Charizard", AJ276="A1"), XLOOKUP(AH276, 'Genetic Apex'!$C$2:$C889, 'Genetic Apex'!$B$2:$B889)-2, AJ276="A1a", XLOOKUP(AH276, 'Mythical Island'!$C$2:$C889, 'Mythical Island'!$B$2:$B889)-2, OR(AJ276="A2-Dialga", AJ276="A2-Palkia", AJ276="A2"), XLOOKUP(AH276, 'Space-Time Smackdown'!$C$2:$C889, 'Space-Time Smackdown'!$B$2:$B889)-2))</f>
        <v/>
      </c>
      <c r="AM276" s="444" t="str">
        <f t="shared" si="6"/>
        <v/>
      </c>
      <c r="AN276" s="448" t="str">
        <f t="shared" si="7"/>
        <v/>
      </c>
    </row>
    <row r="277">
      <c r="A277" s="277"/>
      <c r="B277" s="277"/>
      <c r="C277" s="441"/>
      <c r="D277" s="277"/>
      <c r="E277" s="277"/>
      <c r="F277" s="277"/>
      <c r="G277" s="277"/>
      <c r="H277" s="277" t="b">
        <f t="shared" si="1"/>
        <v>0</v>
      </c>
      <c r="I277" s="277" t="str">
        <f>IFERROR(__xludf.DUMMYFUNCTION("""COMPUTED_VALUE"""),"A1 274")</f>
        <v>A1 274</v>
      </c>
      <c r="J277" s="277" t="str">
        <f>IFERROR(__xludf.DUMMYFUNCTION("""COMPUTED_VALUE"""),"Moltres ex")</f>
        <v>Moltres ex</v>
      </c>
      <c r="K277" s="277" t="str">
        <f>IFERROR(__xludf.DUMMYFUNCTION("""COMPUTED_VALUE"""),"A1-Charizard")</f>
        <v>A1-Charizard</v>
      </c>
      <c r="L277" s="277" t="str">
        <f>IFERROR(__xludf.DUMMYFUNCTION("""COMPUTED_VALUE"""),"☆☆")</f>
        <v>☆☆</v>
      </c>
      <c r="M277" s="440" t="b">
        <f t="shared" si="2"/>
        <v>1</v>
      </c>
      <c r="N277" s="441"/>
      <c r="O277" s="277"/>
      <c r="P277" s="277"/>
      <c r="Q277" s="278"/>
      <c r="R277" s="449" t="str">
        <f t="array" ref="R277">IFERROR(IFS(OR(P277="A1-Mewtwo", P277="A1-Pikachu", P277="A1-Charizard", P277="A1"), XLOOKUP(N277, 'Genetic Apex'!$C$2:$C889, 'Genetic Apex'!$B$2:$B889)-$B$4, P277="A1a", XLOOKUP(N277, 'Mythical Island'!$C$2:$C889, 'Mythical Island'!$B$2:$B889)-$B$4, OR(P277="A2-Dialga", P277="A2-Palkia", P277="A2"), XLOOKUP(N277, 'Space-Time Smackdown'!$C$2:$C889, 'Space-Time Smackdown'!$B$2:$B889)-$B$4))</f>
        <v/>
      </c>
      <c r="S277" s="277" t="str">
        <f>IFERROR(__xludf.DUMMYFUNCTION("""COMPUTED_VALUE"""),"A1a 024")</f>
        <v>A1a 024</v>
      </c>
      <c r="T277" s="277" t="str">
        <f>IFERROR(__xludf.DUMMYFUNCTION("""COMPUTED_VALUE"""),"Cramorant")</f>
        <v>Cramorant</v>
      </c>
      <c r="U277" s="277" t="str">
        <f>IFERROR(__xludf.DUMMYFUNCTION("""COMPUTED_VALUE"""),"A1a")</f>
        <v>A1a</v>
      </c>
      <c r="V277" s="278" t="str">
        <f>IFERROR(__xludf.DUMMYFUNCTION("""COMPUTED_VALUE"""),"♢")</f>
        <v>♢</v>
      </c>
      <c r="W277" s="443">
        <f t="array" ref="W277">IFERROR(IFS(OR(U277="A1-Mewtwo", U277="A1-Pikachu", U277="A1-Charizard", U277="A1"), $B$5-XLOOKUP(S277, 'Genetic Apex'!$C$2:$C889, 'Genetic Apex'!$B$2:$B889), U277="A1a", $B$5-XLOOKUP(S277, 'Mythical Island'!$C$2:$C889, 'Mythical Island'!$B$2:$B889), OR(U277="A2-Dialga", U277="A2-Palkia", U277="A2"), $B$5-XLOOKUP(S277, 'Space-Time Smackdown'!$C$2:$C889, 'Space-Time Smackdown'!$B$2:$B889)))</f>
        <v>1</v>
      </c>
      <c r="X277" s="444">
        <f t="shared" si="3"/>
        <v>0</v>
      </c>
      <c r="Y277" s="445" t="str">
        <f t="shared" si="4"/>
        <v/>
      </c>
      <c r="Z277" s="278"/>
      <c r="AA277" s="466"/>
      <c r="AB277" s="278"/>
      <c r="AC277" s="278"/>
      <c r="AD277" s="278"/>
      <c r="AE277" s="278"/>
      <c r="AF277" s="278"/>
      <c r="AG277" s="278" t="b">
        <f t="shared" si="5"/>
        <v>0</v>
      </c>
      <c r="AH277" s="454"/>
      <c r="AI277" s="278"/>
      <c r="AJ277" s="278"/>
      <c r="AK277" s="278"/>
      <c r="AL277" s="444" t="str">
        <f t="array" ref="AL277">IFERROR(IFS(OR(AJ277="A1-Mewtwo", AJ277="A1-Pikachu", AJ277="A1-Charizard", AJ277="A1"), XLOOKUP(AH277, 'Genetic Apex'!$C$2:$C889, 'Genetic Apex'!$B$2:$B889)-2, AJ277="A1a", XLOOKUP(AH277, 'Mythical Island'!$C$2:$C889, 'Mythical Island'!$B$2:$B889)-2, OR(AJ277="A2-Dialga", AJ277="A2-Palkia", AJ277="A2"), XLOOKUP(AH277, 'Space-Time Smackdown'!$C$2:$C889, 'Space-Time Smackdown'!$B$2:$B889)-2))</f>
        <v/>
      </c>
      <c r="AM277" s="444" t="str">
        <f t="shared" si="6"/>
        <v/>
      </c>
      <c r="AN277" s="448" t="str">
        <f t="shared" si="7"/>
        <v/>
      </c>
    </row>
    <row r="278">
      <c r="A278" s="277"/>
      <c r="B278" s="277"/>
      <c r="C278" s="441"/>
      <c r="D278" s="277"/>
      <c r="E278" s="277"/>
      <c r="F278" s="277"/>
      <c r="G278" s="277"/>
      <c r="H278" s="277" t="b">
        <f t="shared" si="1"/>
        <v>0</v>
      </c>
      <c r="I278" s="277" t="str">
        <f>IFERROR(__xludf.DUMMYFUNCTION("""COMPUTED_VALUE"""),"A1 275")</f>
        <v>A1 275</v>
      </c>
      <c r="J278" s="277" t="str">
        <f>IFERROR(__xludf.DUMMYFUNCTION("""COMPUTED_VALUE"""),"Articuno ex")</f>
        <v>Articuno ex</v>
      </c>
      <c r="K278" s="277" t="str">
        <f>IFERROR(__xludf.DUMMYFUNCTION("""COMPUTED_VALUE"""),"A1-Mewtwo")</f>
        <v>A1-Mewtwo</v>
      </c>
      <c r="L278" s="277" t="str">
        <f>IFERROR(__xludf.DUMMYFUNCTION("""COMPUTED_VALUE"""),"☆☆")</f>
        <v>☆☆</v>
      </c>
      <c r="M278" s="440" t="b">
        <f t="shared" si="2"/>
        <v>1</v>
      </c>
      <c r="N278" s="441"/>
      <c r="O278" s="277"/>
      <c r="P278" s="277"/>
      <c r="Q278" s="278"/>
      <c r="R278" s="449" t="str">
        <f t="array" ref="R278">IFERROR(IFS(OR(P278="A1-Mewtwo", P278="A1-Pikachu", P278="A1-Charizard", P278="A1"), XLOOKUP(N278, 'Genetic Apex'!$C$2:$C889, 'Genetic Apex'!$B$2:$B889)-$B$4, P278="A1a", XLOOKUP(N278, 'Mythical Island'!$C$2:$C889, 'Mythical Island'!$B$2:$B889)-$B$4, OR(P278="A2-Dialga", P278="A2-Palkia", P278="A2"), XLOOKUP(N278, 'Space-Time Smackdown'!$C$2:$C889, 'Space-Time Smackdown'!$B$2:$B889)-$B$4))</f>
        <v/>
      </c>
      <c r="S278" s="277" t="str">
        <f>IFERROR(__xludf.DUMMYFUNCTION("""COMPUTED_VALUE"""),"A1a 025")</f>
        <v>A1a 025</v>
      </c>
      <c r="T278" s="277" t="str">
        <f>IFERROR(__xludf.DUMMYFUNCTION("""COMPUTED_VALUE"""),"Pikachu")</f>
        <v>Pikachu</v>
      </c>
      <c r="U278" s="277" t="str">
        <f>IFERROR(__xludf.DUMMYFUNCTION("""COMPUTED_VALUE"""),"A1a")</f>
        <v>A1a</v>
      </c>
      <c r="V278" s="278" t="str">
        <f>IFERROR(__xludf.DUMMYFUNCTION("""COMPUTED_VALUE"""),"♢")</f>
        <v>♢</v>
      </c>
      <c r="W278" s="443">
        <f t="array" ref="W278">IFERROR(IFS(OR(U278="A1-Mewtwo", U278="A1-Pikachu", U278="A1-Charizard", U278="A1"), $B$5-XLOOKUP(S278, 'Genetic Apex'!$C$2:$C889, 'Genetic Apex'!$B$2:$B889), U278="A1a", $B$5-XLOOKUP(S278, 'Mythical Island'!$C$2:$C889, 'Mythical Island'!$B$2:$B889), OR(U278="A2-Dialga", U278="A2-Palkia", U278="A2"), $B$5-XLOOKUP(S278, 'Space-Time Smackdown'!$C$2:$C889, 'Space-Time Smackdown'!$B$2:$B889)))</f>
        <v>1</v>
      </c>
      <c r="X278" s="444">
        <f t="shared" si="3"/>
        <v>0</v>
      </c>
      <c r="Y278" s="445" t="str">
        <f t="shared" si="4"/>
        <v/>
      </c>
      <c r="Z278" s="278"/>
      <c r="AA278" s="466"/>
      <c r="AB278" s="278"/>
      <c r="AC278" s="278"/>
      <c r="AD278" s="278"/>
      <c r="AE278" s="278"/>
      <c r="AF278" s="278"/>
      <c r="AG278" s="278" t="b">
        <f t="shared" si="5"/>
        <v>0</v>
      </c>
      <c r="AH278" s="454"/>
      <c r="AI278" s="278"/>
      <c r="AJ278" s="278"/>
      <c r="AK278" s="278"/>
      <c r="AL278" s="444" t="str">
        <f t="array" ref="AL278">IFERROR(IFS(OR(AJ278="A1-Mewtwo", AJ278="A1-Pikachu", AJ278="A1-Charizard", AJ278="A1"), XLOOKUP(AH278, 'Genetic Apex'!$C$2:$C889, 'Genetic Apex'!$B$2:$B889)-2, AJ278="A1a", XLOOKUP(AH278, 'Mythical Island'!$C$2:$C889, 'Mythical Island'!$B$2:$B889)-2, OR(AJ278="A2-Dialga", AJ278="A2-Palkia", AJ278="A2"), XLOOKUP(AH278, 'Space-Time Smackdown'!$C$2:$C889, 'Space-Time Smackdown'!$B$2:$B889)-2))</f>
        <v/>
      </c>
      <c r="AM278" s="444" t="str">
        <f t="shared" si="6"/>
        <v/>
      </c>
      <c r="AN278" s="448" t="str">
        <f t="shared" si="7"/>
        <v/>
      </c>
    </row>
    <row r="279">
      <c r="A279" s="277"/>
      <c r="B279" s="277"/>
      <c r="C279" s="441"/>
      <c r="D279" s="277"/>
      <c r="E279" s="277"/>
      <c r="F279" s="277"/>
      <c r="G279" s="277"/>
      <c r="H279" s="277" t="b">
        <f t="shared" si="1"/>
        <v>0</v>
      </c>
      <c r="I279" s="277" t="str">
        <f>IFERROR(__xludf.DUMMYFUNCTION("""COMPUTED_VALUE"""),"A1 276")</f>
        <v>A1 276</v>
      </c>
      <c r="J279" s="277" t="str">
        <f>IFERROR(__xludf.DUMMYFUNCTION("""COMPUTED_VALUE"""),"Zapdos ex")</f>
        <v>Zapdos ex</v>
      </c>
      <c r="K279" s="277" t="str">
        <f>IFERROR(__xludf.DUMMYFUNCTION("""COMPUTED_VALUE"""),"A1-Pikachu")</f>
        <v>A1-Pikachu</v>
      </c>
      <c r="L279" s="277" t="str">
        <f>IFERROR(__xludf.DUMMYFUNCTION("""COMPUTED_VALUE"""),"☆☆")</f>
        <v>☆☆</v>
      </c>
      <c r="M279" s="440" t="b">
        <f t="shared" si="2"/>
        <v>1</v>
      </c>
      <c r="N279" s="441"/>
      <c r="O279" s="277"/>
      <c r="P279" s="277"/>
      <c r="Q279" s="278"/>
      <c r="R279" s="449" t="str">
        <f t="array" ref="R279">IFERROR(IFS(OR(P279="A1-Mewtwo", P279="A1-Pikachu", P279="A1-Charizard", P279="A1"), XLOOKUP(N279, 'Genetic Apex'!$C$2:$C889, 'Genetic Apex'!$B$2:$B889)-$B$4, P279="A1a", XLOOKUP(N279, 'Mythical Island'!$C$2:$C889, 'Mythical Island'!$B$2:$B889)-$B$4, OR(P279="A2-Dialga", P279="A2-Palkia", P279="A2"), XLOOKUP(N279, 'Space-Time Smackdown'!$C$2:$C889, 'Space-Time Smackdown'!$B$2:$B889)-$B$4))</f>
        <v/>
      </c>
      <c r="S279" s="277" t="str">
        <f>IFERROR(__xludf.DUMMYFUNCTION("""COMPUTED_VALUE"""),"A1a 026")</f>
        <v>A1a 026</v>
      </c>
      <c r="T279" s="277" t="str">
        <f>IFERROR(__xludf.DUMMYFUNCTION("""COMPUTED_VALUE"""),"Raichu")</f>
        <v>Raichu</v>
      </c>
      <c r="U279" s="277" t="str">
        <f>IFERROR(__xludf.DUMMYFUNCTION("""COMPUTED_VALUE"""),"A1a")</f>
        <v>A1a</v>
      </c>
      <c r="V279" s="278" t="str">
        <f>IFERROR(__xludf.DUMMYFUNCTION("""COMPUTED_VALUE"""),"♢♢♢")</f>
        <v>♢♢♢</v>
      </c>
      <c r="W279" s="443">
        <f t="array" ref="W279">IFERROR(IFS(OR(U279="A1-Mewtwo", U279="A1-Pikachu", U279="A1-Charizard", U279="A1"), $B$5-XLOOKUP(S279, 'Genetic Apex'!$C$2:$C889, 'Genetic Apex'!$B$2:$B889), U279="A1a", $B$5-XLOOKUP(S279, 'Mythical Island'!$C$2:$C889, 'Mythical Island'!$B$2:$B889), OR(U279="A2-Dialga", U279="A2-Palkia", U279="A2"), $B$5-XLOOKUP(S279, 'Space-Time Smackdown'!$C$2:$C889, 'Space-Time Smackdown'!$B$2:$B889)))</f>
        <v>1</v>
      </c>
      <c r="X279" s="444">
        <f t="shared" si="3"/>
        <v>120</v>
      </c>
      <c r="Y279" s="445">
        <f t="shared" si="4"/>
        <v>120</v>
      </c>
      <c r="Z279" s="278"/>
      <c r="AA279" s="466"/>
      <c r="AB279" s="278"/>
      <c r="AC279" s="278"/>
      <c r="AD279" s="278"/>
      <c r="AE279" s="278"/>
      <c r="AF279" s="278"/>
      <c r="AG279" s="278" t="b">
        <f t="shared" si="5"/>
        <v>0</v>
      </c>
      <c r="AH279" s="454"/>
      <c r="AI279" s="278"/>
      <c r="AJ279" s="278"/>
      <c r="AK279" s="278"/>
      <c r="AL279" s="444" t="str">
        <f t="array" ref="AL279">IFERROR(IFS(OR(AJ279="A1-Mewtwo", AJ279="A1-Pikachu", AJ279="A1-Charizard", AJ279="A1"), XLOOKUP(AH279, 'Genetic Apex'!$C$2:$C889, 'Genetic Apex'!$B$2:$B889)-2, AJ279="A1a", XLOOKUP(AH279, 'Mythical Island'!$C$2:$C889, 'Mythical Island'!$B$2:$B889)-2, OR(AJ279="A2-Dialga", AJ279="A2-Palkia", AJ279="A2"), XLOOKUP(AH279, 'Space-Time Smackdown'!$C$2:$C889, 'Space-Time Smackdown'!$B$2:$B889)-2))</f>
        <v/>
      </c>
      <c r="AM279" s="444" t="str">
        <f t="shared" si="6"/>
        <v/>
      </c>
      <c r="AN279" s="448" t="str">
        <f t="shared" si="7"/>
        <v/>
      </c>
    </row>
    <row r="280">
      <c r="A280" s="277"/>
      <c r="B280" s="277"/>
      <c r="C280" s="441"/>
      <c r="D280" s="277"/>
      <c r="E280" s="277"/>
      <c r="F280" s="277"/>
      <c r="G280" s="277"/>
      <c r="H280" s="277" t="b">
        <f t="shared" si="1"/>
        <v>0</v>
      </c>
      <c r="I280" s="277" t="str">
        <f>IFERROR(__xludf.DUMMYFUNCTION("""COMPUTED_VALUE"""),"A1 277")</f>
        <v>A1 277</v>
      </c>
      <c r="J280" s="277" t="str">
        <f>IFERROR(__xludf.DUMMYFUNCTION("""COMPUTED_VALUE"""),"Gengar ex")</f>
        <v>Gengar ex</v>
      </c>
      <c r="K280" s="277" t="str">
        <f>IFERROR(__xludf.DUMMYFUNCTION("""COMPUTED_VALUE"""),"A1-Mewtwo")</f>
        <v>A1-Mewtwo</v>
      </c>
      <c r="L280" s="277" t="str">
        <f>IFERROR(__xludf.DUMMYFUNCTION("""COMPUTED_VALUE"""),"☆☆")</f>
        <v>☆☆</v>
      </c>
      <c r="M280" s="440" t="b">
        <f t="shared" si="2"/>
        <v>1</v>
      </c>
      <c r="N280" s="441"/>
      <c r="O280" s="277"/>
      <c r="P280" s="277"/>
      <c r="Q280" s="278"/>
      <c r="R280" s="449" t="str">
        <f t="array" ref="R280">IFERROR(IFS(OR(P280="A1-Mewtwo", P280="A1-Pikachu", P280="A1-Charizard", P280="A1"), XLOOKUP(N280, 'Genetic Apex'!$C$2:$C889, 'Genetic Apex'!$B$2:$B889)-$B$4, P280="A1a", XLOOKUP(N280, 'Mythical Island'!$C$2:$C889, 'Mythical Island'!$B$2:$B889)-$B$4, OR(P280="A2-Dialga", P280="A2-Palkia", P280="A2"), XLOOKUP(N280, 'Space-Time Smackdown'!$C$2:$C889, 'Space-Time Smackdown'!$B$2:$B889)-$B$4))</f>
        <v/>
      </c>
      <c r="S280" s="277" t="str">
        <f>IFERROR(__xludf.DUMMYFUNCTION("""COMPUTED_VALUE"""),"A1a 027")</f>
        <v>A1a 027</v>
      </c>
      <c r="T280" s="277" t="str">
        <f>IFERROR(__xludf.DUMMYFUNCTION("""COMPUTED_VALUE"""),"Electabuzz")</f>
        <v>Electabuzz</v>
      </c>
      <c r="U280" s="277" t="str">
        <f>IFERROR(__xludf.DUMMYFUNCTION("""COMPUTED_VALUE"""),"A1a")</f>
        <v>A1a</v>
      </c>
      <c r="V280" s="278" t="str">
        <f>IFERROR(__xludf.DUMMYFUNCTION("""COMPUTED_VALUE"""),"♢♢")</f>
        <v>♢♢</v>
      </c>
      <c r="W280" s="443">
        <f t="array" ref="W280">IFERROR(IFS(OR(U280="A1-Mewtwo", U280="A1-Pikachu", U280="A1-Charizard", U280="A1"), $B$5-XLOOKUP(S280, 'Genetic Apex'!$C$2:$C889, 'Genetic Apex'!$B$2:$B889), U280="A1a", $B$5-XLOOKUP(S280, 'Mythical Island'!$C$2:$C889, 'Mythical Island'!$B$2:$B889), OR(U280="A2-Dialga", U280="A2-Palkia", U280="A2"), $B$5-XLOOKUP(S280, 'Space-Time Smackdown'!$C$2:$C889, 'Space-Time Smackdown'!$B$2:$B889)))</f>
        <v>1</v>
      </c>
      <c r="X280" s="444">
        <f t="shared" si="3"/>
        <v>0</v>
      </c>
      <c r="Y280" s="445" t="str">
        <f t="shared" si="4"/>
        <v/>
      </c>
      <c r="Z280" s="278"/>
      <c r="AA280" s="466"/>
      <c r="AB280" s="278"/>
      <c r="AC280" s="278"/>
      <c r="AD280" s="278"/>
      <c r="AE280" s="278"/>
      <c r="AF280" s="278"/>
      <c r="AG280" s="278" t="b">
        <f t="shared" si="5"/>
        <v>0</v>
      </c>
      <c r="AH280" s="454"/>
      <c r="AI280" s="278"/>
      <c r="AJ280" s="278"/>
      <c r="AK280" s="278"/>
      <c r="AL280" s="444" t="str">
        <f t="array" ref="AL280">IFERROR(IFS(OR(AJ280="A1-Mewtwo", AJ280="A1-Pikachu", AJ280="A1-Charizard", AJ280="A1"), XLOOKUP(AH280, 'Genetic Apex'!$C$2:$C889, 'Genetic Apex'!$B$2:$B889)-2, AJ280="A1a", XLOOKUP(AH280, 'Mythical Island'!$C$2:$C889, 'Mythical Island'!$B$2:$B889)-2, OR(AJ280="A2-Dialga", AJ280="A2-Palkia", AJ280="A2"), XLOOKUP(AH280, 'Space-Time Smackdown'!$C$2:$C889, 'Space-Time Smackdown'!$B$2:$B889)-2))</f>
        <v/>
      </c>
      <c r="AM280" s="444" t="str">
        <f t="shared" si="6"/>
        <v/>
      </c>
      <c r="AN280" s="448" t="str">
        <f t="shared" si="7"/>
        <v/>
      </c>
    </row>
    <row r="281">
      <c r="A281" s="277"/>
      <c r="B281" s="277"/>
      <c r="C281" s="441"/>
      <c r="D281" s="277"/>
      <c r="E281" s="277"/>
      <c r="F281" s="277"/>
      <c r="G281" s="277"/>
      <c r="H281" s="277" t="b">
        <f t="shared" si="1"/>
        <v>0</v>
      </c>
      <c r="I281" s="277" t="str">
        <f>IFERROR(__xludf.DUMMYFUNCTION("""COMPUTED_VALUE"""),"A1 278")</f>
        <v>A1 278</v>
      </c>
      <c r="J281" s="277" t="str">
        <f>IFERROR(__xludf.DUMMYFUNCTION("""COMPUTED_VALUE"""),"Machamp ex")</f>
        <v>Machamp ex</v>
      </c>
      <c r="K281" s="277" t="str">
        <f>IFERROR(__xludf.DUMMYFUNCTION("""COMPUTED_VALUE"""),"A1-Charizard")</f>
        <v>A1-Charizard</v>
      </c>
      <c r="L281" s="277" t="str">
        <f>IFERROR(__xludf.DUMMYFUNCTION("""COMPUTED_VALUE"""),"☆☆")</f>
        <v>☆☆</v>
      </c>
      <c r="M281" s="440" t="b">
        <f t="shared" si="2"/>
        <v>1</v>
      </c>
      <c r="N281" s="441"/>
      <c r="O281" s="277"/>
      <c r="P281" s="277"/>
      <c r="Q281" s="278"/>
      <c r="R281" s="449" t="str">
        <f t="array" ref="R281">IFERROR(IFS(OR(P281="A1-Mewtwo", P281="A1-Pikachu", P281="A1-Charizard", P281="A1"), XLOOKUP(N281, 'Genetic Apex'!$C$2:$C889, 'Genetic Apex'!$B$2:$B889)-$B$4, P281="A1a", XLOOKUP(N281, 'Mythical Island'!$C$2:$C889, 'Mythical Island'!$B$2:$B889)-$B$4, OR(P281="A2-Dialga", P281="A2-Palkia", P281="A2"), XLOOKUP(N281, 'Space-Time Smackdown'!$C$2:$C889, 'Space-Time Smackdown'!$B$2:$B889)-$B$4))</f>
        <v/>
      </c>
      <c r="S281" s="277" t="str">
        <f>IFERROR(__xludf.DUMMYFUNCTION("""COMPUTED_VALUE"""),"A1a 028")</f>
        <v>A1a 028</v>
      </c>
      <c r="T281" s="277" t="str">
        <f>IFERROR(__xludf.DUMMYFUNCTION("""COMPUTED_VALUE"""),"Joltik")</f>
        <v>Joltik</v>
      </c>
      <c r="U281" s="277" t="str">
        <f>IFERROR(__xludf.DUMMYFUNCTION("""COMPUTED_VALUE"""),"A1a")</f>
        <v>A1a</v>
      </c>
      <c r="V281" s="278" t="str">
        <f>IFERROR(__xludf.DUMMYFUNCTION("""COMPUTED_VALUE"""),"♢")</f>
        <v>♢</v>
      </c>
      <c r="W281" s="443">
        <f t="array" ref="W281">IFERROR(IFS(OR(U281="A1-Mewtwo", U281="A1-Pikachu", U281="A1-Charizard", U281="A1"), $B$5-XLOOKUP(S281, 'Genetic Apex'!$C$2:$C889, 'Genetic Apex'!$B$2:$B889), U281="A1a", $B$5-XLOOKUP(S281, 'Mythical Island'!$C$2:$C889, 'Mythical Island'!$B$2:$B889), OR(U281="A2-Dialga", U281="A2-Palkia", U281="A2"), $B$5-XLOOKUP(S281, 'Space-Time Smackdown'!$C$2:$C889, 'Space-Time Smackdown'!$B$2:$B889)))</f>
        <v>1</v>
      </c>
      <c r="X281" s="444">
        <f t="shared" si="3"/>
        <v>0</v>
      </c>
      <c r="Y281" s="445" t="str">
        <f t="shared" si="4"/>
        <v/>
      </c>
      <c r="Z281" s="278"/>
      <c r="AA281" s="466"/>
      <c r="AB281" s="278"/>
      <c r="AC281" s="278"/>
      <c r="AD281" s="278"/>
      <c r="AE281" s="278"/>
      <c r="AF281" s="278"/>
      <c r="AG281" s="278" t="b">
        <f t="shared" si="5"/>
        <v>0</v>
      </c>
      <c r="AH281" s="454"/>
      <c r="AI281" s="278"/>
      <c r="AJ281" s="278"/>
      <c r="AK281" s="278"/>
      <c r="AL281" s="444" t="str">
        <f t="array" ref="AL281">IFERROR(IFS(OR(AJ281="A1-Mewtwo", AJ281="A1-Pikachu", AJ281="A1-Charizard", AJ281="A1"), XLOOKUP(AH281, 'Genetic Apex'!$C$2:$C889, 'Genetic Apex'!$B$2:$B889)-2, AJ281="A1a", XLOOKUP(AH281, 'Mythical Island'!$C$2:$C889, 'Mythical Island'!$B$2:$B889)-2, OR(AJ281="A2-Dialga", AJ281="A2-Palkia", AJ281="A2"), XLOOKUP(AH281, 'Space-Time Smackdown'!$C$2:$C889, 'Space-Time Smackdown'!$B$2:$B889)-2))</f>
        <v/>
      </c>
      <c r="AM281" s="444" t="str">
        <f t="shared" si="6"/>
        <v/>
      </c>
      <c r="AN281" s="448" t="str">
        <f t="shared" si="7"/>
        <v/>
      </c>
    </row>
    <row r="282">
      <c r="A282" s="277"/>
      <c r="B282" s="277"/>
      <c r="C282" s="441"/>
      <c r="D282" s="277"/>
      <c r="E282" s="277"/>
      <c r="F282" s="277"/>
      <c r="G282" s="277"/>
      <c r="H282" s="277" t="b">
        <f t="shared" si="1"/>
        <v>0</v>
      </c>
      <c r="I282" s="277" t="str">
        <f>IFERROR(__xludf.DUMMYFUNCTION("""COMPUTED_VALUE"""),"A1 279")</f>
        <v>A1 279</v>
      </c>
      <c r="J282" s="277" t="str">
        <f>IFERROR(__xludf.DUMMYFUNCTION("""COMPUTED_VALUE"""),"Wigglytuff ex")</f>
        <v>Wigglytuff ex</v>
      </c>
      <c r="K282" s="277" t="str">
        <f>IFERROR(__xludf.DUMMYFUNCTION("""COMPUTED_VALUE"""),"A1-Pikachu")</f>
        <v>A1-Pikachu</v>
      </c>
      <c r="L282" s="277" t="str">
        <f>IFERROR(__xludf.DUMMYFUNCTION("""COMPUTED_VALUE"""),"☆☆")</f>
        <v>☆☆</v>
      </c>
      <c r="M282" s="440" t="b">
        <f t="shared" si="2"/>
        <v>1</v>
      </c>
      <c r="N282" s="441"/>
      <c r="O282" s="277"/>
      <c r="P282" s="277"/>
      <c r="Q282" s="278"/>
      <c r="R282" s="449" t="str">
        <f t="array" ref="R282">IFERROR(IFS(OR(P282="A1-Mewtwo", P282="A1-Pikachu", P282="A1-Charizard", P282="A1"), XLOOKUP(N282, 'Genetic Apex'!$C$2:$C889, 'Genetic Apex'!$B$2:$B889)-$B$4, P282="A1a", XLOOKUP(N282, 'Mythical Island'!$C$2:$C889, 'Mythical Island'!$B$2:$B889)-$B$4, OR(P282="A2-Dialga", P282="A2-Palkia", P282="A2"), XLOOKUP(N282, 'Space-Time Smackdown'!$C$2:$C889, 'Space-Time Smackdown'!$B$2:$B889)-$B$4))</f>
        <v/>
      </c>
      <c r="S282" s="277" t="str">
        <f>IFERROR(__xludf.DUMMYFUNCTION("""COMPUTED_VALUE"""),"A1a 029")</f>
        <v>A1a 029</v>
      </c>
      <c r="T282" s="277" t="str">
        <f>IFERROR(__xludf.DUMMYFUNCTION("""COMPUTED_VALUE"""),"Galvantule")</f>
        <v>Galvantule</v>
      </c>
      <c r="U282" s="277" t="str">
        <f>IFERROR(__xludf.DUMMYFUNCTION("""COMPUTED_VALUE"""),"A1a")</f>
        <v>A1a</v>
      </c>
      <c r="V282" s="278" t="str">
        <f>IFERROR(__xludf.DUMMYFUNCTION("""COMPUTED_VALUE"""),"♢♢")</f>
        <v>♢♢</v>
      </c>
      <c r="W282" s="443">
        <f t="array" ref="W282">IFERROR(IFS(OR(U282="A1-Mewtwo", U282="A1-Pikachu", U282="A1-Charizard", U282="A1"), $B$5-XLOOKUP(S282, 'Genetic Apex'!$C$2:$C889, 'Genetic Apex'!$B$2:$B889), U282="A1a", $B$5-XLOOKUP(S282, 'Mythical Island'!$C$2:$C889, 'Mythical Island'!$B$2:$B889), OR(U282="A2-Dialga", U282="A2-Palkia", U282="A2"), $B$5-XLOOKUP(S282, 'Space-Time Smackdown'!$C$2:$C889, 'Space-Time Smackdown'!$B$2:$B889)))</f>
        <v>1</v>
      </c>
      <c r="X282" s="444">
        <f t="shared" si="3"/>
        <v>0</v>
      </c>
      <c r="Y282" s="445" t="str">
        <f t="shared" si="4"/>
        <v/>
      </c>
      <c r="Z282" s="278"/>
      <c r="AA282" s="466"/>
      <c r="AB282" s="278"/>
      <c r="AC282" s="278"/>
      <c r="AD282" s="278"/>
      <c r="AE282" s="278"/>
      <c r="AF282" s="278"/>
      <c r="AG282" s="278" t="b">
        <f t="shared" si="5"/>
        <v>0</v>
      </c>
      <c r="AH282" s="454"/>
      <c r="AI282" s="278"/>
      <c r="AJ282" s="278"/>
      <c r="AK282" s="278"/>
      <c r="AL282" s="444" t="str">
        <f t="array" ref="AL282">IFERROR(IFS(OR(AJ282="A1-Mewtwo", AJ282="A1-Pikachu", AJ282="A1-Charizard", AJ282="A1"), XLOOKUP(AH282, 'Genetic Apex'!$C$2:$C889, 'Genetic Apex'!$B$2:$B889)-2, AJ282="A1a", XLOOKUP(AH282, 'Mythical Island'!$C$2:$C889, 'Mythical Island'!$B$2:$B889)-2, OR(AJ282="A2-Dialga", AJ282="A2-Palkia", AJ282="A2"), XLOOKUP(AH282, 'Space-Time Smackdown'!$C$2:$C889, 'Space-Time Smackdown'!$B$2:$B889)-2))</f>
        <v/>
      </c>
      <c r="AM282" s="444" t="str">
        <f t="shared" si="6"/>
        <v/>
      </c>
      <c r="AN282" s="448" t="str">
        <f t="shared" si="7"/>
        <v/>
      </c>
    </row>
    <row r="283">
      <c r="A283" s="277"/>
      <c r="B283" s="277"/>
      <c r="C283" s="441"/>
      <c r="D283" s="277"/>
      <c r="E283" s="277"/>
      <c r="F283" s="277"/>
      <c r="G283" s="277"/>
      <c r="H283" s="277" t="b">
        <f t="shared" si="1"/>
        <v>0</v>
      </c>
      <c r="I283" s="277" t="str">
        <f>IFERROR(__xludf.DUMMYFUNCTION("""COMPUTED_VALUE"""),"A1 280")</f>
        <v>A1 280</v>
      </c>
      <c r="J283" s="277" t="str">
        <f>IFERROR(__xludf.DUMMYFUNCTION("""COMPUTED_VALUE"""),"Charizard ex")</f>
        <v>Charizard ex</v>
      </c>
      <c r="K283" s="277" t="str">
        <f>IFERROR(__xludf.DUMMYFUNCTION("""COMPUTED_VALUE"""),"A1-Charizard")</f>
        <v>A1-Charizard</v>
      </c>
      <c r="L283" s="277" t="str">
        <f>IFERROR(__xludf.DUMMYFUNCTION("""COMPUTED_VALUE"""),"☆☆☆")</f>
        <v>☆☆☆</v>
      </c>
      <c r="M283" s="440" t="b">
        <f t="shared" si="2"/>
        <v>1</v>
      </c>
      <c r="N283" s="441"/>
      <c r="O283" s="277"/>
      <c r="P283" s="277"/>
      <c r="Q283" s="278"/>
      <c r="R283" s="449" t="str">
        <f t="array" ref="R283">IFERROR(IFS(OR(P283="A1-Mewtwo", P283="A1-Pikachu", P283="A1-Charizard", P283="A1"), XLOOKUP(N283, 'Genetic Apex'!$C$2:$C889, 'Genetic Apex'!$B$2:$B889)-$B$4, P283="A1a", XLOOKUP(N283, 'Mythical Island'!$C$2:$C889, 'Mythical Island'!$B$2:$B889)-$B$4, OR(P283="A2-Dialga", P283="A2-Palkia", P283="A2"), XLOOKUP(N283, 'Space-Time Smackdown'!$C$2:$C889, 'Space-Time Smackdown'!$B$2:$B889)-$B$4))</f>
        <v/>
      </c>
      <c r="S283" s="277" t="str">
        <f>IFERROR(__xludf.DUMMYFUNCTION("""COMPUTED_VALUE"""),"A1a 030")</f>
        <v>A1a 030</v>
      </c>
      <c r="T283" s="277" t="str">
        <f>IFERROR(__xludf.DUMMYFUNCTION("""COMPUTED_VALUE"""),"Dedenne")</f>
        <v>Dedenne</v>
      </c>
      <c r="U283" s="277" t="str">
        <f>IFERROR(__xludf.DUMMYFUNCTION("""COMPUTED_VALUE"""),"A1a")</f>
        <v>A1a</v>
      </c>
      <c r="V283" s="278" t="str">
        <f>IFERROR(__xludf.DUMMYFUNCTION("""COMPUTED_VALUE"""),"♢")</f>
        <v>♢</v>
      </c>
      <c r="W283" s="443">
        <f t="array" ref="W283">IFERROR(IFS(OR(U283="A1-Mewtwo", U283="A1-Pikachu", U283="A1-Charizard", U283="A1"), $B$5-XLOOKUP(S283, 'Genetic Apex'!$C$2:$C889, 'Genetic Apex'!$B$2:$B889), U283="A1a", $B$5-XLOOKUP(S283, 'Mythical Island'!$C$2:$C889, 'Mythical Island'!$B$2:$B889), OR(U283="A2-Dialga", U283="A2-Palkia", U283="A2"), $B$5-XLOOKUP(S283, 'Space-Time Smackdown'!$C$2:$C889, 'Space-Time Smackdown'!$B$2:$B889)))</f>
        <v>1</v>
      </c>
      <c r="X283" s="444">
        <f t="shared" si="3"/>
        <v>0</v>
      </c>
      <c r="Y283" s="445" t="str">
        <f t="shared" si="4"/>
        <v/>
      </c>
      <c r="Z283" s="278"/>
      <c r="AA283" s="466"/>
      <c r="AB283" s="278"/>
      <c r="AC283" s="278"/>
      <c r="AD283" s="278"/>
      <c r="AE283" s="278"/>
      <c r="AF283" s="278"/>
      <c r="AG283" s="278" t="b">
        <f t="shared" si="5"/>
        <v>0</v>
      </c>
      <c r="AH283" s="454"/>
      <c r="AI283" s="278"/>
      <c r="AJ283" s="278"/>
      <c r="AK283" s="278"/>
      <c r="AL283" s="444" t="str">
        <f t="array" ref="AL283">IFERROR(IFS(OR(AJ283="A1-Mewtwo", AJ283="A1-Pikachu", AJ283="A1-Charizard", AJ283="A1"), XLOOKUP(AH283, 'Genetic Apex'!$C$2:$C889, 'Genetic Apex'!$B$2:$B889)-2, AJ283="A1a", XLOOKUP(AH283, 'Mythical Island'!$C$2:$C889, 'Mythical Island'!$B$2:$B889)-2, OR(AJ283="A2-Dialga", AJ283="A2-Palkia", AJ283="A2"), XLOOKUP(AH283, 'Space-Time Smackdown'!$C$2:$C889, 'Space-Time Smackdown'!$B$2:$B889)-2))</f>
        <v/>
      </c>
      <c r="AM283" s="444" t="str">
        <f t="shared" si="6"/>
        <v/>
      </c>
      <c r="AN283" s="448" t="str">
        <f t="shared" si="7"/>
        <v/>
      </c>
    </row>
    <row r="284">
      <c r="A284" s="277"/>
      <c r="B284" s="277"/>
      <c r="C284" s="441"/>
      <c r="D284" s="277"/>
      <c r="E284" s="277"/>
      <c r="F284" s="277"/>
      <c r="G284" s="277"/>
      <c r="H284" s="277" t="b">
        <f t="shared" si="1"/>
        <v>0</v>
      </c>
      <c r="I284" s="277" t="str">
        <f>IFERROR(__xludf.DUMMYFUNCTION("""COMPUTED_VALUE"""),"A1 281")</f>
        <v>A1 281</v>
      </c>
      <c r="J284" s="277" t="str">
        <f>IFERROR(__xludf.DUMMYFUNCTION("""COMPUTED_VALUE"""),"Pikachu ex")</f>
        <v>Pikachu ex</v>
      </c>
      <c r="K284" s="277" t="str">
        <f>IFERROR(__xludf.DUMMYFUNCTION("""COMPUTED_VALUE"""),"A1-Pikachu")</f>
        <v>A1-Pikachu</v>
      </c>
      <c r="L284" s="277" t="str">
        <f>IFERROR(__xludf.DUMMYFUNCTION("""COMPUTED_VALUE"""),"☆☆☆")</f>
        <v>☆☆☆</v>
      </c>
      <c r="M284" s="440" t="b">
        <f t="shared" si="2"/>
        <v>1</v>
      </c>
      <c r="N284" s="441"/>
      <c r="O284" s="277"/>
      <c r="P284" s="277"/>
      <c r="Q284" s="278"/>
      <c r="R284" s="449" t="str">
        <f t="array" ref="R284">IFERROR(IFS(OR(P284="A1-Mewtwo", P284="A1-Pikachu", P284="A1-Charizard", P284="A1"), XLOOKUP(N284, 'Genetic Apex'!$C$2:$C889, 'Genetic Apex'!$B$2:$B889)-$B$4, P284="A1a", XLOOKUP(N284, 'Mythical Island'!$C$2:$C889, 'Mythical Island'!$B$2:$B889)-$B$4, OR(P284="A2-Dialga", P284="A2-Palkia", P284="A2"), XLOOKUP(N284, 'Space-Time Smackdown'!$C$2:$C889, 'Space-Time Smackdown'!$B$2:$B889)-$B$4))</f>
        <v/>
      </c>
      <c r="S284" s="277" t="str">
        <f>IFERROR(__xludf.DUMMYFUNCTION("""COMPUTED_VALUE"""),"A1a 031")</f>
        <v>A1a 031</v>
      </c>
      <c r="T284" s="277" t="str">
        <f>IFERROR(__xludf.DUMMYFUNCTION("""COMPUTED_VALUE"""),"Mew")</f>
        <v>Mew</v>
      </c>
      <c r="U284" s="277" t="str">
        <f>IFERROR(__xludf.DUMMYFUNCTION("""COMPUTED_VALUE"""),"A1a")</f>
        <v>A1a</v>
      </c>
      <c r="V284" s="278" t="str">
        <f>IFERROR(__xludf.DUMMYFUNCTION("""COMPUTED_VALUE"""),"♢♢♢")</f>
        <v>♢♢♢</v>
      </c>
      <c r="W284" s="443">
        <f t="array" ref="W284">IFERROR(IFS(OR(U284="A1-Mewtwo", U284="A1-Pikachu", U284="A1-Charizard", U284="A1"), $B$5-XLOOKUP(S284, 'Genetic Apex'!$C$2:$C889, 'Genetic Apex'!$B$2:$B889), U284="A1a", $B$5-XLOOKUP(S284, 'Mythical Island'!$C$2:$C889, 'Mythical Island'!$B$2:$B889), OR(U284="A2-Dialga", U284="A2-Palkia", U284="A2"), $B$5-XLOOKUP(S284, 'Space-Time Smackdown'!$C$2:$C889, 'Space-Time Smackdown'!$B$2:$B889)))</f>
        <v>1</v>
      </c>
      <c r="X284" s="444">
        <f t="shared" si="3"/>
        <v>120</v>
      </c>
      <c r="Y284" s="445">
        <f t="shared" si="4"/>
        <v>120</v>
      </c>
      <c r="Z284" s="278"/>
      <c r="AA284" s="466"/>
      <c r="AB284" s="278"/>
      <c r="AC284" s="278"/>
      <c r="AD284" s="278"/>
      <c r="AE284" s="278"/>
      <c r="AF284" s="278"/>
      <c r="AG284" s="278" t="b">
        <f t="shared" si="5"/>
        <v>0</v>
      </c>
      <c r="AH284" s="454"/>
      <c r="AI284" s="278"/>
      <c r="AJ284" s="278"/>
      <c r="AK284" s="278"/>
      <c r="AL284" s="444" t="str">
        <f t="array" ref="AL284">IFERROR(IFS(OR(AJ284="A1-Mewtwo", AJ284="A1-Pikachu", AJ284="A1-Charizard", AJ284="A1"), XLOOKUP(AH284, 'Genetic Apex'!$C$2:$C889, 'Genetic Apex'!$B$2:$B889)-2, AJ284="A1a", XLOOKUP(AH284, 'Mythical Island'!$C$2:$C889, 'Mythical Island'!$B$2:$B889)-2, OR(AJ284="A2-Dialga", AJ284="A2-Palkia", AJ284="A2"), XLOOKUP(AH284, 'Space-Time Smackdown'!$C$2:$C889, 'Space-Time Smackdown'!$B$2:$B889)-2))</f>
        <v/>
      </c>
      <c r="AM284" s="444" t="str">
        <f t="shared" si="6"/>
        <v/>
      </c>
      <c r="AN284" s="448" t="str">
        <f t="shared" si="7"/>
        <v/>
      </c>
    </row>
    <row r="285">
      <c r="A285" s="277"/>
      <c r="B285" s="277"/>
      <c r="C285" s="441"/>
      <c r="D285" s="277"/>
      <c r="E285" s="277"/>
      <c r="F285" s="277"/>
      <c r="G285" s="277"/>
      <c r="H285" s="277" t="b">
        <f t="shared" si="1"/>
        <v>0</v>
      </c>
      <c r="I285" s="277" t="str">
        <f>IFERROR(__xludf.DUMMYFUNCTION("""COMPUTED_VALUE"""),"A1 282")</f>
        <v>A1 282</v>
      </c>
      <c r="J285" s="277" t="str">
        <f>IFERROR(__xludf.DUMMYFUNCTION("""COMPUTED_VALUE"""),"Mewtwo ex")</f>
        <v>Mewtwo ex</v>
      </c>
      <c r="K285" s="277" t="str">
        <f>IFERROR(__xludf.DUMMYFUNCTION("""COMPUTED_VALUE"""),"A1-Mewtwo")</f>
        <v>A1-Mewtwo</v>
      </c>
      <c r="L285" s="277" t="str">
        <f>IFERROR(__xludf.DUMMYFUNCTION("""COMPUTED_VALUE"""),"☆☆☆")</f>
        <v>☆☆☆</v>
      </c>
      <c r="M285" s="440" t="b">
        <f t="shared" si="2"/>
        <v>1</v>
      </c>
      <c r="N285" s="441"/>
      <c r="O285" s="277"/>
      <c r="P285" s="277"/>
      <c r="Q285" s="278"/>
      <c r="R285" s="449" t="str">
        <f t="array" ref="R285">IFERROR(IFS(OR(P285="A1-Mewtwo", P285="A1-Pikachu", P285="A1-Charizard", P285="A1"), XLOOKUP(N285, 'Genetic Apex'!$C$2:$C889, 'Genetic Apex'!$B$2:$B889)-$B$4, P285="A1a", XLOOKUP(N285, 'Mythical Island'!$C$2:$C889, 'Mythical Island'!$B$2:$B889)-$B$4, OR(P285="A2-Dialga", P285="A2-Palkia", P285="A2"), XLOOKUP(N285, 'Space-Time Smackdown'!$C$2:$C889, 'Space-Time Smackdown'!$B$2:$B889)-$B$4))</f>
        <v/>
      </c>
      <c r="S285" s="277" t="str">
        <f>IFERROR(__xludf.DUMMYFUNCTION("""COMPUTED_VALUE"""),"A1a 032")</f>
        <v>A1a 032</v>
      </c>
      <c r="T285" s="277" t="str">
        <f>IFERROR(__xludf.DUMMYFUNCTION("""COMPUTED_VALUE"""),"Mew ex")</f>
        <v>Mew ex</v>
      </c>
      <c r="U285" s="277" t="str">
        <f>IFERROR(__xludf.DUMMYFUNCTION("""COMPUTED_VALUE"""),"A1a")</f>
        <v>A1a</v>
      </c>
      <c r="V285" s="278" t="str">
        <f>IFERROR(__xludf.DUMMYFUNCTION("""COMPUTED_VALUE"""),"♢♢♢♢")</f>
        <v>♢♢♢♢</v>
      </c>
      <c r="W285" s="443">
        <f t="array" ref="W285">IFERROR(IFS(OR(U285="A1-Mewtwo", U285="A1-Pikachu", U285="A1-Charizard", U285="A1"), $B$5-XLOOKUP(S285, 'Genetic Apex'!$C$2:$C889, 'Genetic Apex'!$B$2:$B889), U285="A1a", $B$5-XLOOKUP(S285, 'Mythical Island'!$C$2:$C889, 'Mythical Island'!$B$2:$B889), OR(U285="A2-Dialga", U285="A2-Palkia", U285="A2"), $B$5-XLOOKUP(S285, 'Space-Time Smackdown'!$C$2:$C889, 'Space-Time Smackdown'!$B$2:$B889)))</f>
        <v>1</v>
      </c>
      <c r="X285" s="444">
        <f t="shared" si="3"/>
        <v>500</v>
      </c>
      <c r="Y285" s="445">
        <f t="shared" si="4"/>
        <v>500</v>
      </c>
      <c r="Z285" s="278"/>
      <c r="AA285" s="466"/>
      <c r="AB285" s="278"/>
      <c r="AC285" s="278"/>
      <c r="AD285" s="278"/>
      <c r="AE285" s="278"/>
      <c r="AF285" s="278"/>
      <c r="AG285" s="278" t="b">
        <f t="shared" si="5"/>
        <v>0</v>
      </c>
      <c r="AH285" s="454"/>
      <c r="AI285" s="278"/>
      <c r="AJ285" s="278"/>
      <c r="AK285" s="278"/>
      <c r="AL285" s="444" t="str">
        <f t="array" ref="AL285">IFERROR(IFS(OR(AJ285="A1-Mewtwo", AJ285="A1-Pikachu", AJ285="A1-Charizard", AJ285="A1"), XLOOKUP(AH285, 'Genetic Apex'!$C$2:$C889, 'Genetic Apex'!$B$2:$B889)-2, AJ285="A1a", XLOOKUP(AH285, 'Mythical Island'!$C$2:$C889, 'Mythical Island'!$B$2:$B889)-2, OR(AJ285="A2-Dialga", AJ285="A2-Palkia", AJ285="A2"), XLOOKUP(AH285, 'Space-Time Smackdown'!$C$2:$C889, 'Space-Time Smackdown'!$B$2:$B889)-2))</f>
        <v/>
      </c>
      <c r="AM285" s="444" t="str">
        <f t="shared" si="6"/>
        <v/>
      </c>
      <c r="AN285" s="448" t="str">
        <f t="shared" si="7"/>
        <v/>
      </c>
    </row>
    <row r="286">
      <c r="A286" s="277"/>
      <c r="B286" s="277"/>
      <c r="C286" s="441"/>
      <c r="D286" s="277"/>
      <c r="E286" s="277"/>
      <c r="F286" s="277"/>
      <c r="G286" s="277"/>
      <c r="H286" s="277" t="b">
        <f t="shared" si="1"/>
        <v>0</v>
      </c>
      <c r="I286" s="277" t="str">
        <f>IFERROR(__xludf.DUMMYFUNCTION("""COMPUTED_VALUE"""),"A1 283")</f>
        <v>A1 283</v>
      </c>
      <c r="J286" s="277" t="str">
        <f>IFERROR(__xludf.DUMMYFUNCTION("""COMPUTED_VALUE"""),"Mew")</f>
        <v>Mew</v>
      </c>
      <c r="K286" s="277" t="str">
        <f>IFERROR(__xludf.DUMMYFUNCTION("""COMPUTED_VALUE"""),"Mission")</f>
        <v>Mission</v>
      </c>
      <c r="L286" s="277"/>
      <c r="M286" s="440" t="b">
        <f t="shared" si="2"/>
        <v>0</v>
      </c>
      <c r="N286" s="441"/>
      <c r="O286" s="277"/>
      <c r="P286" s="277"/>
      <c r="Q286" s="278"/>
      <c r="R286" s="449" t="str">
        <f t="array" ref="R286">IFERROR(IFS(OR(P286="A1-Mewtwo", P286="A1-Pikachu", P286="A1-Charizard", P286="A1"), XLOOKUP(N286, 'Genetic Apex'!$C$2:$C889, 'Genetic Apex'!$B$2:$B889)-$B$4, P286="A1a", XLOOKUP(N286, 'Mythical Island'!$C$2:$C889, 'Mythical Island'!$B$2:$B889)-$B$4, OR(P286="A2-Dialga", P286="A2-Palkia", P286="A2"), XLOOKUP(N286, 'Space-Time Smackdown'!$C$2:$C889, 'Space-Time Smackdown'!$B$2:$B889)-$B$4))</f>
        <v/>
      </c>
      <c r="S286" s="277" t="str">
        <f>IFERROR(__xludf.DUMMYFUNCTION("""COMPUTED_VALUE"""),"A1a 033")</f>
        <v>A1a 033</v>
      </c>
      <c r="T286" s="277" t="str">
        <f>IFERROR(__xludf.DUMMYFUNCTION("""COMPUTED_VALUE"""),"Sigilyph")</f>
        <v>Sigilyph</v>
      </c>
      <c r="U286" s="277" t="str">
        <f>IFERROR(__xludf.DUMMYFUNCTION("""COMPUTED_VALUE"""),"A1a")</f>
        <v>A1a</v>
      </c>
      <c r="V286" s="278" t="str">
        <f>IFERROR(__xludf.DUMMYFUNCTION("""COMPUTED_VALUE"""),"♢♢")</f>
        <v>♢♢</v>
      </c>
      <c r="W286" s="443">
        <f t="array" ref="W286">IFERROR(IFS(OR(U286="A1-Mewtwo", U286="A1-Pikachu", U286="A1-Charizard", U286="A1"), $B$5-XLOOKUP(S286, 'Genetic Apex'!$C$2:$C889, 'Genetic Apex'!$B$2:$B889), U286="A1a", $B$5-XLOOKUP(S286, 'Mythical Island'!$C$2:$C889, 'Mythical Island'!$B$2:$B889), OR(U286="A2-Dialga", U286="A2-Palkia", U286="A2"), $B$5-XLOOKUP(S286, 'Space-Time Smackdown'!$C$2:$C889, 'Space-Time Smackdown'!$B$2:$B889)))</f>
        <v>1</v>
      </c>
      <c r="X286" s="444">
        <f t="shared" si="3"/>
        <v>0</v>
      </c>
      <c r="Y286" s="445" t="str">
        <f t="shared" si="4"/>
        <v/>
      </c>
      <c r="Z286" s="278"/>
      <c r="AA286" s="466"/>
      <c r="AB286" s="278"/>
      <c r="AC286" s="278"/>
      <c r="AD286" s="278"/>
      <c r="AE286" s="278"/>
      <c r="AF286" s="278"/>
      <c r="AG286" s="278" t="b">
        <f t="shared" si="5"/>
        <v>0</v>
      </c>
      <c r="AH286" s="454"/>
      <c r="AI286" s="278"/>
      <c r="AJ286" s="278"/>
      <c r="AK286" s="278"/>
      <c r="AL286" s="444" t="str">
        <f t="array" ref="AL286">IFERROR(IFS(OR(AJ286="A1-Mewtwo", AJ286="A1-Pikachu", AJ286="A1-Charizard", AJ286="A1"), XLOOKUP(AH286, 'Genetic Apex'!$C$2:$C889, 'Genetic Apex'!$B$2:$B889)-2, AJ286="A1a", XLOOKUP(AH286, 'Mythical Island'!$C$2:$C889, 'Mythical Island'!$B$2:$B889)-2, OR(AJ286="A2-Dialga", AJ286="A2-Palkia", AJ286="A2"), XLOOKUP(AH286, 'Space-Time Smackdown'!$C$2:$C889, 'Space-Time Smackdown'!$B$2:$B889)-2))</f>
        <v/>
      </c>
      <c r="AM286" s="444" t="str">
        <f t="shared" si="6"/>
        <v/>
      </c>
      <c r="AN286" s="448" t="str">
        <f t="shared" si="7"/>
        <v/>
      </c>
    </row>
    <row r="287">
      <c r="A287" s="277"/>
      <c r="B287" s="277"/>
      <c r="C287" s="441"/>
      <c r="D287" s="277"/>
      <c r="E287" s="277"/>
      <c r="F287" s="277"/>
      <c r="G287" s="277"/>
      <c r="H287" s="277" t="b">
        <f t="shared" si="1"/>
        <v>0</v>
      </c>
      <c r="I287" s="277" t="str">
        <f>IFERROR(__xludf.DUMMYFUNCTION("""COMPUTED_VALUE"""),"A1 284")</f>
        <v>A1 284</v>
      </c>
      <c r="J287" s="277" t="str">
        <f>IFERROR(__xludf.DUMMYFUNCTION("""COMPUTED_VALUE"""),"Charizard ex")</f>
        <v>Charizard ex</v>
      </c>
      <c r="K287" s="277" t="str">
        <f>IFERROR(__xludf.DUMMYFUNCTION("""COMPUTED_VALUE"""),"A1")</f>
        <v>A1</v>
      </c>
      <c r="L287" s="277" t="str">
        <f>IFERROR(__xludf.DUMMYFUNCTION("""COMPUTED_VALUE"""),"♛")</f>
        <v>♛</v>
      </c>
      <c r="M287" s="440" t="b">
        <f t="shared" si="2"/>
        <v>1</v>
      </c>
      <c r="N287" s="441"/>
      <c r="O287" s="277"/>
      <c r="P287" s="277"/>
      <c r="Q287" s="278"/>
      <c r="R287" s="449" t="str">
        <f t="array" ref="R287">IFERROR(IFS(OR(P287="A1-Mewtwo", P287="A1-Pikachu", P287="A1-Charizard", P287="A1"), XLOOKUP(N287, 'Genetic Apex'!$C$2:$C889, 'Genetic Apex'!$B$2:$B889)-$B$4, P287="A1a", XLOOKUP(N287, 'Mythical Island'!$C$2:$C889, 'Mythical Island'!$B$2:$B889)-$B$4, OR(P287="A2-Dialga", P287="A2-Palkia", P287="A2"), XLOOKUP(N287, 'Space-Time Smackdown'!$C$2:$C889, 'Space-Time Smackdown'!$B$2:$B889)-$B$4))</f>
        <v/>
      </c>
      <c r="S287" s="277" t="str">
        <f>IFERROR(__xludf.DUMMYFUNCTION("""COMPUTED_VALUE"""),"A1a 034")</f>
        <v>A1a 034</v>
      </c>
      <c r="T287" s="277" t="str">
        <f>IFERROR(__xludf.DUMMYFUNCTION("""COMPUTED_VALUE"""),"Elgyem")</f>
        <v>Elgyem</v>
      </c>
      <c r="U287" s="277" t="str">
        <f>IFERROR(__xludf.DUMMYFUNCTION("""COMPUTED_VALUE"""),"A1a")</f>
        <v>A1a</v>
      </c>
      <c r="V287" s="278" t="str">
        <f>IFERROR(__xludf.DUMMYFUNCTION("""COMPUTED_VALUE"""),"♢")</f>
        <v>♢</v>
      </c>
      <c r="W287" s="443">
        <f t="array" ref="W287">IFERROR(IFS(OR(U287="A1-Mewtwo", U287="A1-Pikachu", U287="A1-Charizard", U287="A1"), $B$5-XLOOKUP(S287, 'Genetic Apex'!$C$2:$C889, 'Genetic Apex'!$B$2:$B889), U287="A1a", $B$5-XLOOKUP(S287, 'Mythical Island'!$C$2:$C889, 'Mythical Island'!$B$2:$B889), OR(U287="A2-Dialga", U287="A2-Palkia", U287="A2"), $B$5-XLOOKUP(S287, 'Space-Time Smackdown'!$C$2:$C889, 'Space-Time Smackdown'!$B$2:$B889)))</f>
        <v>1</v>
      </c>
      <c r="X287" s="444">
        <f t="shared" si="3"/>
        <v>0</v>
      </c>
      <c r="Y287" s="445" t="str">
        <f t="shared" si="4"/>
        <v/>
      </c>
      <c r="Z287" s="278"/>
      <c r="AA287" s="466"/>
      <c r="AB287" s="278"/>
      <c r="AC287" s="278"/>
      <c r="AD287" s="278"/>
      <c r="AE287" s="278"/>
      <c r="AF287" s="278"/>
      <c r="AG287" s="278" t="b">
        <f t="shared" si="5"/>
        <v>0</v>
      </c>
      <c r="AH287" s="454"/>
      <c r="AI287" s="278"/>
      <c r="AJ287" s="278"/>
      <c r="AK287" s="278"/>
      <c r="AL287" s="444" t="str">
        <f t="array" ref="AL287">IFERROR(IFS(OR(AJ287="A1-Mewtwo", AJ287="A1-Pikachu", AJ287="A1-Charizard", AJ287="A1"), XLOOKUP(AH287, 'Genetic Apex'!$C$2:$C889, 'Genetic Apex'!$B$2:$B889)-2, AJ287="A1a", XLOOKUP(AH287, 'Mythical Island'!$C$2:$C889, 'Mythical Island'!$B$2:$B889)-2, OR(AJ287="A2-Dialga", AJ287="A2-Palkia", AJ287="A2"), XLOOKUP(AH287, 'Space-Time Smackdown'!$C$2:$C889, 'Space-Time Smackdown'!$B$2:$B889)-2))</f>
        <v/>
      </c>
      <c r="AM287" s="444" t="str">
        <f t="shared" si="6"/>
        <v/>
      </c>
      <c r="AN287" s="448" t="str">
        <f t="shared" si="7"/>
        <v/>
      </c>
    </row>
    <row r="288">
      <c r="A288" s="277"/>
      <c r="B288" s="277"/>
      <c r="C288" s="441"/>
      <c r="D288" s="277"/>
      <c r="E288" s="277"/>
      <c r="F288" s="277"/>
      <c r="G288" s="277"/>
      <c r="H288" s="277" t="b">
        <f t="shared" si="1"/>
        <v>0</v>
      </c>
      <c r="I288" s="277" t="str">
        <f>IFERROR(__xludf.DUMMYFUNCTION("""COMPUTED_VALUE"""),"A1 285")</f>
        <v>A1 285</v>
      </c>
      <c r="J288" s="277" t="str">
        <f>IFERROR(__xludf.DUMMYFUNCTION("""COMPUTED_VALUE"""),"Pikachu ex")</f>
        <v>Pikachu ex</v>
      </c>
      <c r="K288" s="277" t="str">
        <f>IFERROR(__xludf.DUMMYFUNCTION("""COMPUTED_VALUE"""),"A1")</f>
        <v>A1</v>
      </c>
      <c r="L288" s="277" t="str">
        <f>IFERROR(__xludf.DUMMYFUNCTION("""COMPUTED_VALUE"""),"♛")</f>
        <v>♛</v>
      </c>
      <c r="M288" s="440" t="b">
        <f t="shared" si="2"/>
        <v>1</v>
      </c>
      <c r="N288" s="441"/>
      <c r="O288" s="277"/>
      <c r="P288" s="277"/>
      <c r="Q288" s="278"/>
      <c r="R288" s="449" t="str">
        <f t="array" ref="R288">IFERROR(IFS(OR(P288="A1-Mewtwo", P288="A1-Pikachu", P288="A1-Charizard", P288="A1"), XLOOKUP(N288, 'Genetic Apex'!$C$2:$C889, 'Genetic Apex'!$B$2:$B889)-$B$4, P288="A1a", XLOOKUP(N288, 'Mythical Island'!$C$2:$C889, 'Mythical Island'!$B$2:$B889)-$B$4, OR(P288="A2-Dialga", P288="A2-Palkia", P288="A2"), XLOOKUP(N288, 'Space-Time Smackdown'!$C$2:$C889, 'Space-Time Smackdown'!$B$2:$B889)-$B$4))</f>
        <v/>
      </c>
      <c r="S288" s="277" t="str">
        <f>IFERROR(__xludf.DUMMYFUNCTION("""COMPUTED_VALUE"""),"A1a 035")</f>
        <v>A1a 035</v>
      </c>
      <c r="T288" s="277" t="str">
        <f>IFERROR(__xludf.DUMMYFUNCTION("""COMPUTED_VALUE"""),"Beheeyem")</f>
        <v>Beheeyem</v>
      </c>
      <c r="U288" s="277" t="str">
        <f>IFERROR(__xludf.DUMMYFUNCTION("""COMPUTED_VALUE"""),"A1a")</f>
        <v>A1a</v>
      </c>
      <c r="V288" s="278" t="str">
        <f>IFERROR(__xludf.DUMMYFUNCTION("""COMPUTED_VALUE"""),"♢♢")</f>
        <v>♢♢</v>
      </c>
      <c r="W288" s="443">
        <f t="array" ref="W288">IFERROR(IFS(OR(U288="A1-Mewtwo", U288="A1-Pikachu", U288="A1-Charizard", U288="A1"), $B$5-XLOOKUP(S288, 'Genetic Apex'!$C$2:$C889, 'Genetic Apex'!$B$2:$B889), U288="A1a", $B$5-XLOOKUP(S288, 'Mythical Island'!$C$2:$C889, 'Mythical Island'!$B$2:$B889), OR(U288="A2-Dialga", U288="A2-Palkia", U288="A2"), $B$5-XLOOKUP(S288, 'Space-Time Smackdown'!$C$2:$C889, 'Space-Time Smackdown'!$B$2:$B889)))</f>
        <v>1</v>
      </c>
      <c r="X288" s="444">
        <f t="shared" si="3"/>
        <v>0</v>
      </c>
      <c r="Y288" s="445" t="str">
        <f t="shared" si="4"/>
        <v/>
      </c>
      <c r="Z288" s="278"/>
      <c r="AA288" s="466"/>
      <c r="AB288" s="278"/>
      <c r="AC288" s="278"/>
      <c r="AD288" s="278"/>
      <c r="AE288" s="278"/>
      <c r="AF288" s="278"/>
      <c r="AG288" s="278" t="b">
        <f t="shared" si="5"/>
        <v>0</v>
      </c>
      <c r="AH288" s="454"/>
      <c r="AI288" s="278"/>
      <c r="AJ288" s="278"/>
      <c r="AK288" s="278"/>
      <c r="AL288" s="444" t="str">
        <f t="array" ref="AL288">IFERROR(IFS(OR(AJ288="A1-Mewtwo", AJ288="A1-Pikachu", AJ288="A1-Charizard", AJ288="A1"), XLOOKUP(AH288, 'Genetic Apex'!$C$2:$C889, 'Genetic Apex'!$B$2:$B889)-2, AJ288="A1a", XLOOKUP(AH288, 'Mythical Island'!$C$2:$C889, 'Mythical Island'!$B$2:$B889)-2, OR(AJ288="A2-Dialga", AJ288="A2-Palkia", AJ288="A2"), XLOOKUP(AH288, 'Space-Time Smackdown'!$C$2:$C889, 'Space-Time Smackdown'!$B$2:$B889)-2))</f>
        <v/>
      </c>
      <c r="AM288" s="444" t="str">
        <f t="shared" si="6"/>
        <v/>
      </c>
      <c r="AN288" s="448" t="str">
        <f t="shared" si="7"/>
        <v/>
      </c>
    </row>
    <row r="289">
      <c r="A289" s="277"/>
      <c r="B289" s="277"/>
      <c r="C289" s="441"/>
      <c r="D289" s="277"/>
      <c r="E289" s="277"/>
      <c r="F289" s="277"/>
      <c r="G289" s="277"/>
      <c r="H289" s="277" t="b">
        <f t="shared" si="1"/>
        <v>0</v>
      </c>
      <c r="I289" s="277" t="str">
        <f>IFERROR(__xludf.DUMMYFUNCTION("""COMPUTED_VALUE"""),"A1 286")</f>
        <v>A1 286</v>
      </c>
      <c r="J289" s="277" t="str">
        <f>IFERROR(__xludf.DUMMYFUNCTION("""COMPUTED_VALUE"""),"Mewtwo ex")</f>
        <v>Mewtwo ex</v>
      </c>
      <c r="K289" s="277" t="str">
        <f>IFERROR(__xludf.DUMMYFUNCTION("""COMPUTED_VALUE"""),"A1")</f>
        <v>A1</v>
      </c>
      <c r="L289" s="277" t="str">
        <f>IFERROR(__xludf.DUMMYFUNCTION("""COMPUTED_VALUE"""),"♛")</f>
        <v>♛</v>
      </c>
      <c r="M289" s="440" t="b">
        <f t="shared" si="2"/>
        <v>1</v>
      </c>
      <c r="N289" s="441"/>
      <c r="O289" s="277"/>
      <c r="P289" s="277"/>
      <c r="Q289" s="278"/>
      <c r="R289" s="449" t="str">
        <f t="array" ref="R289">IFERROR(IFS(OR(P289="A1-Mewtwo", P289="A1-Pikachu", P289="A1-Charizard", P289="A1"), XLOOKUP(N289, 'Genetic Apex'!$C$2:$C889, 'Genetic Apex'!$B$2:$B889)-$B$4, P289="A1a", XLOOKUP(N289, 'Mythical Island'!$C$2:$C889, 'Mythical Island'!$B$2:$B889)-$B$4, OR(P289="A2-Dialga", P289="A2-Palkia", P289="A2"), XLOOKUP(N289, 'Space-Time Smackdown'!$C$2:$C889, 'Space-Time Smackdown'!$B$2:$B889)-$B$4))</f>
        <v/>
      </c>
      <c r="S289" s="277" t="str">
        <f>IFERROR(__xludf.DUMMYFUNCTION("""COMPUTED_VALUE"""),"A1a 036")</f>
        <v>A1a 036</v>
      </c>
      <c r="T289" s="277" t="str">
        <f>IFERROR(__xludf.DUMMYFUNCTION("""COMPUTED_VALUE"""),"Flabébé")</f>
        <v>Flabébé</v>
      </c>
      <c r="U289" s="277" t="str">
        <f>IFERROR(__xludf.DUMMYFUNCTION("""COMPUTED_VALUE"""),"A1a")</f>
        <v>A1a</v>
      </c>
      <c r="V289" s="278" t="str">
        <f>IFERROR(__xludf.DUMMYFUNCTION("""COMPUTED_VALUE"""),"♢")</f>
        <v>♢</v>
      </c>
      <c r="W289" s="443">
        <f t="array" ref="W289">IFERROR(IFS(OR(U289="A1-Mewtwo", U289="A1-Pikachu", U289="A1-Charizard", U289="A1"), $B$5-XLOOKUP(S289, 'Genetic Apex'!$C$2:$C889, 'Genetic Apex'!$B$2:$B889), U289="A1a", $B$5-XLOOKUP(S289, 'Mythical Island'!$C$2:$C889, 'Mythical Island'!$B$2:$B889), OR(U289="A2-Dialga", U289="A2-Palkia", U289="A2"), $B$5-XLOOKUP(S289, 'Space-Time Smackdown'!$C$2:$C889, 'Space-Time Smackdown'!$B$2:$B889)))</f>
        <v>1</v>
      </c>
      <c r="X289" s="444">
        <f t="shared" si="3"/>
        <v>0</v>
      </c>
      <c r="Y289" s="445" t="str">
        <f t="shared" si="4"/>
        <v/>
      </c>
      <c r="Z289" s="278"/>
      <c r="AA289" s="466"/>
      <c r="AB289" s="278"/>
      <c r="AC289" s="278"/>
      <c r="AD289" s="278"/>
      <c r="AE289" s="278"/>
      <c r="AF289" s="278"/>
      <c r="AG289" s="278" t="b">
        <f t="shared" si="5"/>
        <v>0</v>
      </c>
      <c r="AH289" s="454"/>
      <c r="AI289" s="278"/>
      <c r="AJ289" s="278"/>
      <c r="AK289" s="278"/>
      <c r="AL289" s="444" t="str">
        <f t="array" ref="AL289">IFERROR(IFS(OR(AJ289="A1-Mewtwo", AJ289="A1-Pikachu", AJ289="A1-Charizard", AJ289="A1"), XLOOKUP(AH289, 'Genetic Apex'!$C$2:$C889, 'Genetic Apex'!$B$2:$B889)-2, AJ289="A1a", XLOOKUP(AH289, 'Mythical Island'!$C$2:$C889, 'Mythical Island'!$B$2:$B889)-2, OR(AJ289="A2-Dialga", AJ289="A2-Palkia", AJ289="A2"), XLOOKUP(AH289, 'Space-Time Smackdown'!$C$2:$C889, 'Space-Time Smackdown'!$B$2:$B889)-2))</f>
        <v/>
      </c>
      <c r="AM289" s="444" t="str">
        <f t="shared" si="6"/>
        <v/>
      </c>
      <c r="AN289" s="448" t="str">
        <f t="shared" si="7"/>
        <v/>
      </c>
    </row>
    <row r="290">
      <c r="A290" s="277"/>
      <c r="B290" s="277"/>
      <c r="C290" s="441"/>
      <c r="D290" s="277"/>
      <c r="E290" s="277"/>
      <c r="F290" s="277"/>
      <c r="G290" s="277"/>
      <c r="H290" s="277" t="b">
        <f t="shared" si="1"/>
        <v>0</v>
      </c>
      <c r="I290" s="277"/>
      <c r="J290" s="277"/>
      <c r="K290" s="277"/>
      <c r="L290" s="277"/>
      <c r="M290" s="440" t="b">
        <f t="shared" si="2"/>
        <v>0</v>
      </c>
      <c r="N290" s="441"/>
      <c r="O290" s="277"/>
      <c r="P290" s="277"/>
      <c r="Q290" s="278"/>
      <c r="R290" s="449" t="str">
        <f t="array" ref="R290">IFERROR(IFS(OR(P290="A1-Mewtwo", P290="A1-Pikachu", P290="A1-Charizard", P290="A1"), XLOOKUP(N290, 'Genetic Apex'!$C$2:$C889, 'Genetic Apex'!$B$2:$B889)-$B$4, P290="A1a", XLOOKUP(N290, 'Mythical Island'!$C$2:$C889, 'Mythical Island'!$B$2:$B889)-$B$4, OR(P290="A2-Dialga", P290="A2-Palkia", P290="A2"), XLOOKUP(N290, 'Space-Time Smackdown'!$C$2:$C889, 'Space-Time Smackdown'!$B$2:$B889)-$B$4))</f>
        <v/>
      </c>
      <c r="S290" s="277" t="str">
        <f>IFERROR(__xludf.DUMMYFUNCTION("""COMPUTED_VALUE"""),"A1a 037")</f>
        <v>A1a 037</v>
      </c>
      <c r="T290" s="277" t="str">
        <f>IFERROR(__xludf.DUMMYFUNCTION("""COMPUTED_VALUE"""),"Floette")</f>
        <v>Floette</v>
      </c>
      <c r="U290" s="277" t="str">
        <f>IFERROR(__xludf.DUMMYFUNCTION("""COMPUTED_VALUE"""),"A1a")</f>
        <v>A1a</v>
      </c>
      <c r="V290" s="278" t="str">
        <f>IFERROR(__xludf.DUMMYFUNCTION("""COMPUTED_VALUE"""),"♢")</f>
        <v>♢</v>
      </c>
      <c r="W290" s="443">
        <f t="array" ref="W290">IFERROR(IFS(OR(U290="A1-Mewtwo", U290="A1-Pikachu", U290="A1-Charizard", U290="A1"), $B$5-XLOOKUP(S290, 'Genetic Apex'!$C$2:$C889, 'Genetic Apex'!$B$2:$B889), U290="A1a", $B$5-XLOOKUP(S290, 'Mythical Island'!$C$2:$C889, 'Mythical Island'!$B$2:$B889), OR(U290="A2-Dialga", U290="A2-Palkia", U290="A2"), $B$5-XLOOKUP(S290, 'Space-Time Smackdown'!$C$2:$C889, 'Space-Time Smackdown'!$B$2:$B889)))</f>
        <v>1</v>
      </c>
      <c r="X290" s="444">
        <f t="shared" si="3"/>
        <v>0</v>
      </c>
      <c r="Y290" s="445" t="str">
        <f t="shared" si="4"/>
        <v/>
      </c>
      <c r="Z290" s="278"/>
      <c r="AA290" s="466"/>
      <c r="AB290" s="278"/>
      <c r="AC290" s="278"/>
      <c r="AD290" s="278"/>
      <c r="AE290" s="278"/>
      <c r="AF290" s="278"/>
      <c r="AG290" s="278" t="b">
        <f t="shared" si="5"/>
        <v>0</v>
      </c>
      <c r="AH290" s="454"/>
      <c r="AI290" s="278"/>
      <c r="AJ290" s="278"/>
      <c r="AK290" s="278"/>
      <c r="AL290" s="444" t="str">
        <f t="array" ref="AL290">IFERROR(IFS(OR(AJ290="A1-Mewtwo", AJ290="A1-Pikachu", AJ290="A1-Charizard", AJ290="A1"), XLOOKUP(AH290, 'Genetic Apex'!$C$2:$C889, 'Genetic Apex'!$B$2:$B889)-2, AJ290="A1a", XLOOKUP(AH290, 'Mythical Island'!$C$2:$C889, 'Mythical Island'!$B$2:$B889)-2, OR(AJ290="A2-Dialga", AJ290="A2-Palkia", AJ290="A2"), XLOOKUP(AH290, 'Space-Time Smackdown'!$C$2:$C889, 'Space-Time Smackdown'!$B$2:$B889)-2))</f>
        <v/>
      </c>
      <c r="AM290" s="444" t="str">
        <f t="shared" si="6"/>
        <v/>
      </c>
      <c r="AN290" s="448" t="str">
        <f t="shared" si="7"/>
        <v/>
      </c>
    </row>
    <row r="291">
      <c r="A291" s="277"/>
      <c r="B291" s="277"/>
      <c r="C291" s="441"/>
      <c r="D291" s="277"/>
      <c r="E291" s="277"/>
      <c r="F291" s="277"/>
      <c r="G291" s="277"/>
      <c r="H291" s="277" t="b">
        <f t="shared" si="1"/>
        <v>0</v>
      </c>
      <c r="I291" s="277" t="str">
        <f>IFERROR(__xludf.DUMMYFUNCTION("""COMPUTED_VALUE"""),"A1a 001")</f>
        <v>A1a 001</v>
      </c>
      <c r="J291" s="277" t="str">
        <f>IFERROR(__xludf.DUMMYFUNCTION("""COMPUTED_VALUE"""),"Exeggcute")</f>
        <v>Exeggcute</v>
      </c>
      <c r="K291" s="277" t="str">
        <f>IFERROR(__xludf.DUMMYFUNCTION("""COMPUTED_VALUE"""),"A1a")</f>
        <v>A1a</v>
      </c>
      <c r="L291" s="277" t="str">
        <f>IFERROR(__xludf.DUMMYFUNCTION("""COMPUTED_VALUE"""),"♢")</f>
        <v>♢</v>
      </c>
      <c r="M291" s="440" t="b">
        <f t="shared" si="2"/>
        <v>1</v>
      </c>
      <c r="N291" s="441"/>
      <c r="O291" s="277"/>
      <c r="P291" s="277"/>
      <c r="Q291" s="278"/>
      <c r="R291" s="449" t="str">
        <f t="array" ref="R291">IFERROR(IFS(OR(P291="A1-Mewtwo", P291="A1-Pikachu", P291="A1-Charizard", P291="A1"), XLOOKUP(N291, 'Genetic Apex'!$C$2:$C889, 'Genetic Apex'!$B$2:$B889)-$B$4, P291="A1a", XLOOKUP(N291, 'Mythical Island'!$C$2:$C889, 'Mythical Island'!$B$2:$B889)-$B$4, OR(P291="A2-Dialga", P291="A2-Palkia", P291="A2"), XLOOKUP(N291, 'Space-Time Smackdown'!$C$2:$C889, 'Space-Time Smackdown'!$B$2:$B889)-$B$4))</f>
        <v/>
      </c>
      <c r="S291" s="277" t="str">
        <f>IFERROR(__xludf.DUMMYFUNCTION("""COMPUTED_VALUE"""),"A1a 038")</f>
        <v>A1a 038</v>
      </c>
      <c r="T291" s="277" t="str">
        <f>IFERROR(__xludf.DUMMYFUNCTION("""COMPUTED_VALUE"""),"Florges")</f>
        <v>Florges</v>
      </c>
      <c r="U291" s="277" t="str">
        <f>IFERROR(__xludf.DUMMYFUNCTION("""COMPUTED_VALUE"""),"A1a")</f>
        <v>A1a</v>
      </c>
      <c r="V291" s="278" t="str">
        <f>IFERROR(__xludf.DUMMYFUNCTION("""COMPUTED_VALUE"""),"♢♢")</f>
        <v>♢♢</v>
      </c>
      <c r="W291" s="443">
        <f t="array" ref="W291">IFERROR(IFS(OR(U291="A1-Mewtwo", U291="A1-Pikachu", U291="A1-Charizard", U291="A1"), $B$5-XLOOKUP(S291, 'Genetic Apex'!$C$2:$C889, 'Genetic Apex'!$B$2:$B889), U291="A1a", $B$5-XLOOKUP(S291, 'Mythical Island'!$C$2:$C889, 'Mythical Island'!$B$2:$B889), OR(U291="A2-Dialga", U291="A2-Palkia", U291="A2"), $B$5-XLOOKUP(S291, 'Space-Time Smackdown'!$C$2:$C889, 'Space-Time Smackdown'!$B$2:$B889)))</f>
        <v>1</v>
      </c>
      <c r="X291" s="444">
        <f t="shared" si="3"/>
        <v>0</v>
      </c>
      <c r="Y291" s="445" t="str">
        <f t="shared" si="4"/>
        <v/>
      </c>
      <c r="Z291" s="278"/>
      <c r="AA291" s="466"/>
      <c r="AB291" s="278"/>
      <c r="AC291" s="278"/>
      <c r="AD291" s="278"/>
      <c r="AE291" s="278"/>
      <c r="AF291" s="278"/>
      <c r="AG291" s="278" t="b">
        <f t="shared" si="5"/>
        <v>0</v>
      </c>
      <c r="AH291" s="454"/>
      <c r="AI291" s="278"/>
      <c r="AJ291" s="278"/>
      <c r="AK291" s="278"/>
      <c r="AL291" s="444" t="str">
        <f t="array" ref="AL291">IFERROR(IFS(OR(AJ291="A1-Mewtwo", AJ291="A1-Pikachu", AJ291="A1-Charizard", AJ291="A1"), XLOOKUP(AH291, 'Genetic Apex'!$C$2:$C889, 'Genetic Apex'!$B$2:$B889)-2, AJ291="A1a", XLOOKUP(AH291, 'Mythical Island'!$C$2:$C889, 'Mythical Island'!$B$2:$B889)-2, OR(AJ291="A2-Dialga", AJ291="A2-Palkia", AJ291="A2"), XLOOKUP(AH291, 'Space-Time Smackdown'!$C$2:$C889, 'Space-Time Smackdown'!$B$2:$B889)-2))</f>
        <v/>
      </c>
      <c r="AM291" s="444" t="str">
        <f t="shared" si="6"/>
        <v/>
      </c>
      <c r="AN291" s="448" t="str">
        <f t="shared" si="7"/>
        <v/>
      </c>
    </row>
    <row r="292">
      <c r="A292" s="277"/>
      <c r="B292" s="277"/>
      <c r="C292" s="441"/>
      <c r="D292" s="277"/>
      <c r="E292" s="277"/>
      <c r="F292" s="277"/>
      <c r="G292" s="277"/>
      <c r="H292" s="277" t="b">
        <f t="shared" si="1"/>
        <v>0</v>
      </c>
      <c r="I292" s="277" t="str">
        <f>IFERROR(__xludf.DUMMYFUNCTION("""COMPUTED_VALUE"""),"A1a 002")</f>
        <v>A1a 002</v>
      </c>
      <c r="J292" s="277" t="str">
        <f>IFERROR(__xludf.DUMMYFUNCTION("""COMPUTED_VALUE"""),"Exeggutor")</f>
        <v>Exeggutor</v>
      </c>
      <c r="K292" s="277" t="str">
        <f>IFERROR(__xludf.DUMMYFUNCTION("""COMPUTED_VALUE"""),"A1a")</f>
        <v>A1a</v>
      </c>
      <c r="L292" s="277" t="str">
        <f>IFERROR(__xludf.DUMMYFUNCTION("""COMPUTED_VALUE"""),"♢♢")</f>
        <v>♢♢</v>
      </c>
      <c r="M292" s="440" t="b">
        <f t="shared" si="2"/>
        <v>1</v>
      </c>
      <c r="N292" s="441"/>
      <c r="O292" s="277"/>
      <c r="P292" s="277"/>
      <c r="Q292" s="278"/>
      <c r="R292" s="449" t="str">
        <f t="array" ref="R292">IFERROR(IFS(OR(P292="A1-Mewtwo", P292="A1-Pikachu", P292="A1-Charizard", P292="A1"), XLOOKUP(N292, 'Genetic Apex'!$C$2:$C889, 'Genetic Apex'!$B$2:$B889)-$B$4, P292="A1a", XLOOKUP(N292, 'Mythical Island'!$C$2:$C889, 'Mythical Island'!$B$2:$B889)-$B$4, OR(P292="A2-Dialga", P292="A2-Palkia", P292="A2"), XLOOKUP(N292, 'Space-Time Smackdown'!$C$2:$C889, 'Space-Time Smackdown'!$B$2:$B889)-$B$4))</f>
        <v/>
      </c>
      <c r="S292" s="277" t="str">
        <f>IFERROR(__xludf.DUMMYFUNCTION("""COMPUTED_VALUE"""),"A1a 039")</f>
        <v>A1a 039</v>
      </c>
      <c r="T292" s="277" t="str">
        <f>IFERROR(__xludf.DUMMYFUNCTION("""COMPUTED_VALUE"""),"Swirlix")</f>
        <v>Swirlix</v>
      </c>
      <c r="U292" s="277" t="str">
        <f>IFERROR(__xludf.DUMMYFUNCTION("""COMPUTED_VALUE"""),"A1a")</f>
        <v>A1a</v>
      </c>
      <c r="V292" s="278" t="str">
        <f>IFERROR(__xludf.DUMMYFUNCTION("""COMPUTED_VALUE"""),"♢")</f>
        <v>♢</v>
      </c>
      <c r="W292" s="443">
        <f t="array" ref="W292">IFERROR(IFS(OR(U292="A1-Mewtwo", U292="A1-Pikachu", U292="A1-Charizard", U292="A1"), $B$5-XLOOKUP(S292, 'Genetic Apex'!$C$2:$C889, 'Genetic Apex'!$B$2:$B889), U292="A1a", $B$5-XLOOKUP(S292, 'Mythical Island'!$C$2:$C889, 'Mythical Island'!$B$2:$B889), OR(U292="A2-Dialga", U292="A2-Palkia", U292="A2"), $B$5-XLOOKUP(S292, 'Space-Time Smackdown'!$C$2:$C889, 'Space-Time Smackdown'!$B$2:$B889)))</f>
        <v>1</v>
      </c>
      <c r="X292" s="444">
        <f t="shared" si="3"/>
        <v>0</v>
      </c>
      <c r="Y292" s="445" t="str">
        <f t="shared" si="4"/>
        <v/>
      </c>
      <c r="Z292" s="278"/>
      <c r="AA292" s="466"/>
      <c r="AB292" s="278"/>
      <c r="AC292" s="278"/>
      <c r="AD292" s="278"/>
      <c r="AE292" s="278"/>
      <c r="AF292" s="278"/>
      <c r="AG292" s="278" t="b">
        <f t="shared" si="5"/>
        <v>0</v>
      </c>
      <c r="AH292" s="454"/>
      <c r="AI292" s="278"/>
      <c r="AJ292" s="278"/>
      <c r="AK292" s="278"/>
      <c r="AL292" s="444" t="str">
        <f t="array" ref="AL292">IFERROR(IFS(OR(AJ292="A1-Mewtwo", AJ292="A1-Pikachu", AJ292="A1-Charizard", AJ292="A1"), XLOOKUP(AH292, 'Genetic Apex'!$C$2:$C889, 'Genetic Apex'!$B$2:$B889)-2, AJ292="A1a", XLOOKUP(AH292, 'Mythical Island'!$C$2:$C889, 'Mythical Island'!$B$2:$B889)-2, OR(AJ292="A2-Dialga", AJ292="A2-Palkia", AJ292="A2"), XLOOKUP(AH292, 'Space-Time Smackdown'!$C$2:$C889, 'Space-Time Smackdown'!$B$2:$B889)-2))</f>
        <v/>
      </c>
      <c r="AM292" s="444" t="str">
        <f t="shared" si="6"/>
        <v/>
      </c>
      <c r="AN292" s="448" t="str">
        <f t="shared" si="7"/>
        <v/>
      </c>
    </row>
    <row r="293">
      <c r="A293" s="277"/>
      <c r="B293" s="277"/>
      <c r="C293" s="441"/>
      <c r="D293" s="277"/>
      <c r="E293" s="277"/>
      <c r="F293" s="277"/>
      <c r="G293" s="277"/>
      <c r="H293" s="277" t="b">
        <f t="shared" si="1"/>
        <v>0</v>
      </c>
      <c r="I293" s="277" t="str">
        <f>IFERROR(__xludf.DUMMYFUNCTION("""COMPUTED_VALUE"""),"A1a 003")</f>
        <v>A1a 003</v>
      </c>
      <c r="J293" s="277" t="str">
        <f>IFERROR(__xludf.DUMMYFUNCTION("""COMPUTED_VALUE"""),"Celebi ex")</f>
        <v>Celebi ex</v>
      </c>
      <c r="K293" s="277" t="str">
        <f>IFERROR(__xludf.DUMMYFUNCTION("""COMPUTED_VALUE"""),"A1a")</f>
        <v>A1a</v>
      </c>
      <c r="L293" s="277" t="str">
        <f>IFERROR(__xludf.DUMMYFUNCTION("""COMPUTED_VALUE"""),"♢♢♢♢")</f>
        <v>♢♢♢♢</v>
      </c>
      <c r="M293" s="440" t="b">
        <f t="shared" si="2"/>
        <v>1</v>
      </c>
      <c r="N293" s="441"/>
      <c r="O293" s="277"/>
      <c r="P293" s="277"/>
      <c r="Q293" s="278"/>
      <c r="R293" s="449" t="str">
        <f t="array" ref="R293">IFERROR(IFS(OR(P293="A1-Mewtwo", P293="A1-Pikachu", P293="A1-Charizard", P293="A1"), XLOOKUP(N293, 'Genetic Apex'!$C$2:$C889, 'Genetic Apex'!$B$2:$B889)-$B$4, P293="A1a", XLOOKUP(N293, 'Mythical Island'!$C$2:$C889, 'Mythical Island'!$B$2:$B889)-$B$4, OR(P293="A2-Dialga", P293="A2-Palkia", P293="A2"), XLOOKUP(N293, 'Space-Time Smackdown'!$C$2:$C889, 'Space-Time Smackdown'!$B$2:$B889)-$B$4))</f>
        <v/>
      </c>
      <c r="S293" s="277" t="str">
        <f>IFERROR(__xludf.DUMMYFUNCTION("""COMPUTED_VALUE"""),"A1a 040")</f>
        <v>A1a 040</v>
      </c>
      <c r="T293" s="277" t="str">
        <f>IFERROR(__xludf.DUMMYFUNCTION("""COMPUTED_VALUE"""),"Slurpuff")</f>
        <v>Slurpuff</v>
      </c>
      <c r="U293" s="277" t="str">
        <f>IFERROR(__xludf.DUMMYFUNCTION("""COMPUTED_VALUE"""),"A1a")</f>
        <v>A1a</v>
      </c>
      <c r="V293" s="278" t="str">
        <f>IFERROR(__xludf.DUMMYFUNCTION("""COMPUTED_VALUE"""),"♢")</f>
        <v>♢</v>
      </c>
      <c r="W293" s="443">
        <f t="array" ref="W293">IFERROR(IFS(OR(U293="A1-Mewtwo", U293="A1-Pikachu", U293="A1-Charizard", U293="A1"), $B$5-XLOOKUP(S293, 'Genetic Apex'!$C$2:$C889, 'Genetic Apex'!$B$2:$B889), U293="A1a", $B$5-XLOOKUP(S293, 'Mythical Island'!$C$2:$C889, 'Mythical Island'!$B$2:$B889), OR(U293="A2-Dialga", U293="A2-Palkia", U293="A2"), $B$5-XLOOKUP(S293, 'Space-Time Smackdown'!$C$2:$C889, 'Space-Time Smackdown'!$B$2:$B889)))</f>
        <v>1</v>
      </c>
      <c r="X293" s="444">
        <f t="shared" si="3"/>
        <v>0</v>
      </c>
      <c r="Y293" s="445" t="str">
        <f t="shared" si="4"/>
        <v/>
      </c>
      <c r="Z293" s="278"/>
      <c r="AA293" s="466"/>
      <c r="AB293" s="278"/>
      <c r="AC293" s="278"/>
      <c r="AD293" s="278"/>
      <c r="AE293" s="278"/>
      <c r="AF293" s="278"/>
      <c r="AG293" s="278" t="b">
        <f t="shared" si="5"/>
        <v>0</v>
      </c>
      <c r="AH293" s="454"/>
      <c r="AI293" s="278"/>
      <c r="AJ293" s="278"/>
      <c r="AK293" s="278"/>
      <c r="AL293" s="444" t="str">
        <f t="array" ref="AL293">IFERROR(IFS(OR(AJ293="A1-Mewtwo", AJ293="A1-Pikachu", AJ293="A1-Charizard", AJ293="A1"), XLOOKUP(AH293, 'Genetic Apex'!$C$2:$C889, 'Genetic Apex'!$B$2:$B889)-2, AJ293="A1a", XLOOKUP(AH293, 'Mythical Island'!$C$2:$C889, 'Mythical Island'!$B$2:$B889)-2, OR(AJ293="A2-Dialga", AJ293="A2-Palkia", AJ293="A2"), XLOOKUP(AH293, 'Space-Time Smackdown'!$C$2:$C889, 'Space-Time Smackdown'!$B$2:$B889)-2))</f>
        <v/>
      </c>
      <c r="AM293" s="444" t="str">
        <f t="shared" si="6"/>
        <v/>
      </c>
      <c r="AN293" s="448" t="str">
        <f t="shared" si="7"/>
        <v/>
      </c>
    </row>
    <row r="294">
      <c r="A294" s="277"/>
      <c r="B294" s="277"/>
      <c r="C294" s="441"/>
      <c r="D294" s="277"/>
      <c r="E294" s="277"/>
      <c r="F294" s="277"/>
      <c r="G294" s="277"/>
      <c r="H294" s="277" t="b">
        <f t="shared" si="1"/>
        <v>0</v>
      </c>
      <c r="I294" s="277" t="str">
        <f>IFERROR(__xludf.DUMMYFUNCTION("""COMPUTED_VALUE"""),"A1a 004")</f>
        <v>A1a 004</v>
      </c>
      <c r="J294" s="277" t="str">
        <f>IFERROR(__xludf.DUMMYFUNCTION("""COMPUTED_VALUE"""),"Snivy")</f>
        <v>Snivy</v>
      </c>
      <c r="K294" s="277" t="str">
        <f>IFERROR(__xludf.DUMMYFUNCTION("""COMPUTED_VALUE"""),"A1a")</f>
        <v>A1a</v>
      </c>
      <c r="L294" s="277" t="str">
        <f>IFERROR(__xludf.DUMMYFUNCTION("""COMPUTED_VALUE"""),"♢")</f>
        <v>♢</v>
      </c>
      <c r="M294" s="440" t="b">
        <f t="shared" si="2"/>
        <v>1</v>
      </c>
      <c r="N294" s="441"/>
      <c r="O294" s="277"/>
      <c r="P294" s="277"/>
      <c r="Q294" s="278"/>
      <c r="R294" s="449" t="str">
        <f t="array" ref="R294">IFERROR(IFS(OR(P294="A1-Mewtwo", P294="A1-Pikachu", P294="A1-Charizard", P294="A1"), XLOOKUP(N294, 'Genetic Apex'!$C$2:$C889, 'Genetic Apex'!$B$2:$B889)-$B$4, P294="A1a", XLOOKUP(N294, 'Mythical Island'!$C$2:$C889, 'Mythical Island'!$B$2:$B889)-$B$4, OR(P294="A2-Dialga", P294="A2-Palkia", P294="A2"), XLOOKUP(N294, 'Space-Time Smackdown'!$C$2:$C889, 'Space-Time Smackdown'!$B$2:$B889)-$B$4))</f>
        <v/>
      </c>
      <c r="S294" s="277" t="str">
        <f>IFERROR(__xludf.DUMMYFUNCTION("""COMPUTED_VALUE"""),"A1a 041")</f>
        <v>A1a 041</v>
      </c>
      <c r="T294" s="277" t="str">
        <f>IFERROR(__xludf.DUMMYFUNCTION("""COMPUTED_VALUE"""),"Mankey")</f>
        <v>Mankey</v>
      </c>
      <c r="U294" s="277" t="str">
        <f>IFERROR(__xludf.DUMMYFUNCTION("""COMPUTED_VALUE"""),"A1a")</f>
        <v>A1a</v>
      </c>
      <c r="V294" s="278" t="str">
        <f>IFERROR(__xludf.DUMMYFUNCTION("""COMPUTED_VALUE"""),"♢")</f>
        <v>♢</v>
      </c>
      <c r="W294" s="443">
        <f t="array" ref="W294">IFERROR(IFS(OR(U294="A1-Mewtwo", U294="A1-Pikachu", U294="A1-Charizard", U294="A1"), $B$5-XLOOKUP(S294, 'Genetic Apex'!$C$2:$C889, 'Genetic Apex'!$B$2:$B889), U294="A1a", $B$5-XLOOKUP(S294, 'Mythical Island'!$C$2:$C889, 'Mythical Island'!$B$2:$B889), OR(U294="A2-Dialga", U294="A2-Palkia", U294="A2"), $B$5-XLOOKUP(S294, 'Space-Time Smackdown'!$C$2:$C889, 'Space-Time Smackdown'!$B$2:$B889)))</f>
        <v>1</v>
      </c>
      <c r="X294" s="444">
        <f t="shared" si="3"/>
        <v>0</v>
      </c>
      <c r="Y294" s="445" t="str">
        <f t="shared" si="4"/>
        <v/>
      </c>
      <c r="Z294" s="278"/>
      <c r="AA294" s="466"/>
      <c r="AB294" s="278"/>
      <c r="AC294" s="278"/>
      <c r="AD294" s="278"/>
      <c r="AE294" s="278"/>
      <c r="AF294" s="278"/>
      <c r="AG294" s="278" t="b">
        <f t="shared" si="5"/>
        <v>0</v>
      </c>
      <c r="AH294" s="454"/>
      <c r="AI294" s="278"/>
      <c r="AJ294" s="278"/>
      <c r="AK294" s="278"/>
      <c r="AL294" s="444" t="str">
        <f t="array" ref="AL294">IFERROR(IFS(OR(AJ294="A1-Mewtwo", AJ294="A1-Pikachu", AJ294="A1-Charizard", AJ294="A1"), XLOOKUP(AH294, 'Genetic Apex'!$C$2:$C889, 'Genetic Apex'!$B$2:$B889)-2, AJ294="A1a", XLOOKUP(AH294, 'Mythical Island'!$C$2:$C889, 'Mythical Island'!$B$2:$B889)-2, OR(AJ294="A2-Dialga", AJ294="A2-Palkia", AJ294="A2"), XLOOKUP(AH294, 'Space-Time Smackdown'!$C$2:$C889, 'Space-Time Smackdown'!$B$2:$B889)-2))</f>
        <v/>
      </c>
      <c r="AM294" s="444" t="str">
        <f t="shared" si="6"/>
        <v/>
      </c>
      <c r="AN294" s="448" t="str">
        <f t="shared" si="7"/>
        <v/>
      </c>
    </row>
    <row r="295">
      <c r="A295" s="277"/>
      <c r="B295" s="277"/>
      <c r="C295" s="441"/>
      <c r="D295" s="277"/>
      <c r="E295" s="277"/>
      <c r="F295" s="277"/>
      <c r="G295" s="277"/>
      <c r="H295" s="277" t="b">
        <f t="shared" si="1"/>
        <v>0</v>
      </c>
      <c r="I295" s="277" t="str">
        <f>IFERROR(__xludf.DUMMYFUNCTION("""COMPUTED_VALUE"""),"A1a 005")</f>
        <v>A1a 005</v>
      </c>
      <c r="J295" s="277" t="str">
        <f>IFERROR(__xludf.DUMMYFUNCTION("""COMPUTED_VALUE"""),"Servine")</f>
        <v>Servine</v>
      </c>
      <c r="K295" s="277" t="str">
        <f>IFERROR(__xludf.DUMMYFUNCTION("""COMPUTED_VALUE"""),"A1a")</f>
        <v>A1a</v>
      </c>
      <c r="L295" s="277" t="str">
        <f>IFERROR(__xludf.DUMMYFUNCTION("""COMPUTED_VALUE"""),"♢♢")</f>
        <v>♢♢</v>
      </c>
      <c r="M295" s="440" t="b">
        <f t="shared" si="2"/>
        <v>1</v>
      </c>
      <c r="N295" s="441"/>
      <c r="O295" s="277"/>
      <c r="P295" s="277"/>
      <c r="Q295" s="278"/>
      <c r="R295" s="449" t="str">
        <f t="array" ref="R295">IFERROR(IFS(OR(P295="A1-Mewtwo", P295="A1-Pikachu", P295="A1-Charizard", P295="A1"), XLOOKUP(N295, 'Genetic Apex'!$C$2:$C889, 'Genetic Apex'!$B$2:$B889)-$B$4, P295="A1a", XLOOKUP(N295, 'Mythical Island'!$C$2:$C889, 'Mythical Island'!$B$2:$B889)-$B$4, OR(P295="A2-Dialga", P295="A2-Palkia", P295="A2"), XLOOKUP(N295, 'Space-Time Smackdown'!$C$2:$C889, 'Space-Time Smackdown'!$B$2:$B889)-$B$4))</f>
        <v/>
      </c>
      <c r="S295" s="277" t="str">
        <f>IFERROR(__xludf.DUMMYFUNCTION("""COMPUTED_VALUE"""),"A1a 042")</f>
        <v>A1a 042</v>
      </c>
      <c r="T295" s="277" t="str">
        <f>IFERROR(__xludf.DUMMYFUNCTION("""COMPUTED_VALUE"""),"Primeape")</f>
        <v>Primeape</v>
      </c>
      <c r="U295" s="277" t="str">
        <f>IFERROR(__xludf.DUMMYFUNCTION("""COMPUTED_VALUE"""),"A1a")</f>
        <v>A1a</v>
      </c>
      <c r="V295" s="278" t="str">
        <f>IFERROR(__xludf.DUMMYFUNCTION("""COMPUTED_VALUE"""),"♢")</f>
        <v>♢</v>
      </c>
      <c r="W295" s="443">
        <f t="array" ref="W295">IFERROR(IFS(OR(U295="A1-Mewtwo", U295="A1-Pikachu", U295="A1-Charizard", U295="A1"), $B$5-XLOOKUP(S295, 'Genetic Apex'!$C$2:$C889, 'Genetic Apex'!$B$2:$B889), U295="A1a", $B$5-XLOOKUP(S295, 'Mythical Island'!$C$2:$C889, 'Mythical Island'!$B$2:$B889), OR(U295="A2-Dialga", U295="A2-Palkia", U295="A2"), $B$5-XLOOKUP(S295, 'Space-Time Smackdown'!$C$2:$C889, 'Space-Time Smackdown'!$B$2:$B889)))</f>
        <v>1</v>
      </c>
      <c r="X295" s="444">
        <f t="shared" si="3"/>
        <v>0</v>
      </c>
      <c r="Y295" s="445" t="str">
        <f t="shared" si="4"/>
        <v/>
      </c>
      <c r="Z295" s="278"/>
      <c r="AA295" s="466"/>
      <c r="AB295" s="278"/>
      <c r="AC295" s="278"/>
      <c r="AD295" s="278"/>
      <c r="AE295" s="278"/>
      <c r="AF295" s="278"/>
      <c r="AG295" s="278" t="b">
        <f t="shared" si="5"/>
        <v>0</v>
      </c>
      <c r="AH295" s="454"/>
      <c r="AI295" s="278"/>
      <c r="AJ295" s="278"/>
      <c r="AK295" s="278"/>
      <c r="AL295" s="444" t="str">
        <f t="array" ref="AL295">IFERROR(IFS(OR(AJ295="A1-Mewtwo", AJ295="A1-Pikachu", AJ295="A1-Charizard", AJ295="A1"), XLOOKUP(AH295, 'Genetic Apex'!$C$2:$C889, 'Genetic Apex'!$B$2:$B889)-2, AJ295="A1a", XLOOKUP(AH295, 'Mythical Island'!$C$2:$C889, 'Mythical Island'!$B$2:$B889)-2, OR(AJ295="A2-Dialga", AJ295="A2-Palkia", AJ295="A2"), XLOOKUP(AH295, 'Space-Time Smackdown'!$C$2:$C889, 'Space-Time Smackdown'!$B$2:$B889)-2))</f>
        <v/>
      </c>
      <c r="AM295" s="444" t="str">
        <f t="shared" si="6"/>
        <v/>
      </c>
      <c r="AN295" s="448" t="str">
        <f t="shared" si="7"/>
        <v/>
      </c>
    </row>
    <row r="296">
      <c r="A296" s="277"/>
      <c r="B296" s="277"/>
      <c r="C296" s="441"/>
      <c r="D296" s="277"/>
      <c r="E296" s="277"/>
      <c r="F296" s="277"/>
      <c r="G296" s="277"/>
      <c r="H296" s="277" t="b">
        <f t="shared" si="1"/>
        <v>0</v>
      </c>
      <c r="I296" s="277" t="str">
        <f>IFERROR(__xludf.DUMMYFUNCTION("""COMPUTED_VALUE"""),"A1a 006")</f>
        <v>A1a 006</v>
      </c>
      <c r="J296" s="277" t="str">
        <f>IFERROR(__xludf.DUMMYFUNCTION("""COMPUTED_VALUE"""),"Serperior")</f>
        <v>Serperior</v>
      </c>
      <c r="K296" s="277" t="str">
        <f>IFERROR(__xludf.DUMMYFUNCTION("""COMPUTED_VALUE"""),"A1a")</f>
        <v>A1a</v>
      </c>
      <c r="L296" s="277" t="str">
        <f>IFERROR(__xludf.DUMMYFUNCTION("""COMPUTED_VALUE"""),"♢♢♢")</f>
        <v>♢♢♢</v>
      </c>
      <c r="M296" s="440" t="b">
        <f t="shared" si="2"/>
        <v>1</v>
      </c>
      <c r="N296" s="441"/>
      <c r="O296" s="277"/>
      <c r="P296" s="277"/>
      <c r="Q296" s="278"/>
      <c r="R296" s="449" t="str">
        <f t="array" ref="R296">IFERROR(IFS(OR(P296="A1-Mewtwo", P296="A1-Pikachu", P296="A1-Charizard", P296="A1"), XLOOKUP(N296, 'Genetic Apex'!$C$2:$C889, 'Genetic Apex'!$B$2:$B889)-$B$4, P296="A1a", XLOOKUP(N296, 'Mythical Island'!$C$2:$C889, 'Mythical Island'!$B$2:$B889)-$B$4, OR(P296="A2-Dialga", P296="A2-Palkia", P296="A2"), XLOOKUP(N296, 'Space-Time Smackdown'!$C$2:$C889, 'Space-Time Smackdown'!$B$2:$B889)-$B$4))</f>
        <v/>
      </c>
      <c r="S296" s="277" t="str">
        <f>IFERROR(__xludf.DUMMYFUNCTION("""COMPUTED_VALUE"""),"A1a 043")</f>
        <v>A1a 043</v>
      </c>
      <c r="T296" s="277" t="str">
        <f>IFERROR(__xludf.DUMMYFUNCTION("""COMPUTED_VALUE"""),"Geodude")</f>
        <v>Geodude</v>
      </c>
      <c r="U296" s="277" t="str">
        <f>IFERROR(__xludf.DUMMYFUNCTION("""COMPUTED_VALUE"""),"A1a")</f>
        <v>A1a</v>
      </c>
      <c r="V296" s="278" t="str">
        <f>IFERROR(__xludf.DUMMYFUNCTION("""COMPUTED_VALUE"""),"♢")</f>
        <v>♢</v>
      </c>
      <c r="W296" s="443">
        <f t="array" ref="W296">IFERROR(IFS(OR(U296="A1-Mewtwo", U296="A1-Pikachu", U296="A1-Charizard", U296="A1"), $B$5-XLOOKUP(S296, 'Genetic Apex'!$C$2:$C889, 'Genetic Apex'!$B$2:$B889), U296="A1a", $B$5-XLOOKUP(S296, 'Mythical Island'!$C$2:$C889, 'Mythical Island'!$B$2:$B889), OR(U296="A2-Dialga", U296="A2-Palkia", U296="A2"), $B$5-XLOOKUP(S296, 'Space-Time Smackdown'!$C$2:$C889, 'Space-Time Smackdown'!$B$2:$B889)))</f>
        <v>1</v>
      </c>
      <c r="X296" s="444">
        <f t="shared" si="3"/>
        <v>0</v>
      </c>
      <c r="Y296" s="445" t="str">
        <f t="shared" si="4"/>
        <v/>
      </c>
      <c r="Z296" s="278"/>
      <c r="AA296" s="466"/>
      <c r="AB296" s="278"/>
      <c r="AC296" s="278"/>
      <c r="AD296" s="278"/>
      <c r="AE296" s="278"/>
      <c r="AF296" s="278"/>
      <c r="AG296" s="278" t="b">
        <f t="shared" si="5"/>
        <v>0</v>
      </c>
      <c r="AH296" s="454"/>
      <c r="AI296" s="278"/>
      <c r="AJ296" s="278"/>
      <c r="AK296" s="278"/>
      <c r="AL296" s="444" t="str">
        <f t="array" ref="AL296">IFERROR(IFS(OR(AJ296="A1-Mewtwo", AJ296="A1-Pikachu", AJ296="A1-Charizard", AJ296="A1"), XLOOKUP(AH296, 'Genetic Apex'!$C$2:$C889, 'Genetic Apex'!$B$2:$B889)-2, AJ296="A1a", XLOOKUP(AH296, 'Mythical Island'!$C$2:$C889, 'Mythical Island'!$B$2:$B889)-2, OR(AJ296="A2-Dialga", AJ296="A2-Palkia", AJ296="A2"), XLOOKUP(AH296, 'Space-Time Smackdown'!$C$2:$C889, 'Space-Time Smackdown'!$B$2:$B889)-2))</f>
        <v/>
      </c>
      <c r="AM296" s="444" t="str">
        <f t="shared" si="6"/>
        <v/>
      </c>
      <c r="AN296" s="448" t="str">
        <f t="shared" si="7"/>
        <v/>
      </c>
    </row>
    <row r="297">
      <c r="A297" s="277"/>
      <c r="B297" s="277"/>
      <c r="C297" s="441"/>
      <c r="D297" s="277"/>
      <c r="E297" s="277"/>
      <c r="F297" s="277"/>
      <c r="G297" s="277"/>
      <c r="H297" s="277" t="b">
        <f t="shared" si="1"/>
        <v>0</v>
      </c>
      <c r="I297" s="277" t="str">
        <f>IFERROR(__xludf.DUMMYFUNCTION("""COMPUTED_VALUE"""),"A1a 007")</f>
        <v>A1a 007</v>
      </c>
      <c r="J297" s="277" t="str">
        <f>IFERROR(__xludf.DUMMYFUNCTION("""COMPUTED_VALUE"""),"Morelull")</f>
        <v>Morelull</v>
      </c>
      <c r="K297" s="277" t="str">
        <f>IFERROR(__xludf.DUMMYFUNCTION("""COMPUTED_VALUE"""),"A1a")</f>
        <v>A1a</v>
      </c>
      <c r="L297" s="277" t="str">
        <f>IFERROR(__xludf.DUMMYFUNCTION("""COMPUTED_VALUE"""),"♢")</f>
        <v>♢</v>
      </c>
      <c r="M297" s="440" t="b">
        <f t="shared" si="2"/>
        <v>1</v>
      </c>
      <c r="N297" s="441"/>
      <c r="O297" s="277"/>
      <c r="P297" s="277"/>
      <c r="Q297" s="278"/>
      <c r="R297" s="449" t="str">
        <f t="array" ref="R297">IFERROR(IFS(OR(P297="A1-Mewtwo", P297="A1-Pikachu", P297="A1-Charizard", P297="A1"), XLOOKUP(N297, 'Genetic Apex'!$C$2:$C889, 'Genetic Apex'!$B$2:$B889)-$B$4, P297="A1a", XLOOKUP(N297, 'Mythical Island'!$C$2:$C889, 'Mythical Island'!$B$2:$B889)-$B$4, OR(P297="A2-Dialga", P297="A2-Palkia", P297="A2"), XLOOKUP(N297, 'Space-Time Smackdown'!$C$2:$C889, 'Space-Time Smackdown'!$B$2:$B889)-$B$4))</f>
        <v/>
      </c>
      <c r="S297" s="277" t="str">
        <f>IFERROR(__xludf.DUMMYFUNCTION("""COMPUTED_VALUE"""),"A1a 044")</f>
        <v>A1a 044</v>
      </c>
      <c r="T297" s="277" t="str">
        <f>IFERROR(__xludf.DUMMYFUNCTION("""COMPUTED_VALUE"""),"Graveller")</f>
        <v>Graveller</v>
      </c>
      <c r="U297" s="277" t="str">
        <f>IFERROR(__xludf.DUMMYFUNCTION("""COMPUTED_VALUE"""),"A1a")</f>
        <v>A1a</v>
      </c>
      <c r="V297" s="278" t="str">
        <f>IFERROR(__xludf.DUMMYFUNCTION("""COMPUTED_VALUE"""),"♢♢")</f>
        <v>♢♢</v>
      </c>
      <c r="W297" s="443">
        <f t="array" ref="W297">IFERROR(IFS(OR(U297="A1-Mewtwo", U297="A1-Pikachu", U297="A1-Charizard", U297="A1"), $B$5-XLOOKUP(S297, 'Genetic Apex'!$C$2:$C889, 'Genetic Apex'!$B$2:$B889), U297="A1a", $B$5-XLOOKUP(S297, 'Mythical Island'!$C$2:$C889, 'Mythical Island'!$B$2:$B889), OR(U297="A2-Dialga", U297="A2-Palkia", U297="A2"), $B$5-XLOOKUP(S297, 'Space-Time Smackdown'!$C$2:$C889, 'Space-Time Smackdown'!$B$2:$B889)))</f>
        <v>1</v>
      </c>
      <c r="X297" s="444">
        <f t="shared" si="3"/>
        <v>0</v>
      </c>
      <c r="Y297" s="445" t="str">
        <f t="shared" si="4"/>
        <v/>
      </c>
      <c r="Z297" s="278"/>
      <c r="AA297" s="466"/>
      <c r="AB297" s="278"/>
      <c r="AC297" s="278"/>
      <c r="AD297" s="278"/>
      <c r="AE297" s="278"/>
      <c r="AF297" s="278"/>
      <c r="AG297" s="278" t="b">
        <f t="shared" si="5"/>
        <v>0</v>
      </c>
      <c r="AH297" s="454"/>
      <c r="AI297" s="278"/>
      <c r="AJ297" s="278"/>
      <c r="AK297" s="278"/>
      <c r="AL297" s="444" t="str">
        <f t="array" ref="AL297">IFERROR(IFS(OR(AJ297="A1-Mewtwo", AJ297="A1-Pikachu", AJ297="A1-Charizard", AJ297="A1"), XLOOKUP(AH297, 'Genetic Apex'!$C$2:$C889, 'Genetic Apex'!$B$2:$B889)-2, AJ297="A1a", XLOOKUP(AH297, 'Mythical Island'!$C$2:$C889, 'Mythical Island'!$B$2:$B889)-2, OR(AJ297="A2-Dialga", AJ297="A2-Palkia", AJ297="A2"), XLOOKUP(AH297, 'Space-Time Smackdown'!$C$2:$C889, 'Space-Time Smackdown'!$B$2:$B889)-2))</f>
        <v/>
      </c>
      <c r="AM297" s="444" t="str">
        <f t="shared" si="6"/>
        <v/>
      </c>
      <c r="AN297" s="448" t="str">
        <f t="shared" si="7"/>
        <v/>
      </c>
    </row>
    <row r="298">
      <c r="A298" s="277"/>
      <c r="B298" s="277"/>
      <c r="C298" s="441"/>
      <c r="D298" s="277"/>
      <c r="E298" s="277"/>
      <c r="F298" s="277"/>
      <c r="G298" s="277"/>
      <c r="H298" s="277" t="b">
        <f t="shared" si="1"/>
        <v>0</v>
      </c>
      <c r="I298" s="277" t="str">
        <f>IFERROR(__xludf.DUMMYFUNCTION("""COMPUTED_VALUE"""),"A1a 008")</f>
        <v>A1a 008</v>
      </c>
      <c r="J298" s="277" t="str">
        <f>IFERROR(__xludf.DUMMYFUNCTION("""COMPUTED_VALUE"""),"Shiinotic")</f>
        <v>Shiinotic</v>
      </c>
      <c r="K298" s="277" t="str">
        <f>IFERROR(__xludf.DUMMYFUNCTION("""COMPUTED_VALUE"""),"A1a")</f>
        <v>A1a</v>
      </c>
      <c r="L298" s="277" t="str">
        <f>IFERROR(__xludf.DUMMYFUNCTION("""COMPUTED_VALUE"""),"♢♢")</f>
        <v>♢♢</v>
      </c>
      <c r="M298" s="440" t="b">
        <f t="shared" si="2"/>
        <v>1</v>
      </c>
      <c r="N298" s="441"/>
      <c r="O298" s="277"/>
      <c r="P298" s="277"/>
      <c r="Q298" s="278"/>
      <c r="R298" s="449" t="str">
        <f t="array" ref="R298">IFERROR(IFS(OR(P298="A1-Mewtwo", P298="A1-Pikachu", P298="A1-Charizard", P298="A1"), XLOOKUP(N298, 'Genetic Apex'!$C$2:$C889, 'Genetic Apex'!$B$2:$B889)-$B$4, P298="A1a", XLOOKUP(N298, 'Mythical Island'!$C$2:$C889, 'Mythical Island'!$B$2:$B889)-$B$4, OR(P298="A2-Dialga", P298="A2-Palkia", P298="A2"), XLOOKUP(N298, 'Space-Time Smackdown'!$C$2:$C889, 'Space-Time Smackdown'!$B$2:$B889)-$B$4))</f>
        <v/>
      </c>
      <c r="S298" s="277" t="str">
        <f>IFERROR(__xludf.DUMMYFUNCTION("""COMPUTED_VALUE"""),"A1a 045")</f>
        <v>A1a 045</v>
      </c>
      <c r="T298" s="277" t="str">
        <f>IFERROR(__xludf.DUMMYFUNCTION("""COMPUTED_VALUE"""),"Golem")</f>
        <v>Golem</v>
      </c>
      <c r="U298" s="277" t="str">
        <f>IFERROR(__xludf.DUMMYFUNCTION("""COMPUTED_VALUE"""),"A1a")</f>
        <v>A1a</v>
      </c>
      <c r="V298" s="278" t="str">
        <f>IFERROR(__xludf.DUMMYFUNCTION("""COMPUTED_VALUE"""),"♢♢♢")</f>
        <v>♢♢♢</v>
      </c>
      <c r="W298" s="443">
        <f t="array" ref="W298">IFERROR(IFS(OR(U298="A1-Mewtwo", U298="A1-Pikachu", U298="A1-Charizard", U298="A1"), $B$5-XLOOKUP(S298, 'Genetic Apex'!$C$2:$C889, 'Genetic Apex'!$B$2:$B889), U298="A1a", $B$5-XLOOKUP(S298, 'Mythical Island'!$C$2:$C889, 'Mythical Island'!$B$2:$B889), OR(U298="A2-Dialga", U298="A2-Palkia", U298="A2"), $B$5-XLOOKUP(S298, 'Space-Time Smackdown'!$C$2:$C889, 'Space-Time Smackdown'!$B$2:$B889)))</f>
        <v>1</v>
      </c>
      <c r="X298" s="444">
        <f t="shared" si="3"/>
        <v>120</v>
      </c>
      <c r="Y298" s="445">
        <f t="shared" si="4"/>
        <v>120</v>
      </c>
      <c r="Z298" s="278"/>
      <c r="AA298" s="466"/>
      <c r="AB298" s="278"/>
      <c r="AC298" s="278"/>
      <c r="AD298" s="278"/>
      <c r="AE298" s="278"/>
      <c r="AF298" s="278"/>
      <c r="AG298" s="278" t="b">
        <f t="shared" si="5"/>
        <v>0</v>
      </c>
      <c r="AH298" s="454"/>
      <c r="AI298" s="278"/>
      <c r="AJ298" s="278"/>
      <c r="AK298" s="278"/>
      <c r="AL298" s="444" t="str">
        <f t="array" ref="AL298">IFERROR(IFS(OR(AJ298="A1-Mewtwo", AJ298="A1-Pikachu", AJ298="A1-Charizard", AJ298="A1"), XLOOKUP(AH298, 'Genetic Apex'!$C$2:$C889, 'Genetic Apex'!$B$2:$B889)-2, AJ298="A1a", XLOOKUP(AH298, 'Mythical Island'!$C$2:$C889, 'Mythical Island'!$B$2:$B889)-2, OR(AJ298="A2-Dialga", AJ298="A2-Palkia", AJ298="A2"), XLOOKUP(AH298, 'Space-Time Smackdown'!$C$2:$C889, 'Space-Time Smackdown'!$B$2:$B889)-2))</f>
        <v/>
      </c>
      <c r="AM298" s="444" t="str">
        <f t="shared" si="6"/>
        <v/>
      </c>
      <c r="AN298" s="448" t="str">
        <f t="shared" si="7"/>
        <v/>
      </c>
    </row>
    <row r="299">
      <c r="A299" s="277"/>
      <c r="B299" s="277"/>
      <c r="C299" s="441"/>
      <c r="D299" s="277"/>
      <c r="E299" s="277"/>
      <c r="F299" s="277"/>
      <c r="G299" s="277"/>
      <c r="H299" s="277" t="b">
        <f t="shared" si="1"/>
        <v>0</v>
      </c>
      <c r="I299" s="277" t="str">
        <f>IFERROR(__xludf.DUMMYFUNCTION("""COMPUTED_VALUE"""),"A1a 009")</f>
        <v>A1a 009</v>
      </c>
      <c r="J299" s="277" t="str">
        <f>IFERROR(__xludf.DUMMYFUNCTION("""COMPUTED_VALUE"""),"Dhelmise")</f>
        <v>Dhelmise</v>
      </c>
      <c r="K299" s="277" t="str">
        <f>IFERROR(__xludf.DUMMYFUNCTION("""COMPUTED_VALUE"""),"A1a")</f>
        <v>A1a</v>
      </c>
      <c r="L299" s="277" t="str">
        <f>IFERROR(__xludf.DUMMYFUNCTION("""COMPUTED_VALUE"""),"♢♢")</f>
        <v>♢♢</v>
      </c>
      <c r="M299" s="440" t="b">
        <f t="shared" si="2"/>
        <v>1</v>
      </c>
      <c r="N299" s="441"/>
      <c r="O299" s="277"/>
      <c r="P299" s="277"/>
      <c r="Q299" s="278"/>
      <c r="R299" s="449" t="str">
        <f t="array" ref="R299">IFERROR(IFS(OR(P299="A1-Mewtwo", P299="A1-Pikachu", P299="A1-Charizard", P299="A1"), XLOOKUP(N299, 'Genetic Apex'!$C$2:$C889, 'Genetic Apex'!$B$2:$B889)-$B$4, P299="A1a", XLOOKUP(N299, 'Mythical Island'!$C$2:$C889, 'Mythical Island'!$B$2:$B889)-$B$4, OR(P299="A2-Dialga", P299="A2-Palkia", P299="A2"), XLOOKUP(N299, 'Space-Time Smackdown'!$C$2:$C889, 'Space-Time Smackdown'!$B$2:$B889)-$B$4))</f>
        <v/>
      </c>
      <c r="S299" s="277" t="str">
        <f>IFERROR(__xludf.DUMMYFUNCTION("""COMPUTED_VALUE"""),"A1a 046")</f>
        <v>A1a 046</v>
      </c>
      <c r="T299" s="277" t="str">
        <f>IFERROR(__xludf.DUMMYFUNCTION("""COMPUTED_VALUE"""),"Aerodactyl ex")</f>
        <v>Aerodactyl ex</v>
      </c>
      <c r="U299" s="277" t="str">
        <f>IFERROR(__xludf.DUMMYFUNCTION("""COMPUTED_VALUE"""),"A1a")</f>
        <v>A1a</v>
      </c>
      <c r="V299" s="278" t="str">
        <f>IFERROR(__xludf.DUMMYFUNCTION("""COMPUTED_VALUE"""),"♢♢♢♢")</f>
        <v>♢♢♢♢</v>
      </c>
      <c r="W299" s="443">
        <f t="array" ref="W299">IFERROR(IFS(OR(U299="A1-Mewtwo", U299="A1-Pikachu", U299="A1-Charizard", U299="A1"), $B$5-XLOOKUP(S299, 'Genetic Apex'!$C$2:$C889, 'Genetic Apex'!$B$2:$B889), U299="A1a", $B$5-XLOOKUP(S299, 'Mythical Island'!$C$2:$C889, 'Mythical Island'!$B$2:$B889), OR(U299="A2-Dialga", U299="A2-Palkia", U299="A2"), $B$5-XLOOKUP(S299, 'Space-Time Smackdown'!$C$2:$C889, 'Space-Time Smackdown'!$B$2:$B889)))</f>
        <v>1</v>
      </c>
      <c r="X299" s="444">
        <f t="shared" si="3"/>
        <v>500</v>
      </c>
      <c r="Y299" s="445">
        <f t="shared" si="4"/>
        <v>500</v>
      </c>
      <c r="Z299" s="278"/>
      <c r="AA299" s="466"/>
      <c r="AB299" s="278"/>
      <c r="AC299" s="278"/>
      <c r="AD299" s="278"/>
      <c r="AE299" s="278"/>
      <c r="AF299" s="278"/>
      <c r="AG299" s="278" t="b">
        <f t="shared" si="5"/>
        <v>0</v>
      </c>
      <c r="AH299" s="454"/>
      <c r="AI299" s="278"/>
      <c r="AJ299" s="278"/>
      <c r="AK299" s="278"/>
      <c r="AL299" s="444" t="str">
        <f t="array" ref="AL299">IFERROR(IFS(OR(AJ299="A1-Mewtwo", AJ299="A1-Pikachu", AJ299="A1-Charizard", AJ299="A1"), XLOOKUP(AH299, 'Genetic Apex'!$C$2:$C889, 'Genetic Apex'!$B$2:$B889)-2, AJ299="A1a", XLOOKUP(AH299, 'Mythical Island'!$C$2:$C889, 'Mythical Island'!$B$2:$B889)-2, OR(AJ299="A2-Dialga", AJ299="A2-Palkia", AJ299="A2"), XLOOKUP(AH299, 'Space-Time Smackdown'!$C$2:$C889, 'Space-Time Smackdown'!$B$2:$B889)-2))</f>
        <v/>
      </c>
      <c r="AM299" s="444" t="str">
        <f t="shared" si="6"/>
        <v/>
      </c>
      <c r="AN299" s="448" t="str">
        <f t="shared" si="7"/>
        <v/>
      </c>
    </row>
    <row r="300">
      <c r="A300" s="277"/>
      <c r="B300" s="277"/>
      <c r="C300" s="441"/>
      <c r="D300" s="277"/>
      <c r="E300" s="277"/>
      <c r="F300" s="277"/>
      <c r="G300" s="277"/>
      <c r="H300" s="277" t="b">
        <f t="shared" si="1"/>
        <v>0</v>
      </c>
      <c r="I300" s="277" t="str">
        <f>IFERROR(__xludf.DUMMYFUNCTION("""COMPUTED_VALUE"""),"A1a 010")</f>
        <v>A1a 010</v>
      </c>
      <c r="J300" s="277" t="str">
        <f>IFERROR(__xludf.DUMMYFUNCTION("""COMPUTED_VALUE"""),"Ponyta")</f>
        <v>Ponyta</v>
      </c>
      <c r="K300" s="277" t="str">
        <f>IFERROR(__xludf.DUMMYFUNCTION("""COMPUTED_VALUE"""),"A1a")</f>
        <v>A1a</v>
      </c>
      <c r="L300" s="277" t="str">
        <f>IFERROR(__xludf.DUMMYFUNCTION("""COMPUTED_VALUE"""),"♢")</f>
        <v>♢</v>
      </c>
      <c r="M300" s="440" t="b">
        <f t="shared" si="2"/>
        <v>1</v>
      </c>
      <c r="N300" s="441"/>
      <c r="O300" s="277"/>
      <c r="P300" s="277"/>
      <c r="Q300" s="278"/>
      <c r="R300" s="449" t="str">
        <f t="array" ref="R300">IFERROR(IFS(OR(P300="A1-Mewtwo", P300="A1-Pikachu", P300="A1-Charizard", P300="A1"), XLOOKUP(N300, 'Genetic Apex'!$C$2:$C889, 'Genetic Apex'!$B$2:$B889)-$B$4, P300="A1a", XLOOKUP(N300, 'Mythical Island'!$C$2:$C889, 'Mythical Island'!$B$2:$B889)-$B$4, OR(P300="A2-Dialga", P300="A2-Palkia", P300="A2"), XLOOKUP(N300, 'Space-Time Smackdown'!$C$2:$C889, 'Space-Time Smackdown'!$B$2:$B889)-$B$4))</f>
        <v/>
      </c>
      <c r="S300" s="277" t="str">
        <f>IFERROR(__xludf.DUMMYFUNCTION("""COMPUTED_VALUE"""),"A1a 047")</f>
        <v>A1a 047</v>
      </c>
      <c r="T300" s="277" t="str">
        <f>IFERROR(__xludf.DUMMYFUNCTION("""COMPUTED_VALUE"""),"Marshadow")</f>
        <v>Marshadow</v>
      </c>
      <c r="U300" s="277" t="str">
        <f>IFERROR(__xludf.DUMMYFUNCTION("""COMPUTED_VALUE"""),"A1a")</f>
        <v>A1a</v>
      </c>
      <c r="V300" s="278" t="str">
        <f>IFERROR(__xludf.DUMMYFUNCTION("""COMPUTED_VALUE"""),"♢♢♢")</f>
        <v>♢♢♢</v>
      </c>
      <c r="W300" s="443">
        <f t="array" ref="W300">IFERROR(IFS(OR(U300="A1-Mewtwo", U300="A1-Pikachu", U300="A1-Charizard", U300="A1"), $B$5-XLOOKUP(S300, 'Genetic Apex'!$C$2:$C889, 'Genetic Apex'!$B$2:$B889), U300="A1a", $B$5-XLOOKUP(S300, 'Mythical Island'!$C$2:$C889, 'Mythical Island'!$B$2:$B889), OR(U300="A2-Dialga", U300="A2-Palkia", U300="A2"), $B$5-XLOOKUP(S300, 'Space-Time Smackdown'!$C$2:$C889, 'Space-Time Smackdown'!$B$2:$B889)))</f>
        <v>1</v>
      </c>
      <c r="X300" s="444">
        <f t="shared" si="3"/>
        <v>120</v>
      </c>
      <c r="Y300" s="445">
        <f t="shared" si="4"/>
        <v>120</v>
      </c>
      <c r="Z300" s="278"/>
      <c r="AA300" s="466"/>
      <c r="AB300" s="278"/>
      <c r="AC300" s="278"/>
      <c r="AD300" s="278"/>
      <c r="AE300" s="278"/>
      <c r="AF300" s="278"/>
      <c r="AG300" s="278" t="b">
        <f t="shared" si="5"/>
        <v>0</v>
      </c>
      <c r="AH300" s="454"/>
      <c r="AI300" s="278"/>
      <c r="AJ300" s="278"/>
      <c r="AK300" s="278"/>
      <c r="AL300" s="444" t="str">
        <f t="array" ref="AL300">IFERROR(IFS(OR(AJ300="A1-Mewtwo", AJ300="A1-Pikachu", AJ300="A1-Charizard", AJ300="A1"), XLOOKUP(AH300, 'Genetic Apex'!$C$2:$C889, 'Genetic Apex'!$B$2:$B889)-2, AJ300="A1a", XLOOKUP(AH300, 'Mythical Island'!$C$2:$C889, 'Mythical Island'!$B$2:$B889)-2, OR(AJ300="A2-Dialga", AJ300="A2-Palkia", AJ300="A2"), XLOOKUP(AH300, 'Space-Time Smackdown'!$C$2:$C889, 'Space-Time Smackdown'!$B$2:$B889)-2))</f>
        <v/>
      </c>
      <c r="AM300" s="444" t="str">
        <f t="shared" si="6"/>
        <v/>
      </c>
      <c r="AN300" s="448" t="str">
        <f t="shared" si="7"/>
        <v/>
      </c>
    </row>
    <row r="301">
      <c r="A301" s="277"/>
      <c r="B301" s="277"/>
      <c r="C301" s="441"/>
      <c r="D301" s="277"/>
      <c r="E301" s="277"/>
      <c r="F301" s="277"/>
      <c r="G301" s="277"/>
      <c r="H301" s="277" t="b">
        <f t="shared" si="1"/>
        <v>0</v>
      </c>
      <c r="I301" s="277" t="str">
        <f>IFERROR(__xludf.DUMMYFUNCTION("""COMPUTED_VALUE"""),"A1a 011")</f>
        <v>A1a 011</v>
      </c>
      <c r="J301" s="277" t="str">
        <f>IFERROR(__xludf.DUMMYFUNCTION("""COMPUTED_VALUE"""),"Rapidash")</f>
        <v>Rapidash</v>
      </c>
      <c r="K301" s="277" t="str">
        <f>IFERROR(__xludf.DUMMYFUNCTION("""COMPUTED_VALUE"""),"A1a")</f>
        <v>A1a</v>
      </c>
      <c r="L301" s="277" t="str">
        <f>IFERROR(__xludf.DUMMYFUNCTION("""COMPUTED_VALUE"""),"♢♢")</f>
        <v>♢♢</v>
      </c>
      <c r="M301" s="440" t="b">
        <f t="shared" si="2"/>
        <v>1</v>
      </c>
      <c r="N301" s="441"/>
      <c r="O301" s="277"/>
      <c r="P301" s="277"/>
      <c r="Q301" s="278"/>
      <c r="R301" s="449" t="str">
        <f t="array" ref="R301">IFERROR(IFS(OR(P301="A1-Mewtwo", P301="A1-Pikachu", P301="A1-Charizard", P301="A1"), XLOOKUP(N301, 'Genetic Apex'!$C$2:$C889, 'Genetic Apex'!$B$2:$B889)-$B$4, P301="A1a", XLOOKUP(N301, 'Mythical Island'!$C$2:$C889, 'Mythical Island'!$B$2:$B889)-$B$4, OR(P301="A2-Dialga", P301="A2-Palkia", P301="A2"), XLOOKUP(N301, 'Space-Time Smackdown'!$C$2:$C889, 'Space-Time Smackdown'!$B$2:$B889)-$B$4))</f>
        <v/>
      </c>
      <c r="S301" s="277" t="str">
        <f>IFERROR(__xludf.DUMMYFUNCTION("""COMPUTED_VALUE"""),"A1a 048")</f>
        <v>A1a 048</v>
      </c>
      <c r="T301" s="277" t="str">
        <f>IFERROR(__xludf.DUMMYFUNCTION("""COMPUTED_VALUE"""),"Stonejourner")</f>
        <v>Stonejourner</v>
      </c>
      <c r="U301" s="277" t="str">
        <f>IFERROR(__xludf.DUMMYFUNCTION("""COMPUTED_VALUE"""),"A1a")</f>
        <v>A1a</v>
      </c>
      <c r="V301" s="278" t="str">
        <f>IFERROR(__xludf.DUMMYFUNCTION("""COMPUTED_VALUE"""),"♢♢")</f>
        <v>♢♢</v>
      </c>
      <c r="W301" s="443">
        <f t="array" ref="W301">IFERROR(IFS(OR(U301="A1-Mewtwo", U301="A1-Pikachu", U301="A1-Charizard", U301="A1"), $B$5-XLOOKUP(S301, 'Genetic Apex'!$C$2:$C889, 'Genetic Apex'!$B$2:$B889), U301="A1a", $B$5-XLOOKUP(S301, 'Mythical Island'!$C$2:$C889, 'Mythical Island'!$B$2:$B889), OR(U301="A2-Dialga", U301="A2-Palkia", U301="A2"), $B$5-XLOOKUP(S301, 'Space-Time Smackdown'!$C$2:$C889, 'Space-Time Smackdown'!$B$2:$B889)))</f>
        <v>1</v>
      </c>
      <c r="X301" s="444">
        <f t="shared" si="3"/>
        <v>0</v>
      </c>
      <c r="Y301" s="445" t="str">
        <f t="shared" si="4"/>
        <v/>
      </c>
      <c r="Z301" s="278"/>
      <c r="AA301" s="466"/>
      <c r="AB301" s="278"/>
      <c r="AC301" s="278"/>
      <c r="AD301" s="278"/>
      <c r="AE301" s="278"/>
      <c r="AF301" s="278"/>
      <c r="AG301" s="278" t="b">
        <f t="shared" si="5"/>
        <v>0</v>
      </c>
      <c r="AH301" s="454"/>
      <c r="AI301" s="278"/>
      <c r="AJ301" s="278"/>
      <c r="AK301" s="278"/>
      <c r="AL301" s="444" t="str">
        <f t="array" ref="AL301">IFERROR(IFS(OR(AJ301="A1-Mewtwo", AJ301="A1-Pikachu", AJ301="A1-Charizard", AJ301="A1"), XLOOKUP(AH301, 'Genetic Apex'!$C$2:$C889, 'Genetic Apex'!$B$2:$B889)-2, AJ301="A1a", XLOOKUP(AH301, 'Mythical Island'!$C$2:$C889, 'Mythical Island'!$B$2:$B889)-2, OR(AJ301="A2-Dialga", AJ301="A2-Palkia", AJ301="A2"), XLOOKUP(AH301, 'Space-Time Smackdown'!$C$2:$C889, 'Space-Time Smackdown'!$B$2:$B889)-2))</f>
        <v/>
      </c>
      <c r="AM301" s="444" t="str">
        <f t="shared" si="6"/>
        <v/>
      </c>
      <c r="AN301" s="448" t="str">
        <f t="shared" si="7"/>
        <v/>
      </c>
    </row>
    <row r="302">
      <c r="A302" s="277"/>
      <c r="B302" s="277"/>
      <c r="C302" s="441"/>
      <c r="D302" s="277"/>
      <c r="E302" s="277"/>
      <c r="F302" s="277"/>
      <c r="G302" s="277"/>
      <c r="H302" s="277" t="b">
        <f t="shared" si="1"/>
        <v>0</v>
      </c>
      <c r="I302" s="277" t="str">
        <f>IFERROR(__xludf.DUMMYFUNCTION("""COMPUTED_VALUE"""),"A1a 012")</f>
        <v>A1a 012</v>
      </c>
      <c r="J302" s="277" t="str">
        <f>IFERROR(__xludf.DUMMYFUNCTION("""COMPUTED_VALUE"""),"Magmar")</f>
        <v>Magmar</v>
      </c>
      <c r="K302" s="277" t="str">
        <f>IFERROR(__xludf.DUMMYFUNCTION("""COMPUTED_VALUE"""),"A1a")</f>
        <v>A1a</v>
      </c>
      <c r="L302" s="277" t="str">
        <f>IFERROR(__xludf.DUMMYFUNCTION("""COMPUTED_VALUE"""),"♢♢")</f>
        <v>♢♢</v>
      </c>
      <c r="M302" s="440" t="b">
        <f t="shared" si="2"/>
        <v>1</v>
      </c>
      <c r="N302" s="441"/>
      <c r="O302" s="277"/>
      <c r="P302" s="277"/>
      <c r="Q302" s="278"/>
      <c r="R302" s="449" t="str">
        <f t="array" ref="R302">IFERROR(IFS(OR(P302="A1-Mewtwo", P302="A1-Pikachu", P302="A1-Charizard", P302="A1"), XLOOKUP(N302, 'Genetic Apex'!$C$2:$C889, 'Genetic Apex'!$B$2:$B889)-$B$4, P302="A1a", XLOOKUP(N302, 'Mythical Island'!$C$2:$C889, 'Mythical Island'!$B$2:$B889)-$B$4, OR(P302="A2-Dialga", P302="A2-Palkia", P302="A2"), XLOOKUP(N302, 'Space-Time Smackdown'!$C$2:$C889, 'Space-Time Smackdown'!$B$2:$B889)-$B$4))</f>
        <v/>
      </c>
      <c r="S302" s="277" t="str">
        <f>IFERROR(__xludf.DUMMYFUNCTION("""COMPUTED_VALUE"""),"A1a 049")</f>
        <v>A1a 049</v>
      </c>
      <c r="T302" s="277" t="str">
        <f>IFERROR(__xludf.DUMMYFUNCTION("""COMPUTED_VALUE"""),"Koffing")</f>
        <v>Koffing</v>
      </c>
      <c r="U302" s="277" t="str">
        <f>IFERROR(__xludf.DUMMYFUNCTION("""COMPUTED_VALUE"""),"A1a")</f>
        <v>A1a</v>
      </c>
      <c r="V302" s="278" t="str">
        <f>IFERROR(__xludf.DUMMYFUNCTION("""COMPUTED_VALUE"""),"♢")</f>
        <v>♢</v>
      </c>
      <c r="W302" s="443">
        <f t="array" ref="W302">IFERROR(IFS(OR(U302="A1-Mewtwo", U302="A1-Pikachu", U302="A1-Charizard", U302="A1"), $B$5-XLOOKUP(S302, 'Genetic Apex'!$C$2:$C889, 'Genetic Apex'!$B$2:$B889), U302="A1a", $B$5-XLOOKUP(S302, 'Mythical Island'!$C$2:$C889, 'Mythical Island'!$B$2:$B889), OR(U302="A2-Dialga", U302="A2-Palkia", U302="A2"), $B$5-XLOOKUP(S302, 'Space-Time Smackdown'!$C$2:$C889, 'Space-Time Smackdown'!$B$2:$B889)))</f>
        <v>1</v>
      </c>
      <c r="X302" s="444">
        <f t="shared" si="3"/>
        <v>0</v>
      </c>
      <c r="Y302" s="445" t="str">
        <f t="shared" si="4"/>
        <v/>
      </c>
      <c r="Z302" s="278"/>
      <c r="AA302" s="466"/>
      <c r="AB302" s="278"/>
      <c r="AC302" s="278"/>
      <c r="AD302" s="278"/>
      <c r="AE302" s="278"/>
      <c r="AF302" s="278"/>
      <c r="AG302" s="278" t="b">
        <f t="shared" si="5"/>
        <v>0</v>
      </c>
      <c r="AH302" s="454"/>
      <c r="AI302" s="278"/>
      <c r="AJ302" s="278"/>
      <c r="AK302" s="278"/>
      <c r="AL302" s="444" t="str">
        <f t="array" ref="AL302">IFERROR(IFS(OR(AJ302="A1-Mewtwo", AJ302="A1-Pikachu", AJ302="A1-Charizard", AJ302="A1"), XLOOKUP(AH302, 'Genetic Apex'!$C$2:$C889, 'Genetic Apex'!$B$2:$B889)-2, AJ302="A1a", XLOOKUP(AH302, 'Mythical Island'!$C$2:$C889, 'Mythical Island'!$B$2:$B889)-2, OR(AJ302="A2-Dialga", AJ302="A2-Palkia", AJ302="A2"), XLOOKUP(AH302, 'Space-Time Smackdown'!$C$2:$C889, 'Space-Time Smackdown'!$B$2:$B889)-2))</f>
        <v/>
      </c>
      <c r="AM302" s="444" t="str">
        <f t="shared" si="6"/>
        <v/>
      </c>
      <c r="AN302" s="448" t="str">
        <f t="shared" si="7"/>
        <v/>
      </c>
    </row>
    <row r="303">
      <c r="A303" s="277"/>
      <c r="B303" s="277"/>
      <c r="C303" s="441"/>
      <c r="D303" s="277"/>
      <c r="E303" s="277"/>
      <c r="F303" s="277"/>
      <c r="G303" s="277"/>
      <c r="H303" s="277" t="b">
        <f t="shared" si="1"/>
        <v>0</v>
      </c>
      <c r="I303" s="277" t="str">
        <f>IFERROR(__xludf.DUMMYFUNCTION("""COMPUTED_VALUE"""),"A1a 013")</f>
        <v>A1a 013</v>
      </c>
      <c r="J303" s="277" t="str">
        <f>IFERROR(__xludf.DUMMYFUNCTION("""COMPUTED_VALUE"""),"Larvesta")</f>
        <v>Larvesta</v>
      </c>
      <c r="K303" s="277" t="str">
        <f>IFERROR(__xludf.DUMMYFUNCTION("""COMPUTED_VALUE"""),"A1a")</f>
        <v>A1a</v>
      </c>
      <c r="L303" s="277" t="str">
        <f>IFERROR(__xludf.DUMMYFUNCTION("""COMPUTED_VALUE"""),"♢")</f>
        <v>♢</v>
      </c>
      <c r="M303" s="440" t="b">
        <f t="shared" si="2"/>
        <v>1</v>
      </c>
      <c r="N303" s="441"/>
      <c r="O303" s="277"/>
      <c r="P303" s="277"/>
      <c r="Q303" s="278"/>
      <c r="R303" s="449" t="str">
        <f t="array" ref="R303">IFERROR(IFS(OR(P303="A1-Mewtwo", P303="A1-Pikachu", P303="A1-Charizard", P303="A1"), XLOOKUP(N303, 'Genetic Apex'!$C$2:$C889, 'Genetic Apex'!$B$2:$B889)-$B$4, P303="A1a", XLOOKUP(N303, 'Mythical Island'!$C$2:$C889, 'Mythical Island'!$B$2:$B889)-$B$4, OR(P303="A2-Dialga", P303="A2-Palkia", P303="A2"), XLOOKUP(N303, 'Space-Time Smackdown'!$C$2:$C889, 'Space-Time Smackdown'!$B$2:$B889)-$B$4))</f>
        <v/>
      </c>
      <c r="S303" s="277" t="str">
        <f>IFERROR(__xludf.DUMMYFUNCTION("""COMPUTED_VALUE"""),"A1a 050")</f>
        <v>A1a 050</v>
      </c>
      <c r="T303" s="277" t="str">
        <f>IFERROR(__xludf.DUMMYFUNCTION("""COMPUTED_VALUE"""),"Weezing")</f>
        <v>Weezing</v>
      </c>
      <c r="U303" s="277" t="str">
        <f>IFERROR(__xludf.DUMMYFUNCTION("""COMPUTED_VALUE"""),"A1a")</f>
        <v>A1a</v>
      </c>
      <c r="V303" s="278" t="str">
        <f>IFERROR(__xludf.DUMMYFUNCTION("""COMPUTED_VALUE"""),"♢♢")</f>
        <v>♢♢</v>
      </c>
      <c r="W303" s="443">
        <f t="array" ref="W303">IFERROR(IFS(OR(U303="A1-Mewtwo", U303="A1-Pikachu", U303="A1-Charizard", U303="A1"), $B$5-XLOOKUP(S303, 'Genetic Apex'!$C$2:$C889, 'Genetic Apex'!$B$2:$B889), U303="A1a", $B$5-XLOOKUP(S303, 'Mythical Island'!$C$2:$C889, 'Mythical Island'!$B$2:$B889), OR(U303="A2-Dialga", U303="A2-Palkia", U303="A2"), $B$5-XLOOKUP(S303, 'Space-Time Smackdown'!$C$2:$C889, 'Space-Time Smackdown'!$B$2:$B889)))</f>
        <v>1</v>
      </c>
      <c r="X303" s="444">
        <f t="shared" si="3"/>
        <v>0</v>
      </c>
      <c r="Y303" s="445" t="str">
        <f t="shared" si="4"/>
        <v/>
      </c>
      <c r="Z303" s="278"/>
      <c r="AA303" s="466"/>
      <c r="AB303" s="278"/>
      <c r="AC303" s="278"/>
      <c r="AD303" s="278"/>
      <c r="AE303" s="278"/>
      <c r="AF303" s="278"/>
      <c r="AG303" s="278" t="b">
        <f t="shared" si="5"/>
        <v>0</v>
      </c>
      <c r="AH303" s="454"/>
      <c r="AI303" s="278"/>
      <c r="AJ303" s="278"/>
      <c r="AK303" s="278"/>
      <c r="AL303" s="444" t="str">
        <f t="array" ref="AL303">IFERROR(IFS(OR(AJ303="A1-Mewtwo", AJ303="A1-Pikachu", AJ303="A1-Charizard", AJ303="A1"), XLOOKUP(AH303, 'Genetic Apex'!$C$2:$C889, 'Genetic Apex'!$B$2:$B889)-2, AJ303="A1a", XLOOKUP(AH303, 'Mythical Island'!$C$2:$C889, 'Mythical Island'!$B$2:$B889)-2, OR(AJ303="A2-Dialga", AJ303="A2-Palkia", AJ303="A2"), XLOOKUP(AH303, 'Space-Time Smackdown'!$C$2:$C889, 'Space-Time Smackdown'!$B$2:$B889)-2))</f>
        <v/>
      </c>
      <c r="AM303" s="444" t="str">
        <f t="shared" si="6"/>
        <v/>
      </c>
      <c r="AN303" s="448" t="str">
        <f t="shared" si="7"/>
        <v/>
      </c>
    </row>
    <row r="304">
      <c r="A304" s="277"/>
      <c r="B304" s="277"/>
      <c r="C304" s="441"/>
      <c r="D304" s="277"/>
      <c r="E304" s="277"/>
      <c r="F304" s="277"/>
      <c r="G304" s="277"/>
      <c r="H304" s="277" t="b">
        <f t="shared" si="1"/>
        <v>0</v>
      </c>
      <c r="I304" s="277" t="str">
        <f>IFERROR(__xludf.DUMMYFUNCTION("""COMPUTED_VALUE"""),"A1a 014")</f>
        <v>A1a 014</v>
      </c>
      <c r="J304" s="277" t="str">
        <f>IFERROR(__xludf.DUMMYFUNCTION("""COMPUTED_VALUE"""),"Volcarona")</f>
        <v>Volcarona</v>
      </c>
      <c r="K304" s="277" t="str">
        <f>IFERROR(__xludf.DUMMYFUNCTION("""COMPUTED_VALUE"""),"A1a")</f>
        <v>A1a</v>
      </c>
      <c r="L304" s="277" t="str">
        <f>IFERROR(__xludf.DUMMYFUNCTION("""COMPUTED_VALUE"""),"♢♢♢")</f>
        <v>♢♢♢</v>
      </c>
      <c r="M304" s="440" t="b">
        <f t="shared" si="2"/>
        <v>1</v>
      </c>
      <c r="N304" s="441"/>
      <c r="O304" s="277"/>
      <c r="P304" s="277"/>
      <c r="Q304" s="278"/>
      <c r="R304" s="449" t="str">
        <f t="array" ref="R304">IFERROR(IFS(OR(P304="A1-Mewtwo", P304="A1-Pikachu", P304="A1-Charizard", P304="A1"), XLOOKUP(N304, 'Genetic Apex'!$C$2:$C889, 'Genetic Apex'!$B$2:$B889)-$B$4, P304="A1a", XLOOKUP(N304, 'Mythical Island'!$C$2:$C889, 'Mythical Island'!$B$2:$B889)-$B$4, OR(P304="A2-Dialga", P304="A2-Palkia", P304="A2"), XLOOKUP(N304, 'Space-Time Smackdown'!$C$2:$C889, 'Space-Time Smackdown'!$B$2:$B889)-$B$4))</f>
        <v/>
      </c>
      <c r="S304" s="277" t="str">
        <f>IFERROR(__xludf.DUMMYFUNCTION("""COMPUTED_VALUE"""),"A1a 051")</f>
        <v>A1a 051</v>
      </c>
      <c r="T304" s="277" t="str">
        <f>IFERROR(__xludf.DUMMYFUNCTION("""COMPUTED_VALUE"""),"Purrloin")</f>
        <v>Purrloin</v>
      </c>
      <c r="U304" s="277" t="str">
        <f>IFERROR(__xludf.DUMMYFUNCTION("""COMPUTED_VALUE"""),"A1a")</f>
        <v>A1a</v>
      </c>
      <c r="V304" s="278" t="str">
        <f>IFERROR(__xludf.DUMMYFUNCTION("""COMPUTED_VALUE"""),"♢")</f>
        <v>♢</v>
      </c>
      <c r="W304" s="443">
        <f t="array" ref="W304">IFERROR(IFS(OR(U304="A1-Mewtwo", U304="A1-Pikachu", U304="A1-Charizard", U304="A1"), $B$5-XLOOKUP(S304, 'Genetic Apex'!$C$2:$C889, 'Genetic Apex'!$B$2:$B889), U304="A1a", $B$5-XLOOKUP(S304, 'Mythical Island'!$C$2:$C889, 'Mythical Island'!$B$2:$B889), OR(U304="A2-Dialga", U304="A2-Palkia", U304="A2"), $B$5-XLOOKUP(S304, 'Space-Time Smackdown'!$C$2:$C889, 'Space-Time Smackdown'!$B$2:$B889)))</f>
        <v>1</v>
      </c>
      <c r="X304" s="444">
        <f t="shared" si="3"/>
        <v>0</v>
      </c>
      <c r="Y304" s="445" t="str">
        <f t="shared" si="4"/>
        <v/>
      </c>
      <c r="Z304" s="278"/>
      <c r="AA304" s="466"/>
      <c r="AB304" s="278"/>
      <c r="AC304" s="278"/>
      <c r="AD304" s="278"/>
      <c r="AE304" s="278"/>
      <c r="AF304" s="278"/>
      <c r="AG304" s="278" t="b">
        <f t="shared" si="5"/>
        <v>0</v>
      </c>
      <c r="AH304" s="454"/>
      <c r="AI304" s="278"/>
      <c r="AJ304" s="278"/>
      <c r="AK304" s="278"/>
      <c r="AL304" s="444" t="str">
        <f t="array" ref="AL304">IFERROR(IFS(OR(AJ304="A1-Mewtwo", AJ304="A1-Pikachu", AJ304="A1-Charizard", AJ304="A1"), XLOOKUP(AH304, 'Genetic Apex'!$C$2:$C889, 'Genetic Apex'!$B$2:$B889)-2, AJ304="A1a", XLOOKUP(AH304, 'Mythical Island'!$C$2:$C889, 'Mythical Island'!$B$2:$B889)-2, OR(AJ304="A2-Dialga", AJ304="A2-Palkia", AJ304="A2"), XLOOKUP(AH304, 'Space-Time Smackdown'!$C$2:$C889, 'Space-Time Smackdown'!$B$2:$B889)-2))</f>
        <v/>
      </c>
      <c r="AM304" s="444" t="str">
        <f t="shared" si="6"/>
        <v/>
      </c>
      <c r="AN304" s="448" t="str">
        <f t="shared" si="7"/>
        <v/>
      </c>
    </row>
    <row r="305">
      <c r="A305" s="277"/>
      <c r="B305" s="277"/>
      <c r="C305" s="441"/>
      <c r="D305" s="277"/>
      <c r="E305" s="277"/>
      <c r="F305" s="277"/>
      <c r="G305" s="277"/>
      <c r="H305" s="277" t="b">
        <f t="shared" si="1"/>
        <v>0</v>
      </c>
      <c r="I305" s="277" t="str">
        <f>IFERROR(__xludf.DUMMYFUNCTION("""COMPUTED_VALUE"""),"A1a 015")</f>
        <v>A1a 015</v>
      </c>
      <c r="J305" s="277" t="str">
        <f>IFERROR(__xludf.DUMMYFUNCTION("""COMPUTED_VALUE"""),"Salandit")</f>
        <v>Salandit</v>
      </c>
      <c r="K305" s="277" t="str">
        <f>IFERROR(__xludf.DUMMYFUNCTION("""COMPUTED_VALUE"""),"A1a")</f>
        <v>A1a</v>
      </c>
      <c r="L305" s="277" t="str">
        <f>IFERROR(__xludf.DUMMYFUNCTION("""COMPUTED_VALUE"""),"♢")</f>
        <v>♢</v>
      </c>
      <c r="M305" s="440" t="b">
        <f t="shared" si="2"/>
        <v>1</v>
      </c>
      <c r="N305" s="441"/>
      <c r="O305" s="277"/>
      <c r="P305" s="277"/>
      <c r="Q305" s="278"/>
      <c r="R305" s="449" t="str">
        <f t="array" ref="R305">IFERROR(IFS(OR(P305="A1-Mewtwo", P305="A1-Pikachu", P305="A1-Charizard", P305="A1"), XLOOKUP(N305, 'Genetic Apex'!$C$2:$C889, 'Genetic Apex'!$B$2:$B889)-$B$4, P305="A1a", XLOOKUP(N305, 'Mythical Island'!$C$2:$C889, 'Mythical Island'!$B$2:$B889)-$B$4, OR(P305="A2-Dialga", P305="A2-Palkia", P305="A2"), XLOOKUP(N305, 'Space-Time Smackdown'!$C$2:$C889, 'Space-Time Smackdown'!$B$2:$B889)-$B$4))</f>
        <v/>
      </c>
      <c r="S305" s="277" t="str">
        <f>IFERROR(__xludf.DUMMYFUNCTION("""COMPUTED_VALUE"""),"A1a 052")</f>
        <v>A1a 052</v>
      </c>
      <c r="T305" s="277" t="str">
        <f>IFERROR(__xludf.DUMMYFUNCTION("""COMPUTED_VALUE"""),"Liepard")</f>
        <v>Liepard</v>
      </c>
      <c r="U305" s="277" t="str">
        <f>IFERROR(__xludf.DUMMYFUNCTION("""COMPUTED_VALUE"""),"A1a")</f>
        <v>A1a</v>
      </c>
      <c r="V305" s="278" t="str">
        <f>IFERROR(__xludf.DUMMYFUNCTION("""COMPUTED_VALUE"""),"♢")</f>
        <v>♢</v>
      </c>
      <c r="W305" s="443">
        <f t="array" ref="W305">IFERROR(IFS(OR(U305="A1-Mewtwo", U305="A1-Pikachu", U305="A1-Charizard", U305="A1"), $B$5-XLOOKUP(S305, 'Genetic Apex'!$C$2:$C889, 'Genetic Apex'!$B$2:$B889), U305="A1a", $B$5-XLOOKUP(S305, 'Mythical Island'!$C$2:$C889, 'Mythical Island'!$B$2:$B889), OR(U305="A2-Dialga", U305="A2-Palkia", U305="A2"), $B$5-XLOOKUP(S305, 'Space-Time Smackdown'!$C$2:$C889, 'Space-Time Smackdown'!$B$2:$B889)))</f>
        <v>1</v>
      </c>
      <c r="X305" s="444">
        <f t="shared" si="3"/>
        <v>0</v>
      </c>
      <c r="Y305" s="445" t="str">
        <f t="shared" si="4"/>
        <v/>
      </c>
      <c r="Z305" s="278"/>
      <c r="AA305" s="466"/>
      <c r="AB305" s="278"/>
      <c r="AC305" s="278"/>
      <c r="AD305" s="278"/>
      <c r="AE305" s="278"/>
      <c r="AF305" s="278"/>
      <c r="AG305" s="278" t="b">
        <f t="shared" si="5"/>
        <v>0</v>
      </c>
      <c r="AH305" s="454"/>
      <c r="AI305" s="278"/>
      <c r="AJ305" s="278"/>
      <c r="AK305" s="278"/>
      <c r="AL305" s="444" t="str">
        <f t="array" ref="AL305">IFERROR(IFS(OR(AJ305="A1-Mewtwo", AJ305="A1-Pikachu", AJ305="A1-Charizard", AJ305="A1"), XLOOKUP(AH305, 'Genetic Apex'!$C$2:$C889, 'Genetic Apex'!$B$2:$B889)-2, AJ305="A1a", XLOOKUP(AH305, 'Mythical Island'!$C$2:$C889, 'Mythical Island'!$B$2:$B889)-2, OR(AJ305="A2-Dialga", AJ305="A2-Palkia", AJ305="A2"), XLOOKUP(AH305, 'Space-Time Smackdown'!$C$2:$C889, 'Space-Time Smackdown'!$B$2:$B889)-2))</f>
        <v/>
      </c>
      <c r="AM305" s="444" t="str">
        <f t="shared" si="6"/>
        <v/>
      </c>
      <c r="AN305" s="448" t="str">
        <f t="shared" si="7"/>
        <v/>
      </c>
    </row>
    <row r="306">
      <c r="A306" s="277"/>
      <c r="B306" s="277"/>
      <c r="C306" s="441"/>
      <c r="D306" s="277"/>
      <c r="E306" s="277"/>
      <c r="F306" s="277"/>
      <c r="G306" s="277"/>
      <c r="H306" s="277" t="b">
        <f t="shared" si="1"/>
        <v>0</v>
      </c>
      <c r="I306" s="277" t="str">
        <f>IFERROR(__xludf.DUMMYFUNCTION("""COMPUTED_VALUE"""),"A1a 016")</f>
        <v>A1a 016</v>
      </c>
      <c r="J306" s="277" t="str">
        <f>IFERROR(__xludf.DUMMYFUNCTION("""COMPUTED_VALUE"""),"Salazzle")</f>
        <v>Salazzle</v>
      </c>
      <c r="K306" s="277" t="str">
        <f>IFERROR(__xludf.DUMMYFUNCTION("""COMPUTED_VALUE"""),"A1a")</f>
        <v>A1a</v>
      </c>
      <c r="L306" s="277" t="str">
        <f>IFERROR(__xludf.DUMMYFUNCTION("""COMPUTED_VALUE"""),"♢")</f>
        <v>♢</v>
      </c>
      <c r="M306" s="440" t="b">
        <f t="shared" si="2"/>
        <v>1</v>
      </c>
      <c r="N306" s="441"/>
      <c r="O306" s="277"/>
      <c r="P306" s="277"/>
      <c r="Q306" s="278"/>
      <c r="R306" s="449" t="str">
        <f t="array" ref="R306">IFERROR(IFS(OR(P306="A1-Mewtwo", P306="A1-Pikachu", P306="A1-Charizard", P306="A1"), XLOOKUP(N306, 'Genetic Apex'!$C$2:$C889, 'Genetic Apex'!$B$2:$B889)-$B$4, P306="A1a", XLOOKUP(N306, 'Mythical Island'!$C$2:$C889, 'Mythical Island'!$B$2:$B889)-$B$4, OR(P306="A2-Dialga", P306="A2-Palkia", P306="A2"), XLOOKUP(N306, 'Space-Time Smackdown'!$C$2:$C889, 'Space-Time Smackdown'!$B$2:$B889)-$B$4))</f>
        <v/>
      </c>
      <c r="S306" s="277" t="str">
        <f>IFERROR(__xludf.DUMMYFUNCTION("""COMPUTED_VALUE"""),"A1a 053")</f>
        <v>A1a 053</v>
      </c>
      <c r="T306" s="277" t="str">
        <f>IFERROR(__xludf.DUMMYFUNCTION("""COMPUTED_VALUE"""),"Venipede")</f>
        <v>Venipede</v>
      </c>
      <c r="U306" s="277" t="str">
        <f>IFERROR(__xludf.DUMMYFUNCTION("""COMPUTED_VALUE"""),"A1a")</f>
        <v>A1a</v>
      </c>
      <c r="V306" s="278" t="str">
        <f>IFERROR(__xludf.DUMMYFUNCTION("""COMPUTED_VALUE"""),"♢")</f>
        <v>♢</v>
      </c>
      <c r="W306" s="443">
        <f t="array" ref="W306">IFERROR(IFS(OR(U306="A1-Mewtwo", U306="A1-Pikachu", U306="A1-Charizard", U306="A1"), $B$5-XLOOKUP(S306, 'Genetic Apex'!$C$2:$C889, 'Genetic Apex'!$B$2:$B889), U306="A1a", $B$5-XLOOKUP(S306, 'Mythical Island'!$C$2:$C889, 'Mythical Island'!$B$2:$B889), OR(U306="A2-Dialga", U306="A2-Palkia", U306="A2"), $B$5-XLOOKUP(S306, 'Space-Time Smackdown'!$C$2:$C889, 'Space-Time Smackdown'!$B$2:$B889)))</f>
        <v>1</v>
      </c>
      <c r="X306" s="444">
        <f t="shared" si="3"/>
        <v>0</v>
      </c>
      <c r="Y306" s="445" t="str">
        <f t="shared" si="4"/>
        <v/>
      </c>
      <c r="Z306" s="278"/>
      <c r="AA306" s="466"/>
      <c r="AB306" s="278"/>
      <c r="AC306" s="278"/>
      <c r="AD306" s="278"/>
      <c r="AE306" s="278"/>
      <c r="AF306" s="278"/>
      <c r="AG306" s="278" t="b">
        <f t="shared" si="5"/>
        <v>0</v>
      </c>
      <c r="AH306" s="454"/>
      <c r="AI306" s="278"/>
      <c r="AJ306" s="278"/>
      <c r="AK306" s="278"/>
      <c r="AL306" s="444" t="str">
        <f t="array" ref="AL306">IFERROR(IFS(OR(AJ306="A1-Mewtwo", AJ306="A1-Pikachu", AJ306="A1-Charizard", AJ306="A1"), XLOOKUP(AH306, 'Genetic Apex'!$C$2:$C889, 'Genetic Apex'!$B$2:$B889)-2, AJ306="A1a", XLOOKUP(AH306, 'Mythical Island'!$C$2:$C889, 'Mythical Island'!$B$2:$B889)-2, OR(AJ306="A2-Dialga", AJ306="A2-Palkia", AJ306="A2"), XLOOKUP(AH306, 'Space-Time Smackdown'!$C$2:$C889, 'Space-Time Smackdown'!$B$2:$B889)-2))</f>
        <v/>
      </c>
      <c r="AM306" s="444" t="str">
        <f t="shared" si="6"/>
        <v/>
      </c>
      <c r="AN306" s="448" t="str">
        <f t="shared" si="7"/>
        <v/>
      </c>
    </row>
    <row r="307">
      <c r="A307" s="277"/>
      <c r="B307" s="277"/>
      <c r="C307" s="441"/>
      <c r="D307" s="277"/>
      <c r="E307" s="277"/>
      <c r="F307" s="277"/>
      <c r="G307" s="277"/>
      <c r="H307" s="277" t="b">
        <f t="shared" si="1"/>
        <v>0</v>
      </c>
      <c r="I307" s="277" t="str">
        <f>IFERROR(__xludf.DUMMYFUNCTION("""COMPUTED_VALUE"""),"A1a 017")</f>
        <v>A1a 017</v>
      </c>
      <c r="J307" s="277" t="str">
        <f>IFERROR(__xludf.DUMMYFUNCTION("""COMPUTED_VALUE"""),"Magikarp")</f>
        <v>Magikarp</v>
      </c>
      <c r="K307" s="277" t="str">
        <f>IFERROR(__xludf.DUMMYFUNCTION("""COMPUTED_VALUE"""),"A1a")</f>
        <v>A1a</v>
      </c>
      <c r="L307" s="277" t="str">
        <f>IFERROR(__xludf.DUMMYFUNCTION("""COMPUTED_VALUE"""),"♢")</f>
        <v>♢</v>
      </c>
      <c r="M307" s="440" t="b">
        <f t="shared" si="2"/>
        <v>1</v>
      </c>
      <c r="N307" s="441"/>
      <c r="O307" s="277"/>
      <c r="P307" s="277"/>
      <c r="Q307" s="278"/>
      <c r="R307" s="449" t="str">
        <f t="array" ref="R307">IFERROR(IFS(OR(P307="A1-Mewtwo", P307="A1-Pikachu", P307="A1-Charizard", P307="A1"), XLOOKUP(N307, 'Genetic Apex'!$C$2:$C889, 'Genetic Apex'!$B$2:$B889)-$B$4, P307="A1a", XLOOKUP(N307, 'Mythical Island'!$C$2:$C889, 'Mythical Island'!$B$2:$B889)-$B$4, OR(P307="A2-Dialga", P307="A2-Palkia", P307="A2"), XLOOKUP(N307, 'Space-Time Smackdown'!$C$2:$C889, 'Space-Time Smackdown'!$B$2:$B889)-$B$4))</f>
        <v/>
      </c>
      <c r="S307" s="277" t="str">
        <f>IFERROR(__xludf.DUMMYFUNCTION("""COMPUTED_VALUE"""),"A1a 054")</f>
        <v>A1a 054</v>
      </c>
      <c r="T307" s="277" t="str">
        <f>IFERROR(__xludf.DUMMYFUNCTION("""COMPUTED_VALUE"""),"Whirlipede")</f>
        <v>Whirlipede</v>
      </c>
      <c r="U307" s="277" t="str">
        <f>IFERROR(__xludf.DUMMYFUNCTION("""COMPUTED_VALUE"""),"A1a")</f>
        <v>A1a</v>
      </c>
      <c r="V307" s="278" t="str">
        <f>IFERROR(__xludf.DUMMYFUNCTION("""COMPUTED_VALUE"""),"♢")</f>
        <v>♢</v>
      </c>
      <c r="W307" s="443">
        <f t="array" ref="W307">IFERROR(IFS(OR(U307="A1-Mewtwo", U307="A1-Pikachu", U307="A1-Charizard", U307="A1"), $B$5-XLOOKUP(S307, 'Genetic Apex'!$C$2:$C889, 'Genetic Apex'!$B$2:$B889), U307="A1a", $B$5-XLOOKUP(S307, 'Mythical Island'!$C$2:$C889, 'Mythical Island'!$B$2:$B889), OR(U307="A2-Dialga", U307="A2-Palkia", U307="A2"), $B$5-XLOOKUP(S307, 'Space-Time Smackdown'!$C$2:$C889, 'Space-Time Smackdown'!$B$2:$B889)))</f>
        <v>1</v>
      </c>
      <c r="X307" s="444">
        <f t="shared" si="3"/>
        <v>0</v>
      </c>
      <c r="Y307" s="445" t="str">
        <f t="shared" si="4"/>
        <v/>
      </c>
      <c r="Z307" s="278"/>
      <c r="AA307" s="466"/>
      <c r="AB307" s="278"/>
      <c r="AC307" s="278"/>
      <c r="AD307" s="278"/>
      <c r="AE307" s="278"/>
      <c r="AF307" s="278"/>
      <c r="AG307" s="278" t="b">
        <f t="shared" si="5"/>
        <v>0</v>
      </c>
      <c r="AH307" s="454"/>
      <c r="AI307" s="278"/>
      <c r="AJ307" s="278"/>
      <c r="AK307" s="278"/>
      <c r="AL307" s="444" t="str">
        <f t="array" ref="AL307">IFERROR(IFS(OR(AJ307="A1-Mewtwo", AJ307="A1-Pikachu", AJ307="A1-Charizard", AJ307="A1"), XLOOKUP(AH307, 'Genetic Apex'!$C$2:$C889, 'Genetic Apex'!$B$2:$B889)-2, AJ307="A1a", XLOOKUP(AH307, 'Mythical Island'!$C$2:$C889, 'Mythical Island'!$B$2:$B889)-2, OR(AJ307="A2-Dialga", AJ307="A2-Palkia", AJ307="A2"), XLOOKUP(AH307, 'Space-Time Smackdown'!$C$2:$C889, 'Space-Time Smackdown'!$B$2:$B889)-2))</f>
        <v/>
      </c>
      <c r="AM307" s="444" t="str">
        <f t="shared" si="6"/>
        <v/>
      </c>
      <c r="AN307" s="448" t="str">
        <f t="shared" si="7"/>
        <v/>
      </c>
    </row>
    <row r="308">
      <c r="A308" s="277"/>
      <c r="B308" s="277"/>
      <c r="C308" s="441"/>
      <c r="D308" s="277"/>
      <c r="E308" s="277"/>
      <c r="F308" s="277"/>
      <c r="G308" s="277"/>
      <c r="H308" s="277" t="b">
        <f t="shared" si="1"/>
        <v>0</v>
      </c>
      <c r="I308" s="277" t="str">
        <f>IFERROR(__xludf.DUMMYFUNCTION("""COMPUTED_VALUE"""),"A1a 018")</f>
        <v>A1a 018</v>
      </c>
      <c r="J308" s="277" t="str">
        <f>IFERROR(__xludf.DUMMYFUNCTION("""COMPUTED_VALUE"""),"Gyarados ex")</f>
        <v>Gyarados ex</v>
      </c>
      <c r="K308" s="277" t="str">
        <f>IFERROR(__xludf.DUMMYFUNCTION("""COMPUTED_VALUE"""),"A1a")</f>
        <v>A1a</v>
      </c>
      <c r="L308" s="277" t="str">
        <f>IFERROR(__xludf.DUMMYFUNCTION("""COMPUTED_VALUE"""),"♢♢♢♢")</f>
        <v>♢♢♢♢</v>
      </c>
      <c r="M308" s="440" t="b">
        <f t="shared" si="2"/>
        <v>1</v>
      </c>
      <c r="N308" s="441"/>
      <c r="O308" s="277"/>
      <c r="P308" s="277"/>
      <c r="Q308" s="278"/>
      <c r="R308" s="449" t="str">
        <f t="array" ref="R308">IFERROR(IFS(OR(P308="A1-Mewtwo", P308="A1-Pikachu", P308="A1-Charizard", P308="A1"), XLOOKUP(N308, 'Genetic Apex'!$C$2:$C889, 'Genetic Apex'!$B$2:$B889)-$B$4, P308="A1a", XLOOKUP(N308, 'Mythical Island'!$C$2:$C889, 'Mythical Island'!$B$2:$B889)-$B$4, OR(P308="A2-Dialga", P308="A2-Palkia", P308="A2"), XLOOKUP(N308, 'Space-Time Smackdown'!$C$2:$C889, 'Space-Time Smackdown'!$B$2:$B889)-$B$4))</f>
        <v/>
      </c>
      <c r="S308" s="277" t="str">
        <f>IFERROR(__xludf.DUMMYFUNCTION("""COMPUTED_VALUE"""),"A1a 055")</f>
        <v>A1a 055</v>
      </c>
      <c r="T308" s="277" t="str">
        <f>IFERROR(__xludf.DUMMYFUNCTION("""COMPUTED_VALUE"""),"Scolipede")</f>
        <v>Scolipede</v>
      </c>
      <c r="U308" s="277" t="str">
        <f>IFERROR(__xludf.DUMMYFUNCTION("""COMPUTED_VALUE"""),"A1a")</f>
        <v>A1a</v>
      </c>
      <c r="V308" s="278" t="str">
        <f>IFERROR(__xludf.DUMMYFUNCTION("""COMPUTED_VALUE"""),"♢♢")</f>
        <v>♢♢</v>
      </c>
      <c r="W308" s="443">
        <f t="array" ref="W308">IFERROR(IFS(OR(U308="A1-Mewtwo", U308="A1-Pikachu", U308="A1-Charizard", U308="A1"), $B$5-XLOOKUP(S308, 'Genetic Apex'!$C$2:$C889, 'Genetic Apex'!$B$2:$B889), U308="A1a", $B$5-XLOOKUP(S308, 'Mythical Island'!$C$2:$C889, 'Mythical Island'!$B$2:$B889), OR(U308="A2-Dialga", U308="A2-Palkia", U308="A2"), $B$5-XLOOKUP(S308, 'Space-Time Smackdown'!$C$2:$C889, 'Space-Time Smackdown'!$B$2:$B889)))</f>
        <v>1</v>
      </c>
      <c r="X308" s="444">
        <f t="shared" si="3"/>
        <v>0</v>
      </c>
      <c r="Y308" s="445" t="str">
        <f t="shared" si="4"/>
        <v/>
      </c>
      <c r="Z308" s="278"/>
      <c r="AA308" s="466"/>
      <c r="AB308" s="278"/>
      <c r="AC308" s="278"/>
      <c r="AD308" s="278"/>
      <c r="AE308" s="278"/>
      <c r="AF308" s="278"/>
      <c r="AG308" s="278" t="b">
        <f t="shared" si="5"/>
        <v>0</v>
      </c>
      <c r="AH308" s="454"/>
      <c r="AI308" s="278"/>
      <c r="AJ308" s="278"/>
      <c r="AK308" s="278"/>
      <c r="AL308" s="444" t="str">
        <f t="array" ref="AL308">IFERROR(IFS(OR(AJ308="A1-Mewtwo", AJ308="A1-Pikachu", AJ308="A1-Charizard", AJ308="A1"), XLOOKUP(AH308, 'Genetic Apex'!$C$2:$C889, 'Genetic Apex'!$B$2:$B889)-2, AJ308="A1a", XLOOKUP(AH308, 'Mythical Island'!$C$2:$C889, 'Mythical Island'!$B$2:$B889)-2, OR(AJ308="A2-Dialga", AJ308="A2-Palkia", AJ308="A2"), XLOOKUP(AH308, 'Space-Time Smackdown'!$C$2:$C889, 'Space-Time Smackdown'!$B$2:$B889)-2))</f>
        <v/>
      </c>
      <c r="AM308" s="444" t="str">
        <f t="shared" si="6"/>
        <v/>
      </c>
      <c r="AN308" s="448" t="str">
        <f t="shared" si="7"/>
        <v/>
      </c>
    </row>
    <row r="309">
      <c r="A309" s="277"/>
      <c r="B309" s="277"/>
      <c r="C309" s="441"/>
      <c r="D309" s="277"/>
      <c r="E309" s="277"/>
      <c r="F309" s="277"/>
      <c r="G309" s="277"/>
      <c r="H309" s="277" t="b">
        <f t="shared" si="1"/>
        <v>0</v>
      </c>
      <c r="I309" s="277" t="str">
        <f>IFERROR(__xludf.DUMMYFUNCTION("""COMPUTED_VALUE"""),"A1a 019")</f>
        <v>A1a 019</v>
      </c>
      <c r="J309" s="277" t="str">
        <f>IFERROR(__xludf.DUMMYFUNCTION("""COMPUTED_VALUE"""),"Vaporeon")</f>
        <v>Vaporeon</v>
      </c>
      <c r="K309" s="277" t="str">
        <f>IFERROR(__xludf.DUMMYFUNCTION("""COMPUTED_VALUE"""),"A1a")</f>
        <v>A1a</v>
      </c>
      <c r="L309" s="277" t="str">
        <f>IFERROR(__xludf.DUMMYFUNCTION("""COMPUTED_VALUE"""),"♢♢♢")</f>
        <v>♢♢♢</v>
      </c>
      <c r="M309" s="440" t="b">
        <f t="shared" si="2"/>
        <v>1</v>
      </c>
      <c r="N309" s="441"/>
      <c r="O309" s="277"/>
      <c r="P309" s="277"/>
      <c r="Q309" s="278"/>
      <c r="R309" s="449" t="str">
        <f t="array" ref="R309">IFERROR(IFS(OR(P309="A1-Mewtwo", P309="A1-Pikachu", P309="A1-Charizard", P309="A1"), XLOOKUP(N309, 'Genetic Apex'!$C$2:$C889, 'Genetic Apex'!$B$2:$B889)-$B$4, P309="A1a", XLOOKUP(N309, 'Mythical Island'!$C$2:$C889, 'Mythical Island'!$B$2:$B889)-$B$4, OR(P309="A2-Dialga", P309="A2-Palkia", P309="A2"), XLOOKUP(N309, 'Space-Time Smackdown'!$C$2:$C889, 'Space-Time Smackdown'!$B$2:$B889)-$B$4))</f>
        <v/>
      </c>
      <c r="S309" s="277" t="str">
        <f>IFERROR(__xludf.DUMMYFUNCTION("""COMPUTED_VALUE"""),"A1a 056")</f>
        <v>A1a 056</v>
      </c>
      <c r="T309" s="277" t="str">
        <f>IFERROR(__xludf.DUMMYFUNCTION("""COMPUTED_VALUE"""),"Druddigon")</f>
        <v>Druddigon</v>
      </c>
      <c r="U309" s="277" t="str">
        <f>IFERROR(__xludf.DUMMYFUNCTION("""COMPUTED_VALUE"""),"A1a")</f>
        <v>A1a</v>
      </c>
      <c r="V309" s="278" t="str">
        <f>IFERROR(__xludf.DUMMYFUNCTION("""COMPUTED_VALUE"""),"♢♢")</f>
        <v>♢♢</v>
      </c>
      <c r="W309" s="443">
        <f t="array" ref="W309">IFERROR(IFS(OR(U309="A1-Mewtwo", U309="A1-Pikachu", U309="A1-Charizard", U309="A1"), $B$5-XLOOKUP(S309, 'Genetic Apex'!$C$2:$C889, 'Genetic Apex'!$B$2:$B889), U309="A1a", $B$5-XLOOKUP(S309, 'Mythical Island'!$C$2:$C889, 'Mythical Island'!$B$2:$B889), OR(U309="A2-Dialga", U309="A2-Palkia", U309="A2"), $B$5-XLOOKUP(S309, 'Space-Time Smackdown'!$C$2:$C889, 'Space-Time Smackdown'!$B$2:$B889)))</f>
        <v>1</v>
      </c>
      <c r="X309" s="444">
        <f t="shared" si="3"/>
        <v>0</v>
      </c>
      <c r="Y309" s="445" t="str">
        <f t="shared" si="4"/>
        <v/>
      </c>
      <c r="Z309" s="278"/>
      <c r="AA309" s="466"/>
      <c r="AB309" s="278"/>
      <c r="AC309" s="278"/>
      <c r="AD309" s="278"/>
      <c r="AE309" s="278"/>
      <c r="AF309" s="278"/>
      <c r="AG309" s="278" t="b">
        <f t="shared" si="5"/>
        <v>0</v>
      </c>
      <c r="AH309" s="454"/>
      <c r="AI309" s="278"/>
      <c r="AJ309" s="278"/>
      <c r="AK309" s="278"/>
      <c r="AL309" s="444" t="str">
        <f t="array" ref="AL309">IFERROR(IFS(OR(AJ309="A1-Mewtwo", AJ309="A1-Pikachu", AJ309="A1-Charizard", AJ309="A1"), XLOOKUP(AH309, 'Genetic Apex'!$C$2:$C889, 'Genetic Apex'!$B$2:$B889)-2, AJ309="A1a", XLOOKUP(AH309, 'Mythical Island'!$C$2:$C889, 'Mythical Island'!$B$2:$B889)-2, OR(AJ309="A2-Dialga", AJ309="A2-Palkia", AJ309="A2"), XLOOKUP(AH309, 'Space-Time Smackdown'!$C$2:$C889, 'Space-Time Smackdown'!$B$2:$B889)-2))</f>
        <v/>
      </c>
      <c r="AM309" s="444" t="str">
        <f t="shared" si="6"/>
        <v/>
      </c>
      <c r="AN309" s="448" t="str">
        <f t="shared" si="7"/>
        <v/>
      </c>
    </row>
    <row r="310">
      <c r="A310" s="277"/>
      <c r="B310" s="277"/>
      <c r="C310" s="441"/>
      <c r="D310" s="277"/>
      <c r="E310" s="277"/>
      <c r="F310" s="277"/>
      <c r="G310" s="277"/>
      <c r="H310" s="277" t="b">
        <f t="shared" si="1"/>
        <v>0</v>
      </c>
      <c r="I310" s="277" t="str">
        <f>IFERROR(__xludf.DUMMYFUNCTION("""COMPUTED_VALUE"""),"A1a 020")</f>
        <v>A1a 020</v>
      </c>
      <c r="J310" s="277" t="str">
        <f>IFERROR(__xludf.DUMMYFUNCTION("""COMPUTED_VALUE"""),"Finneon")</f>
        <v>Finneon</v>
      </c>
      <c r="K310" s="277" t="str">
        <f>IFERROR(__xludf.DUMMYFUNCTION("""COMPUTED_VALUE"""),"A1a")</f>
        <v>A1a</v>
      </c>
      <c r="L310" s="277" t="str">
        <f>IFERROR(__xludf.DUMMYFUNCTION("""COMPUTED_VALUE"""),"♢")</f>
        <v>♢</v>
      </c>
      <c r="M310" s="440" t="b">
        <f t="shared" si="2"/>
        <v>1</v>
      </c>
      <c r="N310" s="441"/>
      <c r="O310" s="277"/>
      <c r="P310" s="277"/>
      <c r="Q310" s="278"/>
      <c r="R310" s="449" t="str">
        <f t="array" ref="R310">IFERROR(IFS(OR(P310="A1-Mewtwo", P310="A1-Pikachu", P310="A1-Charizard", P310="A1"), XLOOKUP(N310, 'Genetic Apex'!$C$2:$C889, 'Genetic Apex'!$B$2:$B889)-$B$4, P310="A1a", XLOOKUP(N310, 'Mythical Island'!$C$2:$C889, 'Mythical Island'!$B$2:$B889)-$B$4, OR(P310="A2-Dialga", P310="A2-Palkia", P310="A2"), XLOOKUP(N310, 'Space-Time Smackdown'!$C$2:$C889, 'Space-Time Smackdown'!$B$2:$B889)-$B$4))</f>
        <v/>
      </c>
      <c r="S310" s="277" t="str">
        <f>IFERROR(__xludf.DUMMYFUNCTION("""COMPUTED_VALUE"""),"A1a 057")</f>
        <v>A1a 057</v>
      </c>
      <c r="T310" s="277" t="str">
        <f>IFERROR(__xludf.DUMMYFUNCTION("""COMPUTED_VALUE"""),"Pidgey")</f>
        <v>Pidgey</v>
      </c>
      <c r="U310" s="277" t="str">
        <f>IFERROR(__xludf.DUMMYFUNCTION("""COMPUTED_VALUE"""),"A1a")</f>
        <v>A1a</v>
      </c>
      <c r="V310" s="278" t="str">
        <f>IFERROR(__xludf.DUMMYFUNCTION("""COMPUTED_VALUE"""),"♢")</f>
        <v>♢</v>
      </c>
      <c r="W310" s="443">
        <f t="array" ref="W310">IFERROR(IFS(OR(U310="A1-Mewtwo", U310="A1-Pikachu", U310="A1-Charizard", U310="A1"), $B$5-XLOOKUP(S310, 'Genetic Apex'!$C$2:$C889, 'Genetic Apex'!$B$2:$B889), U310="A1a", $B$5-XLOOKUP(S310, 'Mythical Island'!$C$2:$C889, 'Mythical Island'!$B$2:$B889), OR(U310="A2-Dialga", U310="A2-Palkia", U310="A2"), $B$5-XLOOKUP(S310, 'Space-Time Smackdown'!$C$2:$C889, 'Space-Time Smackdown'!$B$2:$B889)))</f>
        <v>1</v>
      </c>
      <c r="X310" s="444">
        <f t="shared" si="3"/>
        <v>0</v>
      </c>
      <c r="Y310" s="445" t="str">
        <f t="shared" si="4"/>
        <v/>
      </c>
      <c r="Z310" s="278"/>
      <c r="AA310" s="466"/>
      <c r="AB310" s="278"/>
      <c r="AC310" s="278"/>
      <c r="AD310" s="278"/>
      <c r="AE310" s="278"/>
      <c r="AF310" s="278"/>
      <c r="AG310" s="278" t="b">
        <f t="shared" si="5"/>
        <v>0</v>
      </c>
      <c r="AH310" s="454"/>
      <c r="AI310" s="278"/>
      <c r="AJ310" s="278"/>
      <c r="AK310" s="278"/>
      <c r="AL310" s="444" t="str">
        <f t="array" ref="AL310">IFERROR(IFS(OR(AJ310="A1-Mewtwo", AJ310="A1-Pikachu", AJ310="A1-Charizard", AJ310="A1"), XLOOKUP(AH310, 'Genetic Apex'!$C$2:$C889, 'Genetic Apex'!$B$2:$B889)-2, AJ310="A1a", XLOOKUP(AH310, 'Mythical Island'!$C$2:$C889, 'Mythical Island'!$B$2:$B889)-2, OR(AJ310="A2-Dialga", AJ310="A2-Palkia", AJ310="A2"), XLOOKUP(AH310, 'Space-Time Smackdown'!$C$2:$C889, 'Space-Time Smackdown'!$B$2:$B889)-2))</f>
        <v/>
      </c>
      <c r="AM310" s="444" t="str">
        <f t="shared" si="6"/>
        <v/>
      </c>
      <c r="AN310" s="448" t="str">
        <f t="shared" si="7"/>
        <v/>
      </c>
    </row>
    <row r="311">
      <c r="A311" s="277"/>
      <c r="B311" s="277"/>
      <c r="C311" s="441"/>
      <c r="D311" s="277"/>
      <c r="E311" s="277"/>
      <c r="F311" s="277"/>
      <c r="G311" s="277"/>
      <c r="H311" s="277" t="b">
        <f t="shared" si="1"/>
        <v>0</v>
      </c>
      <c r="I311" s="277" t="str">
        <f>IFERROR(__xludf.DUMMYFUNCTION("""COMPUTED_VALUE"""),"A1a 021")</f>
        <v>A1a 021</v>
      </c>
      <c r="J311" s="277" t="str">
        <f>IFERROR(__xludf.DUMMYFUNCTION("""COMPUTED_VALUE"""),"Lumineon")</f>
        <v>Lumineon</v>
      </c>
      <c r="K311" s="277" t="str">
        <f>IFERROR(__xludf.DUMMYFUNCTION("""COMPUTED_VALUE"""),"A1a")</f>
        <v>A1a</v>
      </c>
      <c r="L311" s="277" t="str">
        <f>IFERROR(__xludf.DUMMYFUNCTION("""COMPUTED_VALUE"""),"♢♢")</f>
        <v>♢♢</v>
      </c>
      <c r="M311" s="440" t="b">
        <f t="shared" si="2"/>
        <v>1</v>
      </c>
      <c r="N311" s="441"/>
      <c r="O311" s="277"/>
      <c r="P311" s="277"/>
      <c r="Q311" s="278"/>
      <c r="R311" s="449" t="str">
        <f t="array" ref="R311">IFERROR(IFS(OR(P311="A1-Mewtwo", P311="A1-Pikachu", P311="A1-Charizard", P311="A1"), XLOOKUP(N311, 'Genetic Apex'!$C$2:$C889, 'Genetic Apex'!$B$2:$B889)-$B$4, P311="A1a", XLOOKUP(N311, 'Mythical Island'!$C$2:$C889, 'Mythical Island'!$B$2:$B889)-$B$4, OR(P311="A2-Dialga", P311="A2-Palkia", P311="A2"), XLOOKUP(N311, 'Space-Time Smackdown'!$C$2:$C889, 'Space-Time Smackdown'!$B$2:$B889)-$B$4))</f>
        <v/>
      </c>
      <c r="S311" s="277" t="str">
        <f>IFERROR(__xludf.DUMMYFUNCTION("""COMPUTED_VALUE"""),"A1a 058")</f>
        <v>A1a 058</v>
      </c>
      <c r="T311" s="277" t="str">
        <f>IFERROR(__xludf.DUMMYFUNCTION("""COMPUTED_VALUE"""),"Pidgeotto")</f>
        <v>Pidgeotto</v>
      </c>
      <c r="U311" s="277" t="str">
        <f>IFERROR(__xludf.DUMMYFUNCTION("""COMPUTED_VALUE"""),"A1a")</f>
        <v>A1a</v>
      </c>
      <c r="V311" s="278" t="str">
        <f>IFERROR(__xludf.DUMMYFUNCTION("""COMPUTED_VALUE"""),"♢")</f>
        <v>♢</v>
      </c>
      <c r="W311" s="443">
        <f t="array" ref="W311">IFERROR(IFS(OR(U311="A1-Mewtwo", U311="A1-Pikachu", U311="A1-Charizard", U311="A1"), $B$5-XLOOKUP(S311, 'Genetic Apex'!$C$2:$C889, 'Genetic Apex'!$B$2:$B889), U311="A1a", $B$5-XLOOKUP(S311, 'Mythical Island'!$C$2:$C889, 'Mythical Island'!$B$2:$B889), OR(U311="A2-Dialga", U311="A2-Palkia", U311="A2"), $B$5-XLOOKUP(S311, 'Space-Time Smackdown'!$C$2:$C889, 'Space-Time Smackdown'!$B$2:$B889)))</f>
        <v>1</v>
      </c>
      <c r="X311" s="444">
        <f t="shared" si="3"/>
        <v>0</v>
      </c>
      <c r="Y311" s="445" t="str">
        <f t="shared" si="4"/>
        <v/>
      </c>
      <c r="Z311" s="278"/>
      <c r="AA311" s="466"/>
      <c r="AB311" s="278"/>
      <c r="AC311" s="278"/>
      <c r="AD311" s="278"/>
      <c r="AE311" s="278"/>
      <c r="AF311" s="278"/>
      <c r="AG311" s="278" t="b">
        <f t="shared" si="5"/>
        <v>0</v>
      </c>
      <c r="AH311" s="454"/>
      <c r="AI311" s="278"/>
      <c r="AJ311" s="278"/>
      <c r="AK311" s="278"/>
      <c r="AL311" s="444" t="str">
        <f t="array" ref="AL311">IFERROR(IFS(OR(AJ311="A1-Mewtwo", AJ311="A1-Pikachu", AJ311="A1-Charizard", AJ311="A1"), XLOOKUP(AH311, 'Genetic Apex'!$C$2:$C889, 'Genetic Apex'!$B$2:$B889)-2, AJ311="A1a", XLOOKUP(AH311, 'Mythical Island'!$C$2:$C889, 'Mythical Island'!$B$2:$B889)-2, OR(AJ311="A2-Dialga", AJ311="A2-Palkia", AJ311="A2"), XLOOKUP(AH311, 'Space-Time Smackdown'!$C$2:$C889, 'Space-Time Smackdown'!$B$2:$B889)-2))</f>
        <v/>
      </c>
      <c r="AM311" s="444" t="str">
        <f t="shared" si="6"/>
        <v/>
      </c>
      <c r="AN311" s="448" t="str">
        <f t="shared" si="7"/>
        <v/>
      </c>
    </row>
    <row r="312">
      <c r="A312" s="277"/>
      <c r="B312" s="277"/>
      <c r="C312" s="441"/>
      <c r="D312" s="277"/>
      <c r="E312" s="277"/>
      <c r="F312" s="277"/>
      <c r="G312" s="277"/>
      <c r="H312" s="277" t="b">
        <f t="shared" si="1"/>
        <v>0</v>
      </c>
      <c r="I312" s="277" t="str">
        <f>IFERROR(__xludf.DUMMYFUNCTION("""COMPUTED_VALUE"""),"A1a 022")</f>
        <v>A1a 022</v>
      </c>
      <c r="J312" s="277" t="str">
        <f>IFERROR(__xludf.DUMMYFUNCTION("""COMPUTED_VALUE"""),"Chewtle")</f>
        <v>Chewtle</v>
      </c>
      <c r="K312" s="277" t="str">
        <f>IFERROR(__xludf.DUMMYFUNCTION("""COMPUTED_VALUE"""),"A1a")</f>
        <v>A1a</v>
      </c>
      <c r="L312" s="277" t="str">
        <f>IFERROR(__xludf.DUMMYFUNCTION("""COMPUTED_VALUE"""),"♢")</f>
        <v>♢</v>
      </c>
      <c r="M312" s="440" t="b">
        <f t="shared" si="2"/>
        <v>1</v>
      </c>
      <c r="N312" s="441"/>
      <c r="O312" s="277"/>
      <c r="P312" s="277"/>
      <c r="Q312" s="278"/>
      <c r="R312" s="449" t="str">
        <f t="array" ref="R312">IFERROR(IFS(OR(P312="A1-Mewtwo", P312="A1-Pikachu", P312="A1-Charizard", P312="A1"), XLOOKUP(N312, 'Genetic Apex'!$C$2:$C889, 'Genetic Apex'!$B$2:$B889)-$B$4, P312="A1a", XLOOKUP(N312, 'Mythical Island'!$C$2:$C889, 'Mythical Island'!$B$2:$B889)-$B$4, OR(P312="A2-Dialga", P312="A2-Palkia", P312="A2"), XLOOKUP(N312, 'Space-Time Smackdown'!$C$2:$C889, 'Space-Time Smackdown'!$B$2:$B889)-$B$4))</f>
        <v/>
      </c>
      <c r="S312" s="277" t="str">
        <f>IFERROR(__xludf.DUMMYFUNCTION("""COMPUTED_VALUE"""),"A1a 059")</f>
        <v>A1a 059</v>
      </c>
      <c r="T312" s="277" t="str">
        <f>IFERROR(__xludf.DUMMYFUNCTION("""COMPUTED_VALUE"""),"Pidgeot ex")</f>
        <v>Pidgeot ex</v>
      </c>
      <c r="U312" s="277" t="str">
        <f>IFERROR(__xludf.DUMMYFUNCTION("""COMPUTED_VALUE"""),"A1a")</f>
        <v>A1a</v>
      </c>
      <c r="V312" s="278" t="str">
        <f>IFERROR(__xludf.DUMMYFUNCTION("""COMPUTED_VALUE"""),"♢♢♢♢")</f>
        <v>♢♢♢♢</v>
      </c>
      <c r="W312" s="443">
        <f t="array" ref="W312">IFERROR(IFS(OR(U312="A1-Mewtwo", U312="A1-Pikachu", U312="A1-Charizard", U312="A1"), $B$5-XLOOKUP(S312, 'Genetic Apex'!$C$2:$C889, 'Genetic Apex'!$B$2:$B889), U312="A1a", $B$5-XLOOKUP(S312, 'Mythical Island'!$C$2:$C889, 'Mythical Island'!$B$2:$B889), OR(U312="A2-Dialga", U312="A2-Palkia", U312="A2"), $B$5-XLOOKUP(S312, 'Space-Time Smackdown'!$C$2:$C889, 'Space-Time Smackdown'!$B$2:$B889)))</f>
        <v>1</v>
      </c>
      <c r="X312" s="444">
        <f t="shared" si="3"/>
        <v>500</v>
      </c>
      <c r="Y312" s="445">
        <f t="shared" si="4"/>
        <v>500</v>
      </c>
      <c r="Z312" s="278"/>
      <c r="AA312" s="466"/>
      <c r="AB312" s="278"/>
      <c r="AC312" s="278"/>
      <c r="AD312" s="278"/>
      <c r="AE312" s="278"/>
      <c r="AF312" s="278"/>
      <c r="AG312" s="278" t="b">
        <f t="shared" si="5"/>
        <v>0</v>
      </c>
      <c r="AH312" s="454"/>
      <c r="AI312" s="278"/>
      <c r="AJ312" s="278"/>
      <c r="AK312" s="278"/>
      <c r="AL312" s="444" t="str">
        <f t="array" ref="AL312">IFERROR(IFS(OR(AJ312="A1-Mewtwo", AJ312="A1-Pikachu", AJ312="A1-Charizard", AJ312="A1"), XLOOKUP(AH312, 'Genetic Apex'!$C$2:$C889, 'Genetic Apex'!$B$2:$B889)-2, AJ312="A1a", XLOOKUP(AH312, 'Mythical Island'!$C$2:$C889, 'Mythical Island'!$B$2:$B889)-2, OR(AJ312="A2-Dialga", AJ312="A2-Palkia", AJ312="A2"), XLOOKUP(AH312, 'Space-Time Smackdown'!$C$2:$C889, 'Space-Time Smackdown'!$B$2:$B889)-2))</f>
        <v/>
      </c>
      <c r="AM312" s="444" t="str">
        <f t="shared" si="6"/>
        <v/>
      </c>
      <c r="AN312" s="448" t="str">
        <f t="shared" si="7"/>
        <v/>
      </c>
    </row>
    <row r="313">
      <c r="A313" s="277"/>
      <c r="B313" s="277"/>
      <c r="C313" s="441"/>
      <c r="D313" s="277"/>
      <c r="E313" s="277"/>
      <c r="F313" s="277"/>
      <c r="G313" s="277"/>
      <c r="H313" s="277" t="b">
        <f t="shared" si="1"/>
        <v>0</v>
      </c>
      <c r="I313" s="277" t="str">
        <f>IFERROR(__xludf.DUMMYFUNCTION("""COMPUTED_VALUE"""),"A1a 023")</f>
        <v>A1a 023</v>
      </c>
      <c r="J313" s="277" t="str">
        <f>IFERROR(__xludf.DUMMYFUNCTION("""COMPUTED_VALUE"""),"Drednaw")</f>
        <v>Drednaw</v>
      </c>
      <c r="K313" s="277" t="str">
        <f>IFERROR(__xludf.DUMMYFUNCTION("""COMPUTED_VALUE"""),"A1a")</f>
        <v>A1a</v>
      </c>
      <c r="L313" s="277" t="str">
        <f>IFERROR(__xludf.DUMMYFUNCTION("""COMPUTED_VALUE"""),"♢♢")</f>
        <v>♢♢</v>
      </c>
      <c r="M313" s="440" t="b">
        <f t="shared" si="2"/>
        <v>1</v>
      </c>
      <c r="N313" s="441"/>
      <c r="O313" s="277"/>
      <c r="P313" s="277"/>
      <c r="Q313" s="278"/>
      <c r="R313" s="449" t="str">
        <f t="array" ref="R313">IFERROR(IFS(OR(P313="A1-Mewtwo", P313="A1-Pikachu", P313="A1-Charizard", P313="A1"), XLOOKUP(N313, 'Genetic Apex'!$C$2:$C889, 'Genetic Apex'!$B$2:$B889)-$B$4, P313="A1a", XLOOKUP(N313, 'Mythical Island'!$C$2:$C889, 'Mythical Island'!$B$2:$B889)-$B$4, OR(P313="A2-Dialga", P313="A2-Palkia", P313="A2"), XLOOKUP(N313, 'Space-Time Smackdown'!$C$2:$C889, 'Space-Time Smackdown'!$B$2:$B889)-$B$4))</f>
        <v/>
      </c>
      <c r="S313" s="277" t="str">
        <f>IFERROR(__xludf.DUMMYFUNCTION("""COMPUTED_VALUE"""),"A1a 060")</f>
        <v>A1a 060</v>
      </c>
      <c r="T313" s="277" t="str">
        <f>IFERROR(__xludf.DUMMYFUNCTION("""COMPUTED_VALUE"""),"Tauros")</f>
        <v>Tauros</v>
      </c>
      <c r="U313" s="277" t="str">
        <f>IFERROR(__xludf.DUMMYFUNCTION("""COMPUTED_VALUE"""),"A1a")</f>
        <v>A1a</v>
      </c>
      <c r="V313" s="278" t="str">
        <f>IFERROR(__xludf.DUMMYFUNCTION("""COMPUTED_VALUE"""),"♢♢♢")</f>
        <v>♢♢♢</v>
      </c>
      <c r="W313" s="443">
        <f t="array" ref="W313">IFERROR(IFS(OR(U313="A1-Mewtwo", U313="A1-Pikachu", U313="A1-Charizard", U313="A1"), $B$5-XLOOKUP(S313, 'Genetic Apex'!$C$2:$C889, 'Genetic Apex'!$B$2:$B889), U313="A1a", $B$5-XLOOKUP(S313, 'Mythical Island'!$C$2:$C889, 'Mythical Island'!$B$2:$B889), OR(U313="A2-Dialga", U313="A2-Palkia", U313="A2"), $B$5-XLOOKUP(S313, 'Space-Time Smackdown'!$C$2:$C889, 'Space-Time Smackdown'!$B$2:$B889)))</f>
        <v>1</v>
      </c>
      <c r="X313" s="444">
        <f t="shared" si="3"/>
        <v>120</v>
      </c>
      <c r="Y313" s="445">
        <f t="shared" si="4"/>
        <v>120</v>
      </c>
      <c r="Z313" s="278"/>
      <c r="AA313" s="466"/>
      <c r="AB313" s="278"/>
      <c r="AC313" s="278"/>
      <c r="AD313" s="278"/>
      <c r="AE313" s="278"/>
      <c r="AF313" s="278"/>
      <c r="AG313" s="278" t="b">
        <f t="shared" si="5"/>
        <v>0</v>
      </c>
      <c r="AH313" s="454"/>
      <c r="AI313" s="278"/>
      <c r="AJ313" s="278"/>
      <c r="AK313" s="278"/>
      <c r="AL313" s="444" t="str">
        <f t="array" ref="AL313">IFERROR(IFS(OR(AJ313="A1-Mewtwo", AJ313="A1-Pikachu", AJ313="A1-Charizard", AJ313="A1"), XLOOKUP(AH313, 'Genetic Apex'!$C$2:$C889, 'Genetic Apex'!$B$2:$B889)-2, AJ313="A1a", XLOOKUP(AH313, 'Mythical Island'!$C$2:$C889, 'Mythical Island'!$B$2:$B889)-2, OR(AJ313="A2-Dialga", AJ313="A2-Palkia", AJ313="A2"), XLOOKUP(AH313, 'Space-Time Smackdown'!$C$2:$C889, 'Space-Time Smackdown'!$B$2:$B889)-2))</f>
        <v/>
      </c>
      <c r="AM313" s="444" t="str">
        <f t="shared" si="6"/>
        <v/>
      </c>
      <c r="AN313" s="448" t="str">
        <f t="shared" si="7"/>
        <v/>
      </c>
    </row>
    <row r="314">
      <c r="A314" s="277"/>
      <c r="B314" s="277"/>
      <c r="C314" s="441"/>
      <c r="D314" s="277"/>
      <c r="E314" s="277"/>
      <c r="F314" s="277"/>
      <c r="G314" s="277"/>
      <c r="H314" s="277" t="b">
        <f t="shared" si="1"/>
        <v>0</v>
      </c>
      <c r="I314" s="277" t="str">
        <f>IFERROR(__xludf.DUMMYFUNCTION("""COMPUTED_VALUE"""),"A1a 024")</f>
        <v>A1a 024</v>
      </c>
      <c r="J314" s="277" t="str">
        <f>IFERROR(__xludf.DUMMYFUNCTION("""COMPUTED_VALUE"""),"Cramorant")</f>
        <v>Cramorant</v>
      </c>
      <c r="K314" s="277" t="str">
        <f>IFERROR(__xludf.DUMMYFUNCTION("""COMPUTED_VALUE"""),"A1a")</f>
        <v>A1a</v>
      </c>
      <c r="L314" s="277" t="str">
        <f>IFERROR(__xludf.DUMMYFUNCTION("""COMPUTED_VALUE"""),"♢")</f>
        <v>♢</v>
      </c>
      <c r="M314" s="440" t="b">
        <f t="shared" si="2"/>
        <v>1</v>
      </c>
      <c r="N314" s="441"/>
      <c r="O314" s="277"/>
      <c r="P314" s="277"/>
      <c r="Q314" s="278"/>
      <c r="R314" s="449" t="str">
        <f t="array" ref="R314">IFERROR(IFS(OR(P314="A1-Mewtwo", P314="A1-Pikachu", P314="A1-Charizard", P314="A1"), XLOOKUP(N314, 'Genetic Apex'!$C$2:$C889, 'Genetic Apex'!$B$2:$B889)-$B$4, P314="A1a", XLOOKUP(N314, 'Mythical Island'!$C$2:$C889, 'Mythical Island'!$B$2:$B889)-$B$4, OR(P314="A2-Dialga", P314="A2-Palkia", P314="A2"), XLOOKUP(N314, 'Space-Time Smackdown'!$C$2:$C889, 'Space-Time Smackdown'!$B$2:$B889)-$B$4))</f>
        <v/>
      </c>
      <c r="S314" s="277" t="str">
        <f>IFERROR(__xludf.DUMMYFUNCTION("""COMPUTED_VALUE"""),"A1a 061")</f>
        <v>A1a 061</v>
      </c>
      <c r="T314" s="277" t="str">
        <f>IFERROR(__xludf.DUMMYFUNCTION("""COMPUTED_VALUE"""),"Eevee")</f>
        <v>Eevee</v>
      </c>
      <c r="U314" s="277" t="str">
        <f>IFERROR(__xludf.DUMMYFUNCTION("""COMPUTED_VALUE"""),"A1a")</f>
        <v>A1a</v>
      </c>
      <c r="V314" s="278" t="str">
        <f>IFERROR(__xludf.DUMMYFUNCTION("""COMPUTED_VALUE"""),"♢")</f>
        <v>♢</v>
      </c>
      <c r="W314" s="443">
        <f t="array" ref="W314">IFERROR(IFS(OR(U314="A1-Mewtwo", U314="A1-Pikachu", U314="A1-Charizard", U314="A1"), $B$5-XLOOKUP(S314, 'Genetic Apex'!$C$2:$C889, 'Genetic Apex'!$B$2:$B889), U314="A1a", $B$5-XLOOKUP(S314, 'Mythical Island'!$C$2:$C889, 'Mythical Island'!$B$2:$B889), OR(U314="A2-Dialga", U314="A2-Palkia", U314="A2"), $B$5-XLOOKUP(S314, 'Space-Time Smackdown'!$C$2:$C889, 'Space-Time Smackdown'!$B$2:$B889)))</f>
        <v>1</v>
      </c>
      <c r="X314" s="444">
        <f t="shared" si="3"/>
        <v>0</v>
      </c>
      <c r="Y314" s="445" t="str">
        <f t="shared" si="4"/>
        <v/>
      </c>
      <c r="Z314" s="278"/>
      <c r="AA314" s="466"/>
      <c r="AB314" s="278"/>
      <c r="AC314" s="278"/>
      <c r="AD314" s="278"/>
      <c r="AE314" s="278"/>
      <c r="AF314" s="278"/>
      <c r="AG314" s="278" t="b">
        <f t="shared" si="5"/>
        <v>0</v>
      </c>
      <c r="AH314" s="454"/>
      <c r="AI314" s="278"/>
      <c r="AJ314" s="278"/>
      <c r="AK314" s="278"/>
      <c r="AL314" s="444" t="str">
        <f t="array" ref="AL314">IFERROR(IFS(OR(AJ314="A1-Mewtwo", AJ314="A1-Pikachu", AJ314="A1-Charizard", AJ314="A1"), XLOOKUP(AH314, 'Genetic Apex'!$C$2:$C889, 'Genetic Apex'!$B$2:$B889)-2, AJ314="A1a", XLOOKUP(AH314, 'Mythical Island'!$C$2:$C889, 'Mythical Island'!$B$2:$B889)-2, OR(AJ314="A2-Dialga", AJ314="A2-Palkia", AJ314="A2"), XLOOKUP(AH314, 'Space-Time Smackdown'!$C$2:$C889, 'Space-Time Smackdown'!$B$2:$B889)-2))</f>
        <v/>
      </c>
      <c r="AM314" s="444" t="str">
        <f t="shared" si="6"/>
        <v/>
      </c>
      <c r="AN314" s="448" t="str">
        <f t="shared" si="7"/>
        <v/>
      </c>
    </row>
    <row r="315">
      <c r="A315" s="277"/>
      <c r="B315" s="277"/>
      <c r="C315" s="441"/>
      <c r="D315" s="277"/>
      <c r="E315" s="277"/>
      <c r="F315" s="277"/>
      <c r="G315" s="277"/>
      <c r="H315" s="277" t="b">
        <f t="shared" si="1"/>
        <v>0</v>
      </c>
      <c r="I315" s="277" t="str">
        <f>IFERROR(__xludf.DUMMYFUNCTION("""COMPUTED_VALUE"""),"A1a 025")</f>
        <v>A1a 025</v>
      </c>
      <c r="J315" s="277" t="str">
        <f>IFERROR(__xludf.DUMMYFUNCTION("""COMPUTED_VALUE"""),"Pikachu")</f>
        <v>Pikachu</v>
      </c>
      <c r="K315" s="277" t="str">
        <f>IFERROR(__xludf.DUMMYFUNCTION("""COMPUTED_VALUE"""),"A1a")</f>
        <v>A1a</v>
      </c>
      <c r="L315" s="277" t="str">
        <f>IFERROR(__xludf.DUMMYFUNCTION("""COMPUTED_VALUE"""),"♢")</f>
        <v>♢</v>
      </c>
      <c r="M315" s="440" t="b">
        <f t="shared" si="2"/>
        <v>1</v>
      </c>
      <c r="N315" s="441"/>
      <c r="O315" s="277"/>
      <c r="P315" s="277"/>
      <c r="Q315" s="278"/>
      <c r="R315" s="449" t="str">
        <f t="array" ref="R315">IFERROR(IFS(OR(P315="A1-Mewtwo", P315="A1-Pikachu", P315="A1-Charizard", P315="A1"), XLOOKUP(N315, 'Genetic Apex'!$C$2:$C889, 'Genetic Apex'!$B$2:$B889)-$B$4, P315="A1a", XLOOKUP(N315, 'Mythical Island'!$C$2:$C889, 'Mythical Island'!$B$2:$B889)-$B$4, OR(P315="A2-Dialga", P315="A2-Palkia", P315="A2"), XLOOKUP(N315, 'Space-Time Smackdown'!$C$2:$C889, 'Space-Time Smackdown'!$B$2:$B889)-$B$4))</f>
        <v/>
      </c>
      <c r="S315" s="277" t="str">
        <f>IFERROR(__xludf.DUMMYFUNCTION("""COMPUTED_VALUE"""),"A1a 062")</f>
        <v>A1a 062</v>
      </c>
      <c r="T315" s="277" t="str">
        <f>IFERROR(__xludf.DUMMYFUNCTION("""COMPUTED_VALUE"""),"Chatot")</f>
        <v>Chatot</v>
      </c>
      <c r="U315" s="277" t="str">
        <f>IFERROR(__xludf.DUMMYFUNCTION("""COMPUTED_VALUE"""),"A1a")</f>
        <v>A1a</v>
      </c>
      <c r="V315" s="278" t="str">
        <f>IFERROR(__xludf.DUMMYFUNCTION("""COMPUTED_VALUE"""),"♢")</f>
        <v>♢</v>
      </c>
      <c r="W315" s="443">
        <f t="array" ref="W315">IFERROR(IFS(OR(U315="A1-Mewtwo", U315="A1-Pikachu", U315="A1-Charizard", U315="A1"), $B$5-XLOOKUP(S315, 'Genetic Apex'!$C$2:$C889, 'Genetic Apex'!$B$2:$B889), U315="A1a", $B$5-XLOOKUP(S315, 'Mythical Island'!$C$2:$C889, 'Mythical Island'!$B$2:$B889), OR(U315="A2-Dialga", U315="A2-Palkia", U315="A2"), $B$5-XLOOKUP(S315, 'Space-Time Smackdown'!$C$2:$C889, 'Space-Time Smackdown'!$B$2:$B889)))</f>
        <v>1</v>
      </c>
      <c r="X315" s="444">
        <f t="shared" si="3"/>
        <v>0</v>
      </c>
      <c r="Y315" s="445" t="str">
        <f t="shared" si="4"/>
        <v/>
      </c>
      <c r="Z315" s="278"/>
      <c r="AA315" s="466"/>
      <c r="AB315" s="278"/>
      <c r="AC315" s="278"/>
      <c r="AD315" s="278"/>
      <c r="AE315" s="278"/>
      <c r="AF315" s="278"/>
      <c r="AG315" s="278" t="b">
        <f t="shared" si="5"/>
        <v>0</v>
      </c>
      <c r="AH315" s="454"/>
      <c r="AI315" s="278"/>
      <c r="AJ315" s="278"/>
      <c r="AK315" s="278"/>
      <c r="AL315" s="444" t="str">
        <f t="array" ref="AL315">IFERROR(IFS(OR(AJ315="A1-Mewtwo", AJ315="A1-Pikachu", AJ315="A1-Charizard", AJ315="A1"), XLOOKUP(AH315, 'Genetic Apex'!$C$2:$C889, 'Genetic Apex'!$B$2:$B889)-2, AJ315="A1a", XLOOKUP(AH315, 'Mythical Island'!$C$2:$C889, 'Mythical Island'!$B$2:$B889)-2, OR(AJ315="A2-Dialga", AJ315="A2-Palkia", AJ315="A2"), XLOOKUP(AH315, 'Space-Time Smackdown'!$C$2:$C889, 'Space-Time Smackdown'!$B$2:$B889)-2))</f>
        <v/>
      </c>
      <c r="AM315" s="444" t="str">
        <f t="shared" si="6"/>
        <v/>
      </c>
      <c r="AN315" s="448" t="str">
        <f t="shared" si="7"/>
        <v/>
      </c>
    </row>
    <row r="316">
      <c r="A316" s="277"/>
      <c r="B316" s="277"/>
      <c r="C316" s="441"/>
      <c r="D316" s="277"/>
      <c r="E316" s="277"/>
      <c r="F316" s="277"/>
      <c r="G316" s="277"/>
      <c r="H316" s="277" t="b">
        <f t="shared" si="1"/>
        <v>0</v>
      </c>
      <c r="I316" s="277" t="str">
        <f>IFERROR(__xludf.DUMMYFUNCTION("""COMPUTED_VALUE"""),"A1a 026")</f>
        <v>A1a 026</v>
      </c>
      <c r="J316" s="277" t="str">
        <f>IFERROR(__xludf.DUMMYFUNCTION("""COMPUTED_VALUE"""),"Raichu")</f>
        <v>Raichu</v>
      </c>
      <c r="K316" s="277" t="str">
        <f>IFERROR(__xludf.DUMMYFUNCTION("""COMPUTED_VALUE"""),"A1a")</f>
        <v>A1a</v>
      </c>
      <c r="L316" s="277" t="str">
        <f>IFERROR(__xludf.DUMMYFUNCTION("""COMPUTED_VALUE"""),"♢♢♢")</f>
        <v>♢♢♢</v>
      </c>
      <c r="M316" s="440" t="b">
        <f t="shared" si="2"/>
        <v>1</v>
      </c>
      <c r="N316" s="441"/>
      <c r="O316" s="277"/>
      <c r="P316" s="277"/>
      <c r="Q316" s="278"/>
      <c r="R316" s="449" t="str">
        <f t="array" ref="R316">IFERROR(IFS(OR(P316="A1-Mewtwo", P316="A1-Pikachu", P316="A1-Charizard", P316="A1"), XLOOKUP(N316, 'Genetic Apex'!$C$2:$C889, 'Genetic Apex'!$B$2:$B889)-$B$4, P316="A1a", XLOOKUP(N316, 'Mythical Island'!$C$2:$C889, 'Mythical Island'!$B$2:$B889)-$B$4, OR(P316="A2-Dialga", P316="A2-Palkia", P316="A2"), XLOOKUP(N316, 'Space-Time Smackdown'!$C$2:$C889, 'Space-Time Smackdown'!$B$2:$B889)-$B$4))</f>
        <v/>
      </c>
      <c r="S316" s="277" t="str">
        <f>IFERROR(__xludf.DUMMYFUNCTION("""COMPUTED_VALUE"""),"A1a 063")</f>
        <v>A1a 063</v>
      </c>
      <c r="T316" s="277" t="str">
        <f>IFERROR(__xludf.DUMMYFUNCTION("""COMPUTED_VALUE"""),"Old Amber")</f>
        <v>Old Amber</v>
      </c>
      <c r="U316" s="277" t="str">
        <f>IFERROR(__xludf.DUMMYFUNCTION("""COMPUTED_VALUE"""),"A1a")</f>
        <v>A1a</v>
      </c>
      <c r="V316" s="278" t="str">
        <f>IFERROR(__xludf.DUMMYFUNCTION("""COMPUTED_VALUE"""),"♢")</f>
        <v>♢</v>
      </c>
      <c r="W316" s="443">
        <f t="array" ref="W316">IFERROR(IFS(OR(U316="A1-Mewtwo", U316="A1-Pikachu", U316="A1-Charizard", U316="A1"), $B$5-XLOOKUP(S316, 'Genetic Apex'!$C$2:$C889, 'Genetic Apex'!$B$2:$B889), U316="A1a", $B$5-XLOOKUP(S316, 'Mythical Island'!$C$2:$C889, 'Mythical Island'!$B$2:$B889), OR(U316="A2-Dialga", U316="A2-Palkia", U316="A2"), $B$5-XLOOKUP(S316, 'Space-Time Smackdown'!$C$2:$C889, 'Space-Time Smackdown'!$B$2:$B889)))</f>
        <v>1</v>
      </c>
      <c r="X316" s="444">
        <f t="shared" si="3"/>
        <v>0</v>
      </c>
      <c r="Y316" s="445" t="str">
        <f t="shared" si="4"/>
        <v/>
      </c>
      <c r="Z316" s="278"/>
      <c r="AA316" s="466"/>
      <c r="AB316" s="278"/>
      <c r="AC316" s="278"/>
      <c r="AD316" s="278"/>
      <c r="AE316" s="278"/>
      <c r="AF316" s="278"/>
      <c r="AG316" s="278" t="b">
        <f t="shared" si="5"/>
        <v>0</v>
      </c>
      <c r="AH316" s="454"/>
      <c r="AI316" s="278"/>
      <c r="AJ316" s="278"/>
      <c r="AK316" s="278"/>
      <c r="AL316" s="444" t="str">
        <f t="array" ref="AL316">IFERROR(IFS(OR(AJ316="A1-Mewtwo", AJ316="A1-Pikachu", AJ316="A1-Charizard", AJ316="A1"), XLOOKUP(AH316, 'Genetic Apex'!$C$2:$C889, 'Genetic Apex'!$B$2:$B889)-2, AJ316="A1a", XLOOKUP(AH316, 'Mythical Island'!$C$2:$C889, 'Mythical Island'!$B$2:$B889)-2, OR(AJ316="A2-Dialga", AJ316="A2-Palkia", AJ316="A2"), XLOOKUP(AH316, 'Space-Time Smackdown'!$C$2:$C889, 'Space-Time Smackdown'!$B$2:$B889)-2))</f>
        <v/>
      </c>
      <c r="AM316" s="444" t="str">
        <f t="shared" si="6"/>
        <v/>
      </c>
      <c r="AN316" s="448" t="str">
        <f t="shared" si="7"/>
        <v/>
      </c>
    </row>
    <row r="317">
      <c r="A317" s="277"/>
      <c r="B317" s="277"/>
      <c r="C317" s="441"/>
      <c r="D317" s="277"/>
      <c r="E317" s="277"/>
      <c r="F317" s="277"/>
      <c r="G317" s="277"/>
      <c r="H317" s="277" t="b">
        <f t="shared" si="1"/>
        <v>0</v>
      </c>
      <c r="I317" s="277" t="str">
        <f>IFERROR(__xludf.DUMMYFUNCTION("""COMPUTED_VALUE"""),"A1a 027")</f>
        <v>A1a 027</v>
      </c>
      <c r="J317" s="277" t="str">
        <f>IFERROR(__xludf.DUMMYFUNCTION("""COMPUTED_VALUE"""),"Electabuzz")</f>
        <v>Electabuzz</v>
      </c>
      <c r="K317" s="277" t="str">
        <f>IFERROR(__xludf.DUMMYFUNCTION("""COMPUTED_VALUE"""),"A1a")</f>
        <v>A1a</v>
      </c>
      <c r="L317" s="277" t="str">
        <f>IFERROR(__xludf.DUMMYFUNCTION("""COMPUTED_VALUE"""),"♢♢")</f>
        <v>♢♢</v>
      </c>
      <c r="M317" s="440" t="b">
        <f t="shared" si="2"/>
        <v>1</v>
      </c>
      <c r="N317" s="441"/>
      <c r="O317" s="277"/>
      <c r="P317" s="277"/>
      <c r="Q317" s="278"/>
      <c r="R317" s="449" t="str">
        <f t="array" ref="R317">IFERROR(IFS(OR(P317="A1-Mewtwo", P317="A1-Pikachu", P317="A1-Charizard", P317="A1"), XLOOKUP(N317, 'Genetic Apex'!$C$2:$C889, 'Genetic Apex'!$B$2:$B889)-$B$4, P317="A1a", XLOOKUP(N317, 'Mythical Island'!$C$2:$C889, 'Mythical Island'!$B$2:$B889)-$B$4, OR(P317="A2-Dialga", P317="A2-Palkia", P317="A2"), XLOOKUP(N317, 'Space-Time Smackdown'!$C$2:$C889, 'Space-Time Smackdown'!$B$2:$B889)-$B$4))</f>
        <v/>
      </c>
      <c r="S317" s="277" t="str">
        <f>IFERROR(__xludf.DUMMYFUNCTION("""COMPUTED_VALUE"""),"A1a 064")</f>
        <v>A1a 064</v>
      </c>
      <c r="T317" s="277" t="str">
        <f>IFERROR(__xludf.DUMMYFUNCTION("""COMPUTED_VALUE"""),"Pokemon Flute")</f>
        <v>Pokemon Flute</v>
      </c>
      <c r="U317" s="277" t="str">
        <f>IFERROR(__xludf.DUMMYFUNCTION("""COMPUTED_VALUE"""),"A1a")</f>
        <v>A1a</v>
      </c>
      <c r="V317" s="278" t="str">
        <f>IFERROR(__xludf.DUMMYFUNCTION("""COMPUTED_VALUE"""),"♢♢")</f>
        <v>♢♢</v>
      </c>
      <c r="W317" s="443">
        <f t="array" ref="W317">IFERROR(IFS(OR(U317="A1-Mewtwo", U317="A1-Pikachu", U317="A1-Charizard", U317="A1"), $B$5-XLOOKUP(S317, 'Genetic Apex'!$C$2:$C889, 'Genetic Apex'!$B$2:$B889), U317="A1a", $B$5-XLOOKUP(S317, 'Mythical Island'!$C$2:$C889, 'Mythical Island'!$B$2:$B889), OR(U317="A2-Dialga", U317="A2-Palkia", U317="A2"), $B$5-XLOOKUP(S317, 'Space-Time Smackdown'!$C$2:$C889, 'Space-Time Smackdown'!$B$2:$B889)))</f>
        <v>1</v>
      </c>
      <c r="X317" s="444">
        <f t="shared" si="3"/>
        <v>0</v>
      </c>
      <c r="Y317" s="445" t="str">
        <f t="shared" si="4"/>
        <v/>
      </c>
      <c r="Z317" s="278"/>
      <c r="AA317" s="466"/>
      <c r="AB317" s="278"/>
      <c r="AC317" s="278"/>
      <c r="AD317" s="278"/>
      <c r="AE317" s="278"/>
      <c r="AF317" s="278"/>
      <c r="AG317" s="278" t="b">
        <f t="shared" si="5"/>
        <v>0</v>
      </c>
      <c r="AH317" s="454"/>
      <c r="AI317" s="278"/>
      <c r="AJ317" s="278"/>
      <c r="AK317" s="278"/>
      <c r="AL317" s="444" t="str">
        <f t="array" ref="AL317">IFERROR(IFS(OR(AJ317="A1-Mewtwo", AJ317="A1-Pikachu", AJ317="A1-Charizard", AJ317="A1"), XLOOKUP(AH317, 'Genetic Apex'!$C$2:$C889, 'Genetic Apex'!$B$2:$B889)-2, AJ317="A1a", XLOOKUP(AH317, 'Mythical Island'!$C$2:$C889, 'Mythical Island'!$B$2:$B889)-2, OR(AJ317="A2-Dialga", AJ317="A2-Palkia", AJ317="A2"), XLOOKUP(AH317, 'Space-Time Smackdown'!$C$2:$C889, 'Space-Time Smackdown'!$B$2:$B889)-2))</f>
        <v/>
      </c>
      <c r="AM317" s="444" t="str">
        <f t="shared" si="6"/>
        <v/>
      </c>
      <c r="AN317" s="448" t="str">
        <f t="shared" si="7"/>
        <v/>
      </c>
    </row>
    <row r="318">
      <c r="A318" s="277"/>
      <c r="B318" s="277"/>
      <c r="C318" s="441"/>
      <c r="D318" s="277"/>
      <c r="E318" s="277"/>
      <c r="F318" s="277"/>
      <c r="G318" s="277"/>
      <c r="H318" s="277" t="b">
        <f t="shared" si="1"/>
        <v>0</v>
      </c>
      <c r="I318" s="277" t="str">
        <f>IFERROR(__xludf.DUMMYFUNCTION("""COMPUTED_VALUE"""),"A1a 028")</f>
        <v>A1a 028</v>
      </c>
      <c r="J318" s="277" t="str">
        <f>IFERROR(__xludf.DUMMYFUNCTION("""COMPUTED_VALUE"""),"Joltik")</f>
        <v>Joltik</v>
      </c>
      <c r="K318" s="277" t="str">
        <f>IFERROR(__xludf.DUMMYFUNCTION("""COMPUTED_VALUE"""),"A1a")</f>
        <v>A1a</v>
      </c>
      <c r="L318" s="277" t="str">
        <f>IFERROR(__xludf.DUMMYFUNCTION("""COMPUTED_VALUE"""),"♢")</f>
        <v>♢</v>
      </c>
      <c r="M318" s="440" t="b">
        <f t="shared" si="2"/>
        <v>1</v>
      </c>
      <c r="N318" s="441"/>
      <c r="O318" s="277"/>
      <c r="P318" s="277"/>
      <c r="Q318" s="278"/>
      <c r="R318" s="449" t="str">
        <f t="array" ref="R318">IFERROR(IFS(OR(P318="A1-Mewtwo", P318="A1-Pikachu", P318="A1-Charizard", P318="A1"), XLOOKUP(N318, 'Genetic Apex'!$C$2:$C889, 'Genetic Apex'!$B$2:$B889)-$B$4, P318="A1a", XLOOKUP(N318, 'Mythical Island'!$C$2:$C889, 'Mythical Island'!$B$2:$B889)-$B$4, OR(P318="A2-Dialga", P318="A2-Palkia", P318="A2"), XLOOKUP(N318, 'Space-Time Smackdown'!$C$2:$C889, 'Space-Time Smackdown'!$B$2:$B889)-$B$4))</f>
        <v/>
      </c>
      <c r="S318" s="277" t="str">
        <f>IFERROR(__xludf.DUMMYFUNCTION("""COMPUTED_VALUE"""),"A1a 065")</f>
        <v>A1a 065</v>
      </c>
      <c r="T318" s="277" t="str">
        <f>IFERROR(__xludf.DUMMYFUNCTION("""COMPUTED_VALUE"""),"Mythical Slab")</f>
        <v>Mythical Slab</v>
      </c>
      <c r="U318" s="277" t="str">
        <f>IFERROR(__xludf.DUMMYFUNCTION("""COMPUTED_VALUE"""),"A1a")</f>
        <v>A1a</v>
      </c>
      <c r="V318" s="278" t="str">
        <f>IFERROR(__xludf.DUMMYFUNCTION("""COMPUTED_VALUE"""),"♢♢")</f>
        <v>♢♢</v>
      </c>
      <c r="W318" s="443">
        <f t="array" ref="W318">IFERROR(IFS(OR(U318="A1-Mewtwo", U318="A1-Pikachu", U318="A1-Charizard", U318="A1"), $B$5-XLOOKUP(S318, 'Genetic Apex'!$C$2:$C889, 'Genetic Apex'!$B$2:$B889), U318="A1a", $B$5-XLOOKUP(S318, 'Mythical Island'!$C$2:$C889, 'Mythical Island'!$B$2:$B889), OR(U318="A2-Dialga", U318="A2-Palkia", U318="A2"), $B$5-XLOOKUP(S318, 'Space-Time Smackdown'!$C$2:$C889, 'Space-Time Smackdown'!$B$2:$B889)))</f>
        <v>1</v>
      </c>
      <c r="X318" s="444">
        <f t="shared" si="3"/>
        <v>0</v>
      </c>
      <c r="Y318" s="445" t="str">
        <f t="shared" si="4"/>
        <v/>
      </c>
      <c r="Z318" s="278"/>
      <c r="AA318" s="466"/>
      <c r="AB318" s="278"/>
      <c r="AC318" s="278"/>
      <c r="AD318" s="278"/>
      <c r="AE318" s="278"/>
      <c r="AF318" s="278"/>
      <c r="AG318" s="278" t="b">
        <f t="shared" si="5"/>
        <v>0</v>
      </c>
      <c r="AH318" s="454"/>
      <c r="AI318" s="278"/>
      <c r="AJ318" s="278"/>
      <c r="AK318" s="278"/>
      <c r="AL318" s="444" t="str">
        <f t="array" ref="AL318">IFERROR(IFS(OR(AJ318="A1-Mewtwo", AJ318="A1-Pikachu", AJ318="A1-Charizard", AJ318="A1"), XLOOKUP(AH318, 'Genetic Apex'!$C$2:$C889, 'Genetic Apex'!$B$2:$B889)-2, AJ318="A1a", XLOOKUP(AH318, 'Mythical Island'!$C$2:$C889, 'Mythical Island'!$B$2:$B889)-2, OR(AJ318="A2-Dialga", AJ318="A2-Palkia", AJ318="A2"), XLOOKUP(AH318, 'Space-Time Smackdown'!$C$2:$C889, 'Space-Time Smackdown'!$B$2:$B889)-2))</f>
        <v/>
      </c>
      <c r="AM318" s="444" t="str">
        <f t="shared" si="6"/>
        <v/>
      </c>
      <c r="AN318" s="448" t="str">
        <f t="shared" si="7"/>
        <v/>
      </c>
    </row>
    <row r="319">
      <c r="A319" s="277"/>
      <c r="B319" s="277"/>
      <c r="C319" s="441"/>
      <c r="D319" s="277"/>
      <c r="E319" s="277"/>
      <c r="F319" s="277"/>
      <c r="G319" s="277"/>
      <c r="H319" s="277" t="b">
        <f t="shared" si="1"/>
        <v>0</v>
      </c>
      <c r="I319" s="277" t="str">
        <f>IFERROR(__xludf.DUMMYFUNCTION("""COMPUTED_VALUE"""),"A1a 029")</f>
        <v>A1a 029</v>
      </c>
      <c r="J319" s="277" t="str">
        <f>IFERROR(__xludf.DUMMYFUNCTION("""COMPUTED_VALUE"""),"Galvantule")</f>
        <v>Galvantule</v>
      </c>
      <c r="K319" s="277" t="str">
        <f>IFERROR(__xludf.DUMMYFUNCTION("""COMPUTED_VALUE"""),"A1a")</f>
        <v>A1a</v>
      </c>
      <c r="L319" s="277" t="str">
        <f>IFERROR(__xludf.DUMMYFUNCTION("""COMPUTED_VALUE"""),"♢♢")</f>
        <v>♢♢</v>
      </c>
      <c r="M319" s="440" t="b">
        <f t="shared" si="2"/>
        <v>1</v>
      </c>
      <c r="N319" s="441"/>
      <c r="O319" s="277"/>
      <c r="P319" s="277"/>
      <c r="Q319" s="278"/>
      <c r="R319" s="449" t="str">
        <f t="array" ref="R319">IFERROR(IFS(OR(P319="A1-Mewtwo", P319="A1-Pikachu", P319="A1-Charizard", P319="A1"), XLOOKUP(N319, 'Genetic Apex'!$C$2:$C889, 'Genetic Apex'!$B$2:$B889)-$B$4, P319="A1a", XLOOKUP(N319, 'Mythical Island'!$C$2:$C889, 'Mythical Island'!$B$2:$B889)-$B$4, OR(P319="A2-Dialga", P319="A2-Palkia", P319="A2"), XLOOKUP(N319, 'Space-Time Smackdown'!$C$2:$C889, 'Space-Time Smackdown'!$B$2:$B889)-$B$4))</f>
        <v/>
      </c>
      <c r="S319" s="277" t="str">
        <f>IFERROR(__xludf.DUMMYFUNCTION("""COMPUTED_VALUE"""),"A1a 066")</f>
        <v>A1a 066</v>
      </c>
      <c r="T319" s="277" t="str">
        <f>IFERROR(__xludf.DUMMYFUNCTION("""COMPUTED_VALUE"""),"Budding Expeditioner")</f>
        <v>Budding Expeditioner</v>
      </c>
      <c r="U319" s="277" t="str">
        <f>IFERROR(__xludf.DUMMYFUNCTION("""COMPUTED_VALUE"""),"A1a")</f>
        <v>A1a</v>
      </c>
      <c r="V319" s="278" t="str">
        <f>IFERROR(__xludf.DUMMYFUNCTION("""COMPUTED_VALUE"""),"♢♢")</f>
        <v>♢♢</v>
      </c>
      <c r="W319" s="443">
        <f t="array" ref="W319">IFERROR(IFS(OR(U319="A1-Mewtwo", U319="A1-Pikachu", U319="A1-Charizard", U319="A1"), $B$5-XLOOKUP(S319, 'Genetic Apex'!$C$2:$C889, 'Genetic Apex'!$B$2:$B889), U319="A1a", $B$5-XLOOKUP(S319, 'Mythical Island'!$C$2:$C889, 'Mythical Island'!$B$2:$B889), OR(U319="A2-Dialga", U319="A2-Palkia", U319="A2"), $B$5-XLOOKUP(S319, 'Space-Time Smackdown'!$C$2:$C889, 'Space-Time Smackdown'!$B$2:$B889)))</f>
        <v>1</v>
      </c>
      <c r="X319" s="444">
        <f t="shared" si="3"/>
        <v>0</v>
      </c>
      <c r="Y319" s="445" t="str">
        <f t="shared" si="4"/>
        <v/>
      </c>
      <c r="Z319" s="278"/>
      <c r="AA319" s="466"/>
      <c r="AB319" s="278"/>
      <c r="AC319" s="278"/>
      <c r="AD319" s="278"/>
      <c r="AE319" s="278"/>
      <c r="AF319" s="278"/>
      <c r="AG319" s="278" t="b">
        <f t="shared" si="5"/>
        <v>0</v>
      </c>
      <c r="AH319" s="454"/>
      <c r="AI319" s="278"/>
      <c r="AJ319" s="278"/>
      <c r="AK319" s="278"/>
      <c r="AL319" s="444" t="str">
        <f t="array" ref="AL319">IFERROR(IFS(OR(AJ319="A1-Mewtwo", AJ319="A1-Pikachu", AJ319="A1-Charizard", AJ319="A1"), XLOOKUP(AH319, 'Genetic Apex'!$C$2:$C889, 'Genetic Apex'!$B$2:$B889)-2, AJ319="A1a", XLOOKUP(AH319, 'Mythical Island'!$C$2:$C889, 'Mythical Island'!$B$2:$B889)-2, OR(AJ319="A2-Dialga", AJ319="A2-Palkia", AJ319="A2"), XLOOKUP(AH319, 'Space-Time Smackdown'!$C$2:$C889, 'Space-Time Smackdown'!$B$2:$B889)-2))</f>
        <v/>
      </c>
      <c r="AM319" s="444" t="str">
        <f t="shared" si="6"/>
        <v/>
      </c>
      <c r="AN319" s="448" t="str">
        <f t="shared" si="7"/>
        <v/>
      </c>
    </row>
    <row r="320">
      <c r="A320" s="277"/>
      <c r="B320" s="277"/>
      <c r="C320" s="441"/>
      <c r="D320" s="277"/>
      <c r="E320" s="277"/>
      <c r="F320" s="277"/>
      <c r="G320" s="277"/>
      <c r="H320" s="277" t="b">
        <f t="shared" si="1"/>
        <v>0</v>
      </c>
      <c r="I320" s="277" t="str">
        <f>IFERROR(__xludf.DUMMYFUNCTION("""COMPUTED_VALUE"""),"A1a 030")</f>
        <v>A1a 030</v>
      </c>
      <c r="J320" s="277" t="str">
        <f>IFERROR(__xludf.DUMMYFUNCTION("""COMPUTED_VALUE"""),"Dedenne")</f>
        <v>Dedenne</v>
      </c>
      <c r="K320" s="277" t="str">
        <f>IFERROR(__xludf.DUMMYFUNCTION("""COMPUTED_VALUE"""),"A1a")</f>
        <v>A1a</v>
      </c>
      <c r="L320" s="277" t="str">
        <f>IFERROR(__xludf.DUMMYFUNCTION("""COMPUTED_VALUE"""),"♢")</f>
        <v>♢</v>
      </c>
      <c r="M320" s="440" t="b">
        <f t="shared" si="2"/>
        <v>1</v>
      </c>
      <c r="N320" s="441"/>
      <c r="O320" s="277"/>
      <c r="P320" s="277"/>
      <c r="Q320" s="278"/>
      <c r="R320" s="449" t="str">
        <f t="array" ref="R320">IFERROR(IFS(OR(P320="A1-Mewtwo", P320="A1-Pikachu", P320="A1-Charizard", P320="A1"), XLOOKUP(N320, 'Genetic Apex'!$C$2:$C889, 'Genetic Apex'!$B$2:$B889)-$B$4, P320="A1a", XLOOKUP(N320, 'Mythical Island'!$C$2:$C889, 'Mythical Island'!$B$2:$B889)-$B$4, OR(P320="A2-Dialga", P320="A2-Palkia", P320="A2"), XLOOKUP(N320, 'Space-Time Smackdown'!$C$2:$C889, 'Space-Time Smackdown'!$B$2:$B889)-$B$4))</f>
        <v/>
      </c>
      <c r="S320" s="277" t="str">
        <f>IFERROR(__xludf.DUMMYFUNCTION("""COMPUTED_VALUE"""),"A1a 067")</f>
        <v>A1a 067</v>
      </c>
      <c r="T320" s="277" t="str">
        <f>IFERROR(__xludf.DUMMYFUNCTION("""COMPUTED_VALUE"""),"Blue")</f>
        <v>Blue</v>
      </c>
      <c r="U320" s="277" t="str">
        <f>IFERROR(__xludf.DUMMYFUNCTION("""COMPUTED_VALUE"""),"A1a")</f>
        <v>A1a</v>
      </c>
      <c r="V320" s="278" t="str">
        <f>IFERROR(__xludf.DUMMYFUNCTION("""COMPUTED_VALUE"""),"♢♢")</f>
        <v>♢♢</v>
      </c>
      <c r="W320" s="443">
        <f t="array" ref="W320">IFERROR(IFS(OR(U320="A1-Mewtwo", U320="A1-Pikachu", U320="A1-Charizard", U320="A1"), $B$5-XLOOKUP(S320, 'Genetic Apex'!$C$2:$C889, 'Genetic Apex'!$B$2:$B889), U320="A1a", $B$5-XLOOKUP(S320, 'Mythical Island'!$C$2:$C889, 'Mythical Island'!$B$2:$B889), OR(U320="A2-Dialga", U320="A2-Palkia", U320="A2"), $B$5-XLOOKUP(S320, 'Space-Time Smackdown'!$C$2:$C889, 'Space-Time Smackdown'!$B$2:$B889)))</f>
        <v>1</v>
      </c>
      <c r="X320" s="444">
        <f t="shared" si="3"/>
        <v>0</v>
      </c>
      <c r="Y320" s="445" t="str">
        <f t="shared" si="4"/>
        <v/>
      </c>
      <c r="Z320" s="278"/>
      <c r="AA320" s="466"/>
      <c r="AB320" s="278"/>
      <c r="AC320" s="278"/>
      <c r="AD320" s="278"/>
      <c r="AE320" s="278"/>
      <c r="AF320" s="278"/>
      <c r="AG320" s="278" t="b">
        <f t="shared" si="5"/>
        <v>0</v>
      </c>
      <c r="AH320" s="454"/>
      <c r="AI320" s="278"/>
      <c r="AJ320" s="278"/>
      <c r="AK320" s="278"/>
      <c r="AL320" s="444" t="str">
        <f t="array" ref="AL320">IFERROR(IFS(OR(AJ320="A1-Mewtwo", AJ320="A1-Pikachu", AJ320="A1-Charizard", AJ320="A1"), XLOOKUP(AH320, 'Genetic Apex'!$C$2:$C889, 'Genetic Apex'!$B$2:$B889)-2, AJ320="A1a", XLOOKUP(AH320, 'Mythical Island'!$C$2:$C889, 'Mythical Island'!$B$2:$B889)-2, OR(AJ320="A2-Dialga", AJ320="A2-Palkia", AJ320="A2"), XLOOKUP(AH320, 'Space-Time Smackdown'!$C$2:$C889, 'Space-Time Smackdown'!$B$2:$B889)-2))</f>
        <v/>
      </c>
      <c r="AM320" s="444" t="str">
        <f t="shared" si="6"/>
        <v/>
      </c>
      <c r="AN320" s="448" t="str">
        <f t="shared" si="7"/>
        <v/>
      </c>
    </row>
    <row r="321">
      <c r="A321" s="277"/>
      <c r="B321" s="277"/>
      <c r="C321" s="441"/>
      <c r="D321" s="277"/>
      <c r="E321" s="277"/>
      <c r="F321" s="277"/>
      <c r="G321" s="277"/>
      <c r="H321" s="277" t="b">
        <f t="shared" si="1"/>
        <v>0</v>
      </c>
      <c r="I321" s="277" t="str">
        <f>IFERROR(__xludf.DUMMYFUNCTION("""COMPUTED_VALUE"""),"A1a 031")</f>
        <v>A1a 031</v>
      </c>
      <c r="J321" s="277" t="str">
        <f>IFERROR(__xludf.DUMMYFUNCTION("""COMPUTED_VALUE"""),"Mew")</f>
        <v>Mew</v>
      </c>
      <c r="K321" s="277" t="str">
        <f>IFERROR(__xludf.DUMMYFUNCTION("""COMPUTED_VALUE"""),"A1a")</f>
        <v>A1a</v>
      </c>
      <c r="L321" s="277" t="str">
        <f>IFERROR(__xludf.DUMMYFUNCTION("""COMPUTED_VALUE"""),"♢♢♢")</f>
        <v>♢♢♢</v>
      </c>
      <c r="M321" s="440" t="b">
        <f t="shared" si="2"/>
        <v>1</v>
      </c>
      <c r="N321" s="441"/>
      <c r="O321" s="277"/>
      <c r="P321" s="277"/>
      <c r="Q321" s="278"/>
      <c r="R321" s="449" t="str">
        <f t="array" ref="R321">IFERROR(IFS(OR(P321="A1-Mewtwo", P321="A1-Pikachu", P321="A1-Charizard", P321="A1"), XLOOKUP(N321, 'Genetic Apex'!$C$2:$C889, 'Genetic Apex'!$B$2:$B889)-$B$4, P321="A1a", XLOOKUP(N321, 'Mythical Island'!$C$2:$C889, 'Mythical Island'!$B$2:$B889)-$B$4, OR(P321="A2-Dialga", P321="A2-Palkia", P321="A2"), XLOOKUP(N321, 'Space-Time Smackdown'!$C$2:$C889, 'Space-Time Smackdown'!$B$2:$B889)-$B$4))</f>
        <v/>
      </c>
      <c r="S321" s="277" t="str">
        <f>IFERROR(__xludf.DUMMYFUNCTION("""COMPUTED_VALUE"""),"A1a 068")</f>
        <v>A1a 068</v>
      </c>
      <c r="T321" s="277" t="str">
        <f>IFERROR(__xludf.DUMMYFUNCTION("""COMPUTED_VALUE"""),"Leaf")</f>
        <v>Leaf</v>
      </c>
      <c r="U321" s="277" t="str">
        <f>IFERROR(__xludf.DUMMYFUNCTION("""COMPUTED_VALUE"""),"A1a")</f>
        <v>A1a</v>
      </c>
      <c r="V321" s="278" t="str">
        <f>IFERROR(__xludf.DUMMYFUNCTION("""COMPUTED_VALUE"""),"♢♢")</f>
        <v>♢♢</v>
      </c>
      <c r="W321" s="443">
        <f t="array" ref="W321">IFERROR(IFS(OR(U321="A1-Mewtwo", U321="A1-Pikachu", U321="A1-Charizard", U321="A1"), $B$5-XLOOKUP(S321, 'Genetic Apex'!$C$2:$C889, 'Genetic Apex'!$B$2:$B889), U321="A1a", $B$5-XLOOKUP(S321, 'Mythical Island'!$C$2:$C889, 'Mythical Island'!$B$2:$B889), OR(U321="A2-Dialga", U321="A2-Palkia", U321="A2"), $B$5-XLOOKUP(S321, 'Space-Time Smackdown'!$C$2:$C889, 'Space-Time Smackdown'!$B$2:$B889)))</f>
        <v>1</v>
      </c>
      <c r="X321" s="444">
        <f t="shared" si="3"/>
        <v>0</v>
      </c>
      <c r="Y321" s="445" t="str">
        <f t="shared" si="4"/>
        <v/>
      </c>
      <c r="Z321" s="278"/>
      <c r="AA321" s="466"/>
      <c r="AB321" s="278"/>
      <c r="AC321" s="278"/>
      <c r="AD321" s="278"/>
      <c r="AE321" s="278"/>
      <c r="AF321" s="278"/>
      <c r="AG321" s="278" t="b">
        <f t="shared" si="5"/>
        <v>0</v>
      </c>
      <c r="AH321" s="454"/>
      <c r="AI321" s="278"/>
      <c r="AJ321" s="278"/>
      <c r="AK321" s="278"/>
      <c r="AL321" s="444" t="str">
        <f t="array" ref="AL321">IFERROR(IFS(OR(AJ321="A1-Mewtwo", AJ321="A1-Pikachu", AJ321="A1-Charizard", AJ321="A1"), XLOOKUP(AH321, 'Genetic Apex'!$C$2:$C889, 'Genetic Apex'!$B$2:$B889)-2, AJ321="A1a", XLOOKUP(AH321, 'Mythical Island'!$C$2:$C889, 'Mythical Island'!$B$2:$B889)-2, OR(AJ321="A2-Dialga", AJ321="A2-Palkia", AJ321="A2"), XLOOKUP(AH321, 'Space-Time Smackdown'!$C$2:$C889, 'Space-Time Smackdown'!$B$2:$B889)-2))</f>
        <v/>
      </c>
      <c r="AM321" s="444" t="str">
        <f t="shared" si="6"/>
        <v/>
      </c>
      <c r="AN321" s="448" t="str">
        <f t="shared" si="7"/>
        <v/>
      </c>
    </row>
    <row r="322">
      <c r="A322" s="277"/>
      <c r="B322" s="277"/>
      <c r="C322" s="441"/>
      <c r="D322" s="277"/>
      <c r="E322" s="277"/>
      <c r="F322" s="277"/>
      <c r="G322" s="277"/>
      <c r="H322" s="277" t="b">
        <f t="shared" si="1"/>
        <v>0</v>
      </c>
      <c r="I322" s="277" t="str">
        <f>IFERROR(__xludf.DUMMYFUNCTION("""COMPUTED_VALUE"""),"A1a 032")</f>
        <v>A1a 032</v>
      </c>
      <c r="J322" s="277" t="str">
        <f>IFERROR(__xludf.DUMMYFUNCTION("""COMPUTED_VALUE"""),"Mew ex")</f>
        <v>Mew ex</v>
      </c>
      <c r="K322" s="277" t="str">
        <f>IFERROR(__xludf.DUMMYFUNCTION("""COMPUTED_VALUE"""),"A1a")</f>
        <v>A1a</v>
      </c>
      <c r="L322" s="277" t="str">
        <f>IFERROR(__xludf.DUMMYFUNCTION("""COMPUTED_VALUE"""),"♢♢♢♢")</f>
        <v>♢♢♢♢</v>
      </c>
      <c r="M322" s="440" t="b">
        <f t="shared" si="2"/>
        <v>1</v>
      </c>
      <c r="N322" s="441"/>
      <c r="O322" s="277"/>
      <c r="P322" s="277"/>
      <c r="Q322" s="278"/>
      <c r="R322" s="449" t="str">
        <f t="array" ref="R322">IFERROR(IFS(OR(P322="A1-Mewtwo", P322="A1-Pikachu", P322="A1-Charizard", P322="A1"), XLOOKUP(N322, 'Genetic Apex'!$C$2:$C889, 'Genetic Apex'!$B$2:$B889)-$B$4, P322="A1a", XLOOKUP(N322, 'Mythical Island'!$C$2:$C889, 'Mythical Island'!$B$2:$B889)-$B$4, OR(P322="A2-Dialga", P322="A2-Palkia", P322="A2"), XLOOKUP(N322, 'Space-Time Smackdown'!$C$2:$C889, 'Space-Time Smackdown'!$B$2:$B889)-$B$4))</f>
        <v/>
      </c>
      <c r="S322" s="277" t="str">
        <f>IFERROR(__xludf.DUMMYFUNCTION("""COMPUTED_VALUE"""),"A1a 069")</f>
        <v>A1a 069</v>
      </c>
      <c r="T322" s="277" t="str">
        <f>IFERROR(__xludf.DUMMYFUNCTION("""COMPUTED_VALUE"""),"Exeggutor")</f>
        <v>Exeggutor</v>
      </c>
      <c r="U322" s="277" t="str">
        <f>IFERROR(__xludf.DUMMYFUNCTION("""COMPUTED_VALUE"""),"A1a")</f>
        <v>A1a</v>
      </c>
      <c r="V322" s="278" t="str">
        <f>IFERROR(__xludf.DUMMYFUNCTION("""COMPUTED_VALUE"""),"☆")</f>
        <v>☆</v>
      </c>
      <c r="W322" s="443">
        <f t="array" ref="W322">IFERROR(IFS(OR(U322="A1-Mewtwo", U322="A1-Pikachu", U322="A1-Charizard", U322="A1"), $B$5-XLOOKUP(S322, 'Genetic Apex'!$C$2:$C889, 'Genetic Apex'!$B$2:$B889), U322="A1a", $B$5-XLOOKUP(S322, 'Mythical Island'!$C$2:$C889, 'Mythical Island'!$B$2:$B889), OR(U322="A2-Dialga", U322="A2-Palkia", U322="A2"), $B$5-XLOOKUP(S322, 'Space-Time Smackdown'!$C$2:$C889, 'Space-Time Smackdown'!$B$2:$B889)))</f>
        <v>1</v>
      </c>
      <c r="X322" s="444">
        <f t="shared" si="3"/>
        <v>400</v>
      </c>
      <c r="Y322" s="445">
        <f t="shared" si="4"/>
        <v>400</v>
      </c>
      <c r="Z322" s="278"/>
      <c r="AA322" s="466"/>
      <c r="AB322" s="278"/>
      <c r="AC322" s="278"/>
      <c r="AD322" s="278"/>
      <c r="AE322" s="278"/>
      <c r="AF322" s="278"/>
      <c r="AG322" s="278" t="b">
        <f t="shared" si="5"/>
        <v>0</v>
      </c>
      <c r="AH322" s="454"/>
      <c r="AI322" s="278"/>
      <c r="AJ322" s="278"/>
      <c r="AK322" s="278"/>
      <c r="AL322" s="444" t="str">
        <f t="array" ref="AL322">IFERROR(IFS(OR(AJ322="A1-Mewtwo", AJ322="A1-Pikachu", AJ322="A1-Charizard", AJ322="A1"), XLOOKUP(AH322, 'Genetic Apex'!$C$2:$C889, 'Genetic Apex'!$B$2:$B889)-2, AJ322="A1a", XLOOKUP(AH322, 'Mythical Island'!$C$2:$C889, 'Mythical Island'!$B$2:$B889)-2, OR(AJ322="A2-Dialga", AJ322="A2-Palkia", AJ322="A2"), XLOOKUP(AH322, 'Space-Time Smackdown'!$C$2:$C889, 'Space-Time Smackdown'!$B$2:$B889)-2))</f>
        <v/>
      </c>
      <c r="AM322" s="444" t="str">
        <f t="shared" si="6"/>
        <v/>
      </c>
      <c r="AN322" s="448" t="str">
        <f t="shared" si="7"/>
        <v/>
      </c>
    </row>
    <row r="323">
      <c r="A323" s="277"/>
      <c r="B323" s="277"/>
      <c r="C323" s="441"/>
      <c r="D323" s="277"/>
      <c r="E323" s="277"/>
      <c r="F323" s="277"/>
      <c r="G323" s="277"/>
      <c r="H323" s="277" t="b">
        <f t="shared" si="1"/>
        <v>0</v>
      </c>
      <c r="I323" s="277" t="str">
        <f>IFERROR(__xludf.DUMMYFUNCTION("""COMPUTED_VALUE"""),"A1a 033")</f>
        <v>A1a 033</v>
      </c>
      <c r="J323" s="277" t="str">
        <f>IFERROR(__xludf.DUMMYFUNCTION("""COMPUTED_VALUE"""),"Sigilyph")</f>
        <v>Sigilyph</v>
      </c>
      <c r="K323" s="277" t="str">
        <f>IFERROR(__xludf.DUMMYFUNCTION("""COMPUTED_VALUE"""),"A1a")</f>
        <v>A1a</v>
      </c>
      <c r="L323" s="277" t="str">
        <f>IFERROR(__xludf.DUMMYFUNCTION("""COMPUTED_VALUE"""),"♢♢")</f>
        <v>♢♢</v>
      </c>
      <c r="M323" s="440" t="b">
        <f t="shared" si="2"/>
        <v>1</v>
      </c>
      <c r="N323" s="441"/>
      <c r="O323" s="277"/>
      <c r="P323" s="277"/>
      <c r="Q323" s="278"/>
      <c r="R323" s="449" t="str">
        <f t="array" ref="R323">IFERROR(IFS(OR(P323="A1-Mewtwo", P323="A1-Pikachu", P323="A1-Charizard", P323="A1"), XLOOKUP(N323, 'Genetic Apex'!$C$2:$C889, 'Genetic Apex'!$B$2:$B889)-$B$4, P323="A1a", XLOOKUP(N323, 'Mythical Island'!$C$2:$C889, 'Mythical Island'!$B$2:$B889)-$B$4, OR(P323="A2-Dialga", P323="A2-Palkia", P323="A2"), XLOOKUP(N323, 'Space-Time Smackdown'!$C$2:$C889, 'Space-Time Smackdown'!$B$2:$B889)-$B$4))</f>
        <v/>
      </c>
      <c r="S323" s="277" t="str">
        <f>IFERROR(__xludf.DUMMYFUNCTION("""COMPUTED_VALUE"""),"A1a 070")</f>
        <v>A1a 070</v>
      </c>
      <c r="T323" s="277" t="str">
        <f>IFERROR(__xludf.DUMMYFUNCTION("""COMPUTED_VALUE"""),"Serperior")</f>
        <v>Serperior</v>
      </c>
      <c r="U323" s="277" t="str">
        <f>IFERROR(__xludf.DUMMYFUNCTION("""COMPUTED_VALUE"""),"A1a")</f>
        <v>A1a</v>
      </c>
      <c r="V323" s="278" t="str">
        <f>IFERROR(__xludf.DUMMYFUNCTION("""COMPUTED_VALUE"""),"☆")</f>
        <v>☆</v>
      </c>
      <c r="W323" s="443">
        <f t="array" ref="W323">IFERROR(IFS(OR(U323="A1-Mewtwo", U323="A1-Pikachu", U323="A1-Charizard", U323="A1"), $B$5-XLOOKUP(S323, 'Genetic Apex'!$C$2:$C889, 'Genetic Apex'!$B$2:$B889), U323="A1a", $B$5-XLOOKUP(S323, 'Mythical Island'!$C$2:$C889, 'Mythical Island'!$B$2:$B889), OR(U323="A2-Dialga", U323="A2-Palkia", U323="A2"), $B$5-XLOOKUP(S323, 'Space-Time Smackdown'!$C$2:$C889, 'Space-Time Smackdown'!$B$2:$B889)))</f>
        <v>1</v>
      </c>
      <c r="X323" s="444">
        <f t="shared" si="3"/>
        <v>400</v>
      </c>
      <c r="Y323" s="445">
        <f t="shared" si="4"/>
        <v>400</v>
      </c>
      <c r="Z323" s="278"/>
      <c r="AA323" s="466"/>
      <c r="AB323" s="278"/>
      <c r="AC323" s="278"/>
      <c r="AD323" s="278"/>
      <c r="AE323" s="278"/>
      <c r="AF323" s="278"/>
      <c r="AG323" s="278" t="b">
        <f t="shared" si="5"/>
        <v>0</v>
      </c>
      <c r="AH323" s="454"/>
      <c r="AI323" s="278"/>
      <c r="AJ323" s="278"/>
      <c r="AK323" s="278"/>
      <c r="AL323" s="444" t="str">
        <f t="array" ref="AL323">IFERROR(IFS(OR(AJ323="A1-Mewtwo", AJ323="A1-Pikachu", AJ323="A1-Charizard", AJ323="A1"), XLOOKUP(AH323, 'Genetic Apex'!$C$2:$C889, 'Genetic Apex'!$B$2:$B889)-2, AJ323="A1a", XLOOKUP(AH323, 'Mythical Island'!$C$2:$C889, 'Mythical Island'!$B$2:$B889)-2, OR(AJ323="A2-Dialga", AJ323="A2-Palkia", AJ323="A2"), XLOOKUP(AH323, 'Space-Time Smackdown'!$C$2:$C889, 'Space-Time Smackdown'!$B$2:$B889)-2))</f>
        <v/>
      </c>
      <c r="AM323" s="444" t="str">
        <f t="shared" si="6"/>
        <v/>
      </c>
      <c r="AN323" s="448" t="str">
        <f t="shared" si="7"/>
        <v/>
      </c>
    </row>
    <row r="324">
      <c r="A324" s="277"/>
      <c r="B324" s="277"/>
      <c r="C324" s="441"/>
      <c r="D324" s="277"/>
      <c r="E324" s="277"/>
      <c r="F324" s="277"/>
      <c r="G324" s="277"/>
      <c r="H324" s="277" t="b">
        <f t="shared" si="1"/>
        <v>0</v>
      </c>
      <c r="I324" s="277" t="str">
        <f>IFERROR(__xludf.DUMMYFUNCTION("""COMPUTED_VALUE"""),"A1a 034")</f>
        <v>A1a 034</v>
      </c>
      <c r="J324" s="277" t="str">
        <f>IFERROR(__xludf.DUMMYFUNCTION("""COMPUTED_VALUE"""),"Elgyem")</f>
        <v>Elgyem</v>
      </c>
      <c r="K324" s="277" t="str">
        <f>IFERROR(__xludf.DUMMYFUNCTION("""COMPUTED_VALUE"""),"A1a")</f>
        <v>A1a</v>
      </c>
      <c r="L324" s="277" t="str">
        <f>IFERROR(__xludf.DUMMYFUNCTION("""COMPUTED_VALUE"""),"♢")</f>
        <v>♢</v>
      </c>
      <c r="M324" s="440" t="b">
        <f t="shared" si="2"/>
        <v>1</v>
      </c>
      <c r="N324" s="441"/>
      <c r="O324" s="277"/>
      <c r="P324" s="277"/>
      <c r="Q324" s="278"/>
      <c r="R324" s="449" t="str">
        <f t="array" ref="R324">IFERROR(IFS(OR(P324="A1-Mewtwo", P324="A1-Pikachu", P324="A1-Charizard", P324="A1"), XLOOKUP(N324, 'Genetic Apex'!$C$2:$C889, 'Genetic Apex'!$B$2:$B889)-$B$4, P324="A1a", XLOOKUP(N324, 'Mythical Island'!$C$2:$C889, 'Mythical Island'!$B$2:$B889)-$B$4, OR(P324="A2-Dialga", P324="A2-Palkia", P324="A2"), XLOOKUP(N324, 'Space-Time Smackdown'!$C$2:$C889, 'Space-Time Smackdown'!$B$2:$B889)-$B$4))</f>
        <v/>
      </c>
      <c r="S324" s="277" t="str">
        <f>IFERROR(__xludf.DUMMYFUNCTION("""COMPUTED_VALUE"""),"A1a 071")</f>
        <v>A1a 071</v>
      </c>
      <c r="T324" s="277" t="str">
        <f>IFERROR(__xludf.DUMMYFUNCTION("""COMPUTED_VALUE"""),"Salandit")</f>
        <v>Salandit</v>
      </c>
      <c r="U324" s="277" t="str">
        <f>IFERROR(__xludf.DUMMYFUNCTION("""COMPUTED_VALUE"""),"A1a")</f>
        <v>A1a</v>
      </c>
      <c r="V324" s="278" t="str">
        <f>IFERROR(__xludf.DUMMYFUNCTION("""COMPUTED_VALUE"""),"☆")</f>
        <v>☆</v>
      </c>
      <c r="W324" s="443">
        <f t="array" ref="W324">IFERROR(IFS(OR(U324="A1-Mewtwo", U324="A1-Pikachu", U324="A1-Charizard", U324="A1"), $B$5-XLOOKUP(S324, 'Genetic Apex'!$C$2:$C889, 'Genetic Apex'!$B$2:$B889), U324="A1a", $B$5-XLOOKUP(S324, 'Mythical Island'!$C$2:$C889, 'Mythical Island'!$B$2:$B889), OR(U324="A2-Dialga", U324="A2-Palkia", U324="A2"), $B$5-XLOOKUP(S324, 'Space-Time Smackdown'!$C$2:$C889, 'Space-Time Smackdown'!$B$2:$B889)))</f>
        <v>1</v>
      </c>
      <c r="X324" s="444">
        <f t="shared" si="3"/>
        <v>400</v>
      </c>
      <c r="Y324" s="445">
        <f t="shared" si="4"/>
        <v>400</v>
      </c>
      <c r="Z324" s="278"/>
      <c r="AA324" s="466"/>
      <c r="AB324" s="278"/>
      <c r="AC324" s="278"/>
      <c r="AD324" s="278"/>
      <c r="AE324" s="278"/>
      <c r="AF324" s="278"/>
      <c r="AG324" s="278" t="b">
        <f t="shared" si="5"/>
        <v>0</v>
      </c>
      <c r="AH324" s="454"/>
      <c r="AI324" s="278"/>
      <c r="AJ324" s="278"/>
      <c r="AK324" s="278"/>
      <c r="AL324" s="444" t="str">
        <f t="array" ref="AL324">IFERROR(IFS(OR(AJ324="A1-Mewtwo", AJ324="A1-Pikachu", AJ324="A1-Charizard", AJ324="A1"), XLOOKUP(AH324, 'Genetic Apex'!$C$2:$C889, 'Genetic Apex'!$B$2:$B889)-2, AJ324="A1a", XLOOKUP(AH324, 'Mythical Island'!$C$2:$C889, 'Mythical Island'!$B$2:$B889)-2, OR(AJ324="A2-Dialga", AJ324="A2-Palkia", AJ324="A2"), XLOOKUP(AH324, 'Space-Time Smackdown'!$C$2:$C889, 'Space-Time Smackdown'!$B$2:$B889)-2))</f>
        <v/>
      </c>
      <c r="AM324" s="444" t="str">
        <f t="shared" si="6"/>
        <v/>
      </c>
      <c r="AN324" s="448" t="str">
        <f t="shared" si="7"/>
        <v/>
      </c>
    </row>
    <row r="325">
      <c r="A325" s="277"/>
      <c r="B325" s="277"/>
      <c r="C325" s="441"/>
      <c r="D325" s="277"/>
      <c r="E325" s="277"/>
      <c r="F325" s="277"/>
      <c r="G325" s="277"/>
      <c r="H325" s="277" t="b">
        <f t="shared" si="1"/>
        <v>0</v>
      </c>
      <c r="I325" s="277" t="str">
        <f>IFERROR(__xludf.DUMMYFUNCTION("""COMPUTED_VALUE"""),"A1a 035")</f>
        <v>A1a 035</v>
      </c>
      <c r="J325" s="277" t="str">
        <f>IFERROR(__xludf.DUMMYFUNCTION("""COMPUTED_VALUE"""),"Beheeyem")</f>
        <v>Beheeyem</v>
      </c>
      <c r="K325" s="277" t="str">
        <f>IFERROR(__xludf.DUMMYFUNCTION("""COMPUTED_VALUE"""),"A1a")</f>
        <v>A1a</v>
      </c>
      <c r="L325" s="277" t="str">
        <f>IFERROR(__xludf.DUMMYFUNCTION("""COMPUTED_VALUE"""),"♢♢")</f>
        <v>♢♢</v>
      </c>
      <c r="M325" s="440" t="b">
        <f t="shared" si="2"/>
        <v>1</v>
      </c>
      <c r="N325" s="441"/>
      <c r="O325" s="277"/>
      <c r="P325" s="277"/>
      <c r="Q325" s="278"/>
      <c r="R325" s="449" t="str">
        <f t="array" ref="R325">IFERROR(IFS(OR(P325="A1-Mewtwo", P325="A1-Pikachu", P325="A1-Charizard", P325="A1"), XLOOKUP(N325, 'Genetic Apex'!$C$2:$C889, 'Genetic Apex'!$B$2:$B889)-$B$4, P325="A1a", XLOOKUP(N325, 'Mythical Island'!$C$2:$C889, 'Mythical Island'!$B$2:$B889)-$B$4, OR(P325="A2-Dialga", P325="A2-Palkia", P325="A2"), XLOOKUP(N325, 'Space-Time Smackdown'!$C$2:$C889, 'Space-Time Smackdown'!$B$2:$B889)-$B$4))</f>
        <v/>
      </c>
      <c r="S325" s="277" t="str">
        <f>IFERROR(__xludf.DUMMYFUNCTION("""COMPUTED_VALUE"""),"A1a 072")</f>
        <v>A1a 072</v>
      </c>
      <c r="T325" s="277" t="str">
        <f>IFERROR(__xludf.DUMMYFUNCTION("""COMPUTED_VALUE"""),"Vaporeon")</f>
        <v>Vaporeon</v>
      </c>
      <c r="U325" s="277" t="str">
        <f>IFERROR(__xludf.DUMMYFUNCTION("""COMPUTED_VALUE"""),"A1a")</f>
        <v>A1a</v>
      </c>
      <c r="V325" s="278" t="str">
        <f>IFERROR(__xludf.DUMMYFUNCTION("""COMPUTED_VALUE"""),"☆")</f>
        <v>☆</v>
      </c>
      <c r="W325" s="443">
        <f t="array" ref="W325">IFERROR(IFS(OR(U325="A1-Mewtwo", U325="A1-Pikachu", U325="A1-Charizard", U325="A1"), $B$5-XLOOKUP(S325, 'Genetic Apex'!$C$2:$C889, 'Genetic Apex'!$B$2:$B889), U325="A1a", $B$5-XLOOKUP(S325, 'Mythical Island'!$C$2:$C889, 'Mythical Island'!$B$2:$B889), OR(U325="A2-Dialga", U325="A2-Palkia", U325="A2"), $B$5-XLOOKUP(S325, 'Space-Time Smackdown'!$C$2:$C889, 'Space-Time Smackdown'!$B$2:$B889)))</f>
        <v>1</v>
      </c>
      <c r="X325" s="444">
        <f t="shared" si="3"/>
        <v>400</v>
      </c>
      <c r="Y325" s="445">
        <f t="shared" si="4"/>
        <v>400</v>
      </c>
      <c r="Z325" s="278"/>
      <c r="AA325" s="466"/>
      <c r="AB325" s="278"/>
      <c r="AC325" s="278"/>
      <c r="AD325" s="278"/>
      <c r="AE325" s="278"/>
      <c r="AF325" s="278"/>
      <c r="AG325" s="278" t="b">
        <f t="shared" si="5"/>
        <v>0</v>
      </c>
      <c r="AH325" s="454"/>
      <c r="AI325" s="278"/>
      <c r="AJ325" s="278"/>
      <c r="AK325" s="278"/>
      <c r="AL325" s="444" t="str">
        <f t="array" ref="AL325">IFERROR(IFS(OR(AJ325="A1-Mewtwo", AJ325="A1-Pikachu", AJ325="A1-Charizard", AJ325="A1"), XLOOKUP(AH325, 'Genetic Apex'!$C$2:$C889, 'Genetic Apex'!$B$2:$B889)-2, AJ325="A1a", XLOOKUP(AH325, 'Mythical Island'!$C$2:$C889, 'Mythical Island'!$B$2:$B889)-2, OR(AJ325="A2-Dialga", AJ325="A2-Palkia", AJ325="A2"), XLOOKUP(AH325, 'Space-Time Smackdown'!$C$2:$C889, 'Space-Time Smackdown'!$B$2:$B889)-2))</f>
        <v/>
      </c>
      <c r="AM325" s="444" t="str">
        <f t="shared" si="6"/>
        <v/>
      </c>
      <c r="AN325" s="448" t="str">
        <f t="shared" si="7"/>
        <v/>
      </c>
    </row>
    <row r="326">
      <c r="A326" s="277"/>
      <c r="B326" s="277"/>
      <c r="C326" s="441"/>
      <c r="D326" s="277"/>
      <c r="E326" s="277"/>
      <c r="F326" s="277"/>
      <c r="G326" s="277"/>
      <c r="H326" s="277" t="b">
        <f t="shared" si="1"/>
        <v>0</v>
      </c>
      <c r="I326" s="277" t="str">
        <f>IFERROR(__xludf.DUMMYFUNCTION("""COMPUTED_VALUE"""),"A1a 036")</f>
        <v>A1a 036</v>
      </c>
      <c r="J326" s="277" t="str">
        <f>IFERROR(__xludf.DUMMYFUNCTION("""COMPUTED_VALUE"""),"Flabébé")</f>
        <v>Flabébé</v>
      </c>
      <c r="K326" s="277" t="str">
        <f>IFERROR(__xludf.DUMMYFUNCTION("""COMPUTED_VALUE"""),"A1a")</f>
        <v>A1a</v>
      </c>
      <c r="L326" s="277" t="str">
        <f>IFERROR(__xludf.DUMMYFUNCTION("""COMPUTED_VALUE"""),"♢")</f>
        <v>♢</v>
      </c>
      <c r="M326" s="440" t="b">
        <f t="shared" si="2"/>
        <v>1</v>
      </c>
      <c r="N326" s="441"/>
      <c r="O326" s="277"/>
      <c r="P326" s="277"/>
      <c r="Q326" s="278"/>
      <c r="R326" s="449" t="str">
        <f t="array" ref="R326">IFERROR(IFS(OR(P326="A1-Mewtwo", P326="A1-Pikachu", P326="A1-Charizard", P326="A1"), XLOOKUP(N326, 'Genetic Apex'!$C$2:$C889, 'Genetic Apex'!$B$2:$B889)-$B$4, P326="A1a", XLOOKUP(N326, 'Mythical Island'!$C$2:$C889, 'Mythical Island'!$B$2:$B889)-$B$4, OR(P326="A2-Dialga", P326="A2-Palkia", P326="A2"), XLOOKUP(N326, 'Space-Time Smackdown'!$C$2:$C889, 'Space-Time Smackdown'!$B$2:$B889)-$B$4))</f>
        <v/>
      </c>
      <c r="S326" s="277" t="str">
        <f>IFERROR(__xludf.DUMMYFUNCTION("""COMPUTED_VALUE"""),"A1a 073")</f>
        <v>A1a 073</v>
      </c>
      <c r="T326" s="277" t="str">
        <f>IFERROR(__xludf.DUMMYFUNCTION("""COMPUTED_VALUE"""),"Dedenne")</f>
        <v>Dedenne</v>
      </c>
      <c r="U326" s="277" t="str">
        <f>IFERROR(__xludf.DUMMYFUNCTION("""COMPUTED_VALUE"""),"A1a")</f>
        <v>A1a</v>
      </c>
      <c r="V326" s="278" t="str">
        <f>IFERROR(__xludf.DUMMYFUNCTION("""COMPUTED_VALUE"""),"☆")</f>
        <v>☆</v>
      </c>
      <c r="W326" s="443">
        <f t="array" ref="W326">IFERROR(IFS(OR(U326="A1-Mewtwo", U326="A1-Pikachu", U326="A1-Charizard", U326="A1"), $B$5-XLOOKUP(S326, 'Genetic Apex'!$C$2:$C889, 'Genetic Apex'!$B$2:$B889), U326="A1a", $B$5-XLOOKUP(S326, 'Mythical Island'!$C$2:$C889, 'Mythical Island'!$B$2:$B889), OR(U326="A2-Dialga", U326="A2-Palkia", U326="A2"), $B$5-XLOOKUP(S326, 'Space-Time Smackdown'!$C$2:$C889, 'Space-Time Smackdown'!$B$2:$B889)))</f>
        <v>1</v>
      </c>
      <c r="X326" s="444">
        <f t="shared" si="3"/>
        <v>400</v>
      </c>
      <c r="Y326" s="445">
        <f t="shared" si="4"/>
        <v>400</v>
      </c>
      <c r="Z326" s="278"/>
      <c r="AA326" s="466"/>
      <c r="AB326" s="278"/>
      <c r="AC326" s="278"/>
      <c r="AD326" s="278"/>
      <c r="AE326" s="278"/>
      <c r="AF326" s="278"/>
      <c r="AG326" s="278" t="b">
        <f t="shared" si="5"/>
        <v>0</v>
      </c>
      <c r="AH326" s="454"/>
      <c r="AI326" s="278"/>
      <c r="AJ326" s="278"/>
      <c r="AK326" s="278"/>
      <c r="AL326" s="444" t="str">
        <f t="array" ref="AL326">IFERROR(IFS(OR(AJ326="A1-Mewtwo", AJ326="A1-Pikachu", AJ326="A1-Charizard", AJ326="A1"), XLOOKUP(AH326, 'Genetic Apex'!$C$2:$C889, 'Genetic Apex'!$B$2:$B889)-2, AJ326="A1a", XLOOKUP(AH326, 'Mythical Island'!$C$2:$C889, 'Mythical Island'!$B$2:$B889)-2, OR(AJ326="A2-Dialga", AJ326="A2-Palkia", AJ326="A2"), XLOOKUP(AH326, 'Space-Time Smackdown'!$C$2:$C889, 'Space-Time Smackdown'!$B$2:$B889)-2))</f>
        <v/>
      </c>
      <c r="AM326" s="444" t="str">
        <f t="shared" si="6"/>
        <v/>
      </c>
      <c r="AN326" s="448" t="str">
        <f t="shared" si="7"/>
        <v/>
      </c>
    </row>
    <row r="327">
      <c r="A327" s="277"/>
      <c r="B327" s="277"/>
      <c r="C327" s="441"/>
      <c r="D327" s="277"/>
      <c r="E327" s="277"/>
      <c r="F327" s="277"/>
      <c r="G327" s="277"/>
      <c r="H327" s="277" t="b">
        <f t="shared" si="1"/>
        <v>0</v>
      </c>
      <c r="I327" s="277" t="str">
        <f>IFERROR(__xludf.DUMMYFUNCTION("""COMPUTED_VALUE"""),"A1a 037")</f>
        <v>A1a 037</v>
      </c>
      <c r="J327" s="277" t="str">
        <f>IFERROR(__xludf.DUMMYFUNCTION("""COMPUTED_VALUE"""),"Floette")</f>
        <v>Floette</v>
      </c>
      <c r="K327" s="277" t="str">
        <f>IFERROR(__xludf.DUMMYFUNCTION("""COMPUTED_VALUE"""),"A1a")</f>
        <v>A1a</v>
      </c>
      <c r="L327" s="277" t="str">
        <f>IFERROR(__xludf.DUMMYFUNCTION("""COMPUTED_VALUE"""),"♢")</f>
        <v>♢</v>
      </c>
      <c r="M327" s="440" t="b">
        <f t="shared" si="2"/>
        <v>1</v>
      </c>
      <c r="N327" s="441"/>
      <c r="O327" s="277"/>
      <c r="P327" s="277"/>
      <c r="Q327" s="278"/>
      <c r="R327" s="449" t="str">
        <f t="array" ref="R327">IFERROR(IFS(OR(P327="A1-Mewtwo", P327="A1-Pikachu", P327="A1-Charizard", P327="A1"), XLOOKUP(N327, 'Genetic Apex'!$C$2:$C889, 'Genetic Apex'!$B$2:$B889)-$B$4, P327="A1a", XLOOKUP(N327, 'Mythical Island'!$C$2:$C889, 'Mythical Island'!$B$2:$B889)-$B$4, OR(P327="A2-Dialga", P327="A2-Palkia", P327="A2"), XLOOKUP(N327, 'Space-Time Smackdown'!$C$2:$C889, 'Space-Time Smackdown'!$B$2:$B889)-$B$4))</f>
        <v/>
      </c>
      <c r="S327" s="277" t="str">
        <f>IFERROR(__xludf.DUMMYFUNCTION("""COMPUTED_VALUE"""),"A1a 074")</f>
        <v>A1a 074</v>
      </c>
      <c r="T327" s="277" t="str">
        <f>IFERROR(__xludf.DUMMYFUNCTION("""COMPUTED_VALUE"""),"Marshadow")</f>
        <v>Marshadow</v>
      </c>
      <c r="U327" s="277" t="str">
        <f>IFERROR(__xludf.DUMMYFUNCTION("""COMPUTED_VALUE"""),"A1a")</f>
        <v>A1a</v>
      </c>
      <c r="V327" s="278" t="str">
        <f>IFERROR(__xludf.DUMMYFUNCTION("""COMPUTED_VALUE"""),"☆")</f>
        <v>☆</v>
      </c>
      <c r="W327" s="443">
        <f t="array" ref="W327">IFERROR(IFS(OR(U327="A1-Mewtwo", U327="A1-Pikachu", U327="A1-Charizard", U327="A1"), $B$5-XLOOKUP(S327, 'Genetic Apex'!$C$2:$C889, 'Genetic Apex'!$B$2:$B889), U327="A1a", $B$5-XLOOKUP(S327, 'Mythical Island'!$C$2:$C889, 'Mythical Island'!$B$2:$B889), OR(U327="A2-Dialga", U327="A2-Palkia", U327="A2"), $B$5-XLOOKUP(S327, 'Space-Time Smackdown'!$C$2:$C889, 'Space-Time Smackdown'!$B$2:$B889)))</f>
        <v>1</v>
      </c>
      <c r="X327" s="444">
        <f t="shared" si="3"/>
        <v>400</v>
      </c>
      <c r="Y327" s="445">
        <f t="shared" si="4"/>
        <v>400</v>
      </c>
      <c r="Z327" s="278"/>
      <c r="AA327" s="466"/>
      <c r="AB327" s="278"/>
      <c r="AC327" s="278"/>
      <c r="AD327" s="278"/>
      <c r="AE327" s="278"/>
      <c r="AF327" s="278"/>
      <c r="AG327" s="278" t="b">
        <f t="shared" si="5"/>
        <v>0</v>
      </c>
      <c r="AH327" s="454"/>
      <c r="AI327" s="278"/>
      <c r="AJ327" s="278"/>
      <c r="AK327" s="278"/>
      <c r="AL327" s="444" t="str">
        <f t="array" ref="AL327">IFERROR(IFS(OR(AJ327="A1-Mewtwo", AJ327="A1-Pikachu", AJ327="A1-Charizard", AJ327="A1"), XLOOKUP(AH327, 'Genetic Apex'!$C$2:$C889, 'Genetic Apex'!$B$2:$B889)-2, AJ327="A1a", XLOOKUP(AH327, 'Mythical Island'!$C$2:$C889, 'Mythical Island'!$B$2:$B889)-2, OR(AJ327="A2-Dialga", AJ327="A2-Palkia", AJ327="A2"), XLOOKUP(AH327, 'Space-Time Smackdown'!$C$2:$C889, 'Space-Time Smackdown'!$B$2:$B889)-2))</f>
        <v/>
      </c>
      <c r="AM327" s="444" t="str">
        <f t="shared" si="6"/>
        <v/>
      </c>
      <c r="AN327" s="448" t="str">
        <f t="shared" si="7"/>
        <v/>
      </c>
    </row>
    <row r="328">
      <c r="A328" s="277"/>
      <c r="B328" s="277"/>
      <c r="C328" s="441"/>
      <c r="D328" s="277"/>
      <c r="E328" s="277"/>
      <c r="F328" s="277"/>
      <c r="G328" s="277"/>
      <c r="H328" s="277" t="b">
        <f t="shared" si="1"/>
        <v>0</v>
      </c>
      <c r="I328" s="277" t="str">
        <f>IFERROR(__xludf.DUMMYFUNCTION("""COMPUTED_VALUE"""),"A1a 038")</f>
        <v>A1a 038</v>
      </c>
      <c r="J328" s="277" t="str">
        <f>IFERROR(__xludf.DUMMYFUNCTION("""COMPUTED_VALUE"""),"Florges")</f>
        <v>Florges</v>
      </c>
      <c r="K328" s="277" t="str">
        <f>IFERROR(__xludf.DUMMYFUNCTION("""COMPUTED_VALUE"""),"A1a")</f>
        <v>A1a</v>
      </c>
      <c r="L328" s="277" t="str">
        <f>IFERROR(__xludf.DUMMYFUNCTION("""COMPUTED_VALUE"""),"♢♢")</f>
        <v>♢♢</v>
      </c>
      <c r="M328" s="440" t="b">
        <f t="shared" si="2"/>
        <v>1</v>
      </c>
      <c r="N328" s="441"/>
      <c r="O328" s="277"/>
      <c r="P328" s="277"/>
      <c r="Q328" s="278"/>
      <c r="R328" s="449" t="str">
        <f t="array" ref="R328">IFERROR(IFS(OR(P328="A1-Mewtwo", P328="A1-Pikachu", P328="A1-Charizard", P328="A1"), XLOOKUP(N328, 'Genetic Apex'!$C$2:$C889, 'Genetic Apex'!$B$2:$B889)-$B$4, P328="A1a", XLOOKUP(N328, 'Mythical Island'!$C$2:$C889, 'Mythical Island'!$B$2:$B889)-$B$4, OR(P328="A2-Dialga", P328="A2-Palkia", P328="A2"), XLOOKUP(N328, 'Space-Time Smackdown'!$C$2:$C889, 'Space-Time Smackdown'!$B$2:$B889)-$B$4))</f>
        <v/>
      </c>
      <c r="S328" s="277"/>
      <c r="T328" s="277"/>
      <c r="U328" s="277"/>
      <c r="V328" s="278"/>
      <c r="W328" s="443" t="str">
        <f t="array" ref="W328">IFERROR(IFS(OR(U328="A1-Mewtwo", U328="A1-Pikachu", U328="A1-Charizard", U328="A1"), $B$5-XLOOKUP(S328, 'Genetic Apex'!$C$2:$C889, 'Genetic Apex'!$B$2:$B889), U328="A1a", $B$5-XLOOKUP(S328, 'Mythical Island'!$C$2:$C889, 'Mythical Island'!$B$2:$B889), OR(U328="A2-Dialga", U328="A2-Palkia", U328="A2"), $B$5-XLOOKUP(S328, 'Space-Time Smackdown'!$C$2:$C889, 'Space-Time Smackdown'!$B$2:$B889)))</f>
        <v/>
      </c>
      <c r="X328" s="444" t="str">
        <f t="shared" si="3"/>
        <v/>
      </c>
      <c r="Y328" s="445" t="str">
        <f t="shared" si="4"/>
        <v/>
      </c>
      <c r="Z328" s="278"/>
      <c r="AA328" s="466"/>
      <c r="AB328" s="278"/>
      <c r="AC328" s="278"/>
      <c r="AD328" s="278"/>
      <c r="AE328" s="278"/>
      <c r="AF328" s="278"/>
      <c r="AG328" s="278" t="b">
        <f t="shared" si="5"/>
        <v>0</v>
      </c>
      <c r="AH328" s="454"/>
      <c r="AI328" s="278"/>
      <c r="AJ328" s="278"/>
      <c r="AK328" s="278"/>
      <c r="AL328" s="444" t="str">
        <f t="array" ref="AL328">IFERROR(IFS(OR(AJ328="A1-Mewtwo", AJ328="A1-Pikachu", AJ328="A1-Charizard", AJ328="A1"), XLOOKUP(AH328, 'Genetic Apex'!$C$2:$C889, 'Genetic Apex'!$B$2:$B889)-2, AJ328="A1a", XLOOKUP(AH328, 'Mythical Island'!$C$2:$C889, 'Mythical Island'!$B$2:$B889)-2, OR(AJ328="A2-Dialga", AJ328="A2-Palkia", AJ328="A2"), XLOOKUP(AH328, 'Space-Time Smackdown'!$C$2:$C889, 'Space-Time Smackdown'!$B$2:$B889)-2))</f>
        <v/>
      </c>
      <c r="AM328" s="444" t="str">
        <f t="shared" si="6"/>
        <v/>
      </c>
      <c r="AN328" s="448" t="str">
        <f t="shared" si="7"/>
        <v/>
      </c>
    </row>
    <row r="329">
      <c r="A329" s="277"/>
      <c r="B329" s="277"/>
      <c r="C329" s="441"/>
      <c r="D329" s="277"/>
      <c r="E329" s="277"/>
      <c r="F329" s="277"/>
      <c r="G329" s="277"/>
      <c r="H329" s="277" t="b">
        <f t="shared" si="1"/>
        <v>0</v>
      </c>
      <c r="I329" s="277" t="str">
        <f>IFERROR(__xludf.DUMMYFUNCTION("""COMPUTED_VALUE"""),"A1a 039")</f>
        <v>A1a 039</v>
      </c>
      <c r="J329" s="277" t="str">
        <f>IFERROR(__xludf.DUMMYFUNCTION("""COMPUTED_VALUE"""),"Swirlix")</f>
        <v>Swirlix</v>
      </c>
      <c r="K329" s="277" t="str">
        <f>IFERROR(__xludf.DUMMYFUNCTION("""COMPUTED_VALUE"""),"A1a")</f>
        <v>A1a</v>
      </c>
      <c r="L329" s="277" t="str">
        <f>IFERROR(__xludf.DUMMYFUNCTION("""COMPUTED_VALUE"""),"♢")</f>
        <v>♢</v>
      </c>
      <c r="M329" s="440" t="b">
        <f t="shared" si="2"/>
        <v>1</v>
      </c>
      <c r="N329" s="441"/>
      <c r="O329" s="277"/>
      <c r="P329" s="277"/>
      <c r="Q329" s="278"/>
      <c r="R329" s="449" t="str">
        <f t="array" ref="R329">IFERROR(IFS(OR(P329="A1-Mewtwo", P329="A1-Pikachu", P329="A1-Charizard", P329="A1"), XLOOKUP(N329, 'Genetic Apex'!$C$2:$C889, 'Genetic Apex'!$B$2:$B889)-$B$4, P329="A1a", XLOOKUP(N329, 'Mythical Island'!$C$2:$C889, 'Mythical Island'!$B$2:$B889)-$B$4, OR(P329="A2-Dialga", P329="A2-Palkia", P329="A2"), XLOOKUP(N329, 'Space-Time Smackdown'!$C$2:$C889, 'Space-Time Smackdown'!$B$2:$B889)-$B$4))</f>
        <v/>
      </c>
      <c r="S329" s="277"/>
      <c r="T329" s="277"/>
      <c r="U329" s="277"/>
      <c r="V329" s="278"/>
      <c r="W329" s="443" t="str">
        <f t="array" ref="W329">IFERROR(IFS(OR(U329="A1-Mewtwo", U329="A1-Pikachu", U329="A1-Charizard", U329="A1"), $B$5-XLOOKUP(S329, 'Genetic Apex'!$C$2:$C889, 'Genetic Apex'!$B$2:$B889), U329="A1a", $B$5-XLOOKUP(S329, 'Mythical Island'!$C$2:$C889, 'Mythical Island'!$B$2:$B889), OR(U329="A2-Dialga", U329="A2-Palkia", U329="A2"), $B$5-XLOOKUP(S329, 'Space-Time Smackdown'!$C$2:$C889, 'Space-Time Smackdown'!$B$2:$B889)))</f>
        <v/>
      </c>
      <c r="X329" s="444" t="str">
        <f t="shared" si="3"/>
        <v/>
      </c>
      <c r="Y329" s="445" t="str">
        <f t="shared" si="4"/>
        <v/>
      </c>
      <c r="Z329" s="278"/>
      <c r="AA329" s="466"/>
      <c r="AB329" s="278"/>
      <c r="AC329" s="278"/>
      <c r="AD329" s="278"/>
      <c r="AE329" s="278"/>
      <c r="AF329" s="278"/>
      <c r="AG329" s="278" t="b">
        <f t="shared" si="5"/>
        <v>0</v>
      </c>
      <c r="AH329" s="454"/>
      <c r="AI329" s="278"/>
      <c r="AJ329" s="278"/>
      <c r="AK329" s="278"/>
      <c r="AL329" s="444" t="str">
        <f t="array" ref="AL329">IFERROR(IFS(OR(AJ329="A1-Mewtwo", AJ329="A1-Pikachu", AJ329="A1-Charizard", AJ329="A1"), XLOOKUP(AH329, 'Genetic Apex'!$C$2:$C889, 'Genetic Apex'!$B$2:$B889)-2, AJ329="A1a", XLOOKUP(AH329, 'Mythical Island'!$C$2:$C889, 'Mythical Island'!$B$2:$B889)-2, OR(AJ329="A2-Dialga", AJ329="A2-Palkia", AJ329="A2"), XLOOKUP(AH329, 'Space-Time Smackdown'!$C$2:$C889, 'Space-Time Smackdown'!$B$2:$B889)-2))</f>
        <v/>
      </c>
      <c r="AM329" s="444" t="str">
        <f t="shared" si="6"/>
        <v/>
      </c>
      <c r="AN329" s="448" t="str">
        <f t="shared" si="7"/>
        <v/>
      </c>
    </row>
    <row r="330">
      <c r="A330" s="277"/>
      <c r="B330" s="277"/>
      <c r="C330" s="441"/>
      <c r="D330" s="277"/>
      <c r="E330" s="277"/>
      <c r="F330" s="277"/>
      <c r="G330" s="277"/>
      <c r="H330" s="277" t="b">
        <f t="shared" si="1"/>
        <v>0</v>
      </c>
      <c r="I330" s="277" t="str">
        <f>IFERROR(__xludf.DUMMYFUNCTION("""COMPUTED_VALUE"""),"A1a 040")</f>
        <v>A1a 040</v>
      </c>
      <c r="J330" s="277" t="str">
        <f>IFERROR(__xludf.DUMMYFUNCTION("""COMPUTED_VALUE"""),"Slurpuff")</f>
        <v>Slurpuff</v>
      </c>
      <c r="K330" s="277" t="str">
        <f>IFERROR(__xludf.DUMMYFUNCTION("""COMPUTED_VALUE"""),"A1a")</f>
        <v>A1a</v>
      </c>
      <c r="L330" s="277" t="str">
        <f>IFERROR(__xludf.DUMMYFUNCTION("""COMPUTED_VALUE"""),"♢")</f>
        <v>♢</v>
      </c>
      <c r="M330" s="440" t="b">
        <f t="shared" si="2"/>
        <v>1</v>
      </c>
      <c r="N330" s="441"/>
      <c r="O330" s="277"/>
      <c r="P330" s="277"/>
      <c r="Q330" s="278"/>
      <c r="R330" s="449" t="str">
        <f t="array" ref="R330">IFERROR(IFS(OR(P330="A1-Mewtwo", P330="A1-Pikachu", P330="A1-Charizard", P330="A1"), XLOOKUP(N330, 'Genetic Apex'!$C$2:$C889, 'Genetic Apex'!$B$2:$B889)-$B$4, P330="A1a", XLOOKUP(N330, 'Mythical Island'!$C$2:$C889, 'Mythical Island'!$B$2:$B889)-$B$4, OR(P330="A2-Dialga", P330="A2-Palkia", P330="A2"), XLOOKUP(N330, 'Space-Time Smackdown'!$C$2:$C889, 'Space-Time Smackdown'!$B$2:$B889)-$B$4))</f>
        <v/>
      </c>
      <c r="S330" s="277"/>
      <c r="T330" s="277"/>
      <c r="U330" s="277"/>
      <c r="V330" s="278"/>
      <c r="W330" s="443" t="str">
        <f t="array" ref="W330">IFERROR(IFS(OR(U330="A1-Mewtwo", U330="A1-Pikachu", U330="A1-Charizard", U330="A1"), $B$5-XLOOKUP(S330, 'Genetic Apex'!$C$2:$C889, 'Genetic Apex'!$B$2:$B889), U330="A1a", $B$5-XLOOKUP(S330, 'Mythical Island'!$C$2:$C889, 'Mythical Island'!$B$2:$B889), OR(U330="A2-Dialga", U330="A2-Palkia", U330="A2"), $B$5-XLOOKUP(S330, 'Space-Time Smackdown'!$C$2:$C889, 'Space-Time Smackdown'!$B$2:$B889)))</f>
        <v/>
      </c>
      <c r="X330" s="444" t="str">
        <f t="shared" si="3"/>
        <v/>
      </c>
      <c r="Y330" s="445" t="str">
        <f t="shared" si="4"/>
        <v/>
      </c>
      <c r="Z330" s="278"/>
      <c r="AA330" s="466"/>
      <c r="AB330" s="278"/>
      <c r="AC330" s="278"/>
      <c r="AD330" s="278"/>
      <c r="AE330" s="278"/>
      <c r="AF330" s="278"/>
      <c r="AG330" s="278" t="b">
        <f t="shared" si="5"/>
        <v>0</v>
      </c>
      <c r="AH330" s="454"/>
      <c r="AI330" s="278"/>
      <c r="AJ330" s="278"/>
      <c r="AK330" s="278"/>
      <c r="AL330" s="444" t="str">
        <f t="array" ref="AL330">IFERROR(IFS(OR(AJ330="A1-Mewtwo", AJ330="A1-Pikachu", AJ330="A1-Charizard", AJ330="A1"), XLOOKUP(AH330, 'Genetic Apex'!$C$2:$C889, 'Genetic Apex'!$B$2:$B889)-2, AJ330="A1a", XLOOKUP(AH330, 'Mythical Island'!$C$2:$C889, 'Mythical Island'!$B$2:$B889)-2, OR(AJ330="A2-Dialga", AJ330="A2-Palkia", AJ330="A2"), XLOOKUP(AH330, 'Space-Time Smackdown'!$C$2:$C889, 'Space-Time Smackdown'!$B$2:$B889)-2))</f>
        <v/>
      </c>
      <c r="AM330" s="444" t="str">
        <f t="shared" si="6"/>
        <v/>
      </c>
      <c r="AN330" s="448" t="str">
        <f t="shared" si="7"/>
        <v/>
      </c>
    </row>
    <row r="331">
      <c r="A331" s="277"/>
      <c r="B331" s="277"/>
      <c r="C331" s="441"/>
      <c r="D331" s="277"/>
      <c r="E331" s="277"/>
      <c r="F331" s="277"/>
      <c r="G331" s="277"/>
      <c r="H331" s="277" t="b">
        <f t="shared" si="1"/>
        <v>0</v>
      </c>
      <c r="I331" s="277" t="str">
        <f>IFERROR(__xludf.DUMMYFUNCTION("""COMPUTED_VALUE"""),"A1a 041")</f>
        <v>A1a 041</v>
      </c>
      <c r="J331" s="277" t="str">
        <f>IFERROR(__xludf.DUMMYFUNCTION("""COMPUTED_VALUE"""),"Mankey")</f>
        <v>Mankey</v>
      </c>
      <c r="K331" s="277" t="str">
        <f>IFERROR(__xludf.DUMMYFUNCTION("""COMPUTED_VALUE"""),"A1a")</f>
        <v>A1a</v>
      </c>
      <c r="L331" s="277" t="str">
        <f>IFERROR(__xludf.DUMMYFUNCTION("""COMPUTED_VALUE"""),"♢")</f>
        <v>♢</v>
      </c>
      <c r="M331" s="440" t="b">
        <f t="shared" si="2"/>
        <v>1</v>
      </c>
      <c r="N331" s="441"/>
      <c r="O331" s="277"/>
      <c r="P331" s="277"/>
      <c r="Q331" s="278"/>
      <c r="R331" s="449" t="str">
        <f t="array" ref="R331">IFERROR(IFS(OR(P331="A1-Mewtwo", P331="A1-Pikachu", P331="A1-Charizard", P331="A1"), XLOOKUP(N331, 'Genetic Apex'!$C$2:$C889, 'Genetic Apex'!$B$2:$B889)-$B$4, P331="A1a", XLOOKUP(N331, 'Mythical Island'!$C$2:$C889, 'Mythical Island'!$B$2:$B889)-$B$4, OR(P331="A2-Dialga", P331="A2-Palkia", P331="A2"), XLOOKUP(N331, 'Space-Time Smackdown'!$C$2:$C889, 'Space-Time Smackdown'!$B$2:$B889)-$B$4))</f>
        <v/>
      </c>
      <c r="S331" s="277"/>
      <c r="T331" s="277"/>
      <c r="U331" s="277"/>
      <c r="V331" s="278"/>
      <c r="W331" s="443" t="str">
        <f t="array" ref="W331">IFERROR(IFS(OR(U331="A1-Mewtwo", U331="A1-Pikachu", U331="A1-Charizard", U331="A1"), $B$5-XLOOKUP(S331, 'Genetic Apex'!$C$2:$C889, 'Genetic Apex'!$B$2:$B889), U331="A1a", $B$5-XLOOKUP(S331, 'Mythical Island'!$C$2:$C889, 'Mythical Island'!$B$2:$B889), OR(U331="A2-Dialga", U331="A2-Palkia", U331="A2"), $B$5-XLOOKUP(S331, 'Space-Time Smackdown'!$C$2:$C889, 'Space-Time Smackdown'!$B$2:$B889)))</f>
        <v/>
      </c>
      <c r="X331" s="444" t="str">
        <f t="shared" si="3"/>
        <v/>
      </c>
      <c r="Y331" s="445" t="str">
        <f t="shared" si="4"/>
        <v/>
      </c>
      <c r="Z331" s="278"/>
      <c r="AA331" s="466"/>
      <c r="AB331" s="278"/>
      <c r="AC331" s="278"/>
      <c r="AD331" s="278"/>
      <c r="AE331" s="278"/>
      <c r="AF331" s="278"/>
      <c r="AG331" s="278" t="b">
        <f t="shared" si="5"/>
        <v>0</v>
      </c>
      <c r="AH331" s="454"/>
      <c r="AI331" s="278"/>
      <c r="AJ331" s="278"/>
      <c r="AK331" s="278"/>
      <c r="AL331" s="444" t="str">
        <f t="array" ref="AL331">IFERROR(IFS(OR(AJ331="A1-Mewtwo", AJ331="A1-Pikachu", AJ331="A1-Charizard", AJ331="A1"), XLOOKUP(AH331, 'Genetic Apex'!$C$2:$C889, 'Genetic Apex'!$B$2:$B889)-2, AJ331="A1a", XLOOKUP(AH331, 'Mythical Island'!$C$2:$C889, 'Mythical Island'!$B$2:$B889)-2, OR(AJ331="A2-Dialga", AJ331="A2-Palkia", AJ331="A2"), XLOOKUP(AH331, 'Space-Time Smackdown'!$C$2:$C889, 'Space-Time Smackdown'!$B$2:$B889)-2))</f>
        <v/>
      </c>
      <c r="AM331" s="444" t="str">
        <f t="shared" si="6"/>
        <v/>
      </c>
      <c r="AN331" s="448" t="str">
        <f t="shared" si="7"/>
        <v/>
      </c>
    </row>
    <row r="332">
      <c r="A332" s="277"/>
      <c r="B332" s="277"/>
      <c r="C332" s="441"/>
      <c r="D332" s="277"/>
      <c r="E332" s="277"/>
      <c r="F332" s="277"/>
      <c r="G332" s="277"/>
      <c r="H332" s="277" t="b">
        <f t="shared" si="1"/>
        <v>0</v>
      </c>
      <c r="I332" s="277" t="str">
        <f>IFERROR(__xludf.DUMMYFUNCTION("""COMPUTED_VALUE"""),"A1a 042")</f>
        <v>A1a 042</v>
      </c>
      <c r="J332" s="277" t="str">
        <f>IFERROR(__xludf.DUMMYFUNCTION("""COMPUTED_VALUE"""),"Primeape")</f>
        <v>Primeape</v>
      </c>
      <c r="K332" s="277" t="str">
        <f>IFERROR(__xludf.DUMMYFUNCTION("""COMPUTED_VALUE"""),"A1a")</f>
        <v>A1a</v>
      </c>
      <c r="L332" s="277" t="str">
        <f>IFERROR(__xludf.DUMMYFUNCTION("""COMPUTED_VALUE"""),"♢")</f>
        <v>♢</v>
      </c>
      <c r="M332" s="440" t="b">
        <f t="shared" si="2"/>
        <v>1</v>
      </c>
      <c r="N332" s="441"/>
      <c r="O332" s="277"/>
      <c r="P332" s="277"/>
      <c r="Q332" s="278"/>
      <c r="R332" s="449" t="str">
        <f t="array" ref="R332">IFERROR(IFS(OR(P332="A1-Mewtwo", P332="A1-Pikachu", P332="A1-Charizard", P332="A1"), XLOOKUP(N332, 'Genetic Apex'!$C$2:$C889, 'Genetic Apex'!$B$2:$B889)-$B$4, P332="A1a", XLOOKUP(N332, 'Mythical Island'!$C$2:$C889, 'Mythical Island'!$B$2:$B889)-$B$4, OR(P332="A2-Dialga", P332="A2-Palkia", P332="A2"), XLOOKUP(N332, 'Space-Time Smackdown'!$C$2:$C889, 'Space-Time Smackdown'!$B$2:$B889)-$B$4))</f>
        <v/>
      </c>
      <c r="S332" s="277"/>
      <c r="T332" s="277"/>
      <c r="U332" s="277"/>
      <c r="V332" s="278"/>
      <c r="W332" s="443" t="str">
        <f t="array" ref="W332">IFERROR(IFS(OR(U332="A1-Mewtwo", U332="A1-Pikachu", U332="A1-Charizard", U332="A1"), $B$5-XLOOKUP(S332, 'Genetic Apex'!$C$2:$C889, 'Genetic Apex'!$B$2:$B889), U332="A1a", $B$5-XLOOKUP(S332, 'Mythical Island'!$C$2:$C889, 'Mythical Island'!$B$2:$B889), OR(U332="A2-Dialga", U332="A2-Palkia", U332="A2"), $B$5-XLOOKUP(S332, 'Space-Time Smackdown'!$C$2:$C889, 'Space-Time Smackdown'!$B$2:$B889)))</f>
        <v/>
      </c>
      <c r="X332" s="444" t="str">
        <f t="shared" si="3"/>
        <v/>
      </c>
      <c r="Y332" s="445" t="str">
        <f t="shared" si="4"/>
        <v/>
      </c>
      <c r="Z332" s="278"/>
      <c r="AA332" s="466"/>
      <c r="AB332" s="278"/>
      <c r="AC332" s="278"/>
      <c r="AD332" s="278"/>
      <c r="AE332" s="278"/>
      <c r="AF332" s="278"/>
      <c r="AG332" s="278" t="b">
        <f t="shared" si="5"/>
        <v>0</v>
      </c>
      <c r="AH332" s="454"/>
      <c r="AI332" s="278"/>
      <c r="AJ332" s="278"/>
      <c r="AK332" s="278"/>
      <c r="AL332" s="444" t="str">
        <f t="array" ref="AL332">IFERROR(IFS(OR(AJ332="A1-Mewtwo", AJ332="A1-Pikachu", AJ332="A1-Charizard", AJ332="A1"), XLOOKUP(AH332, 'Genetic Apex'!$C$2:$C889, 'Genetic Apex'!$B$2:$B889)-2, AJ332="A1a", XLOOKUP(AH332, 'Mythical Island'!$C$2:$C889, 'Mythical Island'!$B$2:$B889)-2, OR(AJ332="A2-Dialga", AJ332="A2-Palkia", AJ332="A2"), XLOOKUP(AH332, 'Space-Time Smackdown'!$C$2:$C889, 'Space-Time Smackdown'!$B$2:$B889)-2))</f>
        <v/>
      </c>
      <c r="AM332" s="444" t="str">
        <f t="shared" si="6"/>
        <v/>
      </c>
      <c r="AN332" s="448" t="str">
        <f t="shared" si="7"/>
        <v/>
      </c>
    </row>
    <row r="333">
      <c r="A333" s="277"/>
      <c r="B333" s="277"/>
      <c r="C333" s="441"/>
      <c r="D333" s="277"/>
      <c r="E333" s="277"/>
      <c r="F333" s="277"/>
      <c r="G333" s="277"/>
      <c r="H333" s="277" t="b">
        <f t="shared" si="1"/>
        <v>0</v>
      </c>
      <c r="I333" s="277" t="str">
        <f>IFERROR(__xludf.DUMMYFUNCTION("""COMPUTED_VALUE"""),"A1a 043")</f>
        <v>A1a 043</v>
      </c>
      <c r="J333" s="277" t="str">
        <f>IFERROR(__xludf.DUMMYFUNCTION("""COMPUTED_VALUE"""),"Geodude")</f>
        <v>Geodude</v>
      </c>
      <c r="K333" s="277" t="str">
        <f>IFERROR(__xludf.DUMMYFUNCTION("""COMPUTED_VALUE"""),"A1a")</f>
        <v>A1a</v>
      </c>
      <c r="L333" s="277" t="str">
        <f>IFERROR(__xludf.DUMMYFUNCTION("""COMPUTED_VALUE"""),"♢")</f>
        <v>♢</v>
      </c>
      <c r="M333" s="440" t="b">
        <f t="shared" si="2"/>
        <v>1</v>
      </c>
      <c r="N333" s="441"/>
      <c r="O333" s="277"/>
      <c r="P333" s="277"/>
      <c r="Q333" s="278"/>
      <c r="R333" s="449" t="str">
        <f t="array" ref="R333">IFERROR(IFS(OR(P333="A1-Mewtwo", P333="A1-Pikachu", P333="A1-Charizard", P333="A1"), XLOOKUP(N333, 'Genetic Apex'!$C$2:$C889, 'Genetic Apex'!$B$2:$B889)-$B$4, P333="A1a", XLOOKUP(N333, 'Mythical Island'!$C$2:$C889, 'Mythical Island'!$B$2:$B889)-$B$4, OR(P333="A2-Dialga", P333="A2-Palkia", P333="A2"), XLOOKUP(N333, 'Space-Time Smackdown'!$C$2:$C889, 'Space-Time Smackdown'!$B$2:$B889)-$B$4))</f>
        <v/>
      </c>
      <c r="S333" s="277"/>
      <c r="T333" s="277"/>
      <c r="U333" s="277"/>
      <c r="V333" s="278"/>
      <c r="W333" s="443" t="str">
        <f t="array" ref="W333">IFERROR(IFS(OR(U333="A1-Mewtwo", U333="A1-Pikachu", U333="A1-Charizard", U333="A1"), $B$5-XLOOKUP(S333, 'Genetic Apex'!$C$2:$C889, 'Genetic Apex'!$B$2:$B889), U333="A1a", $B$5-XLOOKUP(S333, 'Mythical Island'!$C$2:$C889, 'Mythical Island'!$B$2:$B889), OR(U333="A2-Dialga", U333="A2-Palkia", U333="A2"), $B$5-XLOOKUP(S333, 'Space-Time Smackdown'!$C$2:$C889, 'Space-Time Smackdown'!$B$2:$B889)))</f>
        <v/>
      </c>
      <c r="X333" s="444" t="str">
        <f t="shared" si="3"/>
        <v/>
      </c>
      <c r="Y333" s="445" t="str">
        <f t="shared" si="4"/>
        <v/>
      </c>
      <c r="Z333" s="278"/>
      <c r="AA333" s="466"/>
      <c r="AB333" s="278"/>
      <c r="AC333" s="278"/>
      <c r="AD333" s="278"/>
      <c r="AE333" s="278"/>
      <c r="AF333" s="278"/>
      <c r="AG333" s="278" t="b">
        <f t="shared" si="5"/>
        <v>0</v>
      </c>
      <c r="AH333" s="454"/>
      <c r="AI333" s="278"/>
      <c r="AJ333" s="278"/>
      <c r="AK333" s="278"/>
      <c r="AL333" s="444" t="str">
        <f t="array" ref="AL333">IFERROR(IFS(OR(AJ333="A1-Mewtwo", AJ333="A1-Pikachu", AJ333="A1-Charizard", AJ333="A1"), XLOOKUP(AH333, 'Genetic Apex'!$C$2:$C889, 'Genetic Apex'!$B$2:$B889)-2, AJ333="A1a", XLOOKUP(AH333, 'Mythical Island'!$C$2:$C889, 'Mythical Island'!$B$2:$B889)-2, OR(AJ333="A2-Dialga", AJ333="A2-Palkia", AJ333="A2"), XLOOKUP(AH333, 'Space-Time Smackdown'!$C$2:$C889, 'Space-Time Smackdown'!$B$2:$B889)-2))</f>
        <v/>
      </c>
      <c r="AM333" s="444" t="str">
        <f t="shared" si="6"/>
        <v/>
      </c>
      <c r="AN333" s="448" t="str">
        <f t="shared" si="7"/>
        <v/>
      </c>
    </row>
    <row r="334">
      <c r="A334" s="277"/>
      <c r="B334" s="277"/>
      <c r="C334" s="441"/>
      <c r="D334" s="277"/>
      <c r="E334" s="277"/>
      <c r="F334" s="277"/>
      <c r="G334" s="277"/>
      <c r="H334" s="277" t="b">
        <f t="shared" si="1"/>
        <v>0</v>
      </c>
      <c r="I334" s="277" t="str">
        <f>IFERROR(__xludf.DUMMYFUNCTION("""COMPUTED_VALUE"""),"A1a 044")</f>
        <v>A1a 044</v>
      </c>
      <c r="J334" s="277" t="str">
        <f>IFERROR(__xludf.DUMMYFUNCTION("""COMPUTED_VALUE"""),"Graveller")</f>
        <v>Graveller</v>
      </c>
      <c r="K334" s="277" t="str">
        <f>IFERROR(__xludf.DUMMYFUNCTION("""COMPUTED_VALUE"""),"A1a")</f>
        <v>A1a</v>
      </c>
      <c r="L334" s="277" t="str">
        <f>IFERROR(__xludf.DUMMYFUNCTION("""COMPUTED_VALUE"""),"♢♢")</f>
        <v>♢♢</v>
      </c>
      <c r="M334" s="440" t="b">
        <f t="shared" si="2"/>
        <v>1</v>
      </c>
      <c r="N334" s="441"/>
      <c r="O334" s="277"/>
      <c r="P334" s="277"/>
      <c r="Q334" s="278"/>
      <c r="R334" s="449" t="str">
        <f t="array" ref="R334">IFERROR(IFS(OR(P334="A1-Mewtwo", P334="A1-Pikachu", P334="A1-Charizard", P334="A1"), XLOOKUP(N334, 'Genetic Apex'!$C$2:$C889, 'Genetic Apex'!$B$2:$B889)-$B$4, P334="A1a", XLOOKUP(N334, 'Mythical Island'!$C$2:$C889, 'Mythical Island'!$B$2:$B889)-$B$4, OR(P334="A2-Dialga", P334="A2-Palkia", P334="A2"), XLOOKUP(N334, 'Space-Time Smackdown'!$C$2:$C889, 'Space-Time Smackdown'!$B$2:$B889)-$B$4))</f>
        <v/>
      </c>
      <c r="S334" s="277"/>
      <c r="T334" s="277"/>
      <c r="U334" s="277"/>
      <c r="V334" s="278"/>
      <c r="W334" s="443" t="str">
        <f t="array" ref="W334">IFERROR(IFS(OR(U334="A1-Mewtwo", U334="A1-Pikachu", U334="A1-Charizard", U334="A1"), $B$5-XLOOKUP(S334, 'Genetic Apex'!$C$2:$C889, 'Genetic Apex'!$B$2:$B889), U334="A1a", $B$5-XLOOKUP(S334, 'Mythical Island'!$C$2:$C889, 'Mythical Island'!$B$2:$B889), OR(U334="A2-Dialga", U334="A2-Palkia", U334="A2"), $B$5-XLOOKUP(S334, 'Space-Time Smackdown'!$C$2:$C889, 'Space-Time Smackdown'!$B$2:$B889)))</f>
        <v/>
      </c>
      <c r="X334" s="444" t="str">
        <f t="shared" si="3"/>
        <v/>
      </c>
      <c r="Y334" s="445" t="str">
        <f t="shared" si="4"/>
        <v/>
      </c>
      <c r="Z334" s="278"/>
      <c r="AA334" s="466"/>
      <c r="AB334" s="278"/>
      <c r="AC334" s="278"/>
      <c r="AD334" s="278"/>
      <c r="AE334" s="278"/>
      <c r="AF334" s="278"/>
      <c r="AG334" s="278" t="b">
        <f t="shared" si="5"/>
        <v>0</v>
      </c>
      <c r="AH334" s="454"/>
      <c r="AI334" s="278"/>
      <c r="AJ334" s="278"/>
      <c r="AK334" s="278"/>
      <c r="AL334" s="444" t="str">
        <f t="array" ref="AL334">IFERROR(IFS(OR(AJ334="A1-Mewtwo", AJ334="A1-Pikachu", AJ334="A1-Charizard", AJ334="A1"), XLOOKUP(AH334, 'Genetic Apex'!$C$2:$C889, 'Genetic Apex'!$B$2:$B889)-2, AJ334="A1a", XLOOKUP(AH334, 'Mythical Island'!$C$2:$C889, 'Mythical Island'!$B$2:$B889)-2, OR(AJ334="A2-Dialga", AJ334="A2-Palkia", AJ334="A2"), XLOOKUP(AH334, 'Space-Time Smackdown'!$C$2:$C889, 'Space-Time Smackdown'!$B$2:$B889)-2))</f>
        <v/>
      </c>
      <c r="AM334" s="444" t="str">
        <f t="shared" si="6"/>
        <v/>
      </c>
      <c r="AN334" s="448" t="str">
        <f t="shared" si="7"/>
        <v/>
      </c>
    </row>
    <row r="335">
      <c r="A335" s="277"/>
      <c r="B335" s="277"/>
      <c r="C335" s="441"/>
      <c r="D335" s="277"/>
      <c r="E335" s="277"/>
      <c r="F335" s="277"/>
      <c r="G335" s="277"/>
      <c r="H335" s="277" t="b">
        <f t="shared" si="1"/>
        <v>0</v>
      </c>
      <c r="I335" s="277" t="str">
        <f>IFERROR(__xludf.DUMMYFUNCTION("""COMPUTED_VALUE"""),"A1a 045")</f>
        <v>A1a 045</v>
      </c>
      <c r="J335" s="277" t="str">
        <f>IFERROR(__xludf.DUMMYFUNCTION("""COMPUTED_VALUE"""),"Golem")</f>
        <v>Golem</v>
      </c>
      <c r="K335" s="277" t="str">
        <f>IFERROR(__xludf.DUMMYFUNCTION("""COMPUTED_VALUE"""),"A1a")</f>
        <v>A1a</v>
      </c>
      <c r="L335" s="277" t="str">
        <f>IFERROR(__xludf.DUMMYFUNCTION("""COMPUTED_VALUE"""),"♢♢♢")</f>
        <v>♢♢♢</v>
      </c>
      <c r="M335" s="440" t="b">
        <f t="shared" si="2"/>
        <v>1</v>
      </c>
      <c r="N335" s="441"/>
      <c r="O335" s="277"/>
      <c r="P335" s="277"/>
      <c r="Q335" s="278"/>
      <c r="R335" s="449" t="str">
        <f t="array" ref="R335">IFERROR(IFS(OR(P335="A1-Mewtwo", P335="A1-Pikachu", P335="A1-Charizard", P335="A1"), XLOOKUP(N335, 'Genetic Apex'!$C$2:$C889, 'Genetic Apex'!$B$2:$B889)-$B$4, P335="A1a", XLOOKUP(N335, 'Mythical Island'!$C$2:$C889, 'Mythical Island'!$B$2:$B889)-$B$4, OR(P335="A2-Dialga", P335="A2-Palkia", P335="A2"), XLOOKUP(N335, 'Space-Time Smackdown'!$C$2:$C889, 'Space-Time Smackdown'!$B$2:$B889)-$B$4))</f>
        <v/>
      </c>
      <c r="S335" s="277"/>
      <c r="T335" s="277"/>
      <c r="U335" s="277"/>
      <c r="V335" s="278"/>
      <c r="W335" s="443" t="str">
        <f t="array" ref="W335">IFERROR(IFS(OR(U335="A1-Mewtwo", U335="A1-Pikachu", U335="A1-Charizard", U335="A1"), $B$5-XLOOKUP(S335, 'Genetic Apex'!$C$2:$C889, 'Genetic Apex'!$B$2:$B889), U335="A1a", $B$5-XLOOKUP(S335, 'Mythical Island'!$C$2:$C889, 'Mythical Island'!$B$2:$B889), OR(U335="A2-Dialga", U335="A2-Palkia", U335="A2"), $B$5-XLOOKUP(S335, 'Space-Time Smackdown'!$C$2:$C889, 'Space-Time Smackdown'!$B$2:$B889)))</f>
        <v/>
      </c>
      <c r="X335" s="444" t="str">
        <f t="shared" si="3"/>
        <v/>
      </c>
      <c r="Y335" s="445" t="str">
        <f t="shared" si="4"/>
        <v/>
      </c>
      <c r="Z335" s="278"/>
      <c r="AA335" s="466"/>
      <c r="AB335" s="278"/>
      <c r="AC335" s="278"/>
      <c r="AD335" s="278"/>
      <c r="AE335" s="278"/>
      <c r="AF335" s="278"/>
      <c r="AG335" s="278" t="b">
        <f t="shared" si="5"/>
        <v>0</v>
      </c>
      <c r="AH335" s="454"/>
      <c r="AI335" s="278"/>
      <c r="AJ335" s="278"/>
      <c r="AK335" s="278"/>
      <c r="AL335" s="444" t="str">
        <f t="array" ref="AL335">IFERROR(IFS(OR(AJ335="A1-Mewtwo", AJ335="A1-Pikachu", AJ335="A1-Charizard", AJ335="A1"), XLOOKUP(AH335, 'Genetic Apex'!$C$2:$C889, 'Genetic Apex'!$B$2:$B889)-2, AJ335="A1a", XLOOKUP(AH335, 'Mythical Island'!$C$2:$C889, 'Mythical Island'!$B$2:$B889)-2, OR(AJ335="A2-Dialga", AJ335="A2-Palkia", AJ335="A2"), XLOOKUP(AH335, 'Space-Time Smackdown'!$C$2:$C889, 'Space-Time Smackdown'!$B$2:$B889)-2))</f>
        <v/>
      </c>
      <c r="AM335" s="444" t="str">
        <f t="shared" si="6"/>
        <v/>
      </c>
      <c r="AN335" s="448" t="str">
        <f t="shared" si="7"/>
        <v/>
      </c>
    </row>
    <row r="336">
      <c r="A336" s="277"/>
      <c r="B336" s="277"/>
      <c r="C336" s="441"/>
      <c r="D336" s="277"/>
      <c r="E336" s="277"/>
      <c r="F336" s="277"/>
      <c r="G336" s="277"/>
      <c r="H336" s="277" t="b">
        <f t="shared" si="1"/>
        <v>0</v>
      </c>
      <c r="I336" s="277" t="str">
        <f>IFERROR(__xludf.DUMMYFUNCTION("""COMPUTED_VALUE"""),"A1a 046")</f>
        <v>A1a 046</v>
      </c>
      <c r="J336" s="277" t="str">
        <f>IFERROR(__xludf.DUMMYFUNCTION("""COMPUTED_VALUE"""),"Aerodactyl ex")</f>
        <v>Aerodactyl ex</v>
      </c>
      <c r="K336" s="277" t="str">
        <f>IFERROR(__xludf.DUMMYFUNCTION("""COMPUTED_VALUE"""),"A1a")</f>
        <v>A1a</v>
      </c>
      <c r="L336" s="277" t="str">
        <f>IFERROR(__xludf.DUMMYFUNCTION("""COMPUTED_VALUE"""),"♢♢♢♢")</f>
        <v>♢♢♢♢</v>
      </c>
      <c r="M336" s="440" t="b">
        <f t="shared" si="2"/>
        <v>1</v>
      </c>
      <c r="N336" s="441"/>
      <c r="O336" s="277"/>
      <c r="P336" s="277"/>
      <c r="Q336" s="278"/>
      <c r="R336" s="449" t="str">
        <f t="array" ref="R336">IFERROR(IFS(OR(P336="A1-Mewtwo", P336="A1-Pikachu", P336="A1-Charizard", P336="A1"), XLOOKUP(N336, 'Genetic Apex'!$C$2:$C889, 'Genetic Apex'!$B$2:$B889)-$B$4, P336="A1a", XLOOKUP(N336, 'Mythical Island'!$C$2:$C889, 'Mythical Island'!$B$2:$B889)-$B$4, OR(P336="A2-Dialga", P336="A2-Palkia", P336="A2"), XLOOKUP(N336, 'Space-Time Smackdown'!$C$2:$C889, 'Space-Time Smackdown'!$B$2:$B889)-$B$4))</f>
        <v/>
      </c>
      <c r="S336" s="277"/>
      <c r="T336" s="277"/>
      <c r="U336" s="277"/>
      <c r="V336" s="278"/>
      <c r="W336" s="443" t="str">
        <f t="array" ref="W336">IFERROR(IFS(OR(U336="A1-Mewtwo", U336="A1-Pikachu", U336="A1-Charizard", U336="A1"), $B$5-XLOOKUP(S336, 'Genetic Apex'!$C$2:$C889, 'Genetic Apex'!$B$2:$B889), U336="A1a", $B$5-XLOOKUP(S336, 'Mythical Island'!$C$2:$C889, 'Mythical Island'!$B$2:$B889), OR(U336="A2-Dialga", U336="A2-Palkia", U336="A2"), $B$5-XLOOKUP(S336, 'Space-Time Smackdown'!$C$2:$C889, 'Space-Time Smackdown'!$B$2:$B889)))</f>
        <v/>
      </c>
      <c r="X336" s="444" t="str">
        <f t="shared" si="3"/>
        <v/>
      </c>
      <c r="Y336" s="445" t="str">
        <f t="shared" si="4"/>
        <v/>
      </c>
      <c r="Z336" s="278"/>
      <c r="AA336" s="466"/>
      <c r="AB336" s="278"/>
      <c r="AC336" s="278"/>
      <c r="AD336" s="278"/>
      <c r="AE336" s="278"/>
      <c r="AF336" s="278"/>
      <c r="AG336" s="278" t="b">
        <f t="shared" si="5"/>
        <v>0</v>
      </c>
      <c r="AH336" s="454"/>
      <c r="AI336" s="278"/>
      <c r="AJ336" s="278"/>
      <c r="AK336" s="278"/>
      <c r="AL336" s="444" t="str">
        <f t="array" ref="AL336">IFERROR(IFS(OR(AJ336="A1-Mewtwo", AJ336="A1-Pikachu", AJ336="A1-Charizard", AJ336="A1"), XLOOKUP(AH336, 'Genetic Apex'!$C$2:$C889, 'Genetic Apex'!$B$2:$B889)-2, AJ336="A1a", XLOOKUP(AH336, 'Mythical Island'!$C$2:$C889, 'Mythical Island'!$B$2:$B889)-2, OR(AJ336="A2-Dialga", AJ336="A2-Palkia", AJ336="A2"), XLOOKUP(AH336, 'Space-Time Smackdown'!$C$2:$C889, 'Space-Time Smackdown'!$B$2:$B889)-2))</f>
        <v/>
      </c>
      <c r="AM336" s="444" t="str">
        <f t="shared" si="6"/>
        <v/>
      </c>
      <c r="AN336" s="448" t="str">
        <f t="shared" si="7"/>
        <v/>
      </c>
    </row>
    <row r="337">
      <c r="A337" s="277"/>
      <c r="B337" s="277"/>
      <c r="C337" s="441"/>
      <c r="D337" s="277"/>
      <c r="E337" s="277"/>
      <c r="F337" s="277"/>
      <c r="G337" s="277"/>
      <c r="H337" s="277" t="b">
        <f t="shared" si="1"/>
        <v>0</v>
      </c>
      <c r="I337" s="277" t="str">
        <f>IFERROR(__xludf.DUMMYFUNCTION("""COMPUTED_VALUE"""),"A1a 047")</f>
        <v>A1a 047</v>
      </c>
      <c r="J337" s="277" t="str">
        <f>IFERROR(__xludf.DUMMYFUNCTION("""COMPUTED_VALUE"""),"Marshadow")</f>
        <v>Marshadow</v>
      </c>
      <c r="K337" s="277" t="str">
        <f>IFERROR(__xludf.DUMMYFUNCTION("""COMPUTED_VALUE"""),"A1a")</f>
        <v>A1a</v>
      </c>
      <c r="L337" s="277" t="str">
        <f>IFERROR(__xludf.DUMMYFUNCTION("""COMPUTED_VALUE"""),"♢♢♢")</f>
        <v>♢♢♢</v>
      </c>
      <c r="M337" s="440" t="b">
        <f t="shared" si="2"/>
        <v>1</v>
      </c>
      <c r="N337" s="441"/>
      <c r="O337" s="277"/>
      <c r="P337" s="277"/>
      <c r="Q337" s="278"/>
      <c r="R337" s="449" t="str">
        <f t="array" ref="R337">IFERROR(IFS(OR(P337="A1-Mewtwo", P337="A1-Pikachu", P337="A1-Charizard", P337="A1"), XLOOKUP(N337, 'Genetic Apex'!$C$2:$C889, 'Genetic Apex'!$B$2:$B889)-$B$4, P337="A1a", XLOOKUP(N337, 'Mythical Island'!$C$2:$C889, 'Mythical Island'!$B$2:$B889)-$B$4, OR(P337="A2-Dialga", P337="A2-Palkia", P337="A2"), XLOOKUP(N337, 'Space-Time Smackdown'!$C$2:$C889, 'Space-Time Smackdown'!$B$2:$B889)-$B$4))</f>
        <v/>
      </c>
      <c r="S337" s="277"/>
      <c r="T337" s="277"/>
      <c r="U337" s="277"/>
      <c r="V337" s="278"/>
      <c r="W337" s="443" t="str">
        <f t="array" ref="W337">IFERROR(IFS(OR(U337="A1-Mewtwo", U337="A1-Pikachu", U337="A1-Charizard", U337="A1"), $B$5-XLOOKUP(S337, 'Genetic Apex'!$C$2:$C889, 'Genetic Apex'!$B$2:$B889), U337="A1a", $B$5-XLOOKUP(S337, 'Mythical Island'!$C$2:$C889, 'Mythical Island'!$B$2:$B889), OR(U337="A2-Dialga", U337="A2-Palkia", U337="A2"), $B$5-XLOOKUP(S337, 'Space-Time Smackdown'!$C$2:$C889, 'Space-Time Smackdown'!$B$2:$B889)))</f>
        <v/>
      </c>
      <c r="X337" s="444" t="str">
        <f t="shared" si="3"/>
        <v/>
      </c>
      <c r="Y337" s="445" t="str">
        <f t="shared" si="4"/>
        <v/>
      </c>
      <c r="Z337" s="278"/>
      <c r="AA337" s="466"/>
      <c r="AB337" s="278"/>
      <c r="AC337" s="278"/>
      <c r="AD337" s="278"/>
      <c r="AE337" s="278"/>
      <c r="AF337" s="278"/>
      <c r="AG337" s="278" t="b">
        <f t="shared" si="5"/>
        <v>0</v>
      </c>
      <c r="AH337" s="454"/>
      <c r="AI337" s="278"/>
      <c r="AJ337" s="278"/>
      <c r="AK337" s="278"/>
      <c r="AL337" s="444" t="str">
        <f t="array" ref="AL337">IFERROR(IFS(OR(AJ337="A1-Mewtwo", AJ337="A1-Pikachu", AJ337="A1-Charizard", AJ337="A1"), XLOOKUP(AH337, 'Genetic Apex'!$C$2:$C889, 'Genetic Apex'!$B$2:$B889)-2, AJ337="A1a", XLOOKUP(AH337, 'Mythical Island'!$C$2:$C889, 'Mythical Island'!$B$2:$B889)-2, OR(AJ337="A2-Dialga", AJ337="A2-Palkia", AJ337="A2"), XLOOKUP(AH337, 'Space-Time Smackdown'!$C$2:$C889, 'Space-Time Smackdown'!$B$2:$B889)-2))</f>
        <v/>
      </c>
      <c r="AM337" s="444" t="str">
        <f t="shared" si="6"/>
        <v/>
      </c>
      <c r="AN337" s="448" t="str">
        <f t="shared" si="7"/>
        <v/>
      </c>
    </row>
    <row r="338">
      <c r="A338" s="277"/>
      <c r="B338" s="277"/>
      <c r="C338" s="441"/>
      <c r="D338" s="277"/>
      <c r="E338" s="277"/>
      <c r="F338" s="277"/>
      <c r="G338" s="277"/>
      <c r="H338" s="277" t="b">
        <f t="shared" si="1"/>
        <v>0</v>
      </c>
      <c r="I338" s="277" t="str">
        <f>IFERROR(__xludf.DUMMYFUNCTION("""COMPUTED_VALUE"""),"A1a 048")</f>
        <v>A1a 048</v>
      </c>
      <c r="J338" s="277" t="str">
        <f>IFERROR(__xludf.DUMMYFUNCTION("""COMPUTED_VALUE"""),"Stonejourner")</f>
        <v>Stonejourner</v>
      </c>
      <c r="K338" s="277" t="str">
        <f>IFERROR(__xludf.DUMMYFUNCTION("""COMPUTED_VALUE"""),"A1a")</f>
        <v>A1a</v>
      </c>
      <c r="L338" s="277" t="str">
        <f>IFERROR(__xludf.DUMMYFUNCTION("""COMPUTED_VALUE"""),"♢♢")</f>
        <v>♢♢</v>
      </c>
      <c r="M338" s="440" t="b">
        <f t="shared" si="2"/>
        <v>1</v>
      </c>
      <c r="N338" s="441"/>
      <c r="O338" s="277"/>
      <c r="P338" s="277"/>
      <c r="Q338" s="278"/>
      <c r="R338" s="449" t="str">
        <f t="array" ref="R338">IFERROR(IFS(OR(P338="A1-Mewtwo", P338="A1-Pikachu", P338="A1-Charizard", P338="A1"), XLOOKUP(N338, 'Genetic Apex'!$C$2:$C889, 'Genetic Apex'!$B$2:$B889)-$B$4, P338="A1a", XLOOKUP(N338, 'Mythical Island'!$C$2:$C889, 'Mythical Island'!$B$2:$B889)-$B$4, OR(P338="A2-Dialga", P338="A2-Palkia", P338="A2"), XLOOKUP(N338, 'Space-Time Smackdown'!$C$2:$C889, 'Space-Time Smackdown'!$B$2:$B889)-$B$4))</f>
        <v/>
      </c>
      <c r="S338" s="277"/>
      <c r="T338" s="277"/>
      <c r="U338" s="277"/>
      <c r="V338" s="278"/>
      <c r="W338" s="443" t="str">
        <f t="array" ref="W338">IFERROR(IFS(OR(U338="A1-Mewtwo", U338="A1-Pikachu", U338="A1-Charizard", U338="A1"), $B$5-XLOOKUP(S338, 'Genetic Apex'!$C$2:$C889, 'Genetic Apex'!$B$2:$B889), U338="A1a", $B$5-XLOOKUP(S338, 'Mythical Island'!$C$2:$C889, 'Mythical Island'!$B$2:$B889), OR(U338="A2-Dialga", U338="A2-Palkia", U338="A2"), $B$5-XLOOKUP(S338, 'Space-Time Smackdown'!$C$2:$C889, 'Space-Time Smackdown'!$B$2:$B889)))</f>
        <v/>
      </c>
      <c r="X338" s="444" t="str">
        <f t="shared" si="3"/>
        <v/>
      </c>
      <c r="Y338" s="445" t="str">
        <f t="shared" si="4"/>
        <v/>
      </c>
      <c r="Z338" s="278"/>
      <c r="AA338" s="466"/>
      <c r="AB338" s="278"/>
      <c r="AC338" s="278"/>
      <c r="AD338" s="278"/>
      <c r="AE338" s="278"/>
      <c r="AF338" s="278"/>
      <c r="AG338" s="278" t="b">
        <f t="shared" si="5"/>
        <v>0</v>
      </c>
      <c r="AH338" s="454"/>
      <c r="AI338" s="278"/>
      <c r="AJ338" s="278"/>
      <c r="AK338" s="278"/>
      <c r="AL338" s="444" t="str">
        <f t="array" ref="AL338">IFERROR(IFS(OR(AJ338="A1-Mewtwo", AJ338="A1-Pikachu", AJ338="A1-Charizard", AJ338="A1"), XLOOKUP(AH338, 'Genetic Apex'!$C$2:$C889, 'Genetic Apex'!$B$2:$B889)-2, AJ338="A1a", XLOOKUP(AH338, 'Mythical Island'!$C$2:$C889, 'Mythical Island'!$B$2:$B889)-2, OR(AJ338="A2-Dialga", AJ338="A2-Palkia", AJ338="A2"), XLOOKUP(AH338, 'Space-Time Smackdown'!$C$2:$C889, 'Space-Time Smackdown'!$B$2:$B889)-2))</f>
        <v/>
      </c>
      <c r="AM338" s="444" t="str">
        <f t="shared" si="6"/>
        <v/>
      </c>
      <c r="AN338" s="448" t="str">
        <f t="shared" si="7"/>
        <v/>
      </c>
    </row>
    <row r="339">
      <c r="A339" s="277"/>
      <c r="B339" s="277"/>
      <c r="C339" s="441"/>
      <c r="D339" s="277"/>
      <c r="E339" s="277"/>
      <c r="F339" s="277"/>
      <c r="G339" s="277"/>
      <c r="H339" s="277" t="b">
        <f t="shared" si="1"/>
        <v>0</v>
      </c>
      <c r="I339" s="277" t="str">
        <f>IFERROR(__xludf.DUMMYFUNCTION("""COMPUTED_VALUE"""),"A1a 049")</f>
        <v>A1a 049</v>
      </c>
      <c r="J339" s="277" t="str">
        <f>IFERROR(__xludf.DUMMYFUNCTION("""COMPUTED_VALUE"""),"Koffing")</f>
        <v>Koffing</v>
      </c>
      <c r="K339" s="277" t="str">
        <f>IFERROR(__xludf.DUMMYFUNCTION("""COMPUTED_VALUE"""),"A1a")</f>
        <v>A1a</v>
      </c>
      <c r="L339" s="277" t="str">
        <f>IFERROR(__xludf.DUMMYFUNCTION("""COMPUTED_VALUE"""),"♢")</f>
        <v>♢</v>
      </c>
      <c r="M339" s="440" t="b">
        <f t="shared" si="2"/>
        <v>1</v>
      </c>
      <c r="N339" s="441"/>
      <c r="O339" s="277"/>
      <c r="P339" s="277"/>
      <c r="Q339" s="278"/>
      <c r="R339" s="449" t="str">
        <f t="array" ref="R339">IFERROR(IFS(OR(P339="A1-Mewtwo", P339="A1-Pikachu", P339="A1-Charizard", P339="A1"), XLOOKUP(N339, 'Genetic Apex'!$C$2:$C889, 'Genetic Apex'!$B$2:$B889)-$B$4, P339="A1a", XLOOKUP(N339, 'Mythical Island'!$C$2:$C889, 'Mythical Island'!$B$2:$B889)-$B$4, OR(P339="A2-Dialga", P339="A2-Palkia", P339="A2"), XLOOKUP(N339, 'Space-Time Smackdown'!$C$2:$C889, 'Space-Time Smackdown'!$B$2:$B889)-$B$4))</f>
        <v/>
      </c>
      <c r="S339" s="277"/>
      <c r="T339" s="277"/>
      <c r="U339" s="277"/>
      <c r="V339" s="278"/>
      <c r="W339" s="443" t="str">
        <f t="array" ref="W339">IFERROR(IFS(OR(U339="A1-Mewtwo", U339="A1-Pikachu", U339="A1-Charizard", U339="A1"), $B$5-XLOOKUP(S339, 'Genetic Apex'!$C$2:$C889, 'Genetic Apex'!$B$2:$B889), U339="A1a", $B$5-XLOOKUP(S339, 'Mythical Island'!$C$2:$C889, 'Mythical Island'!$B$2:$B889), OR(U339="A2-Dialga", U339="A2-Palkia", U339="A2"), $B$5-XLOOKUP(S339, 'Space-Time Smackdown'!$C$2:$C889, 'Space-Time Smackdown'!$B$2:$B889)))</f>
        <v/>
      </c>
      <c r="X339" s="444" t="str">
        <f t="shared" si="3"/>
        <v/>
      </c>
      <c r="Y339" s="445" t="str">
        <f t="shared" si="4"/>
        <v/>
      </c>
      <c r="Z339" s="278"/>
      <c r="AA339" s="466"/>
      <c r="AB339" s="278"/>
      <c r="AC339" s="278"/>
      <c r="AD339" s="278"/>
      <c r="AE339" s="278"/>
      <c r="AF339" s="278"/>
      <c r="AG339" s="278" t="b">
        <f t="shared" si="5"/>
        <v>0</v>
      </c>
      <c r="AH339" s="454"/>
      <c r="AI339" s="278"/>
      <c r="AJ339" s="278"/>
      <c r="AK339" s="278"/>
      <c r="AL339" s="444" t="str">
        <f t="array" ref="AL339">IFERROR(IFS(OR(AJ339="A1-Mewtwo", AJ339="A1-Pikachu", AJ339="A1-Charizard", AJ339="A1"), XLOOKUP(AH339, 'Genetic Apex'!$C$2:$C889, 'Genetic Apex'!$B$2:$B889)-2, AJ339="A1a", XLOOKUP(AH339, 'Mythical Island'!$C$2:$C889, 'Mythical Island'!$B$2:$B889)-2, OR(AJ339="A2-Dialga", AJ339="A2-Palkia", AJ339="A2"), XLOOKUP(AH339, 'Space-Time Smackdown'!$C$2:$C889, 'Space-Time Smackdown'!$B$2:$B889)-2))</f>
        <v/>
      </c>
      <c r="AM339" s="444" t="str">
        <f t="shared" si="6"/>
        <v/>
      </c>
      <c r="AN339" s="448" t="str">
        <f t="shared" si="7"/>
        <v/>
      </c>
    </row>
    <row r="340">
      <c r="A340" s="277"/>
      <c r="B340" s="277"/>
      <c r="C340" s="441"/>
      <c r="D340" s="277"/>
      <c r="E340" s="277"/>
      <c r="F340" s="277"/>
      <c r="G340" s="277"/>
      <c r="H340" s="277" t="b">
        <f t="shared" si="1"/>
        <v>0</v>
      </c>
      <c r="I340" s="277" t="str">
        <f>IFERROR(__xludf.DUMMYFUNCTION("""COMPUTED_VALUE"""),"A1a 050")</f>
        <v>A1a 050</v>
      </c>
      <c r="J340" s="277" t="str">
        <f>IFERROR(__xludf.DUMMYFUNCTION("""COMPUTED_VALUE"""),"Weezing")</f>
        <v>Weezing</v>
      </c>
      <c r="K340" s="277" t="str">
        <f>IFERROR(__xludf.DUMMYFUNCTION("""COMPUTED_VALUE"""),"A1a")</f>
        <v>A1a</v>
      </c>
      <c r="L340" s="277" t="str">
        <f>IFERROR(__xludf.DUMMYFUNCTION("""COMPUTED_VALUE"""),"♢♢")</f>
        <v>♢♢</v>
      </c>
      <c r="M340" s="440" t="b">
        <f t="shared" si="2"/>
        <v>1</v>
      </c>
      <c r="N340" s="441"/>
      <c r="O340" s="277"/>
      <c r="P340" s="277"/>
      <c r="Q340" s="278"/>
      <c r="R340" s="449" t="str">
        <f t="array" ref="R340">IFERROR(IFS(OR(P340="A1-Mewtwo", P340="A1-Pikachu", P340="A1-Charizard", P340="A1"), XLOOKUP(N340, 'Genetic Apex'!$C$2:$C889, 'Genetic Apex'!$B$2:$B889)-$B$4, P340="A1a", XLOOKUP(N340, 'Mythical Island'!$C$2:$C889, 'Mythical Island'!$B$2:$B889)-$B$4, OR(P340="A2-Dialga", P340="A2-Palkia", P340="A2"), XLOOKUP(N340, 'Space-Time Smackdown'!$C$2:$C889, 'Space-Time Smackdown'!$B$2:$B889)-$B$4))</f>
        <v/>
      </c>
      <c r="S340" s="277"/>
      <c r="T340" s="277"/>
      <c r="U340" s="277"/>
      <c r="V340" s="278"/>
      <c r="W340" s="443" t="str">
        <f t="array" ref="W340">IFERROR(IFS(OR(U340="A1-Mewtwo", U340="A1-Pikachu", U340="A1-Charizard", U340="A1"), $B$5-XLOOKUP(S340, 'Genetic Apex'!$C$2:$C889, 'Genetic Apex'!$B$2:$B889), U340="A1a", $B$5-XLOOKUP(S340, 'Mythical Island'!$C$2:$C889, 'Mythical Island'!$B$2:$B889), OR(U340="A2-Dialga", U340="A2-Palkia", U340="A2"), $B$5-XLOOKUP(S340, 'Space-Time Smackdown'!$C$2:$C889, 'Space-Time Smackdown'!$B$2:$B889)))</f>
        <v/>
      </c>
      <c r="X340" s="444" t="str">
        <f t="shared" si="3"/>
        <v/>
      </c>
      <c r="Y340" s="445" t="str">
        <f t="shared" si="4"/>
        <v/>
      </c>
      <c r="Z340" s="278"/>
      <c r="AA340" s="466"/>
      <c r="AB340" s="278"/>
      <c r="AC340" s="278"/>
      <c r="AD340" s="278"/>
      <c r="AE340" s="278"/>
      <c r="AF340" s="278"/>
      <c r="AG340" s="278" t="b">
        <f t="shared" si="5"/>
        <v>0</v>
      </c>
      <c r="AH340" s="454"/>
      <c r="AI340" s="278"/>
      <c r="AJ340" s="278"/>
      <c r="AK340" s="278"/>
      <c r="AL340" s="444" t="str">
        <f t="array" ref="AL340">IFERROR(IFS(OR(AJ340="A1-Mewtwo", AJ340="A1-Pikachu", AJ340="A1-Charizard", AJ340="A1"), XLOOKUP(AH340, 'Genetic Apex'!$C$2:$C889, 'Genetic Apex'!$B$2:$B889)-2, AJ340="A1a", XLOOKUP(AH340, 'Mythical Island'!$C$2:$C889, 'Mythical Island'!$B$2:$B889)-2, OR(AJ340="A2-Dialga", AJ340="A2-Palkia", AJ340="A2"), XLOOKUP(AH340, 'Space-Time Smackdown'!$C$2:$C889, 'Space-Time Smackdown'!$B$2:$B889)-2))</f>
        <v/>
      </c>
      <c r="AM340" s="444" t="str">
        <f t="shared" si="6"/>
        <v/>
      </c>
      <c r="AN340" s="448" t="str">
        <f t="shared" si="7"/>
        <v/>
      </c>
    </row>
    <row r="341">
      <c r="A341" s="277"/>
      <c r="B341" s="277"/>
      <c r="C341" s="441"/>
      <c r="D341" s="277"/>
      <c r="E341" s="277"/>
      <c r="F341" s="277"/>
      <c r="G341" s="277"/>
      <c r="H341" s="277" t="b">
        <f t="shared" si="1"/>
        <v>0</v>
      </c>
      <c r="I341" s="277" t="str">
        <f>IFERROR(__xludf.DUMMYFUNCTION("""COMPUTED_VALUE"""),"A1a 051")</f>
        <v>A1a 051</v>
      </c>
      <c r="J341" s="277" t="str">
        <f>IFERROR(__xludf.DUMMYFUNCTION("""COMPUTED_VALUE"""),"Purrloin")</f>
        <v>Purrloin</v>
      </c>
      <c r="K341" s="277" t="str">
        <f>IFERROR(__xludf.DUMMYFUNCTION("""COMPUTED_VALUE"""),"A1a")</f>
        <v>A1a</v>
      </c>
      <c r="L341" s="277" t="str">
        <f>IFERROR(__xludf.DUMMYFUNCTION("""COMPUTED_VALUE"""),"♢")</f>
        <v>♢</v>
      </c>
      <c r="M341" s="440" t="b">
        <f t="shared" si="2"/>
        <v>1</v>
      </c>
      <c r="N341" s="441"/>
      <c r="O341" s="277"/>
      <c r="P341" s="277"/>
      <c r="Q341" s="278"/>
      <c r="R341" s="449" t="str">
        <f t="array" ref="R341">IFERROR(IFS(OR(P341="A1-Mewtwo", P341="A1-Pikachu", P341="A1-Charizard", P341="A1"), XLOOKUP(N341, 'Genetic Apex'!$C$2:$C889, 'Genetic Apex'!$B$2:$B889)-$B$4, P341="A1a", XLOOKUP(N341, 'Mythical Island'!$C$2:$C889, 'Mythical Island'!$B$2:$B889)-$B$4, OR(P341="A2-Dialga", P341="A2-Palkia", P341="A2"), XLOOKUP(N341, 'Space-Time Smackdown'!$C$2:$C889, 'Space-Time Smackdown'!$B$2:$B889)-$B$4))</f>
        <v/>
      </c>
      <c r="S341" s="277"/>
      <c r="T341" s="277"/>
      <c r="U341" s="277"/>
      <c r="V341" s="278"/>
      <c r="W341" s="443" t="str">
        <f t="array" ref="W341">IFERROR(IFS(OR(U341="A1-Mewtwo", U341="A1-Pikachu", U341="A1-Charizard", U341="A1"), $B$5-XLOOKUP(S341, 'Genetic Apex'!$C$2:$C889, 'Genetic Apex'!$B$2:$B889), U341="A1a", $B$5-XLOOKUP(S341, 'Mythical Island'!$C$2:$C889, 'Mythical Island'!$B$2:$B889), OR(U341="A2-Dialga", U341="A2-Palkia", U341="A2"), $B$5-XLOOKUP(S341, 'Space-Time Smackdown'!$C$2:$C889, 'Space-Time Smackdown'!$B$2:$B889)))</f>
        <v/>
      </c>
      <c r="X341" s="444" t="str">
        <f t="shared" si="3"/>
        <v/>
      </c>
      <c r="Y341" s="445" t="str">
        <f t="shared" si="4"/>
        <v/>
      </c>
      <c r="Z341" s="278"/>
      <c r="AA341" s="466"/>
      <c r="AB341" s="278"/>
      <c r="AC341" s="278"/>
      <c r="AD341" s="278"/>
      <c r="AE341" s="278"/>
      <c r="AF341" s="278"/>
      <c r="AG341" s="278" t="b">
        <f t="shared" si="5"/>
        <v>0</v>
      </c>
      <c r="AH341" s="454"/>
      <c r="AI341" s="278"/>
      <c r="AJ341" s="278"/>
      <c r="AK341" s="278"/>
      <c r="AL341" s="444" t="str">
        <f t="array" ref="AL341">IFERROR(IFS(OR(AJ341="A1-Mewtwo", AJ341="A1-Pikachu", AJ341="A1-Charizard", AJ341="A1"), XLOOKUP(AH341, 'Genetic Apex'!$C$2:$C889, 'Genetic Apex'!$B$2:$B889)-2, AJ341="A1a", XLOOKUP(AH341, 'Mythical Island'!$C$2:$C889, 'Mythical Island'!$B$2:$B889)-2, OR(AJ341="A2-Dialga", AJ341="A2-Palkia", AJ341="A2"), XLOOKUP(AH341, 'Space-Time Smackdown'!$C$2:$C889, 'Space-Time Smackdown'!$B$2:$B889)-2))</f>
        <v/>
      </c>
      <c r="AM341" s="444" t="str">
        <f t="shared" si="6"/>
        <v/>
      </c>
      <c r="AN341" s="448" t="str">
        <f t="shared" si="7"/>
        <v/>
      </c>
    </row>
    <row r="342">
      <c r="A342" s="277"/>
      <c r="B342" s="277"/>
      <c r="C342" s="441"/>
      <c r="D342" s="277"/>
      <c r="E342" s="277"/>
      <c r="F342" s="277"/>
      <c r="G342" s="277"/>
      <c r="H342" s="277" t="b">
        <f t="shared" si="1"/>
        <v>0</v>
      </c>
      <c r="I342" s="277" t="str">
        <f>IFERROR(__xludf.DUMMYFUNCTION("""COMPUTED_VALUE"""),"A1a 052")</f>
        <v>A1a 052</v>
      </c>
      <c r="J342" s="277" t="str">
        <f>IFERROR(__xludf.DUMMYFUNCTION("""COMPUTED_VALUE"""),"Liepard")</f>
        <v>Liepard</v>
      </c>
      <c r="K342" s="277" t="str">
        <f>IFERROR(__xludf.DUMMYFUNCTION("""COMPUTED_VALUE"""),"A1a")</f>
        <v>A1a</v>
      </c>
      <c r="L342" s="277" t="str">
        <f>IFERROR(__xludf.DUMMYFUNCTION("""COMPUTED_VALUE"""),"♢")</f>
        <v>♢</v>
      </c>
      <c r="M342" s="440" t="b">
        <f t="shared" si="2"/>
        <v>1</v>
      </c>
      <c r="N342" s="441"/>
      <c r="O342" s="277"/>
      <c r="P342" s="277"/>
      <c r="Q342" s="278"/>
      <c r="R342" s="449" t="str">
        <f t="array" ref="R342">IFERROR(IFS(OR(P342="A1-Mewtwo", P342="A1-Pikachu", P342="A1-Charizard", P342="A1"), XLOOKUP(N342, 'Genetic Apex'!$C$2:$C889, 'Genetic Apex'!$B$2:$B889)-$B$4, P342="A1a", XLOOKUP(N342, 'Mythical Island'!$C$2:$C889, 'Mythical Island'!$B$2:$B889)-$B$4, OR(P342="A2-Dialga", P342="A2-Palkia", P342="A2"), XLOOKUP(N342, 'Space-Time Smackdown'!$C$2:$C889, 'Space-Time Smackdown'!$B$2:$B889)-$B$4))</f>
        <v/>
      </c>
      <c r="S342" s="277"/>
      <c r="T342" s="277"/>
      <c r="U342" s="277"/>
      <c r="V342" s="278"/>
      <c r="W342" s="443" t="str">
        <f t="array" ref="W342">IFERROR(IFS(OR(U342="A1-Mewtwo", U342="A1-Pikachu", U342="A1-Charizard", U342="A1"), $B$5-XLOOKUP(S342, 'Genetic Apex'!$C$2:$C889, 'Genetic Apex'!$B$2:$B889), U342="A1a", $B$5-XLOOKUP(S342, 'Mythical Island'!$C$2:$C889, 'Mythical Island'!$B$2:$B889), OR(U342="A2-Dialga", U342="A2-Palkia", U342="A2"), $B$5-XLOOKUP(S342, 'Space-Time Smackdown'!$C$2:$C889, 'Space-Time Smackdown'!$B$2:$B889)))</f>
        <v/>
      </c>
      <c r="X342" s="444" t="str">
        <f t="shared" si="3"/>
        <v/>
      </c>
      <c r="Y342" s="445" t="str">
        <f t="shared" si="4"/>
        <v/>
      </c>
      <c r="Z342" s="278"/>
      <c r="AA342" s="466"/>
      <c r="AB342" s="278"/>
      <c r="AC342" s="278"/>
      <c r="AD342" s="278"/>
      <c r="AE342" s="278"/>
      <c r="AF342" s="278"/>
      <c r="AG342" s="278" t="b">
        <f t="shared" si="5"/>
        <v>0</v>
      </c>
      <c r="AH342" s="454"/>
      <c r="AI342" s="278"/>
      <c r="AJ342" s="278"/>
      <c r="AK342" s="278"/>
      <c r="AL342" s="444" t="str">
        <f t="array" ref="AL342">IFERROR(IFS(OR(AJ342="A1-Mewtwo", AJ342="A1-Pikachu", AJ342="A1-Charizard", AJ342="A1"), XLOOKUP(AH342, 'Genetic Apex'!$C$2:$C889, 'Genetic Apex'!$B$2:$B889)-2, AJ342="A1a", XLOOKUP(AH342, 'Mythical Island'!$C$2:$C889, 'Mythical Island'!$B$2:$B889)-2, OR(AJ342="A2-Dialga", AJ342="A2-Palkia", AJ342="A2"), XLOOKUP(AH342, 'Space-Time Smackdown'!$C$2:$C889, 'Space-Time Smackdown'!$B$2:$B889)-2))</f>
        <v/>
      </c>
      <c r="AM342" s="444" t="str">
        <f t="shared" si="6"/>
        <v/>
      </c>
      <c r="AN342" s="448" t="str">
        <f t="shared" si="7"/>
        <v/>
      </c>
    </row>
    <row r="343">
      <c r="A343" s="277"/>
      <c r="B343" s="277"/>
      <c r="C343" s="441"/>
      <c r="D343" s="277"/>
      <c r="E343" s="277"/>
      <c r="F343" s="277"/>
      <c r="G343" s="277"/>
      <c r="H343" s="277" t="b">
        <f t="shared" si="1"/>
        <v>0</v>
      </c>
      <c r="I343" s="277" t="str">
        <f>IFERROR(__xludf.DUMMYFUNCTION("""COMPUTED_VALUE"""),"A1a 053")</f>
        <v>A1a 053</v>
      </c>
      <c r="J343" s="277" t="str">
        <f>IFERROR(__xludf.DUMMYFUNCTION("""COMPUTED_VALUE"""),"Venipede")</f>
        <v>Venipede</v>
      </c>
      <c r="K343" s="277" t="str">
        <f>IFERROR(__xludf.DUMMYFUNCTION("""COMPUTED_VALUE"""),"A1a")</f>
        <v>A1a</v>
      </c>
      <c r="L343" s="277" t="str">
        <f>IFERROR(__xludf.DUMMYFUNCTION("""COMPUTED_VALUE"""),"♢")</f>
        <v>♢</v>
      </c>
      <c r="M343" s="440" t="b">
        <f t="shared" si="2"/>
        <v>1</v>
      </c>
      <c r="N343" s="441"/>
      <c r="O343" s="277"/>
      <c r="P343" s="277"/>
      <c r="Q343" s="278"/>
      <c r="R343" s="449" t="str">
        <f t="array" ref="R343">IFERROR(IFS(OR(P343="A1-Mewtwo", P343="A1-Pikachu", P343="A1-Charizard", P343="A1"), XLOOKUP(N343, 'Genetic Apex'!$C$2:$C889, 'Genetic Apex'!$B$2:$B889)-$B$4, P343="A1a", XLOOKUP(N343, 'Mythical Island'!$C$2:$C889, 'Mythical Island'!$B$2:$B889)-$B$4, OR(P343="A2-Dialga", P343="A2-Palkia", P343="A2"), XLOOKUP(N343, 'Space-Time Smackdown'!$C$2:$C889, 'Space-Time Smackdown'!$B$2:$B889)-$B$4))</f>
        <v/>
      </c>
      <c r="S343" s="277"/>
      <c r="T343" s="277"/>
      <c r="U343" s="277"/>
      <c r="V343" s="278"/>
      <c r="W343" s="443" t="str">
        <f t="array" ref="W343">IFERROR(IFS(OR(U343="A1-Mewtwo", U343="A1-Pikachu", U343="A1-Charizard", U343="A1"), $B$5-XLOOKUP(S343, 'Genetic Apex'!$C$2:$C889, 'Genetic Apex'!$B$2:$B889), U343="A1a", $B$5-XLOOKUP(S343, 'Mythical Island'!$C$2:$C889, 'Mythical Island'!$B$2:$B889), OR(U343="A2-Dialga", U343="A2-Palkia", U343="A2"), $B$5-XLOOKUP(S343, 'Space-Time Smackdown'!$C$2:$C889, 'Space-Time Smackdown'!$B$2:$B889)))</f>
        <v/>
      </c>
      <c r="X343" s="444" t="str">
        <f t="shared" si="3"/>
        <v/>
      </c>
      <c r="Y343" s="445" t="str">
        <f t="shared" si="4"/>
        <v/>
      </c>
      <c r="Z343" s="278"/>
      <c r="AA343" s="466"/>
      <c r="AB343" s="278"/>
      <c r="AC343" s="278"/>
      <c r="AD343" s="278"/>
      <c r="AE343" s="278"/>
      <c r="AF343" s="278"/>
      <c r="AG343" s="278" t="b">
        <f t="shared" si="5"/>
        <v>0</v>
      </c>
      <c r="AH343" s="454"/>
      <c r="AI343" s="278"/>
      <c r="AJ343" s="278"/>
      <c r="AK343" s="278"/>
      <c r="AL343" s="444" t="str">
        <f t="array" ref="AL343">IFERROR(IFS(OR(AJ343="A1-Mewtwo", AJ343="A1-Pikachu", AJ343="A1-Charizard", AJ343="A1"), XLOOKUP(AH343, 'Genetic Apex'!$C$2:$C889, 'Genetic Apex'!$B$2:$B889)-2, AJ343="A1a", XLOOKUP(AH343, 'Mythical Island'!$C$2:$C889, 'Mythical Island'!$B$2:$B889)-2, OR(AJ343="A2-Dialga", AJ343="A2-Palkia", AJ343="A2"), XLOOKUP(AH343, 'Space-Time Smackdown'!$C$2:$C889, 'Space-Time Smackdown'!$B$2:$B889)-2))</f>
        <v/>
      </c>
      <c r="AM343" s="444" t="str">
        <f t="shared" si="6"/>
        <v/>
      </c>
      <c r="AN343" s="448" t="str">
        <f t="shared" si="7"/>
        <v/>
      </c>
    </row>
    <row r="344">
      <c r="A344" s="277"/>
      <c r="B344" s="277"/>
      <c r="C344" s="441"/>
      <c r="D344" s="277"/>
      <c r="E344" s="277"/>
      <c r="F344" s="277"/>
      <c r="G344" s="277"/>
      <c r="H344" s="277" t="b">
        <f t="shared" si="1"/>
        <v>0</v>
      </c>
      <c r="I344" s="277" t="str">
        <f>IFERROR(__xludf.DUMMYFUNCTION("""COMPUTED_VALUE"""),"A1a 054")</f>
        <v>A1a 054</v>
      </c>
      <c r="J344" s="277" t="str">
        <f>IFERROR(__xludf.DUMMYFUNCTION("""COMPUTED_VALUE"""),"Whirlipede")</f>
        <v>Whirlipede</v>
      </c>
      <c r="K344" s="277" t="str">
        <f>IFERROR(__xludf.DUMMYFUNCTION("""COMPUTED_VALUE"""),"A1a")</f>
        <v>A1a</v>
      </c>
      <c r="L344" s="277" t="str">
        <f>IFERROR(__xludf.DUMMYFUNCTION("""COMPUTED_VALUE"""),"♢")</f>
        <v>♢</v>
      </c>
      <c r="M344" s="440" t="b">
        <f t="shared" si="2"/>
        <v>1</v>
      </c>
      <c r="N344" s="441"/>
      <c r="O344" s="277"/>
      <c r="P344" s="277"/>
      <c r="Q344" s="278"/>
      <c r="R344" s="449" t="str">
        <f t="array" ref="R344">IFERROR(IFS(OR(P344="A1-Mewtwo", P344="A1-Pikachu", P344="A1-Charizard", P344="A1"), XLOOKUP(N344, 'Genetic Apex'!$C$2:$C889, 'Genetic Apex'!$B$2:$B889)-$B$4, P344="A1a", XLOOKUP(N344, 'Mythical Island'!$C$2:$C889, 'Mythical Island'!$B$2:$B889)-$B$4, OR(P344="A2-Dialga", P344="A2-Palkia", P344="A2"), XLOOKUP(N344, 'Space-Time Smackdown'!$C$2:$C889, 'Space-Time Smackdown'!$B$2:$B889)-$B$4))</f>
        <v/>
      </c>
      <c r="S344" s="277"/>
      <c r="T344" s="277"/>
      <c r="U344" s="277"/>
      <c r="V344" s="278"/>
      <c r="W344" s="443" t="str">
        <f t="array" ref="W344">IFERROR(IFS(OR(U344="A1-Mewtwo", U344="A1-Pikachu", U344="A1-Charizard", U344="A1"), $B$5-XLOOKUP(S344, 'Genetic Apex'!$C$2:$C889, 'Genetic Apex'!$B$2:$B889), U344="A1a", $B$5-XLOOKUP(S344, 'Mythical Island'!$C$2:$C889, 'Mythical Island'!$B$2:$B889), OR(U344="A2-Dialga", U344="A2-Palkia", U344="A2"), $B$5-XLOOKUP(S344, 'Space-Time Smackdown'!$C$2:$C889, 'Space-Time Smackdown'!$B$2:$B889)))</f>
        <v/>
      </c>
      <c r="X344" s="444" t="str">
        <f t="shared" si="3"/>
        <v/>
      </c>
      <c r="Y344" s="445" t="str">
        <f t="shared" si="4"/>
        <v/>
      </c>
      <c r="Z344" s="278"/>
      <c r="AA344" s="466"/>
      <c r="AB344" s="278"/>
      <c r="AC344" s="278"/>
      <c r="AD344" s="278"/>
      <c r="AE344" s="278"/>
      <c r="AF344" s="278"/>
      <c r="AG344" s="278" t="b">
        <f t="shared" si="5"/>
        <v>0</v>
      </c>
      <c r="AH344" s="454"/>
      <c r="AI344" s="278"/>
      <c r="AJ344" s="278"/>
      <c r="AK344" s="278"/>
      <c r="AL344" s="444" t="str">
        <f t="array" ref="AL344">IFERROR(IFS(OR(AJ344="A1-Mewtwo", AJ344="A1-Pikachu", AJ344="A1-Charizard", AJ344="A1"), XLOOKUP(AH344, 'Genetic Apex'!$C$2:$C889, 'Genetic Apex'!$B$2:$B889)-2, AJ344="A1a", XLOOKUP(AH344, 'Mythical Island'!$C$2:$C889, 'Mythical Island'!$B$2:$B889)-2, OR(AJ344="A2-Dialga", AJ344="A2-Palkia", AJ344="A2"), XLOOKUP(AH344, 'Space-Time Smackdown'!$C$2:$C889, 'Space-Time Smackdown'!$B$2:$B889)-2))</f>
        <v/>
      </c>
      <c r="AM344" s="444" t="str">
        <f t="shared" si="6"/>
        <v/>
      </c>
      <c r="AN344" s="448" t="str">
        <f t="shared" si="7"/>
        <v/>
      </c>
    </row>
    <row r="345">
      <c r="A345" s="277"/>
      <c r="B345" s="277"/>
      <c r="C345" s="441"/>
      <c r="D345" s="277"/>
      <c r="E345" s="277"/>
      <c r="F345" s="277"/>
      <c r="G345" s="277"/>
      <c r="H345" s="277" t="b">
        <f t="shared" si="1"/>
        <v>0</v>
      </c>
      <c r="I345" s="277" t="str">
        <f>IFERROR(__xludf.DUMMYFUNCTION("""COMPUTED_VALUE"""),"A1a 055")</f>
        <v>A1a 055</v>
      </c>
      <c r="J345" s="277" t="str">
        <f>IFERROR(__xludf.DUMMYFUNCTION("""COMPUTED_VALUE"""),"Scolipede")</f>
        <v>Scolipede</v>
      </c>
      <c r="K345" s="277" t="str">
        <f>IFERROR(__xludf.DUMMYFUNCTION("""COMPUTED_VALUE"""),"A1a")</f>
        <v>A1a</v>
      </c>
      <c r="L345" s="277" t="str">
        <f>IFERROR(__xludf.DUMMYFUNCTION("""COMPUTED_VALUE"""),"♢♢")</f>
        <v>♢♢</v>
      </c>
      <c r="M345" s="440" t="b">
        <f t="shared" si="2"/>
        <v>1</v>
      </c>
      <c r="N345" s="441"/>
      <c r="O345" s="277"/>
      <c r="P345" s="277"/>
      <c r="Q345" s="278"/>
      <c r="R345" s="449" t="str">
        <f t="array" ref="R345">IFERROR(IFS(OR(P345="A1-Mewtwo", P345="A1-Pikachu", P345="A1-Charizard", P345="A1"), XLOOKUP(N345, 'Genetic Apex'!$C$2:$C889, 'Genetic Apex'!$B$2:$B889)-$B$4, P345="A1a", XLOOKUP(N345, 'Mythical Island'!$C$2:$C889, 'Mythical Island'!$B$2:$B889)-$B$4, OR(P345="A2-Dialga", P345="A2-Palkia", P345="A2"), XLOOKUP(N345, 'Space-Time Smackdown'!$C$2:$C889, 'Space-Time Smackdown'!$B$2:$B889)-$B$4))</f>
        <v/>
      </c>
      <c r="S345" s="277"/>
      <c r="T345" s="277"/>
      <c r="U345" s="277"/>
      <c r="V345" s="278"/>
      <c r="W345" s="443" t="str">
        <f t="array" ref="W345">IFERROR(IFS(OR(U345="A1-Mewtwo", U345="A1-Pikachu", U345="A1-Charizard", U345="A1"), $B$5-XLOOKUP(S345, 'Genetic Apex'!$C$2:$C889, 'Genetic Apex'!$B$2:$B889), U345="A1a", $B$5-XLOOKUP(S345, 'Mythical Island'!$C$2:$C889, 'Mythical Island'!$B$2:$B889), OR(U345="A2-Dialga", U345="A2-Palkia", U345="A2"), $B$5-XLOOKUP(S345, 'Space-Time Smackdown'!$C$2:$C889, 'Space-Time Smackdown'!$B$2:$B889)))</f>
        <v/>
      </c>
      <c r="X345" s="444" t="str">
        <f t="shared" si="3"/>
        <v/>
      </c>
      <c r="Y345" s="445" t="str">
        <f t="shared" si="4"/>
        <v/>
      </c>
      <c r="Z345" s="278"/>
      <c r="AA345" s="466"/>
      <c r="AB345" s="278"/>
      <c r="AC345" s="278"/>
      <c r="AD345" s="278"/>
      <c r="AE345" s="278"/>
      <c r="AF345" s="278"/>
      <c r="AG345" s="278" t="b">
        <f t="shared" si="5"/>
        <v>0</v>
      </c>
      <c r="AH345" s="454"/>
      <c r="AI345" s="278"/>
      <c r="AJ345" s="278"/>
      <c r="AK345" s="278"/>
      <c r="AL345" s="444" t="str">
        <f t="array" ref="AL345">IFERROR(IFS(OR(AJ345="A1-Mewtwo", AJ345="A1-Pikachu", AJ345="A1-Charizard", AJ345="A1"), XLOOKUP(AH345, 'Genetic Apex'!$C$2:$C889, 'Genetic Apex'!$B$2:$B889)-2, AJ345="A1a", XLOOKUP(AH345, 'Mythical Island'!$C$2:$C889, 'Mythical Island'!$B$2:$B889)-2, OR(AJ345="A2-Dialga", AJ345="A2-Palkia", AJ345="A2"), XLOOKUP(AH345, 'Space-Time Smackdown'!$C$2:$C889, 'Space-Time Smackdown'!$B$2:$B889)-2))</f>
        <v/>
      </c>
      <c r="AM345" s="444" t="str">
        <f t="shared" si="6"/>
        <v/>
      </c>
      <c r="AN345" s="448" t="str">
        <f t="shared" si="7"/>
        <v/>
      </c>
    </row>
    <row r="346">
      <c r="A346" s="277"/>
      <c r="B346" s="277"/>
      <c r="C346" s="441"/>
      <c r="D346" s="277"/>
      <c r="E346" s="277"/>
      <c r="F346" s="277"/>
      <c r="G346" s="277"/>
      <c r="H346" s="277" t="b">
        <f t="shared" si="1"/>
        <v>0</v>
      </c>
      <c r="I346" s="277" t="str">
        <f>IFERROR(__xludf.DUMMYFUNCTION("""COMPUTED_VALUE"""),"A1a 056")</f>
        <v>A1a 056</v>
      </c>
      <c r="J346" s="277" t="str">
        <f>IFERROR(__xludf.DUMMYFUNCTION("""COMPUTED_VALUE"""),"Druddigon")</f>
        <v>Druddigon</v>
      </c>
      <c r="K346" s="277" t="str">
        <f>IFERROR(__xludf.DUMMYFUNCTION("""COMPUTED_VALUE"""),"A1a")</f>
        <v>A1a</v>
      </c>
      <c r="L346" s="277" t="str">
        <f>IFERROR(__xludf.DUMMYFUNCTION("""COMPUTED_VALUE"""),"♢♢")</f>
        <v>♢♢</v>
      </c>
      <c r="M346" s="440" t="b">
        <f t="shared" si="2"/>
        <v>1</v>
      </c>
      <c r="N346" s="441"/>
      <c r="O346" s="277"/>
      <c r="P346" s="277"/>
      <c r="Q346" s="278"/>
      <c r="R346" s="449" t="str">
        <f t="array" ref="R346">IFERROR(IFS(OR(P346="A1-Mewtwo", P346="A1-Pikachu", P346="A1-Charizard", P346="A1"), XLOOKUP(N346, 'Genetic Apex'!$C$2:$C889, 'Genetic Apex'!$B$2:$B889)-$B$4, P346="A1a", XLOOKUP(N346, 'Mythical Island'!$C$2:$C889, 'Mythical Island'!$B$2:$B889)-$B$4, OR(P346="A2-Dialga", P346="A2-Palkia", P346="A2"), XLOOKUP(N346, 'Space-Time Smackdown'!$C$2:$C889, 'Space-Time Smackdown'!$B$2:$B889)-$B$4))</f>
        <v/>
      </c>
      <c r="S346" s="277"/>
      <c r="T346" s="277"/>
      <c r="U346" s="277"/>
      <c r="V346" s="278"/>
      <c r="W346" s="443" t="str">
        <f t="array" ref="W346">IFERROR(IFS(OR(U346="A1-Mewtwo", U346="A1-Pikachu", U346="A1-Charizard", U346="A1"), $B$5-XLOOKUP(S346, 'Genetic Apex'!$C$2:$C889, 'Genetic Apex'!$B$2:$B889), U346="A1a", $B$5-XLOOKUP(S346, 'Mythical Island'!$C$2:$C889, 'Mythical Island'!$B$2:$B889), OR(U346="A2-Dialga", U346="A2-Palkia", U346="A2"), $B$5-XLOOKUP(S346, 'Space-Time Smackdown'!$C$2:$C889, 'Space-Time Smackdown'!$B$2:$B889)))</f>
        <v/>
      </c>
      <c r="X346" s="444" t="str">
        <f t="shared" si="3"/>
        <v/>
      </c>
      <c r="Y346" s="445" t="str">
        <f t="shared" si="4"/>
        <v/>
      </c>
      <c r="Z346" s="278"/>
      <c r="AA346" s="466"/>
      <c r="AB346" s="278"/>
      <c r="AC346" s="278"/>
      <c r="AD346" s="278"/>
      <c r="AE346" s="278"/>
      <c r="AF346" s="278"/>
      <c r="AG346" s="278" t="b">
        <f t="shared" si="5"/>
        <v>0</v>
      </c>
      <c r="AH346" s="454"/>
      <c r="AI346" s="278"/>
      <c r="AJ346" s="278"/>
      <c r="AK346" s="278"/>
      <c r="AL346" s="444" t="str">
        <f t="array" ref="AL346">IFERROR(IFS(OR(AJ346="A1-Mewtwo", AJ346="A1-Pikachu", AJ346="A1-Charizard", AJ346="A1"), XLOOKUP(AH346, 'Genetic Apex'!$C$2:$C889, 'Genetic Apex'!$B$2:$B889)-2, AJ346="A1a", XLOOKUP(AH346, 'Mythical Island'!$C$2:$C889, 'Mythical Island'!$B$2:$B889)-2, OR(AJ346="A2-Dialga", AJ346="A2-Palkia", AJ346="A2"), XLOOKUP(AH346, 'Space-Time Smackdown'!$C$2:$C889, 'Space-Time Smackdown'!$B$2:$B889)-2))</f>
        <v/>
      </c>
      <c r="AM346" s="444" t="str">
        <f t="shared" si="6"/>
        <v/>
      </c>
      <c r="AN346" s="448" t="str">
        <f t="shared" si="7"/>
        <v/>
      </c>
    </row>
    <row r="347">
      <c r="A347" s="277"/>
      <c r="B347" s="277"/>
      <c r="C347" s="441"/>
      <c r="D347" s="277"/>
      <c r="E347" s="277"/>
      <c r="F347" s="277"/>
      <c r="G347" s="277"/>
      <c r="H347" s="277" t="b">
        <f t="shared" si="1"/>
        <v>0</v>
      </c>
      <c r="I347" s="277" t="str">
        <f>IFERROR(__xludf.DUMMYFUNCTION("""COMPUTED_VALUE"""),"A1a 057")</f>
        <v>A1a 057</v>
      </c>
      <c r="J347" s="277" t="str">
        <f>IFERROR(__xludf.DUMMYFUNCTION("""COMPUTED_VALUE"""),"Pidgey")</f>
        <v>Pidgey</v>
      </c>
      <c r="K347" s="277" t="str">
        <f>IFERROR(__xludf.DUMMYFUNCTION("""COMPUTED_VALUE"""),"A1a")</f>
        <v>A1a</v>
      </c>
      <c r="L347" s="277" t="str">
        <f>IFERROR(__xludf.DUMMYFUNCTION("""COMPUTED_VALUE"""),"♢")</f>
        <v>♢</v>
      </c>
      <c r="M347" s="440" t="b">
        <f t="shared" si="2"/>
        <v>1</v>
      </c>
      <c r="N347" s="441"/>
      <c r="O347" s="277"/>
      <c r="P347" s="277"/>
      <c r="Q347" s="278"/>
      <c r="R347" s="449" t="str">
        <f t="array" ref="R347">IFERROR(IFS(OR(P347="A1-Mewtwo", P347="A1-Pikachu", P347="A1-Charizard", P347="A1"), XLOOKUP(N347, 'Genetic Apex'!$C$2:$C889, 'Genetic Apex'!$B$2:$B889)-$B$4, P347="A1a", XLOOKUP(N347, 'Mythical Island'!$C$2:$C889, 'Mythical Island'!$B$2:$B889)-$B$4, OR(P347="A2-Dialga", P347="A2-Palkia", P347="A2"), XLOOKUP(N347, 'Space-Time Smackdown'!$C$2:$C889, 'Space-Time Smackdown'!$B$2:$B889)-$B$4))</f>
        <v/>
      </c>
      <c r="S347" s="277"/>
      <c r="T347" s="277"/>
      <c r="U347" s="277"/>
      <c r="V347" s="278"/>
      <c r="W347" s="443" t="str">
        <f t="array" ref="W347">IFERROR(IFS(OR(U347="A1-Mewtwo", U347="A1-Pikachu", U347="A1-Charizard", U347="A1"), $B$5-XLOOKUP(S347, 'Genetic Apex'!$C$2:$C889, 'Genetic Apex'!$B$2:$B889), U347="A1a", $B$5-XLOOKUP(S347, 'Mythical Island'!$C$2:$C889, 'Mythical Island'!$B$2:$B889), OR(U347="A2-Dialga", U347="A2-Palkia", U347="A2"), $B$5-XLOOKUP(S347, 'Space-Time Smackdown'!$C$2:$C889, 'Space-Time Smackdown'!$B$2:$B889)))</f>
        <v/>
      </c>
      <c r="X347" s="444" t="str">
        <f t="shared" si="3"/>
        <v/>
      </c>
      <c r="Y347" s="445" t="str">
        <f t="shared" si="4"/>
        <v/>
      </c>
      <c r="Z347" s="278"/>
      <c r="AA347" s="466"/>
      <c r="AB347" s="278"/>
      <c r="AC347" s="278"/>
      <c r="AD347" s="278"/>
      <c r="AE347" s="278"/>
      <c r="AF347" s="278"/>
      <c r="AG347" s="278" t="b">
        <f t="shared" si="5"/>
        <v>0</v>
      </c>
      <c r="AH347" s="454"/>
      <c r="AI347" s="278"/>
      <c r="AJ347" s="278"/>
      <c r="AK347" s="278"/>
      <c r="AL347" s="444" t="str">
        <f t="array" ref="AL347">IFERROR(IFS(OR(AJ347="A1-Mewtwo", AJ347="A1-Pikachu", AJ347="A1-Charizard", AJ347="A1"), XLOOKUP(AH347, 'Genetic Apex'!$C$2:$C889, 'Genetic Apex'!$B$2:$B889)-2, AJ347="A1a", XLOOKUP(AH347, 'Mythical Island'!$C$2:$C889, 'Mythical Island'!$B$2:$B889)-2, OR(AJ347="A2-Dialga", AJ347="A2-Palkia", AJ347="A2"), XLOOKUP(AH347, 'Space-Time Smackdown'!$C$2:$C889, 'Space-Time Smackdown'!$B$2:$B889)-2))</f>
        <v/>
      </c>
      <c r="AM347" s="444" t="str">
        <f t="shared" si="6"/>
        <v/>
      </c>
      <c r="AN347" s="448" t="str">
        <f t="shared" si="7"/>
        <v/>
      </c>
    </row>
    <row r="348">
      <c r="A348" s="277"/>
      <c r="B348" s="277"/>
      <c r="C348" s="441"/>
      <c r="D348" s="277"/>
      <c r="E348" s="277"/>
      <c r="F348" s="277"/>
      <c r="G348" s="277"/>
      <c r="H348" s="277" t="b">
        <f t="shared" si="1"/>
        <v>0</v>
      </c>
      <c r="I348" s="277" t="str">
        <f>IFERROR(__xludf.DUMMYFUNCTION("""COMPUTED_VALUE"""),"A1a 058")</f>
        <v>A1a 058</v>
      </c>
      <c r="J348" s="277" t="str">
        <f>IFERROR(__xludf.DUMMYFUNCTION("""COMPUTED_VALUE"""),"Pidgeotto")</f>
        <v>Pidgeotto</v>
      </c>
      <c r="K348" s="277" t="str">
        <f>IFERROR(__xludf.DUMMYFUNCTION("""COMPUTED_VALUE"""),"A1a")</f>
        <v>A1a</v>
      </c>
      <c r="L348" s="277" t="str">
        <f>IFERROR(__xludf.DUMMYFUNCTION("""COMPUTED_VALUE"""),"♢")</f>
        <v>♢</v>
      </c>
      <c r="M348" s="440" t="b">
        <f t="shared" si="2"/>
        <v>1</v>
      </c>
      <c r="N348" s="441"/>
      <c r="O348" s="277"/>
      <c r="P348" s="277"/>
      <c r="Q348" s="278"/>
      <c r="R348" s="449" t="str">
        <f t="array" ref="R348">IFERROR(IFS(OR(P348="A1-Mewtwo", P348="A1-Pikachu", P348="A1-Charizard", P348="A1"), XLOOKUP(N348, 'Genetic Apex'!$C$2:$C889, 'Genetic Apex'!$B$2:$B889)-$B$4, P348="A1a", XLOOKUP(N348, 'Mythical Island'!$C$2:$C889, 'Mythical Island'!$B$2:$B889)-$B$4, OR(P348="A2-Dialga", P348="A2-Palkia", P348="A2"), XLOOKUP(N348, 'Space-Time Smackdown'!$C$2:$C889, 'Space-Time Smackdown'!$B$2:$B889)-$B$4))</f>
        <v/>
      </c>
      <c r="S348" s="277"/>
      <c r="T348" s="277"/>
      <c r="U348" s="277"/>
      <c r="V348" s="278"/>
      <c r="W348" s="443" t="str">
        <f t="array" ref="W348">IFERROR(IFS(OR(U348="A1-Mewtwo", U348="A1-Pikachu", U348="A1-Charizard", U348="A1"), $B$5-XLOOKUP(S348, 'Genetic Apex'!$C$2:$C889, 'Genetic Apex'!$B$2:$B889), U348="A1a", $B$5-XLOOKUP(S348, 'Mythical Island'!$C$2:$C889, 'Mythical Island'!$B$2:$B889), OR(U348="A2-Dialga", U348="A2-Palkia", U348="A2"), $B$5-XLOOKUP(S348, 'Space-Time Smackdown'!$C$2:$C889, 'Space-Time Smackdown'!$B$2:$B889)))</f>
        <v/>
      </c>
      <c r="X348" s="444" t="str">
        <f t="shared" si="3"/>
        <v/>
      </c>
      <c r="Y348" s="445" t="str">
        <f t="shared" si="4"/>
        <v/>
      </c>
      <c r="Z348" s="278"/>
      <c r="AA348" s="466"/>
      <c r="AB348" s="278"/>
      <c r="AC348" s="278"/>
      <c r="AD348" s="278"/>
      <c r="AE348" s="278"/>
      <c r="AF348" s="278"/>
      <c r="AG348" s="278" t="b">
        <f t="shared" si="5"/>
        <v>0</v>
      </c>
      <c r="AH348" s="454"/>
      <c r="AI348" s="278"/>
      <c r="AJ348" s="278"/>
      <c r="AK348" s="278"/>
      <c r="AL348" s="444" t="str">
        <f t="array" ref="AL348">IFERROR(IFS(OR(AJ348="A1-Mewtwo", AJ348="A1-Pikachu", AJ348="A1-Charizard", AJ348="A1"), XLOOKUP(AH348, 'Genetic Apex'!$C$2:$C889, 'Genetic Apex'!$B$2:$B889)-2, AJ348="A1a", XLOOKUP(AH348, 'Mythical Island'!$C$2:$C889, 'Mythical Island'!$B$2:$B889)-2, OR(AJ348="A2-Dialga", AJ348="A2-Palkia", AJ348="A2"), XLOOKUP(AH348, 'Space-Time Smackdown'!$C$2:$C889, 'Space-Time Smackdown'!$B$2:$B889)-2))</f>
        <v/>
      </c>
      <c r="AM348" s="444" t="str">
        <f t="shared" si="6"/>
        <v/>
      </c>
      <c r="AN348" s="448" t="str">
        <f t="shared" si="7"/>
        <v/>
      </c>
    </row>
    <row r="349">
      <c r="A349" s="277"/>
      <c r="B349" s="277"/>
      <c r="C349" s="441"/>
      <c r="D349" s="277"/>
      <c r="E349" s="277"/>
      <c r="F349" s="277"/>
      <c r="G349" s="277"/>
      <c r="H349" s="277" t="b">
        <f t="shared" si="1"/>
        <v>0</v>
      </c>
      <c r="I349" s="277" t="str">
        <f>IFERROR(__xludf.DUMMYFUNCTION("""COMPUTED_VALUE"""),"A1a 059")</f>
        <v>A1a 059</v>
      </c>
      <c r="J349" s="277" t="str">
        <f>IFERROR(__xludf.DUMMYFUNCTION("""COMPUTED_VALUE"""),"Pidgeot ex")</f>
        <v>Pidgeot ex</v>
      </c>
      <c r="K349" s="277" t="str">
        <f>IFERROR(__xludf.DUMMYFUNCTION("""COMPUTED_VALUE"""),"A1a")</f>
        <v>A1a</v>
      </c>
      <c r="L349" s="277" t="str">
        <f>IFERROR(__xludf.DUMMYFUNCTION("""COMPUTED_VALUE"""),"♢♢♢♢")</f>
        <v>♢♢♢♢</v>
      </c>
      <c r="M349" s="440" t="b">
        <f t="shared" si="2"/>
        <v>1</v>
      </c>
      <c r="N349" s="441"/>
      <c r="O349" s="277"/>
      <c r="P349" s="277"/>
      <c r="Q349" s="278"/>
      <c r="R349" s="449" t="str">
        <f t="array" ref="R349">IFERROR(IFS(OR(P349="A1-Mewtwo", P349="A1-Pikachu", P349="A1-Charizard", P349="A1"), XLOOKUP(N349, 'Genetic Apex'!$C$2:$C889, 'Genetic Apex'!$B$2:$B889)-$B$4, P349="A1a", XLOOKUP(N349, 'Mythical Island'!$C$2:$C889, 'Mythical Island'!$B$2:$B889)-$B$4, OR(P349="A2-Dialga", P349="A2-Palkia", P349="A2"), XLOOKUP(N349, 'Space-Time Smackdown'!$C$2:$C889, 'Space-Time Smackdown'!$B$2:$B889)-$B$4))</f>
        <v/>
      </c>
      <c r="S349" s="277"/>
      <c r="T349" s="277"/>
      <c r="U349" s="277"/>
      <c r="V349" s="278"/>
      <c r="W349" s="443" t="str">
        <f t="array" ref="W349">IFERROR(IFS(OR(U349="A1-Mewtwo", U349="A1-Pikachu", U349="A1-Charizard", U349="A1"), $B$5-XLOOKUP(S349, 'Genetic Apex'!$C$2:$C889, 'Genetic Apex'!$B$2:$B889), U349="A1a", $B$5-XLOOKUP(S349, 'Mythical Island'!$C$2:$C889, 'Mythical Island'!$B$2:$B889), OR(U349="A2-Dialga", U349="A2-Palkia", U349="A2"), $B$5-XLOOKUP(S349, 'Space-Time Smackdown'!$C$2:$C889, 'Space-Time Smackdown'!$B$2:$B889)))</f>
        <v/>
      </c>
      <c r="X349" s="444" t="str">
        <f t="shared" si="3"/>
        <v/>
      </c>
      <c r="Y349" s="445" t="str">
        <f t="shared" si="4"/>
        <v/>
      </c>
      <c r="Z349" s="278"/>
      <c r="AA349" s="466"/>
      <c r="AB349" s="278"/>
      <c r="AC349" s="278"/>
      <c r="AD349" s="278"/>
      <c r="AE349" s="278"/>
      <c r="AF349" s="278"/>
      <c r="AG349" s="278" t="b">
        <f t="shared" si="5"/>
        <v>0</v>
      </c>
      <c r="AH349" s="454"/>
      <c r="AI349" s="278"/>
      <c r="AJ349" s="278"/>
      <c r="AK349" s="278"/>
      <c r="AL349" s="444" t="str">
        <f t="array" ref="AL349">IFERROR(IFS(OR(AJ349="A1-Mewtwo", AJ349="A1-Pikachu", AJ349="A1-Charizard", AJ349="A1"), XLOOKUP(AH349, 'Genetic Apex'!$C$2:$C889, 'Genetic Apex'!$B$2:$B889)-2, AJ349="A1a", XLOOKUP(AH349, 'Mythical Island'!$C$2:$C889, 'Mythical Island'!$B$2:$B889)-2, OR(AJ349="A2-Dialga", AJ349="A2-Palkia", AJ349="A2"), XLOOKUP(AH349, 'Space-Time Smackdown'!$C$2:$C889, 'Space-Time Smackdown'!$B$2:$B889)-2))</f>
        <v/>
      </c>
      <c r="AM349" s="444" t="str">
        <f t="shared" si="6"/>
        <v/>
      </c>
      <c r="AN349" s="448" t="str">
        <f t="shared" si="7"/>
        <v/>
      </c>
    </row>
    <row r="350">
      <c r="A350" s="277"/>
      <c r="B350" s="277"/>
      <c r="C350" s="441"/>
      <c r="D350" s="277"/>
      <c r="E350" s="277"/>
      <c r="F350" s="277"/>
      <c r="G350" s="277"/>
      <c r="H350" s="277" t="b">
        <f t="shared" si="1"/>
        <v>0</v>
      </c>
      <c r="I350" s="277" t="str">
        <f>IFERROR(__xludf.DUMMYFUNCTION("""COMPUTED_VALUE"""),"A1a 060")</f>
        <v>A1a 060</v>
      </c>
      <c r="J350" s="277" t="str">
        <f>IFERROR(__xludf.DUMMYFUNCTION("""COMPUTED_VALUE"""),"Tauros")</f>
        <v>Tauros</v>
      </c>
      <c r="K350" s="277" t="str">
        <f>IFERROR(__xludf.DUMMYFUNCTION("""COMPUTED_VALUE"""),"A1a")</f>
        <v>A1a</v>
      </c>
      <c r="L350" s="277" t="str">
        <f>IFERROR(__xludf.DUMMYFUNCTION("""COMPUTED_VALUE"""),"♢♢♢")</f>
        <v>♢♢♢</v>
      </c>
      <c r="M350" s="440" t="b">
        <f t="shared" si="2"/>
        <v>1</v>
      </c>
      <c r="N350" s="441"/>
      <c r="O350" s="277"/>
      <c r="P350" s="277"/>
      <c r="Q350" s="278"/>
      <c r="R350" s="449" t="str">
        <f t="array" ref="R350">IFERROR(IFS(OR(P350="A1-Mewtwo", P350="A1-Pikachu", P350="A1-Charizard", P350="A1"), XLOOKUP(N350, 'Genetic Apex'!$C$2:$C889, 'Genetic Apex'!$B$2:$B889)-$B$4, P350="A1a", XLOOKUP(N350, 'Mythical Island'!$C$2:$C889, 'Mythical Island'!$B$2:$B889)-$B$4, OR(P350="A2-Dialga", P350="A2-Palkia", P350="A2"), XLOOKUP(N350, 'Space-Time Smackdown'!$C$2:$C889, 'Space-Time Smackdown'!$B$2:$B889)-$B$4))</f>
        <v/>
      </c>
      <c r="S350" s="277"/>
      <c r="T350" s="277"/>
      <c r="U350" s="277"/>
      <c r="V350" s="278"/>
      <c r="W350" s="443" t="str">
        <f t="array" ref="W350">IFERROR(IFS(OR(U350="A1-Mewtwo", U350="A1-Pikachu", U350="A1-Charizard", U350="A1"), $B$5-XLOOKUP(S350, 'Genetic Apex'!$C$2:$C889, 'Genetic Apex'!$B$2:$B889), U350="A1a", $B$5-XLOOKUP(S350, 'Mythical Island'!$C$2:$C889, 'Mythical Island'!$B$2:$B889), OR(U350="A2-Dialga", U350="A2-Palkia", U350="A2"), $B$5-XLOOKUP(S350, 'Space-Time Smackdown'!$C$2:$C889, 'Space-Time Smackdown'!$B$2:$B889)))</f>
        <v/>
      </c>
      <c r="X350" s="444" t="str">
        <f t="shared" si="3"/>
        <v/>
      </c>
      <c r="Y350" s="445" t="str">
        <f t="shared" si="4"/>
        <v/>
      </c>
      <c r="Z350" s="278"/>
      <c r="AA350" s="466"/>
      <c r="AB350" s="278"/>
      <c r="AC350" s="278"/>
      <c r="AD350" s="278"/>
      <c r="AE350" s="278"/>
      <c r="AF350" s="278"/>
      <c r="AG350" s="278" t="b">
        <f t="shared" si="5"/>
        <v>0</v>
      </c>
      <c r="AH350" s="454"/>
      <c r="AI350" s="278"/>
      <c r="AJ350" s="278"/>
      <c r="AK350" s="278"/>
      <c r="AL350" s="444" t="str">
        <f t="array" ref="AL350">IFERROR(IFS(OR(AJ350="A1-Mewtwo", AJ350="A1-Pikachu", AJ350="A1-Charizard", AJ350="A1"), XLOOKUP(AH350, 'Genetic Apex'!$C$2:$C889, 'Genetic Apex'!$B$2:$B889)-2, AJ350="A1a", XLOOKUP(AH350, 'Mythical Island'!$C$2:$C889, 'Mythical Island'!$B$2:$B889)-2, OR(AJ350="A2-Dialga", AJ350="A2-Palkia", AJ350="A2"), XLOOKUP(AH350, 'Space-Time Smackdown'!$C$2:$C889, 'Space-Time Smackdown'!$B$2:$B889)-2))</f>
        <v/>
      </c>
      <c r="AM350" s="444" t="str">
        <f t="shared" si="6"/>
        <v/>
      </c>
      <c r="AN350" s="448" t="str">
        <f t="shared" si="7"/>
        <v/>
      </c>
    </row>
    <row r="351">
      <c r="A351" s="277"/>
      <c r="B351" s="277"/>
      <c r="C351" s="441"/>
      <c r="D351" s="277"/>
      <c r="E351" s="277"/>
      <c r="F351" s="277"/>
      <c r="G351" s="277"/>
      <c r="H351" s="277" t="b">
        <f t="shared" si="1"/>
        <v>0</v>
      </c>
      <c r="I351" s="277" t="str">
        <f>IFERROR(__xludf.DUMMYFUNCTION("""COMPUTED_VALUE"""),"A1a 061")</f>
        <v>A1a 061</v>
      </c>
      <c r="J351" s="277" t="str">
        <f>IFERROR(__xludf.DUMMYFUNCTION("""COMPUTED_VALUE"""),"Eevee")</f>
        <v>Eevee</v>
      </c>
      <c r="K351" s="277" t="str">
        <f>IFERROR(__xludf.DUMMYFUNCTION("""COMPUTED_VALUE"""),"A1a")</f>
        <v>A1a</v>
      </c>
      <c r="L351" s="277" t="str">
        <f>IFERROR(__xludf.DUMMYFUNCTION("""COMPUTED_VALUE"""),"♢")</f>
        <v>♢</v>
      </c>
      <c r="M351" s="440" t="b">
        <f t="shared" si="2"/>
        <v>1</v>
      </c>
      <c r="N351" s="441"/>
      <c r="O351" s="277"/>
      <c r="P351" s="277"/>
      <c r="Q351" s="278"/>
      <c r="R351" s="449" t="str">
        <f t="array" ref="R351">IFERROR(IFS(OR(P351="A1-Mewtwo", P351="A1-Pikachu", P351="A1-Charizard", P351="A1"), XLOOKUP(N351, 'Genetic Apex'!$C$2:$C889, 'Genetic Apex'!$B$2:$B889)-$B$4, P351="A1a", XLOOKUP(N351, 'Mythical Island'!$C$2:$C889, 'Mythical Island'!$B$2:$B889)-$B$4, OR(P351="A2-Dialga", P351="A2-Palkia", P351="A2"), XLOOKUP(N351, 'Space-Time Smackdown'!$C$2:$C889, 'Space-Time Smackdown'!$B$2:$B889)-$B$4))</f>
        <v/>
      </c>
      <c r="S351" s="277"/>
      <c r="T351" s="277"/>
      <c r="U351" s="277"/>
      <c r="V351" s="278"/>
      <c r="W351" s="443" t="str">
        <f t="array" ref="W351">IFERROR(IFS(OR(U351="A1-Mewtwo", U351="A1-Pikachu", U351="A1-Charizard", U351="A1"), $B$5-XLOOKUP(S351, 'Genetic Apex'!$C$2:$C889, 'Genetic Apex'!$B$2:$B889), U351="A1a", $B$5-XLOOKUP(S351, 'Mythical Island'!$C$2:$C889, 'Mythical Island'!$B$2:$B889), OR(U351="A2-Dialga", U351="A2-Palkia", U351="A2"), $B$5-XLOOKUP(S351, 'Space-Time Smackdown'!$C$2:$C889, 'Space-Time Smackdown'!$B$2:$B889)))</f>
        <v/>
      </c>
      <c r="X351" s="444" t="str">
        <f t="shared" si="3"/>
        <v/>
      </c>
      <c r="Y351" s="445" t="str">
        <f t="shared" si="4"/>
        <v/>
      </c>
      <c r="Z351" s="278"/>
      <c r="AA351" s="466"/>
      <c r="AB351" s="278"/>
      <c r="AC351" s="278"/>
      <c r="AD351" s="278"/>
      <c r="AE351" s="278"/>
      <c r="AF351" s="278"/>
      <c r="AG351" s="278" t="b">
        <f t="shared" si="5"/>
        <v>0</v>
      </c>
      <c r="AH351" s="454"/>
      <c r="AI351" s="278"/>
      <c r="AJ351" s="278"/>
      <c r="AK351" s="278"/>
      <c r="AL351" s="444" t="str">
        <f t="array" ref="AL351">IFERROR(IFS(OR(AJ351="A1-Mewtwo", AJ351="A1-Pikachu", AJ351="A1-Charizard", AJ351="A1"), XLOOKUP(AH351, 'Genetic Apex'!$C$2:$C889, 'Genetic Apex'!$B$2:$B889)-2, AJ351="A1a", XLOOKUP(AH351, 'Mythical Island'!$C$2:$C889, 'Mythical Island'!$B$2:$B889)-2, OR(AJ351="A2-Dialga", AJ351="A2-Palkia", AJ351="A2"), XLOOKUP(AH351, 'Space-Time Smackdown'!$C$2:$C889, 'Space-Time Smackdown'!$B$2:$B889)-2))</f>
        <v/>
      </c>
      <c r="AM351" s="444" t="str">
        <f t="shared" si="6"/>
        <v/>
      </c>
      <c r="AN351" s="448" t="str">
        <f t="shared" si="7"/>
        <v/>
      </c>
    </row>
    <row r="352">
      <c r="A352" s="277"/>
      <c r="B352" s="277"/>
      <c r="C352" s="441"/>
      <c r="D352" s="277"/>
      <c r="E352" s="277"/>
      <c r="F352" s="277"/>
      <c r="G352" s="277"/>
      <c r="H352" s="277" t="b">
        <f t="shared" si="1"/>
        <v>0</v>
      </c>
      <c r="I352" s="277" t="str">
        <f>IFERROR(__xludf.DUMMYFUNCTION("""COMPUTED_VALUE"""),"A1a 062")</f>
        <v>A1a 062</v>
      </c>
      <c r="J352" s="277" t="str">
        <f>IFERROR(__xludf.DUMMYFUNCTION("""COMPUTED_VALUE"""),"Chatot")</f>
        <v>Chatot</v>
      </c>
      <c r="K352" s="277" t="str">
        <f>IFERROR(__xludf.DUMMYFUNCTION("""COMPUTED_VALUE"""),"A1a")</f>
        <v>A1a</v>
      </c>
      <c r="L352" s="277" t="str">
        <f>IFERROR(__xludf.DUMMYFUNCTION("""COMPUTED_VALUE"""),"♢")</f>
        <v>♢</v>
      </c>
      <c r="M352" s="440" t="b">
        <f t="shared" si="2"/>
        <v>1</v>
      </c>
      <c r="N352" s="441"/>
      <c r="O352" s="277"/>
      <c r="P352" s="277"/>
      <c r="Q352" s="278"/>
      <c r="R352" s="449" t="str">
        <f t="array" ref="R352">IFERROR(IFS(OR(P352="A1-Mewtwo", P352="A1-Pikachu", P352="A1-Charizard", P352="A1"), XLOOKUP(N352, 'Genetic Apex'!$C$2:$C889, 'Genetic Apex'!$B$2:$B889)-$B$4, P352="A1a", XLOOKUP(N352, 'Mythical Island'!$C$2:$C889, 'Mythical Island'!$B$2:$B889)-$B$4, OR(P352="A2-Dialga", P352="A2-Palkia", P352="A2"), XLOOKUP(N352, 'Space-Time Smackdown'!$C$2:$C889, 'Space-Time Smackdown'!$B$2:$B889)-$B$4))</f>
        <v/>
      </c>
      <c r="S352" s="277"/>
      <c r="T352" s="277"/>
      <c r="U352" s="277"/>
      <c r="V352" s="278"/>
      <c r="W352" s="443" t="str">
        <f t="array" ref="W352">IFERROR(IFS(OR(U352="A1-Mewtwo", U352="A1-Pikachu", U352="A1-Charizard", U352="A1"), $B$5-XLOOKUP(S352, 'Genetic Apex'!$C$2:$C889, 'Genetic Apex'!$B$2:$B889), U352="A1a", $B$5-XLOOKUP(S352, 'Mythical Island'!$C$2:$C889, 'Mythical Island'!$B$2:$B889), OR(U352="A2-Dialga", U352="A2-Palkia", U352="A2"), $B$5-XLOOKUP(S352, 'Space-Time Smackdown'!$C$2:$C889, 'Space-Time Smackdown'!$B$2:$B889)))</f>
        <v/>
      </c>
      <c r="X352" s="444" t="str">
        <f t="shared" si="3"/>
        <v/>
      </c>
      <c r="Y352" s="445" t="str">
        <f t="shared" si="4"/>
        <v/>
      </c>
      <c r="Z352" s="278"/>
      <c r="AA352" s="466"/>
      <c r="AB352" s="278"/>
      <c r="AC352" s="278"/>
      <c r="AD352" s="278"/>
      <c r="AE352" s="278"/>
      <c r="AF352" s="278"/>
      <c r="AG352" s="278" t="b">
        <f t="shared" si="5"/>
        <v>0</v>
      </c>
      <c r="AH352" s="454"/>
      <c r="AI352" s="278"/>
      <c r="AJ352" s="278"/>
      <c r="AK352" s="278"/>
      <c r="AL352" s="444" t="str">
        <f t="array" ref="AL352">IFERROR(IFS(OR(AJ352="A1-Mewtwo", AJ352="A1-Pikachu", AJ352="A1-Charizard", AJ352="A1"), XLOOKUP(AH352, 'Genetic Apex'!$C$2:$C889, 'Genetic Apex'!$B$2:$B889)-2, AJ352="A1a", XLOOKUP(AH352, 'Mythical Island'!$C$2:$C889, 'Mythical Island'!$B$2:$B889)-2, OR(AJ352="A2-Dialga", AJ352="A2-Palkia", AJ352="A2"), XLOOKUP(AH352, 'Space-Time Smackdown'!$C$2:$C889, 'Space-Time Smackdown'!$B$2:$B889)-2))</f>
        <v/>
      </c>
      <c r="AM352" s="444" t="str">
        <f t="shared" si="6"/>
        <v/>
      </c>
      <c r="AN352" s="448" t="str">
        <f t="shared" si="7"/>
        <v/>
      </c>
    </row>
    <row r="353">
      <c r="A353" s="277"/>
      <c r="B353" s="277"/>
      <c r="C353" s="441"/>
      <c r="D353" s="277"/>
      <c r="E353" s="277"/>
      <c r="F353" s="277"/>
      <c r="G353" s="277"/>
      <c r="H353" s="277" t="b">
        <f t="shared" si="1"/>
        <v>0</v>
      </c>
      <c r="I353" s="277" t="str">
        <f>IFERROR(__xludf.DUMMYFUNCTION("""COMPUTED_VALUE"""),"A1a 063")</f>
        <v>A1a 063</v>
      </c>
      <c r="J353" s="277" t="str">
        <f>IFERROR(__xludf.DUMMYFUNCTION("""COMPUTED_VALUE"""),"Old Amber")</f>
        <v>Old Amber</v>
      </c>
      <c r="K353" s="277" t="str">
        <f>IFERROR(__xludf.DUMMYFUNCTION("""COMPUTED_VALUE"""),"A1a")</f>
        <v>A1a</v>
      </c>
      <c r="L353" s="277" t="str">
        <f>IFERROR(__xludf.DUMMYFUNCTION("""COMPUTED_VALUE"""),"♢")</f>
        <v>♢</v>
      </c>
      <c r="M353" s="440" t="b">
        <f t="shared" si="2"/>
        <v>1</v>
      </c>
      <c r="N353" s="441"/>
      <c r="O353" s="277"/>
      <c r="P353" s="277"/>
      <c r="Q353" s="278"/>
      <c r="R353" s="449" t="str">
        <f t="array" ref="R353">IFERROR(IFS(OR(P353="A1-Mewtwo", P353="A1-Pikachu", P353="A1-Charizard", P353="A1"), XLOOKUP(N353, 'Genetic Apex'!$C$2:$C889, 'Genetic Apex'!$B$2:$B889)-$B$4, P353="A1a", XLOOKUP(N353, 'Mythical Island'!$C$2:$C889, 'Mythical Island'!$B$2:$B889)-$B$4, OR(P353="A2-Dialga", P353="A2-Palkia", P353="A2"), XLOOKUP(N353, 'Space-Time Smackdown'!$C$2:$C889, 'Space-Time Smackdown'!$B$2:$B889)-$B$4))</f>
        <v/>
      </c>
      <c r="S353" s="277"/>
      <c r="T353" s="277"/>
      <c r="U353" s="277"/>
      <c r="V353" s="278"/>
      <c r="W353" s="443" t="str">
        <f t="array" ref="W353">IFERROR(IFS(OR(U353="A1-Mewtwo", U353="A1-Pikachu", U353="A1-Charizard", U353="A1"), $B$5-XLOOKUP(S353, 'Genetic Apex'!$C$2:$C889, 'Genetic Apex'!$B$2:$B889), U353="A1a", $B$5-XLOOKUP(S353, 'Mythical Island'!$C$2:$C889, 'Mythical Island'!$B$2:$B889), OR(U353="A2-Dialga", U353="A2-Palkia", U353="A2"), $B$5-XLOOKUP(S353, 'Space-Time Smackdown'!$C$2:$C889, 'Space-Time Smackdown'!$B$2:$B889)))</f>
        <v/>
      </c>
      <c r="X353" s="444" t="str">
        <f t="shared" si="3"/>
        <v/>
      </c>
      <c r="Y353" s="445" t="str">
        <f t="shared" si="4"/>
        <v/>
      </c>
      <c r="Z353" s="278"/>
      <c r="AA353" s="466"/>
      <c r="AB353" s="278"/>
      <c r="AC353" s="278"/>
      <c r="AD353" s="278"/>
      <c r="AE353" s="278"/>
      <c r="AF353" s="278"/>
      <c r="AG353" s="278" t="b">
        <f t="shared" si="5"/>
        <v>0</v>
      </c>
      <c r="AH353" s="454"/>
      <c r="AI353" s="278"/>
      <c r="AJ353" s="278"/>
      <c r="AK353" s="278"/>
      <c r="AL353" s="444" t="str">
        <f t="array" ref="AL353">IFERROR(IFS(OR(AJ353="A1-Mewtwo", AJ353="A1-Pikachu", AJ353="A1-Charizard", AJ353="A1"), XLOOKUP(AH353, 'Genetic Apex'!$C$2:$C889, 'Genetic Apex'!$B$2:$B889)-2, AJ353="A1a", XLOOKUP(AH353, 'Mythical Island'!$C$2:$C889, 'Mythical Island'!$B$2:$B889)-2, OR(AJ353="A2-Dialga", AJ353="A2-Palkia", AJ353="A2"), XLOOKUP(AH353, 'Space-Time Smackdown'!$C$2:$C889, 'Space-Time Smackdown'!$B$2:$B889)-2))</f>
        <v/>
      </c>
      <c r="AM353" s="444" t="str">
        <f t="shared" si="6"/>
        <v/>
      </c>
      <c r="AN353" s="448" t="str">
        <f t="shared" si="7"/>
        <v/>
      </c>
    </row>
    <row r="354">
      <c r="A354" s="277"/>
      <c r="B354" s="277"/>
      <c r="C354" s="441"/>
      <c r="D354" s="277"/>
      <c r="E354" s="277"/>
      <c r="F354" s="277"/>
      <c r="G354" s="277"/>
      <c r="H354" s="277" t="b">
        <f t="shared" si="1"/>
        <v>0</v>
      </c>
      <c r="I354" s="277" t="str">
        <f>IFERROR(__xludf.DUMMYFUNCTION("""COMPUTED_VALUE"""),"A1a 064")</f>
        <v>A1a 064</v>
      </c>
      <c r="J354" s="277" t="str">
        <f>IFERROR(__xludf.DUMMYFUNCTION("""COMPUTED_VALUE"""),"Pokemon Flute")</f>
        <v>Pokemon Flute</v>
      </c>
      <c r="K354" s="277" t="str">
        <f>IFERROR(__xludf.DUMMYFUNCTION("""COMPUTED_VALUE"""),"A1a")</f>
        <v>A1a</v>
      </c>
      <c r="L354" s="277" t="str">
        <f>IFERROR(__xludf.DUMMYFUNCTION("""COMPUTED_VALUE"""),"♢♢")</f>
        <v>♢♢</v>
      </c>
      <c r="M354" s="440" t="b">
        <f t="shared" si="2"/>
        <v>1</v>
      </c>
      <c r="N354" s="441"/>
      <c r="O354" s="277"/>
      <c r="P354" s="277"/>
      <c r="Q354" s="278"/>
      <c r="R354" s="449" t="str">
        <f t="array" ref="R354">IFERROR(IFS(OR(P354="A1-Mewtwo", P354="A1-Pikachu", P354="A1-Charizard", P354="A1"), XLOOKUP(N354, 'Genetic Apex'!$C$2:$C889, 'Genetic Apex'!$B$2:$B889)-$B$4, P354="A1a", XLOOKUP(N354, 'Mythical Island'!$C$2:$C889, 'Mythical Island'!$B$2:$B889)-$B$4, OR(P354="A2-Dialga", P354="A2-Palkia", P354="A2"), XLOOKUP(N354, 'Space-Time Smackdown'!$C$2:$C889, 'Space-Time Smackdown'!$B$2:$B889)-$B$4))</f>
        <v/>
      </c>
      <c r="S354" s="277"/>
      <c r="T354" s="277"/>
      <c r="U354" s="277"/>
      <c r="V354" s="278"/>
      <c r="W354" s="443" t="str">
        <f t="array" ref="W354">IFERROR(IFS(OR(U354="A1-Mewtwo", U354="A1-Pikachu", U354="A1-Charizard", U354="A1"), $B$5-XLOOKUP(S354, 'Genetic Apex'!$C$2:$C889, 'Genetic Apex'!$B$2:$B889), U354="A1a", $B$5-XLOOKUP(S354, 'Mythical Island'!$C$2:$C889, 'Mythical Island'!$B$2:$B889), OR(U354="A2-Dialga", U354="A2-Palkia", U354="A2"), $B$5-XLOOKUP(S354, 'Space-Time Smackdown'!$C$2:$C889, 'Space-Time Smackdown'!$B$2:$B889)))</f>
        <v/>
      </c>
      <c r="X354" s="444" t="str">
        <f t="shared" si="3"/>
        <v/>
      </c>
      <c r="Y354" s="445" t="str">
        <f t="shared" si="4"/>
        <v/>
      </c>
      <c r="Z354" s="278"/>
      <c r="AA354" s="466"/>
      <c r="AB354" s="278"/>
      <c r="AC354" s="278"/>
      <c r="AD354" s="278"/>
      <c r="AE354" s="278"/>
      <c r="AF354" s="278"/>
      <c r="AG354" s="278" t="b">
        <f t="shared" si="5"/>
        <v>0</v>
      </c>
      <c r="AH354" s="454"/>
      <c r="AI354" s="278"/>
      <c r="AJ354" s="278"/>
      <c r="AK354" s="278"/>
      <c r="AL354" s="444" t="str">
        <f t="array" ref="AL354">IFERROR(IFS(OR(AJ354="A1-Mewtwo", AJ354="A1-Pikachu", AJ354="A1-Charizard", AJ354="A1"), XLOOKUP(AH354, 'Genetic Apex'!$C$2:$C889, 'Genetic Apex'!$B$2:$B889)-2, AJ354="A1a", XLOOKUP(AH354, 'Mythical Island'!$C$2:$C889, 'Mythical Island'!$B$2:$B889)-2, OR(AJ354="A2-Dialga", AJ354="A2-Palkia", AJ354="A2"), XLOOKUP(AH354, 'Space-Time Smackdown'!$C$2:$C889, 'Space-Time Smackdown'!$B$2:$B889)-2))</f>
        <v/>
      </c>
      <c r="AM354" s="444" t="str">
        <f t="shared" si="6"/>
        <v/>
      </c>
      <c r="AN354" s="448" t="str">
        <f t="shared" si="7"/>
        <v/>
      </c>
    </row>
    <row r="355">
      <c r="A355" s="277"/>
      <c r="B355" s="277"/>
      <c r="C355" s="441"/>
      <c r="D355" s="277"/>
      <c r="E355" s="277"/>
      <c r="F355" s="277"/>
      <c r="G355" s="277"/>
      <c r="H355" s="277" t="b">
        <f t="shared" si="1"/>
        <v>0</v>
      </c>
      <c r="I355" s="277" t="str">
        <f>IFERROR(__xludf.DUMMYFUNCTION("""COMPUTED_VALUE"""),"A1a 065")</f>
        <v>A1a 065</v>
      </c>
      <c r="J355" s="277" t="str">
        <f>IFERROR(__xludf.DUMMYFUNCTION("""COMPUTED_VALUE"""),"Mythical Slab")</f>
        <v>Mythical Slab</v>
      </c>
      <c r="K355" s="277" t="str">
        <f>IFERROR(__xludf.DUMMYFUNCTION("""COMPUTED_VALUE"""),"A1a")</f>
        <v>A1a</v>
      </c>
      <c r="L355" s="277" t="str">
        <f>IFERROR(__xludf.DUMMYFUNCTION("""COMPUTED_VALUE"""),"♢♢")</f>
        <v>♢♢</v>
      </c>
      <c r="M355" s="440" t="b">
        <f t="shared" si="2"/>
        <v>1</v>
      </c>
      <c r="N355" s="441"/>
      <c r="O355" s="277"/>
      <c r="P355" s="277"/>
      <c r="Q355" s="278"/>
      <c r="R355" s="449" t="str">
        <f t="array" ref="R355">IFERROR(IFS(OR(P355="A1-Mewtwo", P355="A1-Pikachu", P355="A1-Charizard", P355="A1"), XLOOKUP(N355, 'Genetic Apex'!$C$2:$C889, 'Genetic Apex'!$B$2:$B889)-$B$4, P355="A1a", XLOOKUP(N355, 'Mythical Island'!$C$2:$C889, 'Mythical Island'!$B$2:$B889)-$B$4, OR(P355="A2-Dialga", P355="A2-Palkia", P355="A2"), XLOOKUP(N355, 'Space-Time Smackdown'!$C$2:$C889, 'Space-Time Smackdown'!$B$2:$B889)-$B$4))</f>
        <v/>
      </c>
      <c r="S355" s="277"/>
      <c r="T355" s="277"/>
      <c r="U355" s="277"/>
      <c r="V355" s="278"/>
      <c r="W355" s="443" t="str">
        <f t="array" ref="W355">IFERROR(IFS(OR(U355="A1-Mewtwo", U355="A1-Pikachu", U355="A1-Charizard", U355="A1"), $B$5-XLOOKUP(S355, 'Genetic Apex'!$C$2:$C889, 'Genetic Apex'!$B$2:$B889), U355="A1a", $B$5-XLOOKUP(S355, 'Mythical Island'!$C$2:$C889, 'Mythical Island'!$B$2:$B889), OR(U355="A2-Dialga", U355="A2-Palkia", U355="A2"), $B$5-XLOOKUP(S355, 'Space-Time Smackdown'!$C$2:$C889, 'Space-Time Smackdown'!$B$2:$B889)))</f>
        <v/>
      </c>
      <c r="X355" s="444" t="str">
        <f t="shared" si="3"/>
        <v/>
      </c>
      <c r="Y355" s="445" t="str">
        <f t="shared" si="4"/>
        <v/>
      </c>
      <c r="Z355" s="278"/>
      <c r="AA355" s="466"/>
      <c r="AB355" s="278"/>
      <c r="AC355" s="278"/>
      <c r="AD355" s="278"/>
      <c r="AE355" s="278"/>
      <c r="AF355" s="278"/>
      <c r="AG355" s="278" t="b">
        <f t="shared" si="5"/>
        <v>0</v>
      </c>
      <c r="AH355" s="454"/>
      <c r="AI355" s="278"/>
      <c r="AJ355" s="278"/>
      <c r="AK355" s="278"/>
      <c r="AL355" s="444" t="str">
        <f t="array" ref="AL355">IFERROR(IFS(OR(AJ355="A1-Mewtwo", AJ355="A1-Pikachu", AJ355="A1-Charizard", AJ355="A1"), XLOOKUP(AH355, 'Genetic Apex'!$C$2:$C889, 'Genetic Apex'!$B$2:$B889)-2, AJ355="A1a", XLOOKUP(AH355, 'Mythical Island'!$C$2:$C889, 'Mythical Island'!$B$2:$B889)-2, OR(AJ355="A2-Dialga", AJ355="A2-Palkia", AJ355="A2"), XLOOKUP(AH355, 'Space-Time Smackdown'!$C$2:$C889, 'Space-Time Smackdown'!$B$2:$B889)-2))</f>
        <v/>
      </c>
      <c r="AM355" s="444" t="str">
        <f t="shared" si="6"/>
        <v/>
      </c>
      <c r="AN355" s="448" t="str">
        <f t="shared" si="7"/>
        <v/>
      </c>
    </row>
    <row r="356">
      <c r="A356" s="277"/>
      <c r="B356" s="277"/>
      <c r="C356" s="441"/>
      <c r="D356" s="277"/>
      <c r="E356" s="277"/>
      <c r="F356" s="277"/>
      <c r="G356" s="277"/>
      <c r="H356" s="277" t="b">
        <f t="shared" si="1"/>
        <v>0</v>
      </c>
      <c r="I356" s="277" t="str">
        <f>IFERROR(__xludf.DUMMYFUNCTION("""COMPUTED_VALUE"""),"A1a 066")</f>
        <v>A1a 066</v>
      </c>
      <c r="J356" s="277" t="str">
        <f>IFERROR(__xludf.DUMMYFUNCTION("""COMPUTED_VALUE"""),"Budding Expeditioner")</f>
        <v>Budding Expeditioner</v>
      </c>
      <c r="K356" s="277" t="str">
        <f>IFERROR(__xludf.DUMMYFUNCTION("""COMPUTED_VALUE"""),"A1a")</f>
        <v>A1a</v>
      </c>
      <c r="L356" s="277" t="str">
        <f>IFERROR(__xludf.DUMMYFUNCTION("""COMPUTED_VALUE"""),"♢♢")</f>
        <v>♢♢</v>
      </c>
      <c r="M356" s="440" t="b">
        <f t="shared" si="2"/>
        <v>1</v>
      </c>
      <c r="N356" s="441"/>
      <c r="O356" s="277"/>
      <c r="P356" s="277"/>
      <c r="Q356" s="278"/>
      <c r="R356" s="449" t="str">
        <f t="array" ref="R356">IFERROR(IFS(OR(P356="A1-Mewtwo", P356="A1-Pikachu", P356="A1-Charizard", P356="A1"), XLOOKUP(N356, 'Genetic Apex'!$C$2:$C889, 'Genetic Apex'!$B$2:$B889)-$B$4, P356="A1a", XLOOKUP(N356, 'Mythical Island'!$C$2:$C889, 'Mythical Island'!$B$2:$B889)-$B$4, OR(P356="A2-Dialga", P356="A2-Palkia", P356="A2"), XLOOKUP(N356, 'Space-Time Smackdown'!$C$2:$C889, 'Space-Time Smackdown'!$B$2:$B889)-$B$4))</f>
        <v/>
      </c>
      <c r="S356" s="277"/>
      <c r="T356" s="277"/>
      <c r="U356" s="277"/>
      <c r="V356" s="278"/>
      <c r="W356" s="443" t="str">
        <f t="array" ref="W356">IFERROR(IFS(OR(U356="A1-Mewtwo", U356="A1-Pikachu", U356="A1-Charizard", U356="A1"), $B$5-XLOOKUP(S356, 'Genetic Apex'!$C$2:$C889, 'Genetic Apex'!$B$2:$B889), U356="A1a", $B$5-XLOOKUP(S356, 'Mythical Island'!$C$2:$C889, 'Mythical Island'!$B$2:$B889), OR(U356="A2-Dialga", U356="A2-Palkia", U356="A2"), $B$5-XLOOKUP(S356, 'Space-Time Smackdown'!$C$2:$C889, 'Space-Time Smackdown'!$B$2:$B889)))</f>
        <v/>
      </c>
      <c r="X356" s="444" t="str">
        <f t="shared" si="3"/>
        <v/>
      </c>
      <c r="Y356" s="445" t="str">
        <f t="shared" si="4"/>
        <v/>
      </c>
      <c r="Z356" s="278"/>
      <c r="AA356" s="466"/>
      <c r="AB356" s="278"/>
      <c r="AC356" s="278"/>
      <c r="AD356" s="278"/>
      <c r="AE356" s="278"/>
      <c r="AF356" s="278"/>
      <c r="AG356" s="278" t="b">
        <f t="shared" si="5"/>
        <v>0</v>
      </c>
      <c r="AH356" s="454"/>
      <c r="AI356" s="278"/>
      <c r="AJ356" s="278"/>
      <c r="AK356" s="278"/>
      <c r="AL356" s="444" t="str">
        <f t="array" ref="AL356">IFERROR(IFS(OR(AJ356="A1-Mewtwo", AJ356="A1-Pikachu", AJ356="A1-Charizard", AJ356="A1"), XLOOKUP(AH356, 'Genetic Apex'!$C$2:$C889, 'Genetic Apex'!$B$2:$B889)-2, AJ356="A1a", XLOOKUP(AH356, 'Mythical Island'!$C$2:$C889, 'Mythical Island'!$B$2:$B889)-2, OR(AJ356="A2-Dialga", AJ356="A2-Palkia", AJ356="A2"), XLOOKUP(AH356, 'Space-Time Smackdown'!$C$2:$C889, 'Space-Time Smackdown'!$B$2:$B889)-2))</f>
        <v/>
      </c>
      <c r="AM356" s="444" t="str">
        <f t="shared" si="6"/>
        <v/>
      </c>
      <c r="AN356" s="448" t="str">
        <f t="shared" si="7"/>
        <v/>
      </c>
    </row>
    <row r="357">
      <c r="A357" s="277"/>
      <c r="B357" s="277"/>
      <c r="C357" s="441"/>
      <c r="D357" s="277"/>
      <c r="E357" s="277"/>
      <c r="F357" s="277"/>
      <c r="G357" s="277"/>
      <c r="H357" s="277" t="b">
        <f t="shared" si="1"/>
        <v>0</v>
      </c>
      <c r="I357" s="277" t="str">
        <f>IFERROR(__xludf.DUMMYFUNCTION("""COMPUTED_VALUE"""),"A1a 067")</f>
        <v>A1a 067</v>
      </c>
      <c r="J357" s="277" t="str">
        <f>IFERROR(__xludf.DUMMYFUNCTION("""COMPUTED_VALUE"""),"Blue")</f>
        <v>Blue</v>
      </c>
      <c r="K357" s="277" t="str">
        <f>IFERROR(__xludf.DUMMYFUNCTION("""COMPUTED_VALUE"""),"A1a")</f>
        <v>A1a</v>
      </c>
      <c r="L357" s="277" t="str">
        <f>IFERROR(__xludf.DUMMYFUNCTION("""COMPUTED_VALUE"""),"♢♢")</f>
        <v>♢♢</v>
      </c>
      <c r="M357" s="440" t="b">
        <f t="shared" si="2"/>
        <v>1</v>
      </c>
      <c r="N357" s="441"/>
      <c r="O357" s="277"/>
      <c r="P357" s="277"/>
      <c r="Q357" s="278"/>
      <c r="R357" s="449" t="str">
        <f t="array" ref="R357">IFERROR(IFS(OR(P357="A1-Mewtwo", P357="A1-Pikachu", P357="A1-Charizard", P357="A1"), XLOOKUP(N357, 'Genetic Apex'!$C$2:$C889, 'Genetic Apex'!$B$2:$B889)-$B$4, P357="A1a", XLOOKUP(N357, 'Mythical Island'!$C$2:$C889, 'Mythical Island'!$B$2:$B889)-$B$4, OR(P357="A2-Dialga", P357="A2-Palkia", P357="A2"), XLOOKUP(N357, 'Space-Time Smackdown'!$C$2:$C889, 'Space-Time Smackdown'!$B$2:$B889)-$B$4))</f>
        <v/>
      </c>
      <c r="S357" s="277"/>
      <c r="T357" s="277"/>
      <c r="U357" s="277"/>
      <c r="V357" s="278"/>
      <c r="W357" s="443" t="str">
        <f t="array" ref="W357">IFERROR(IFS(OR(U357="A1-Mewtwo", U357="A1-Pikachu", U357="A1-Charizard", U357="A1"), $B$5-XLOOKUP(S357, 'Genetic Apex'!$C$2:$C889, 'Genetic Apex'!$B$2:$B889), U357="A1a", $B$5-XLOOKUP(S357, 'Mythical Island'!$C$2:$C889, 'Mythical Island'!$B$2:$B889), OR(U357="A2-Dialga", U357="A2-Palkia", U357="A2"), $B$5-XLOOKUP(S357, 'Space-Time Smackdown'!$C$2:$C889, 'Space-Time Smackdown'!$B$2:$B889)))</f>
        <v/>
      </c>
      <c r="X357" s="444" t="str">
        <f t="shared" si="3"/>
        <v/>
      </c>
      <c r="Y357" s="445" t="str">
        <f t="shared" si="4"/>
        <v/>
      </c>
      <c r="Z357" s="278"/>
      <c r="AA357" s="466"/>
      <c r="AB357" s="278"/>
      <c r="AC357" s="278"/>
      <c r="AD357" s="278"/>
      <c r="AE357" s="278"/>
      <c r="AF357" s="278"/>
      <c r="AG357" s="278" t="b">
        <f t="shared" si="5"/>
        <v>0</v>
      </c>
      <c r="AH357" s="454"/>
      <c r="AI357" s="278"/>
      <c r="AJ357" s="278"/>
      <c r="AK357" s="278"/>
      <c r="AL357" s="444" t="str">
        <f t="array" ref="AL357">IFERROR(IFS(OR(AJ357="A1-Mewtwo", AJ357="A1-Pikachu", AJ357="A1-Charizard", AJ357="A1"), XLOOKUP(AH357, 'Genetic Apex'!$C$2:$C889, 'Genetic Apex'!$B$2:$B889)-2, AJ357="A1a", XLOOKUP(AH357, 'Mythical Island'!$C$2:$C889, 'Mythical Island'!$B$2:$B889)-2, OR(AJ357="A2-Dialga", AJ357="A2-Palkia", AJ357="A2"), XLOOKUP(AH357, 'Space-Time Smackdown'!$C$2:$C889, 'Space-Time Smackdown'!$B$2:$B889)-2))</f>
        <v/>
      </c>
      <c r="AM357" s="444" t="str">
        <f t="shared" si="6"/>
        <v/>
      </c>
      <c r="AN357" s="448" t="str">
        <f t="shared" si="7"/>
        <v/>
      </c>
    </row>
    <row r="358">
      <c r="A358" s="277"/>
      <c r="B358" s="277"/>
      <c r="C358" s="441"/>
      <c r="D358" s="277"/>
      <c r="E358" s="277"/>
      <c r="F358" s="277"/>
      <c r="G358" s="277"/>
      <c r="H358" s="277" t="b">
        <f t="shared" si="1"/>
        <v>0</v>
      </c>
      <c r="I358" s="277" t="str">
        <f>IFERROR(__xludf.DUMMYFUNCTION("""COMPUTED_VALUE"""),"A1a 068")</f>
        <v>A1a 068</v>
      </c>
      <c r="J358" s="277" t="str">
        <f>IFERROR(__xludf.DUMMYFUNCTION("""COMPUTED_VALUE"""),"Leaf")</f>
        <v>Leaf</v>
      </c>
      <c r="K358" s="277" t="str">
        <f>IFERROR(__xludf.DUMMYFUNCTION("""COMPUTED_VALUE"""),"A1a")</f>
        <v>A1a</v>
      </c>
      <c r="L358" s="277" t="str">
        <f>IFERROR(__xludf.DUMMYFUNCTION("""COMPUTED_VALUE"""),"♢♢")</f>
        <v>♢♢</v>
      </c>
      <c r="M358" s="440" t="b">
        <f t="shared" si="2"/>
        <v>1</v>
      </c>
      <c r="N358" s="441"/>
      <c r="O358" s="277"/>
      <c r="P358" s="277"/>
      <c r="Q358" s="278"/>
      <c r="R358" s="449" t="str">
        <f t="array" ref="R358">IFERROR(IFS(OR(P358="A1-Mewtwo", P358="A1-Pikachu", P358="A1-Charizard", P358="A1"), XLOOKUP(N358, 'Genetic Apex'!$C$2:$C889, 'Genetic Apex'!$B$2:$B889)-$B$4, P358="A1a", XLOOKUP(N358, 'Mythical Island'!$C$2:$C889, 'Mythical Island'!$B$2:$B889)-$B$4, OR(P358="A2-Dialga", P358="A2-Palkia", P358="A2"), XLOOKUP(N358, 'Space-Time Smackdown'!$C$2:$C889, 'Space-Time Smackdown'!$B$2:$B889)-$B$4))</f>
        <v/>
      </c>
      <c r="S358" s="277"/>
      <c r="T358" s="277"/>
      <c r="U358" s="277"/>
      <c r="V358" s="278"/>
      <c r="W358" s="443" t="str">
        <f t="array" ref="W358">IFERROR(IFS(OR(U358="A1-Mewtwo", U358="A1-Pikachu", U358="A1-Charizard", U358="A1"), $B$5-XLOOKUP(S358, 'Genetic Apex'!$C$2:$C889, 'Genetic Apex'!$B$2:$B889), U358="A1a", $B$5-XLOOKUP(S358, 'Mythical Island'!$C$2:$C889, 'Mythical Island'!$B$2:$B889), OR(U358="A2-Dialga", U358="A2-Palkia", U358="A2"), $B$5-XLOOKUP(S358, 'Space-Time Smackdown'!$C$2:$C889, 'Space-Time Smackdown'!$B$2:$B889)))</f>
        <v/>
      </c>
      <c r="X358" s="444" t="str">
        <f t="shared" si="3"/>
        <v/>
      </c>
      <c r="Y358" s="445" t="str">
        <f t="shared" si="4"/>
        <v/>
      </c>
      <c r="Z358" s="278"/>
      <c r="AA358" s="466"/>
      <c r="AB358" s="278"/>
      <c r="AC358" s="278"/>
      <c r="AD358" s="278"/>
      <c r="AE358" s="278"/>
      <c r="AF358" s="278"/>
      <c r="AG358" s="278" t="b">
        <f t="shared" si="5"/>
        <v>0</v>
      </c>
      <c r="AH358" s="454"/>
      <c r="AI358" s="278"/>
      <c r="AJ358" s="278"/>
      <c r="AK358" s="278"/>
      <c r="AL358" s="444" t="str">
        <f t="array" ref="AL358">IFERROR(IFS(OR(AJ358="A1-Mewtwo", AJ358="A1-Pikachu", AJ358="A1-Charizard", AJ358="A1"), XLOOKUP(AH358, 'Genetic Apex'!$C$2:$C889, 'Genetic Apex'!$B$2:$B889)-2, AJ358="A1a", XLOOKUP(AH358, 'Mythical Island'!$C$2:$C889, 'Mythical Island'!$B$2:$B889)-2, OR(AJ358="A2-Dialga", AJ358="A2-Palkia", AJ358="A2"), XLOOKUP(AH358, 'Space-Time Smackdown'!$C$2:$C889, 'Space-Time Smackdown'!$B$2:$B889)-2))</f>
        <v/>
      </c>
      <c r="AM358" s="444" t="str">
        <f t="shared" si="6"/>
        <v/>
      </c>
      <c r="AN358" s="448" t="str">
        <f t="shared" si="7"/>
        <v/>
      </c>
    </row>
    <row r="359">
      <c r="A359" s="277"/>
      <c r="B359" s="277"/>
      <c r="C359" s="441"/>
      <c r="D359" s="277"/>
      <c r="E359" s="277"/>
      <c r="F359" s="277"/>
      <c r="G359" s="277"/>
      <c r="H359" s="277" t="b">
        <f t="shared" si="1"/>
        <v>0</v>
      </c>
      <c r="I359" s="277" t="str">
        <f>IFERROR(__xludf.DUMMYFUNCTION("""COMPUTED_VALUE"""),"A1a 069")</f>
        <v>A1a 069</v>
      </c>
      <c r="J359" s="277" t="str">
        <f>IFERROR(__xludf.DUMMYFUNCTION("""COMPUTED_VALUE"""),"Exeggutor")</f>
        <v>Exeggutor</v>
      </c>
      <c r="K359" s="277" t="str">
        <f>IFERROR(__xludf.DUMMYFUNCTION("""COMPUTED_VALUE"""),"A1a")</f>
        <v>A1a</v>
      </c>
      <c r="L359" s="277" t="str">
        <f>IFERROR(__xludf.DUMMYFUNCTION("""COMPUTED_VALUE"""),"☆")</f>
        <v>☆</v>
      </c>
      <c r="M359" s="440" t="b">
        <f t="shared" si="2"/>
        <v>1</v>
      </c>
      <c r="N359" s="441"/>
      <c r="O359" s="277"/>
      <c r="P359" s="277"/>
      <c r="Q359" s="278"/>
      <c r="R359" s="449" t="str">
        <f t="array" ref="R359">IFERROR(IFS(OR(P359="A1-Mewtwo", P359="A1-Pikachu", P359="A1-Charizard", P359="A1"), XLOOKUP(N359, 'Genetic Apex'!$C$2:$C889, 'Genetic Apex'!$B$2:$B889)-$B$4, P359="A1a", XLOOKUP(N359, 'Mythical Island'!$C$2:$C889, 'Mythical Island'!$B$2:$B889)-$B$4, OR(P359="A2-Dialga", P359="A2-Palkia", P359="A2"), XLOOKUP(N359, 'Space-Time Smackdown'!$C$2:$C889, 'Space-Time Smackdown'!$B$2:$B889)-$B$4))</f>
        <v/>
      </c>
      <c r="S359" s="277"/>
      <c r="T359" s="277"/>
      <c r="U359" s="277"/>
      <c r="V359" s="278"/>
      <c r="W359" s="443" t="str">
        <f t="array" ref="W359">IFERROR(IFS(OR(U359="A1-Mewtwo", U359="A1-Pikachu", U359="A1-Charizard", U359="A1"), $B$5-XLOOKUP(S359, 'Genetic Apex'!$C$2:$C889, 'Genetic Apex'!$B$2:$B889), U359="A1a", $B$5-XLOOKUP(S359, 'Mythical Island'!$C$2:$C889, 'Mythical Island'!$B$2:$B889), OR(U359="A2-Dialga", U359="A2-Palkia", U359="A2"), $B$5-XLOOKUP(S359, 'Space-Time Smackdown'!$C$2:$C889, 'Space-Time Smackdown'!$B$2:$B889)))</f>
        <v/>
      </c>
      <c r="X359" s="444" t="str">
        <f t="shared" si="3"/>
        <v/>
      </c>
      <c r="Y359" s="445" t="str">
        <f t="shared" si="4"/>
        <v/>
      </c>
      <c r="Z359" s="278"/>
      <c r="AA359" s="466"/>
      <c r="AB359" s="278"/>
      <c r="AC359" s="278"/>
      <c r="AD359" s="278"/>
      <c r="AE359" s="278"/>
      <c r="AF359" s="278"/>
      <c r="AG359" s="278" t="b">
        <f t="shared" si="5"/>
        <v>0</v>
      </c>
      <c r="AH359" s="454"/>
      <c r="AI359" s="278"/>
      <c r="AJ359" s="278"/>
      <c r="AK359" s="278"/>
      <c r="AL359" s="444" t="str">
        <f t="array" ref="AL359">IFERROR(IFS(OR(AJ359="A1-Mewtwo", AJ359="A1-Pikachu", AJ359="A1-Charizard", AJ359="A1"), XLOOKUP(AH359, 'Genetic Apex'!$C$2:$C889, 'Genetic Apex'!$B$2:$B889)-2, AJ359="A1a", XLOOKUP(AH359, 'Mythical Island'!$C$2:$C889, 'Mythical Island'!$B$2:$B889)-2, OR(AJ359="A2-Dialga", AJ359="A2-Palkia", AJ359="A2"), XLOOKUP(AH359, 'Space-Time Smackdown'!$C$2:$C889, 'Space-Time Smackdown'!$B$2:$B889)-2))</f>
        <v/>
      </c>
      <c r="AM359" s="444" t="str">
        <f t="shared" si="6"/>
        <v/>
      </c>
      <c r="AN359" s="448" t="str">
        <f t="shared" si="7"/>
        <v/>
      </c>
    </row>
    <row r="360">
      <c r="A360" s="277"/>
      <c r="B360" s="277"/>
      <c r="C360" s="441"/>
      <c r="D360" s="277"/>
      <c r="E360" s="277"/>
      <c r="F360" s="277"/>
      <c r="G360" s="277"/>
      <c r="H360" s="277" t="b">
        <f t="shared" si="1"/>
        <v>0</v>
      </c>
      <c r="I360" s="277" t="str">
        <f>IFERROR(__xludf.DUMMYFUNCTION("""COMPUTED_VALUE"""),"A1a 070")</f>
        <v>A1a 070</v>
      </c>
      <c r="J360" s="277" t="str">
        <f>IFERROR(__xludf.DUMMYFUNCTION("""COMPUTED_VALUE"""),"Serperior")</f>
        <v>Serperior</v>
      </c>
      <c r="K360" s="277" t="str">
        <f>IFERROR(__xludf.DUMMYFUNCTION("""COMPUTED_VALUE"""),"A1a")</f>
        <v>A1a</v>
      </c>
      <c r="L360" s="277" t="str">
        <f>IFERROR(__xludf.DUMMYFUNCTION("""COMPUTED_VALUE"""),"☆")</f>
        <v>☆</v>
      </c>
      <c r="M360" s="440" t="b">
        <f t="shared" si="2"/>
        <v>1</v>
      </c>
      <c r="N360" s="441"/>
      <c r="O360" s="277"/>
      <c r="P360" s="277"/>
      <c r="Q360" s="278"/>
      <c r="R360" s="449" t="str">
        <f t="array" ref="R360">IFERROR(IFS(OR(P360="A1-Mewtwo", P360="A1-Pikachu", P360="A1-Charizard", P360="A1"), XLOOKUP(N360, 'Genetic Apex'!$C$2:$C889, 'Genetic Apex'!$B$2:$B889)-$B$4, P360="A1a", XLOOKUP(N360, 'Mythical Island'!$C$2:$C889, 'Mythical Island'!$B$2:$B889)-$B$4, OR(P360="A2-Dialga", P360="A2-Palkia", P360="A2"), XLOOKUP(N360, 'Space-Time Smackdown'!$C$2:$C889, 'Space-Time Smackdown'!$B$2:$B889)-$B$4))</f>
        <v/>
      </c>
      <c r="S360" s="277"/>
      <c r="T360" s="277"/>
      <c r="U360" s="277"/>
      <c r="V360" s="278"/>
      <c r="W360" s="443" t="str">
        <f t="array" ref="W360">IFERROR(IFS(OR(U360="A1-Mewtwo", U360="A1-Pikachu", U360="A1-Charizard", U360="A1"), $B$5-XLOOKUP(S360, 'Genetic Apex'!$C$2:$C889, 'Genetic Apex'!$B$2:$B889), U360="A1a", $B$5-XLOOKUP(S360, 'Mythical Island'!$C$2:$C889, 'Mythical Island'!$B$2:$B889), OR(U360="A2-Dialga", U360="A2-Palkia", U360="A2"), $B$5-XLOOKUP(S360, 'Space-Time Smackdown'!$C$2:$C889, 'Space-Time Smackdown'!$B$2:$B889)))</f>
        <v/>
      </c>
      <c r="X360" s="444" t="str">
        <f t="shared" si="3"/>
        <v/>
      </c>
      <c r="Y360" s="445" t="str">
        <f t="shared" si="4"/>
        <v/>
      </c>
      <c r="Z360" s="278"/>
      <c r="AA360" s="466"/>
      <c r="AB360" s="278"/>
      <c r="AC360" s="278"/>
      <c r="AD360" s="278"/>
      <c r="AE360" s="278"/>
      <c r="AF360" s="278"/>
      <c r="AG360" s="278" t="b">
        <f t="shared" si="5"/>
        <v>0</v>
      </c>
      <c r="AH360" s="454"/>
      <c r="AI360" s="278"/>
      <c r="AJ360" s="278"/>
      <c r="AK360" s="278"/>
      <c r="AL360" s="444" t="str">
        <f t="array" ref="AL360">IFERROR(IFS(OR(AJ360="A1-Mewtwo", AJ360="A1-Pikachu", AJ360="A1-Charizard", AJ360="A1"), XLOOKUP(AH360, 'Genetic Apex'!$C$2:$C889, 'Genetic Apex'!$B$2:$B889)-2, AJ360="A1a", XLOOKUP(AH360, 'Mythical Island'!$C$2:$C889, 'Mythical Island'!$B$2:$B889)-2, OR(AJ360="A2-Dialga", AJ360="A2-Palkia", AJ360="A2"), XLOOKUP(AH360, 'Space-Time Smackdown'!$C$2:$C889, 'Space-Time Smackdown'!$B$2:$B889)-2))</f>
        <v/>
      </c>
      <c r="AM360" s="444" t="str">
        <f t="shared" si="6"/>
        <v/>
      </c>
      <c r="AN360" s="448" t="str">
        <f t="shared" si="7"/>
        <v/>
      </c>
    </row>
    <row r="361">
      <c r="A361" s="277"/>
      <c r="B361" s="277"/>
      <c r="C361" s="441"/>
      <c r="D361" s="277"/>
      <c r="E361" s="277"/>
      <c r="F361" s="277"/>
      <c r="G361" s="277"/>
      <c r="H361" s="277" t="b">
        <f t="shared" si="1"/>
        <v>0</v>
      </c>
      <c r="I361" s="277" t="str">
        <f>IFERROR(__xludf.DUMMYFUNCTION("""COMPUTED_VALUE"""),"A1a 071")</f>
        <v>A1a 071</v>
      </c>
      <c r="J361" s="277" t="str">
        <f>IFERROR(__xludf.DUMMYFUNCTION("""COMPUTED_VALUE"""),"Salandit")</f>
        <v>Salandit</v>
      </c>
      <c r="K361" s="277" t="str">
        <f>IFERROR(__xludf.DUMMYFUNCTION("""COMPUTED_VALUE"""),"A1a")</f>
        <v>A1a</v>
      </c>
      <c r="L361" s="277" t="str">
        <f>IFERROR(__xludf.DUMMYFUNCTION("""COMPUTED_VALUE"""),"☆")</f>
        <v>☆</v>
      </c>
      <c r="M361" s="440" t="b">
        <f t="shared" si="2"/>
        <v>1</v>
      </c>
      <c r="N361" s="441"/>
      <c r="O361" s="277"/>
      <c r="P361" s="277"/>
      <c r="Q361" s="278"/>
      <c r="R361" s="449" t="str">
        <f t="array" ref="R361">IFERROR(IFS(OR(P361="A1-Mewtwo", P361="A1-Pikachu", P361="A1-Charizard", P361="A1"), XLOOKUP(N361, 'Genetic Apex'!$C$2:$C889, 'Genetic Apex'!$B$2:$B889)-$B$4, P361="A1a", XLOOKUP(N361, 'Mythical Island'!$C$2:$C889, 'Mythical Island'!$B$2:$B889)-$B$4, OR(P361="A2-Dialga", P361="A2-Palkia", P361="A2"), XLOOKUP(N361, 'Space-Time Smackdown'!$C$2:$C889, 'Space-Time Smackdown'!$B$2:$B889)-$B$4))</f>
        <v/>
      </c>
      <c r="S361" s="277"/>
      <c r="T361" s="277"/>
      <c r="U361" s="277"/>
      <c r="V361" s="278"/>
      <c r="W361" s="443" t="str">
        <f t="array" ref="W361">IFERROR(IFS(OR(U361="A1-Mewtwo", U361="A1-Pikachu", U361="A1-Charizard", U361="A1"), $B$5-XLOOKUP(S361, 'Genetic Apex'!$C$2:$C889, 'Genetic Apex'!$B$2:$B889), U361="A1a", $B$5-XLOOKUP(S361, 'Mythical Island'!$C$2:$C889, 'Mythical Island'!$B$2:$B889), OR(U361="A2-Dialga", U361="A2-Palkia", U361="A2"), $B$5-XLOOKUP(S361, 'Space-Time Smackdown'!$C$2:$C889, 'Space-Time Smackdown'!$B$2:$B889)))</f>
        <v/>
      </c>
      <c r="X361" s="444" t="str">
        <f t="shared" si="3"/>
        <v/>
      </c>
      <c r="Y361" s="445" t="str">
        <f t="shared" si="4"/>
        <v/>
      </c>
      <c r="Z361" s="278"/>
      <c r="AA361" s="466"/>
      <c r="AB361" s="278"/>
      <c r="AC361" s="278"/>
      <c r="AD361" s="278"/>
      <c r="AE361" s="278"/>
      <c r="AF361" s="278"/>
      <c r="AG361" s="278" t="b">
        <f t="shared" si="5"/>
        <v>0</v>
      </c>
      <c r="AH361" s="454"/>
      <c r="AI361" s="278"/>
      <c r="AJ361" s="278"/>
      <c r="AK361" s="278"/>
      <c r="AL361" s="444" t="str">
        <f t="array" ref="AL361">IFERROR(IFS(OR(AJ361="A1-Mewtwo", AJ361="A1-Pikachu", AJ361="A1-Charizard", AJ361="A1"), XLOOKUP(AH361, 'Genetic Apex'!$C$2:$C889, 'Genetic Apex'!$B$2:$B889)-2, AJ361="A1a", XLOOKUP(AH361, 'Mythical Island'!$C$2:$C889, 'Mythical Island'!$B$2:$B889)-2, OR(AJ361="A2-Dialga", AJ361="A2-Palkia", AJ361="A2"), XLOOKUP(AH361, 'Space-Time Smackdown'!$C$2:$C889, 'Space-Time Smackdown'!$B$2:$B889)-2))</f>
        <v/>
      </c>
      <c r="AM361" s="444" t="str">
        <f t="shared" si="6"/>
        <v/>
      </c>
      <c r="AN361" s="448" t="str">
        <f t="shared" si="7"/>
        <v/>
      </c>
    </row>
    <row r="362">
      <c r="A362" s="277"/>
      <c r="B362" s="277"/>
      <c r="C362" s="441"/>
      <c r="D362" s="277"/>
      <c r="E362" s="277"/>
      <c r="F362" s="277"/>
      <c r="G362" s="277"/>
      <c r="H362" s="277" t="b">
        <f t="shared" si="1"/>
        <v>0</v>
      </c>
      <c r="I362" s="277" t="str">
        <f>IFERROR(__xludf.DUMMYFUNCTION("""COMPUTED_VALUE"""),"A1a 072")</f>
        <v>A1a 072</v>
      </c>
      <c r="J362" s="277" t="str">
        <f>IFERROR(__xludf.DUMMYFUNCTION("""COMPUTED_VALUE"""),"Vaporeon")</f>
        <v>Vaporeon</v>
      </c>
      <c r="K362" s="277" t="str">
        <f>IFERROR(__xludf.DUMMYFUNCTION("""COMPUTED_VALUE"""),"A1a")</f>
        <v>A1a</v>
      </c>
      <c r="L362" s="277" t="str">
        <f>IFERROR(__xludf.DUMMYFUNCTION("""COMPUTED_VALUE"""),"☆")</f>
        <v>☆</v>
      </c>
      <c r="M362" s="440" t="b">
        <f t="shared" si="2"/>
        <v>1</v>
      </c>
      <c r="N362" s="441"/>
      <c r="O362" s="277"/>
      <c r="P362" s="277"/>
      <c r="Q362" s="278"/>
      <c r="R362" s="449" t="str">
        <f t="array" ref="R362">IFERROR(IFS(OR(P362="A1-Mewtwo", P362="A1-Pikachu", P362="A1-Charizard", P362="A1"), XLOOKUP(N362, 'Genetic Apex'!$C$2:$C889, 'Genetic Apex'!$B$2:$B889)-$B$4, P362="A1a", XLOOKUP(N362, 'Mythical Island'!$C$2:$C889, 'Mythical Island'!$B$2:$B889)-$B$4, OR(P362="A2-Dialga", P362="A2-Palkia", P362="A2"), XLOOKUP(N362, 'Space-Time Smackdown'!$C$2:$C889, 'Space-Time Smackdown'!$B$2:$B889)-$B$4))</f>
        <v/>
      </c>
      <c r="S362" s="277"/>
      <c r="T362" s="277"/>
      <c r="U362" s="277"/>
      <c r="V362" s="278"/>
      <c r="W362" s="443" t="str">
        <f t="array" ref="W362">IFERROR(IFS(OR(U362="A1-Mewtwo", U362="A1-Pikachu", U362="A1-Charizard", U362="A1"), $B$5-XLOOKUP(S362, 'Genetic Apex'!$C$2:$C889, 'Genetic Apex'!$B$2:$B889), U362="A1a", $B$5-XLOOKUP(S362, 'Mythical Island'!$C$2:$C889, 'Mythical Island'!$B$2:$B889), OR(U362="A2-Dialga", U362="A2-Palkia", U362="A2"), $B$5-XLOOKUP(S362, 'Space-Time Smackdown'!$C$2:$C889, 'Space-Time Smackdown'!$B$2:$B889)))</f>
        <v/>
      </c>
      <c r="X362" s="444" t="str">
        <f t="shared" si="3"/>
        <v/>
      </c>
      <c r="Y362" s="445" t="str">
        <f t="shared" si="4"/>
        <v/>
      </c>
      <c r="Z362" s="278"/>
      <c r="AA362" s="466"/>
      <c r="AB362" s="278"/>
      <c r="AC362" s="278"/>
      <c r="AD362" s="278"/>
      <c r="AE362" s="278"/>
      <c r="AF362" s="278"/>
      <c r="AG362" s="278" t="b">
        <f t="shared" si="5"/>
        <v>0</v>
      </c>
      <c r="AH362" s="454"/>
      <c r="AI362" s="278"/>
      <c r="AJ362" s="278"/>
      <c r="AK362" s="278"/>
      <c r="AL362" s="444" t="str">
        <f t="array" ref="AL362">IFERROR(IFS(OR(AJ362="A1-Mewtwo", AJ362="A1-Pikachu", AJ362="A1-Charizard", AJ362="A1"), XLOOKUP(AH362, 'Genetic Apex'!$C$2:$C889, 'Genetic Apex'!$B$2:$B889)-2, AJ362="A1a", XLOOKUP(AH362, 'Mythical Island'!$C$2:$C889, 'Mythical Island'!$B$2:$B889)-2, OR(AJ362="A2-Dialga", AJ362="A2-Palkia", AJ362="A2"), XLOOKUP(AH362, 'Space-Time Smackdown'!$C$2:$C889, 'Space-Time Smackdown'!$B$2:$B889)-2))</f>
        <v/>
      </c>
      <c r="AM362" s="444" t="str">
        <f t="shared" si="6"/>
        <v/>
      </c>
      <c r="AN362" s="448" t="str">
        <f t="shared" si="7"/>
        <v/>
      </c>
    </row>
    <row r="363">
      <c r="A363" s="277"/>
      <c r="B363" s="277"/>
      <c r="C363" s="441"/>
      <c r="D363" s="277"/>
      <c r="E363" s="277"/>
      <c r="F363" s="277"/>
      <c r="G363" s="277"/>
      <c r="H363" s="277" t="b">
        <f t="shared" si="1"/>
        <v>0</v>
      </c>
      <c r="I363" s="277" t="str">
        <f>IFERROR(__xludf.DUMMYFUNCTION("""COMPUTED_VALUE"""),"A1a 073")</f>
        <v>A1a 073</v>
      </c>
      <c r="J363" s="277" t="str">
        <f>IFERROR(__xludf.DUMMYFUNCTION("""COMPUTED_VALUE"""),"Dedenne")</f>
        <v>Dedenne</v>
      </c>
      <c r="K363" s="277" t="str">
        <f>IFERROR(__xludf.DUMMYFUNCTION("""COMPUTED_VALUE"""),"A1a")</f>
        <v>A1a</v>
      </c>
      <c r="L363" s="277" t="str">
        <f>IFERROR(__xludf.DUMMYFUNCTION("""COMPUTED_VALUE"""),"☆")</f>
        <v>☆</v>
      </c>
      <c r="M363" s="440" t="b">
        <f t="shared" si="2"/>
        <v>1</v>
      </c>
      <c r="N363" s="441"/>
      <c r="O363" s="277"/>
      <c r="P363" s="277"/>
      <c r="Q363" s="278"/>
      <c r="R363" s="449" t="str">
        <f t="array" ref="R363">IFERROR(IFS(OR(P363="A1-Mewtwo", P363="A1-Pikachu", P363="A1-Charizard", P363="A1"), XLOOKUP(N363, 'Genetic Apex'!$C$2:$C889, 'Genetic Apex'!$B$2:$B889)-$B$4, P363="A1a", XLOOKUP(N363, 'Mythical Island'!$C$2:$C889, 'Mythical Island'!$B$2:$B889)-$B$4, OR(P363="A2-Dialga", P363="A2-Palkia", P363="A2"), XLOOKUP(N363, 'Space-Time Smackdown'!$C$2:$C889, 'Space-Time Smackdown'!$B$2:$B889)-$B$4))</f>
        <v/>
      </c>
      <c r="S363" s="277"/>
      <c r="T363" s="277"/>
      <c r="U363" s="277"/>
      <c r="V363" s="278"/>
      <c r="W363" s="443" t="str">
        <f t="array" ref="W363">IFERROR(IFS(OR(U363="A1-Mewtwo", U363="A1-Pikachu", U363="A1-Charizard", U363="A1"), $B$5-XLOOKUP(S363, 'Genetic Apex'!$C$2:$C889, 'Genetic Apex'!$B$2:$B889), U363="A1a", $B$5-XLOOKUP(S363, 'Mythical Island'!$C$2:$C889, 'Mythical Island'!$B$2:$B889), OR(U363="A2-Dialga", U363="A2-Palkia", U363="A2"), $B$5-XLOOKUP(S363, 'Space-Time Smackdown'!$C$2:$C889, 'Space-Time Smackdown'!$B$2:$B889)))</f>
        <v/>
      </c>
      <c r="X363" s="444" t="str">
        <f t="shared" si="3"/>
        <v/>
      </c>
      <c r="Y363" s="445" t="str">
        <f t="shared" si="4"/>
        <v/>
      </c>
      <c r="Z363" s="278"/>
      <c r="AA363" s="466"/>
      <c r="AB363" s="278"/>
      <c r="AC363" s="278"/>
      <c r="AD363" s="278"/>
      <c r="AE363" s="278"/>
      <c r="AF363" s="278"/>
      <c r="AG363" s="278" t="b">
        <f t="shared" si="5"/>
        <v>0</v>
      </c>
      <c r="AH363" s="454"/>
      <c r="AI363" s="278"/>
      <c r="AJ363" s="278"/>
      <c r="AK363" s="278"/>
      <c r="AL363" s="444" t="str">
        <f t="array" ref="AL363">IFERROR(IFS(OR(AJ363="A1-Mewtwo", AJ363="A1-Pikachu", AJ363="A1-Charizard", AJ363="A1"), XLOOKUP(AH363, 'Genetic Apex'!$C$2:$C889, 'Genetic Apex'!$B$2:$B889)-2, AJ363="A1a", XLOOKUP(AH363, 'Mythical Island'!$C$2:$C889, 'Mythical Island'!$B$2:$B889)-2, OR(AJ363="A2-Dialga", AJ363="A2-Palkia", AJ363="A2"), XLOOKUP(AH363, 'Space-Time Smackdown'!$C$2:$C889, 'Space-Time Smackdown'!$B$2:$B889)-2))</f>
        <v/>
      </c>
      <c r="AM363" s="444" t="str">
        <f t="shared" si="6"/>
        <v/>
      </c>
      <c r="AN363" s="448" t="str">
        <f t="shared" si="7"/>
        <v/>
      </c>
    </row>
    <row r="364">
      <c r="A364" s="277"/>
      <c r="B364" s="277"/>
      <c r="C364" s="441"/>
      <c r="D364" s="277"/>
      <c r="E364" s="277"/>
      <c r="F364" s="277"/>
      <c r="G364" s="277"/>
      <c r="H364" s="277" t="b">
        <f t="shared" si="1"/>
        <v>0</v>
      </c>
      <c r="I364" s="277" t="str">
        <f>IFERROR(__xludf.DUMMYFUNCTION("""COMPUTED_VALUE"""),"A1a 074")</f>
        <v>A1a 074</v>
      </c>
      <c r="J364" s="277" t="str">
        <f>IFERROR(__xludf.DUMMYFUNCTION("""COMPUTED_VALUE"""),"Marshadow")</f>
        <v>Marshadow</v>
      </c>
      <c r="K364" s="277" t="str">
        <f>IFERROR(__xludf.DUMMYFUNCTION("""COMPUTED_VALUE"""),"A1a")</f>
        <v>A1a</v>
      </c>
      <c r="L364" s="277" t="str">
        <f>IFERROR(__xludf.DUMMYFUNCTION("""COMPUTED_VALUE"""),"☆")</f>
        <v>☆</v>
      </c>
      <c r="M364" s="440" t="b">
        <f t="shared" si="2"/>
        <v>1</v>
      </c>
      <c r="N364" s="441"/>
      <c r="O364" s="277"/>
      <c r="P364" s="277"/>
      <c r="Q364" s="278"/>
      <c r="R364" s="449" t="str">
        <f t="array" ref="R364">IFERROR(IFS(OR(P364="A1-Mewtwo", P364="A1-Pikachu", P364="A1-Charizard", P364="A1"), XLOOKUP(N364, 'Genetic Apex'!$C$2:$C889, 'Genetic Apex'!$B$2:$B889)-$B$4, P364="A1a", XLOOKUP(N364, 'Mythical Island'!$C$2:$C889, 'Mythical Island'!$B$2:$B889)-$B$4, OR(P364="A2-Dialga", P364="A2-Palkia", P364="A2"), XLOOKUP(N364, 'Space-Time Smackdown'!$C$2:$C889, 'Space-Time Smackdown'!$B$2:$B889)-$B$4))</f>
        <v/>
      </c>
      <c r="S364" s="277"/>
      <c r="T364" s="277"/>
      <c r="U364" s="277"/>
      <c r="V364" s="278"/>
      <c r="W364" s="443" t="str">
        <f t="array" ref="W364">IFERROR(IFS(OR(U364="A1-Mewtwo", U364="A1-Pikachu", U364="A1-Charizard", U364="A1"), $B$5-XLOOKUP(S364, 'Genetic Apex'!$C$2:$C889, 'Genetic Apex'!$B$2:$B889), U364="A1a", $B$5-XLOOKUP(S364, 'Mythical Island'!$C$2:$C889, 'Mythical Island'!$B$2:$B889), OR(U364="A2-Dialga", U364="A2-Palkia", U364="A2"), $B$5-XLOOKUP(S364, 'Space-Time Smackdown'!$C$2:$C889, 'Space-Time Smackdown'!$B$2:$B889)))</f>
        <v/>
      </c>
      <c r="X364" s="444" t="str">
        <f t="shared" si="3"/>
        <v/>
      </c>
      <c r="Y364" s="445" t="str">
        <f t="shared" si="4"/>
        <v/>
      </c>
      <c r="Z364" s="278"/>
      <c r="AA364" s="466"/>
      <c r="AB364" s="278"/>
      <c r="AC364" s="278"/>
      <c r="AD364" s="278"/>
      <c r="AE364" s="278"/>
      <c r="AF364" s="278"/>
      <c r="AG364" s="278" t="b">
        <f t="shared" si="5"/>
        <v>0</v>
      </c>
      <c r="AH364" s="454"/>
      <c r="AI364" s="278"/>
      <c r="AJ364" s="278"/>
      <c r="AK364" s="278"/>
      <c r="AL364" s="444" t="str">
        <f t="array" ref="AL364">IFERROR(IFS(OR(AJ364="A1-Mewtwo", AJ364="A1-Pikachu", AJ364="A1-Charizard", AJ364="A1"), XLOOKUP(AH364, 'Genetic Apex'!$C$2:$C889, 'Genetic Apex'!$B$2:$B889)-2, AJ364="A1a", XLOOKUP(AH364, 'Mythical Island'!$C$2:$C889, 'Mythical Island'!$B$2:$B889)-2, OR(AJ364="A2-Dialga", AJ364="A2-Palkia", AJ364="A2"), XLOOKUP(AH364, 'Space-Time Smackdown'!$C$2:$C889, 'Space-Time Smackdown'!$B$2:$B889)-2))</f>
        <v/>
      </c>
      <c r="AM364" s="444" t="str">
        <f t="shared" si="6"/>
        <v/>
      </c>
      <c r="AN364" s="448" t="str">
        <f t="shared" si="7"/>
        <v/>
      </c>
    </row>
    <row r="365">
      <c r="A365" s="277"/>
      <c r="B365" s="277"/>
      <c r="C365" s="441"/>
      <c r="D365" s="277"/>
      <c r="E365" s="277"/>
      <c r="F365" s="277"/>
      <c r="G365" s="277"/>
      <c r="H365" s="277" t="b">
        <f t="shared" si="1"/>
        <v>0</v>
      </c>
      <c r="I365" s="277" t="str">
        <f>IFERROR(__xludf.DUMMYFUNCTION("""COMPUTED_VALUE"""),"A1a 075")</f>
        <v>A1a 075</v>
      </c>
      <c r="J365" s="277" t="str">
        <f>IFERROR(__xludf.DUMMYFUNCTION("""COMPUTED_VALUE"""),"Celebi ex")</f>
        <v>Celebi ex</v>
      </c>
      <c r="K365" s="277" t="str">
        <f>IFERROR(__xludf.DUMMYFUNCTION("""COMPUTED_VALUE"""),"A1a")</f>
        <v>A1a</v>
      </c>
      <c r="L365" s="277" t="str">
        <f>IFERROR(__xludf.DUMMYFUNCTION("""COMPUTED_VALUE"""),"☆☆")</f>
        <v>☆☆</v>
      </c>
      <c r="M365" s="440" t="b">
        <f t="shared" si="2"/>
        <v>1</v>
      </c>
      <c r="N365" s="441"/>
      <c r="O365" s="277"/>
      <c r="P365" s="277"/>
      <c r="Q365" s="278"/>
      <c r="R365" s="449" t="str">
        <f t="array" ref="R365">IFERROR(IFS(OR(P365="A1-Mewtwo", P365="A1-Pikachu", P365="A1-Charizard", P365="A1"), XLOOKUP(N365, 'Genetic Apex'!$C$2:$C889, 'Genetic Apex'!$B$2:$B889)-$B$4, P365="A1a", XLOOKUP(N365, 'Mythical Island'!$C$2:$C889, 'Mythical Island'!$B$2:$B889)-$B$4, OR(P365="A2-Dialga", P365="A2-Palkia", P365="A2"), XLOOKUP(N365, 'Space-Time Smackdown'!$C$2:$C889, 'Space-Time Smackdown'!$B$2:$B889)-$B$4))</f>
        <v/>
      </c>
      <c r="S365" s="277"/>
      <c r="T365" s="277"/>
      <c r="U365" s="277"/>
      <c r="V365" s="278"/>
      <c r="W365" s="443" t="str">
        <f t="array" ref="W365">IFERROR(IFS(OR(U365="A1-Mewtwo", U365="A1-Pikachu", U365="A1-Charizard", U365="A1"), $B$5-XLOOKUP(S365, 'Genetic Apex'!$C$2:$C889, 'Genetic Apex'!$B$2:$B889), U365="A1a", $B$5-XLOOKUP(S365, 'Mythical Island'!$C$2:$C889, 'Mythical Island'!$B$2:$B889), OR(U365="A2-Dialga", U365="A2-Palkia", U365="A2"), $B$5-XLOOKUP(S365, 'Space-Time Smackdown'!$C$2:$C889, 'Space-Time Smackdown'!$B$2:$B889)))</f>
        <v/>
      </c>
      <c r="X365" s="444" t="str">
        <f t="shared" si="3"/>
        <v/>
      </c>
      <c r="Y365" s="445" t="str">
        <f t="shared" si="4"/>
        <v/>
      </c>
      <c r="Z365" s="278"/>
      <c r="AA365" s="466"/>
      <c r="AB365" s="278"/>
      <c r="AC365" s="278"/>
      <c r="AD365" s="278"/>
      <c r="AE365" s="278"/>
      <c r="AF365" s="278"/>
      <c r="AG365" s="278" t="b">
        <f t="shared" si="5"/>
        <v>0</v>
      </c>
      <c r="AH365" s="454"/>
      <c r="AI365" s="278"/>
      <c r="AJ365" s="278"/>
      <c r="AK365" s="278"/>
      <c r="AL365" s="444" t="str">
        <f t="array" ref="AL365">IFERROR(IFS(OR(AJ365="A1-Mewtwo", AJ365="A1-Pikachu", AJ365="A1-Charizard", AJ365="A1"), XLOOKUP(AH365, 'Genetic Apex'!$C$2:$C889, 'Genetic Apex'!$B$2:$B889)-2, AJ365="A1a", XLOOKUP(AH365, 'Mythical Island'!$C$2:$C889, 'Mythical Island'!$B$2:$B889)-2, OR(AJ365="A2-Dialga", AJ365="A2-Palkia", AJ365="A2"), XLOOKUP(AH365, 'Space-Time Smackdown'!$C$2:$C889, 'Space-Time Smackdown'!$B$2:$B889)-2))</f>
        <v/>
      </c>
      <c r="AM365" s="444" t="str">
        <f t="shared" si="6"/>
        <v/>
      </c>
      <c r="AN365" s="448" t="str">
        <f t="shared" si="7"/>
        <v/>
      </c>
    </row>
    <row r="366">
      <c r="A366" s="277"/>
      <c r="B366" s="277"/>
      <c r="C366" s="441"/>
      <c r="D366" s="277"/>
      <c r="E366" s="277"/>
      <c r="F366" s="277"/>
      <c r="G366" s="277"/>
      <c r="H366" s="277" t="b">
        <f t="shared" si="1"/>
        <v>0</v>
      </c>
      <c r="I366" s="277" t="str">
        <f>IFERROR(__xludf.DUMMYFUNCTION("""COMPUTED_VALUE"""),"A1a 076")</f>
        <v>A1a 076</v>
      </c>
      <c r="J366" s="277" t="str">
        <f>IFERROR(__xludf.DUMMYFUNCTION("""COMPUTED_VALUE"""),"Gyarados ex")</f>
        <v>Gyarados ex</v>
      </c>
      <c r="K366" s="277" t="str">
        <f>IFERROR(__xludf.DUMMYFUNCTION("""COMPUTED_VALUE"""),"A1a")</f>
        <v>A1a</v>
      </c>
      <c r="L366" s="277" t="str">
        <f>IFERROR(__xludf.DUMMYFUNCTION("""COMPUTED_VALUE"""),"☆☆")</f>
        <v>☆☆</v>
      </c>
      <c r="M366" s="440" t="b">
        <f t="shared" si="2"/>
        <v>1</v>
      </c>
      <c r="N366" s="441"/>
      <c r="O366" s="277"/>
      <c r="P366" s="277"/>
      <c r="Q366" s="278"/>
      <c r="R366" s="449" t="str">
        <f t="array" ref="R366">IFERROR(IFS(OR(P366="A1-Mewtwo", P366="A1-Pikachu", P366="A1-Charizard", P366="A1"), XLOOKUP(N366, 'Genetic Apex'!$C$2:$C889, 'Genetic Apex'!$B$2:$B889)-$B$4, P366="A1a", XLOOKUP(N366, 'Mythical Island'!$C$2:$C889, 'Mythical Island'!$B$2:$B889)-$B$4, OR(P366="A2-Dialga", P366="A2-Palkia", P366="A2"), XLOOKUP(N366, 'Space-Time Smackdown'!$C$2:$C889, 'Space-Time Smackdown'!$B$2:$B889)-$B$4))</f>
        <v/>
      </c>
      <c r="S366" s="277"/>
      <c r="T366" s="277"/>
      <c r="U366" s="277"/>
      <c r="V366" s="278"/>
      <c r="W366" s="443" t="str">
        <f t="array" ref="W366">IFERROR(IFS(OR(U366="A1-Mewtwo", U366="A1-Pikachu", U366="A1-Charizard", U366="A1"), $B$5-XLOOKUP(S366, 'Genetic Apex'!$C$2:$C889, 'Genetic Apex'!$B$2:$B889), U366="A1a", $B$5-XLOOKUP(S366, 'Mythical Island'!$C$2:$C889, 'Mythical Island'!$B$2:$B889), OR(U366="A2-Dialga", U366="A2-Palkia", U366="A2"), $B$5-XLOOKUP(S366, 'Space-Time Smackdown'!$C$2:$C889, 'Space-Time Smackdown'!$B$2:$B889)))</f>
        <v/>
      </c>
      <c r="X366" s="444" t="str">
        <f t="shared" si="3"/>
        <v/>
      </c>
      <c r="Y366" s="445" t="str">
        <f t="shared" si="4"/>
        <v/>
      </c>
      <c r="Z366" s="278"/>
      <c r="AA366" s="466"/>
      <c r="AB366" s="278"/>
      <c r="AC366" s="278"/>
      <c r="AD366" s="278"/>
      <c r="AE366" s="278"/>
      <c r="AF366" s="278"/>
      <c r="AG366" s="278" t="b">
        <f t="shared" si="5"/>
        <v>0</v>
      </c>
      <c r="AH366" s="454"/>
      <c r="AI366" s="278"/>
      <c r="AJ366" s="278"/>
      <c r="AK366" s="278"/>
      <c r="AL366" s="444" t="str">
        <f t="array" ref="AL366">IFERROR(IFS(OR(AJ366="A1-Mewtwo", AJ366="A1-Pikachu", AJ366="A1-Charizard", AJ366="A1"), XLOOKUP(AH366, 'Genetic Apex'!$C$2:$C889, 'Genetic Apex'!$B$2:$B889)-2, AJ366="A1a", XLOOKUP(AH366, 'Mythical Island'!$C$2:$C889, 'Mythical Island'!$B$2:$B889)-2, OR(AJ366="A2-Dialga", AJ366="A2-Palkia", AJ366="A2"), XLOOKUP(AH366, 'Space-Time Smackdown'!$C$2:$C889, 'Space-Time Smackdown'!$B$2:$B889)-2))</f>
        <v/>
      </c>
      <c r="AM366" s="444" t="str">
        <f t="shared" si="6"/>
        <v/>
      </c>
      <c r="AN366" s="448" t="str">
        <f t="shared" si="7"/>
        <v/>
      </c>
    </row>
    <row r="367">
      <c r="A367" s="277"/>
      <c r="B367" s="277"/>
      <c r="C367" s="441"/>
      <c r="D367" s="277"/>
      <c r="E367" s="277"/>
      <c r="F367" s="277"/>
      <c r="G367" s="277"/>
      <c r="H367" s="277" t="b">
        <f t="shared" si="1"/>
        <v>0</v>
      </c>
      <c r="I367" s="277" t="str">
        <f>IFERROR(__xludf.DUMMYFUNCTION("""COMPUTED_VALUE"""),"A1a 077")</f>
        <v>A1a 077</v>
      </c>
      <c r="J367" s="277" t="str">
        <f>IFERROR(__xludf.DUMMYFUNCTION("""COMPUTED_VALUE"""),"Mew ex")</f>
        <v>Mew ex</v>
      </c>
      <c r="K367" s="277" t="str">
        <f>IFERROR(__xludf.DUMMYFUNCTION("""COMPUTED_VALUE"""),"A1a")</f>
        <v>A1a</v>
      </c>
      <c r="L367" s="277" t="str">
        <f>IFERROR(__xludf.DUMMYFUNCTION("""COMPUTED_VALUE"""),"☆☆")</f>
        <v>☆☆</v>
      </c>
      <c r="M367" s="440" t="b">
        <f t="shared" si="2"/>
        <v>1</v>
      </c>
      <c r="N367" s="441"/>
      <c r="O367" s="277"/>
      <c r="P367" s="277"/>
      <c r="Q367" s="278"/>
      <c r="R367" s="449" t="str">
        <f t="array" ref="R367">IFERROR(IFS(OR(P367="A1-Mewtwo", P367="A1-Pikachu", P367="A1-Charizard", P367="A1"), XLOOKUP(N367, 'Genetic Apex'!$C$2:$C889, 'Genetic Apex'!$B$2:$B889)-$B$4, P367="A1a", XLOOKUP(N367, 'Mythical Island'!$C$2:$C889, 'Mythical Island'!$B$2:$B889)-$B$4, OR(P367="A2-Dialga", P367="A2-Palkia", P367="A2"), XLOOKUP(N367, 'Space-Time Smackdown'!$C$2:$C889, 'Space-Time Smackdown'!$B$2:$B889)-$B$4))</f>
        <v/>
      </c>
      <c r="S367" s="277"/>
      <c r="T367" s="277"/>
      <c r="U367" s="277"/>
      <c r="V367" s="278"/>
      <c r="W367" s="443" t="str">
        <f t="array" ref="W367">IFERROR(IFS(OR(U367="A1-Mewtwo", U367="A1-Pikachu", U367="A1-Charizard", U367="A1"), $B$5-XLOOKUP(S367, 'Genetic Apex'!$C$2:$C889, 'Genetic Apex'!$B$2:$B889), U367="A1a", $B$5-XLOOKUP(S367, 'Mythical Island'!$C$2:$C889, 'Mythical Island'!$B$2:$B889), OR(U367="A2-Dialga", U367="A2-Palkia", U367="A2"), $B$5-XLOOKUP(S367, 'Space-Time Smackdown'!$C$2:$C889, 'Space-Time Smackdown'!$B$2:$B889)))</f>
        <v/>
      </c>
      <c r="X367" s="444" t="str">
        <f t="shared" si="3"/>
        <v/>
      </c>
      <c r="Y367" s="445" t="str">
        <f t="shared" si="4"/>
        <v/>
      </c>
      <c r="Z367" s="278"/>
      <c r="AA367" s="466"/>
      <c r="AB367" s="278"/>
      <c r="AC367" s="278"/>
      <c r="AD367" s="278"/>
      <c r="AE367" s="278"/>
      <c r="AF367" s="278"/>
      <c r="AG367" s="278" t="b">
        <f t="shared" si="5"/>
        <v>0</v>
      </c>
      <c r="AH367" s="454"/>
      <c r="AI367" s="278"/>
      <c r="AJ367" s="278"/>
      <c r="AK367" s="278"/>
      <c r="AL367" s="444" t="str">
        <f t="array" ref="AL367">IFERROR(IFS(OR(AJ367="A1-Mewtwo", AJ367="A1-Pikachu", AJ367="A1-Charizard", AJ367="A1"), XLOOKUP(AH367, 'Genetic Apex'!$C$2:$C889, 'Genetic Apex'!$B$2:$B889)-2, AJ367="A1a", XLOOKUP(AH367, 'Mythical Island'!$C$2:$C889, 'Mythical Island'!$B$2:$B889)-2, OR(AJ367="A2-Dialga", AJ367="A2-Palkia", AJ367="A2"), XLOOKUP(AH367, 'Space-Time Smackdown'!$C$2:$C889, 'Space-Time Smackdown'!$B$2:$B889)-2))</f>
        <v/>
      </c>
      <c r="AM367" s="444" t="str">
        <f t="shared" si="6"/>
        <v/>
      </c>
      <c r="AN367" s="448" t="str">
        <f t="shared" si="7"/>
        <v/>
      </c>
    </row>
    <row r="368">
      <c r="A368" s="277"/>
      <c r="B368" s="277"/>
      <c r="C368" s="441"/>
      <c r="D368" s="277"/>
      <c r="E368" s="277"/>
      <c r="F368" s="277"/>
      <c r="G368" s="277"/>
      <c r="H368" s="277" t="b">
        <f t="shared" si="1"/>
        <v>0</v>
      </c>
      <c r="I368" s="277" t="str">
        <f>IFERROR(__xludf.DUMMYFUNCTION("""COMPUTED_VALUE"""),"A1a 078")</f>
        <v>A1a 078</v>
      </c>
      <c r="J368" s="277" t="str">
        <f>IFERROR(__xludf.DUMMYFUNCTION("""COMPUTED_VALUE"""),"Aerodactyl ex")</f>
        <v>Aerodactyl ex</v>
      </c>
      <c r="K368" s="277" t="str">
        <f>IFERROR(__xludf.DUMMYFUNCTION("""COMPUTED_VALUE"""),"A1a")</f>
        <v>A1a</v>
      </c>
      <c r="L368" s="277" t="str">
        <f>IFERROR(__xludf.DUMMYFUNCTION("""COMPUTED_VALUE"""),"☆☆")</f>
        <v>☆☆</v>
      </c>
      <c r="M368" s="440" t="b">
        <f t="shared" si="2"/>
        <v>1</v>
      </c>
      <c r="N368" s="441"/>
      <c r="O368" s="277"/>
      <c r="P368" s="277"/>
      <c r="Q368" s="278"/>
      <c r="R368" s="449" t="str">
        <f t="array" ref="R368">IFERROR(IFS(OR(P368="A1-Mewtwo", P368="A1-Pikachu", P368="A1-Charizard", P368="A1"), XLOOKUP(N368, 'Genetic Apex'!$C$2:$C889, 'Genetic Apex'!$B$2:$B889)-$B$4, P368="A1a", XLOOKUP(N368, 'Mythical Island'!$C$2:$C889, 'Mythical Island'!$B$2:$B889)-$B$4, OR(P368="A2-Dialga", P368="A2-Palkia", P368="A2"), XLOOKUP(N368, 'Space-Time Smackdown'!$C$2:$C889, 'Space-Time Smackdown'!$B$2:$B889)-$B$4))</f>
        <v/>
      </c>
      <c r="S368" s="277"/>
      <c r="T368" s="277"/>
      <c r="U368" s="277"/>
      <c r="V368" s="278"/>
      <c r="W368" s="443" t="str">
        <f t="array" ref="W368">IFERROR(IFS(OR(U368="A1-Mewtwo", U368="A1-Pikachu", U368="A1-Charizard", U368="A1"), $B$5-XLOOKUP(S368, 'Genetic Apex'!$C$2:$C889, 'Genetic Apex'!$B$2:$B889), U368="A1a", $B$5-XLOOKUP(S368, 'Mythical Island'!$C$2:$C889, 'Mythical Island'!$B$2:$B889), OR(U368="A2-Dialga", U368="A2-Palkia", U368="A2"), $B$5-XLOOKUP(S368, 'Space-Time Smackdown'!$C$2:$C889, 'Space-Time Smackdown'!$B$2:$B889)))</f>
        <v/>
      </c>
      <c r="X368" s="444" t="str">
        <f t="shared" si="3"/>
        <v/>
      </c>
      <c r="Y368" s="445" t="str">
        <f t="shared" si="4"/>
        <v/>
      </c>
      <c r="Z368" s="278"/>
      <c r="AA368" s="466"/>
      <c r="AB368" s="278"/>
      <c r="AC368" s="278"/>
      <c r="AD368" s="278"/>
      <c r="AE368" s="278"/>
      <c r="AF368" s="278"/>
      <c r="AG368" s="278" t="b">
        <f t="shared" si="5"/>
        <v>0</v>
      </c>
      <c r="AH368" s="454"/>
      <c r="AI368" s="278"/>
      <c r="AJ368" s="278"/>
      <c r="AK368" s="278"/>
      <c r="AL368" s="444" t="str">
        <f t="array" ref="AL368">IFERROR(IFS(OR(AJ368="A1-Mewtwo", AJ368="A1-Pikachu", AJ368="A1-Charizard", AJ368="A1"), XLOOKUP(AH368, 'Genetic Apex'!$C$2:$C889, 'Genetic Apex'!$B$2:$B889)-2, AJ368="A1a", XLOOKUP(AH368, 'Mythical Island'!$C$2:$C889, 'Mythical Island'!$B$2:$B889)-2, OR(AJ368="A2-Dialga", AJ368="A2-Palkia", AJ368="A2"), XLOOKUP(AH368, 'Space-Time Smackdown'!$C$2:$C889, 'Space-Time Smackdown'!$B$2:$B889)-2))</f>
        <v/>
      </c>
      <c r="AM368" s="444" t="str">
        <f t="shared" si="6"/>
        <v/>
      </c>
      <c r="AN368" s="448" t="str">
        <f t="shared" si="7"/>
        <v/>
      </c>
    </row>
    <row r="369">
      <c r="A369" s="277"/>
      <c r="B369" s="277"/>
      <c r="C369" s="441"/>
      <c r="D369" s="277"/>
      <c r="E369" s="277"/>
      <c r="F369" s="277"/>
      <c r="G369" s="277"/>
      <c r="H369" s="277" t="b">
        <f t="shared" si="1"/>
        <v>0</v>
      </c>
      <c r="I369" s="277" t="str">
        <f>IFERROR(__xludf.DUMMYFUNCTION("""COMPUTED_VALUE"""),"A1a 079")</f>
        <v>A1a 079</v>
      </c>
      <c r="J369" s="277" t="str">
        <f>IFERROR(__xludf.DUMMYFUNCTION("""COMPUTED_VALUE"""),"Pidgeot ex")</f>
        <v>Pidgeot ex</v>
      </c>
      <c r="K369" s="277" t="str">
        <f>IFERROR(__xludf.DUMMYFUNCTION("""COMPUTED_VALUE"""),"A1a")</f>
        <v>A1a</v>
      </c>
      <c r="L369" s="277" t="str">
        <f>IFERROR(__xludf.DUMMYFUNCTION("""COMPUTED_VALUE"""),"☆☆")</f>
        <v>☆☆</v>
      </c>
      <c r="M369" s="440" t="b">
        <f t="shared" si="2"/>
        <v>1</v>
      </c>
      <c r="N369" s="441"/>
      <c r="O369" s="277"/>
      <c r="P369" s="277"/>
      <c r="Q369" s="278"/>
      <c r="R369" s="449" t="str">
        <f t="array" ref="R369">IFERROR(IFS(OR(P369="A1-Mewtwo", P369="A1-Pikachu", P369="A1-Charizard", P369="A1"), XLOOKUP(N369, 'Genetic Apex'!$C$2:$C889, 'Genetic Apex'!$B$2:$B889)-$B$4, P369="A1a", XLOOKUP(N369, 'Mythical Island'!$C$2:$C889, 'Mythical Island'!$B$2:$B889)-$B$4, OR(P369="A2-Dialga", P369="A2-Palkia", P369="A2"), XLOOKUP(N369, 'Space-Time Smackdown'!$C$2:$C889, 'Space-Time Smackdown'!$B$2:$B889)-$B$4))</f>
        <v/>
      </c>
      <c r="S369" s="277"/>
      <c r="T369" s="277"/>
      <c r="U369" s="277"/>
      <c r="V369" s="278"/>
      <c r="W369" s="443" t="str">
        <f t="array" ref="W369">IFERROR(IFS(OR(U369="A1-Mewtwo", U369="A1-Pikachu", U369="A1-Charizard", U369="A1"), $B$5-XLOOKUP(S369, 'Genetic Apex'!$C$2:$C889, 'Genetic Apex'!$B$2:$B889), U369="A1a", $B$5-XLOOKUP(S369, 'Mythical Island'!$C$2:$C889, 'Mythical Island'!$B$2:$B889), OR(U369="A2-Dialga", U369="A2-Palkia", U369="A2"), $B$5-XLOOKUP(S369, 'Space-Time Smackdown'!$C$2:$C889, 'Space-Time Smackdown'!$B$2:$B889)))</f>
        <v/>
      </c>
      <c r="X369" s="444" t="str">
        <f t="shared" si="3"/>
        <v/>
      </c>
      <c r="Y369" s="445" t="str">
        <f t="shared" si="4"/>
        <v/>
      </c>
      <c r="Z369" s="278"/>
      <c r="AA369" s="466"/>
      <c r="AB369" s="278"/>
      <c r="AC369" s="278"/>
      <c r="AD369" s="278"/>
      <c r="AE369" s="278"/>
      <c r="AF369" s="278"/>
      <c r="AG369" s="278" t="b">
        <f t="shared" si="5"/>
        <v>0</v>
      </c>
      <c r="AH369" s="454"/>
      <c r="AI369" s="278"/>
      <c r="AJ369" s="278"/>
      <c r="AK369" s="278"/>
      <c r="AL369" s="444" t="str">
        <f t="array" ref="AL369">IFERROR(IFS(OR(AJ369="A1-Mewtwo", AJ369="A1-Pikachu", AJ369="A1-Charizard", AJ369="A1"), XLOOKUP(AH369, 'Genetic Apex'!$C$2:$C889, 'Genetic Apex'!$B$2:$B889)-2, AJ369="A1a", XLOOKUP(AH369, 'Mythical Island'!$C$2:$C889, 'Mythical Island'!$B$2:$B889)-2, OR(AJ369="A2-Dialga", AJ369="A2-Palkia", AJ369="A2"), XLOOKUP(AH369, 'Space-Time Smackdown'!$C$2:$C889, 'Space-Time Smackdown'!$B$2:$B889)-2))</f>
        <v/>
      </c>
      <c r="AM369" s="444" t="str">
        <f t="shared" si="6"/>
        <v/>
      </c>
      <c r="AN369" s="448" t="str">
        <f t="shared" si="7"/>
        <v/>
      </c>
    </row>
    <row r="370">
      <c r="A370" s="277"/>
      <c r="B370" s="277"/>
      <c r="C370" s="441"/>
      <c r="D370" s="277"/>
      <c r="E370" s="277"/>
      <c r="F370" s="277"/>
      <c r="G370" s="277"/>
      <c r="H370" s="277" t="b">
        <f t="shared" si="1"/>
        <v>0</v>
      </c>
      <c r="I370" s="277" t="str">
        <f>IFERROR(__xludf.DUMMYFUNCTION("""COMPUTED_VALUE"""),"A1a 080")</f>
        <v>A1a 080</v>
      </c>
      <c r="J370" s="277" t="str">
        <f>IFERROR(__xludf.DUMMYFUNCTION("""COMPUTED_VALUE"""),"Budding Expeditioner")</f>
        <v>Budding Expeditioner</v>
      </c>
      <c r="K370" s="277" t="str">
        <f>IFERROR(__xludf.DUMMYFUNCTION("""COMPUTED_VALUE"""),"A1a")</f>
        <v>A1a</v>
      </c>
      <c r="L370" s="277" t="str">
        <f>IFERROR(__xludf.DUMMYFUNCTION("""COMPUTED_VALUE"""),"☆☆")</f>
        <v>☆☆</v>
      </c>
      <c r="M370" s="440" t="b">
        <f t="shared" si="2"/>
        <v>1</v>
      </c>
      <c r="N370" s="441"/>
      <c r="O370" s="277"/>
      <c r="P370" s="277"/>
      <c r="Q370" s="278"/>
      <c r="R370" s="449" t="str">
        <f t="array" ref="R370">IFERROR(IFS(OR(P370="A1-Mewtwo", P370="A1-Pikachu", P370="A1-Charizard", P370="A1"), XLOOKUP(N370, 'Genetic Apex'!$C$2:$C889, 'Genetic Apex'!$B$2:$B889)-$B$4, P370="A1a", XLOOKUP(N370, 'Mythical Island'!$C$2:$C889, 'Mythical Island'!$B$2:$B889)-$B$4, OR(P370="A2-Dialga", P370="A2-Palkia", P370="A2"), XLOOKUP(N370, 'Space-Time Smackdown'!$C$2:$C889, 'Space-Time Smackdown'!$B$2:$B889)-$B$4))</f>
        <v/>
      </c>
      <c r="S370" s="277"/>
      <c r="T370" s="277"/>
      <c r="U370" s="277"/>
      <c r="V370" s="278"/>
      <c r="W370" s="443" t="str">
        <f t="array" ref="W370">IFERROR(IFS(OR(U370="A1-Mewtwo", U370="A1-Pikachu", U370="A1-Charizard", U370="A1"), $B$5-XLOOKUP(S370, 'Genetic Apex'!$C$2:$C889, 'Genetic Apex'!$B$2:$B889), U370="A1a", $B$5-XLOOKUP(S370, 'Mythical Island'!$C$2:$C889, 'Mythical Island'!$B$2:$B889), OR(U370="A2-Dialga", U370="A2-Palkia", U370="A2"), $B$5-XLOOKUP(S370, 'Space-Time Smackdown'!$C$2:$C889, 'Space-Time Smackdown'!$B$2:$B889)))</f>
        <v/>
      </c>
      <c r="X370" s="444" t="str">
        <f t="shared" si="3"/>
        <v/>
      </c>
      <c r="Y370" s="445" t="str">
        <f t="shared" si="4"/>
        <v/>
      </c>
      <c r="Z370" s="278"/>
      <c r="AA370" s="466"/>
      <c r="AB370" s="278"/>
      <c r="AC370" s="278"/>
      <c r="AD370" s="278"/>
      <c r="AE370" s="278"/>
      <c r="AF370" s="278"/>
      <c r="AG370" s="278" t="b">
        <f t="shared" si="5"/>
        <v>0</v>
      </c>
      <c r="AH370" s="454"/>
      <c r="AI370" s="278"/>
      <c r="AJ370" s="278"/>
      <c r="AK370" s="278"/>
      <c r="AL370" s="444" t="str">
        <f t="array" ref="AL370">IFERROR(IFS(OR(AJ370="A1-Mewtwo", AJ370="A1-Pikachu", AJ370="A1-Charizard", AJ370="A1"), XLOOKUP(AH370, 'Genetic Apex'!$C$2:$C889, 'Genetic Apex'!$B$2:$B889)-2, AJ370="A1a", XLOOKUP(AH370, 'Mythical Island'!$C$2:$C889, 'Mythical Island'!$B$2:$B889)-2, OR(AJ370="A2-Dialga", AJ370="A2-Palkia", AJ370="A2"), XLOOKUP(AH370, 'Space-Time Smackdown'!$C$2:$C889, 'Space-Time Smackdown'!$B$2:$B889)-2))</f>
        <v/>
      </c>
      <c r="AM370" s="444" t="str">
        <f t="shared" si="6"/>
        <v/>
      </c>
      <c r="AN370" s="448" t="str">
        <f t="shared" si="7"/>
        <v/>
      </c>
    </row>
    <row r="371">
      <c r="A371" s="277"/>
      <c r="B371" s="277"/>
      <c r="C371" s="441"/>
      <c r="D371" s="277"/>
      <c r="E371" s="277"/>
      <c r="F371" s="277"/>
      <c r="G371" s="277"/>
      <c r="H371" s="277" t="b">
        <f t="shared" si="1"/>
        <v>0</v>
      </c>
      <c r="I371" s="277" t="str">
        <f>IFERROR(__xludf.DUMMYFUNCTION("""COMPUTED_VALUE"""),"A1a 081")</f>
        <v>A1a 081</v>
      </c>
      <c r="J371" s="277" t="str">
        <f>IFERROR(__xludf.DUMMYFUNCTION("""COMPUTED_VALUE"""),"Blue")</f>
        <v>Blue</v>
      </c>
      <c r="K371" s="277" t="str">
        <f>IFERROR(__xludf.DUMMYFUNCTION("""COMPUTED_VALUE"""),"A1a")</f>
        <v>A1a</v>
      </c>
      <c r="L371" s="277" t="str">
        <f>IFERROR(__xludf.DUMMYFUNCTION("""COMPUTED_VALUE"""),"☆☆")</f>
        <v>☆☆</v>
      </c>
      <c r="M371" s="440" t="b">
        <f t="shared" si="2"/>
        <v>1</v>
      </c>
      <c r="N371" s="441"/>
      <c r="O371" s="277"/>
      <c r="P371" s="277"/>
      <c r="Q371" s="278"/>
      <c r="R371" s="449" t="str">
        <f t="array" ref="R371">IFERROR(IFS(OR(P371="A1-Mewtwo", P371="A1-Pikachu", P371="A1-Charizard", P371="A1"), XLOOKUP(N371, 'Genetic Apex'!$C$2:$C889, 'Genetic Apex'!$B$2:$B889)-$B$4, P371="A1a", XLOOKUP(N371, 'Mythical Island'!$C$2:$C889, 'Mythical Island'!$B$2:$B889)-$B$4, OR(P371="A2-Dialga", P371="A2-Palkia", P371="A2"), XLOOKUP(N371, 'Space-Time Smackdown'!$C$2:$C889, 'Space-Time Smackdown'!$B$2:$B889)-$B$4))</f>
        <v/>
      </c>
      <c r="S371" s="277"/>
      <c r="T371" s="277"/>
      <c r="U371" s="277"/>
      <c r="V371" s="278"/>
      <c r="W371" s="443" t="str">
        <f t="array" ref="W371">IFERROR(IFS(OR(U371="A1-Mewtwo", U371="A1-Pikachu", U371="A1-Charizard", U371="A1"), $B$5-XLOOKUP(S371, 'Genetic Apex'!$C$2:$C889, 'Genetic Apex'!$B$2:$B889), U371="A1a", $B$5-XLOOKUP(S371, 'Mythical Island'!$C$2:$C889, 'Mythical Island'!$B$2:$B889), OR(U371="A2-Dialga", U371="A2-Palkia", U371="A2"), $B$5-XLOOKUP(S371, 'Space-Time Smackdown'!$C$2:$C889, 'Space-Time Smackdown'!$B$2:$B889)))</f>
        <v/>
      </c>
      <c r="X371" s="444" t="str">
        <f t="shared" si="3"/>
        <v/>
      </c>
      <c r="Y371" s="445" t="str">
        <f t="shared" si="4"/>
        <v/>
      </c>
      <c r="Z371" s="278"/>
      <c r="AA371" s="466"/>
      <c r="AB371" s="278"/>
      <c r="AC371" s="278"/>
      <c r="AD371" s="278"/>
      <c r="AE371" s="278"/>
      <c r="AF371" s="278"/>
      <c r="AG371" s="278" t="b">
        <f t="shared" si="5"/>
        <v>0</v>
      </c>
      <c r="AH371" s="454"/>
      <c r="AI371" s="278"/>
      <c r="AJ371" s="278"/>
      <c r="AK371" s="278"/>
      <c r="AL371" s="444" t="str">
        <f t="array" ref="AL371">IFERROR(IFS(OR(AJ371="A1-Mewtwo", AJ371="A1-Pikachu", AJ371="A1-Charizard", AJ371="A1"), XLOOKUP(AH371, 'Genetic Apex'!$C$2:$C889, 'Genetic Apex'!$B$2:$B889)-2, AJ371="A1a", XLOOKUP(AH371, 'Mythical Island'!$C$2:$C889, 'Mythical Island'!$B$2:$B889)-2, OR(AJ371="A2-Dialga", AJ371="A2-Palkia", AJ371="A2"), XLOOKUP(AH371, 'Space-Time Smackdown'!$C$2:$C889, 'Space-Time Smackdown'!$B$2:$B889)-2))</f>
        <v/>
      </c>
      <c r="AM371" s="444" t="str">
        <f t="shared" si="6"/>
        <v/>
      </c>
      <c r="AN371" s="448" t="str">
        <f t="shared" si="7"/>
        <v/>
      </c>
    </row>
    <row r="372">
      <c r="A372" s="277"/>
      <c r="B372" s="277"/>
      <c r="C372" s="441"/>
      <c r="D372" s="277"/>
      <c r="E372" s="277"/>
      <c r="F372" s="277"/>
      <c r="G372" s="277"/>
      <c r="H372" s="277" t="b">
        <f t="shared" si="1"/>
        <v>0</v>
      </c>
      <c r="I372" s="277" t="str">
        <f>IFERROR(__xludf.DUMMYFUNCTION("""COMPUTED_VALUE"""),"A1a 082")</f>
        <v>A1a 082</v>
      </c>
      <c r="J372" s="277" t="str">
        <f>IFERROR(__xludf.DUMMYFUNCTION("""COMPUTED_VALUE"""),"Leaf")</f>
        <v>Leaf</v>
      </c>
      <c r="K372" s="277" t="str">
        <f>IFERROR(__xludf.DUMMYFUNCTION("""COMPUTED_VALUE"""),"A1a")</f>
        <v>A1a</v>
      </c>
      <c r="L372" s="277" t="str">
        <f>IFERROR(__xludf.DUMMYFUNCTION("""COMPUTED_VALUE"""),"☆☆")</f>
        <v>☆☆</v>
      </c>
      <c r="M372" s="440" t="b">
        <f t="shared" si="2"/>
        <v>1</v>
      </c>
      <c r="N372" s="441"/>
      <c r="O372" s="277"/>
      <c r="P372" s="277"/>
      <c r="Q372" s="278"/>
      <c r="R372" s="449" t="str">
        <f t="array" ref="R372">IFERROR(IFS(OR(P372="A1-Mewtwo", P372="A1-Pikachu", P372="A1-Charizard", P372="A1"), XLOOKUP(N372, 'Genetic Apex'!$C$2:$C889, 'Genetic Apex'!$B$2:$B889)-$B$4, P372="A1a", XLOOKUP(N372, 'Mythical Island'!$C$2:$C889, 'Mythical Island'!$B$2:$B889)-$B$4, OR(P372="A2-Dialga", P372="A2-Palkia", P372="A2"), XLOOKUP(N372, 'Space-Time Smackdown'!$C$2:$C889, 'Space-Time Smackdown'!$B$2:$B889)-$B$4))</f>
        <v/>
      </c>
      <c r="S372" s="277"/>
      <c r="T372" s="277"/>
      <c r="U372" s="277"/>
      <c r="V372" s="278"/>
      <c r="W372" s="443" t="str">
        <f t="array" ref="W372">IFERROR(IFS(OR(U372="A1-Mewtwo", U372="A1-Pikachu", U372="A1-Charizard", U372="A1"), $B$5-XLOOKUP(S372, 'Genetic Apex'!$C$2:$C889, 'Genetic Apex'!$B$2:$B889), U372="A1a", $B$5-XLOOKUP(S372, 'Mythical Island'!$C$2:$C889, 'Mythical Island'!$B$2:$B889), OR(U372="A2-Dialga", U372="A2-Palkia", U372="A2"), $B$5-XLOOKUP(S372, 'Space-Time Smackdown'!$C$2:$C889, 'Space-Time Smackdown'!$B$2:$B889)))</f>
        <v/>
      </c>
      <c r="X372" s="444" t="str">
        <f t="shared" si="3"/>
        <v/>
      </c>
      <c r="Y372" s="445" t="str">
        <f t="shared" si="4"/>
        <v/>
      </c>
      <c r="Z372" s="278"/>
      <c r="AA372" s="466"/>
      <c r="AB372" s="278"/>
      <c r="AC372" s="278"/>
      <c r="AD372" s="278"/>
      <c r="AE372" s="278"/>
      <c r="AF372" s="278"/>
      <c r="AG372" s="278" t="b">
        <f t="shared" si="5"/>
        <v>0</v>
      </c>
      <c r="AH372" s="454"/>
      <c r="AI372" s="278"/>
      <c r="AJ372" s="278"/>
      <c r="AK372" s="278"/>
      <c r="AL372" s="444" t="str">
        <f t="array" ref="AL372">IFERROR(IFS(OR(AJ372="A1-Mewtwo", AJ372="A1-Pikachu", AJ372="A1-Charizard", AJ372="A1"), XLOOKUP(AH372, 'Genetic Apex'!$C$2:$C889, 'Genetic Apex'!$B$2:$B889)-2, AJ372="A1a", XLOOKUP(AH372, 'Mythical Island'!$C$2:$C889, 'Mythical Island'!$B$2:$B889)-2, OR(AJ372="A2-Dialga", AJ372="A2-Palkia", AJ372="A2"), XLOOKUP(AH372, 'Space-Time Smackdown'!$C$2:$C889, 'Space-Time Smackdown'!$B$2:$B889)-2))</f>
        <v/>
      </c>
      <c r="AM372" s="444" t="str">
        <f t="shared" si="6"/>
        <v/>
      </c>
      <c r="AN372" s="448" t="str">
        <f t="shared" si="7"/>
        <v/>
      </c>
    </row>
    <row r="373">
      <c r="A373" s="277"/>
      <c r="B373" s="277"/>
      <c r="C373" s="441"/>
      <c r="D373" s="277"/>
      <c r="E373" s="277"/>
      <c r="F373" s="277"/>
      <c r="G373" s="277"/>
      <c r="H373" s="277" t="b">
        <f t="shared" si="1"/>
        <v>0</v>
      </c>
      <c r="I373" s="277" t="str">
        <f>IFERROR(__xludf.DUMMYFUNCTION("""COMPUTED_VALUE"""),"A1a 083")</f>
        <v>A1a 083</v>
      </c>
      <c r="J373" s="277" t="str">
        <f>IFERROR(__xludf.DUMMYFUNCTION("""COMPUTED_VALUE"""),"Mew ex")</f>
        <v>Mew ex</v>
      </c>
      <c r="K373" s="277" t="str">
        <f>IFERROR(__xludf.DUMMYFUNCTION("""COMPUTED_VALUE"""),"A1a")</f>
        <v>A1a</v>
      </c>
      <c r="L373" s="277" t="str">
        <f>IFERROR(__xludf.DUMMYFUNCTION("""COMPUTED_VALUE"""),"☆☆")</f>
        <v>☆☆</v>
      </c>
      <c r="M373" s="440" t="b">
        <f t="shared" si="2"/>
        <v>1</v>
      </c>
      <c r="N373" s="441"/>
      <c r="O373" s="277"/>
      <c r="P373" s="277"/>
      <c r="Q373" s="278"/>
      <c r="R373" s="449" t="str">
        <f t="array" ref="R373">IFERROR(IFS(OR(P373="A1-Mewtwo", P373="A1-Pikachu", P373="A1-Charizard", P373="A1"), XLOOKUP(N373, 'Genetic Apex'!$C$2:$C889, 'Genetic Apex'!$B$2:$B889)-$B$4, P373="A1a", XLOOKUP(N373, 'Mythical Island'!$C$2:$C889, 'Mythical Island'!$B$2:$B889)-$B$4, OR(P373="A2-Dialga", P373="A2-Palkia", P373="A2"), XLOOKUP(N373, 'Space-Time Smackdown'!$C$2:$C889, 'Space-Time Smackdown'!$B$2:$B889)-$B$4))</f>
        <v/>
      </c>
      <c r="S373" s="277"/>
      <c r="T373" s="277"/>
      <c r="U373" s="277"/>
      <c r="V373" s="278"/>
      <c r="W373" s="443" t="str">
        <f t="array" ref="W373">IFERROR(IFS(OR(U373="A1-Mewtwo", U373="A1-Pikachu", U373="A1-Charizard", U373="A1"), $B$5-XLOOKUP(S373, 'Genetic Apex'!$C$2:$C889, 'Genetic Apex'!$B$2:$B889), U373="A1a", $B$5-XLOOKUP(S373, 'Mythical Island'!$C$2:$C889, 'Mythical Island'!$B$2:$B889), OR(U373="A2-Dialga", U373="A2-Palkia", U373="A2"), $B$5-XLOOKUP(S373, 'Space-Time Smackdown'!$C$2:$C889, 'Space-Time Smackdown'!$B$2:$B889)))</f>
        <v/>
      </c>
      <c r="X373" s="444" t="str">
        <f t="shared" si="3"/>
        <v/>
      </c>
      <c r="Y373" s="445" t="str">
        <f t="shared" si="4"/>
        <v/>
      </c>
      <c r="Z373" s="278"/>
      <c r="AA373" s="466"/>
      <c r="AB373" s="278"/>
      <c r="AC373" s="278"/>
      <c r="AD373" s="278"/>
      <c r="AE373" s="278"/>
      <c r="AF373" s="278"/>
      <c r="AG373" s="278" t="b">
        <f t="shared" si="5"/>
        <v>0</v>
      </c>
      <c r="AH373" s="454"/>
      <c r="AI373" s="278"/>
      <c r="AJ373" s="278"/>
      <c r="AK373" s="278"/>
      <c r="AL373" s="444" t="str">
        <f t="array" ref="AL373">IFERROR(IFS(OR(AJ373="A1-Mewtwo", AJ373="A1-Pikachu", AJ373="A1-Charizard", AJ373="A1"), XLOOKUP(AH373, 'Genetic Apex'!$C$2:$C889, 'Genetic Apex'!$B$2:$B889)-2, AJ373="A1a", XLOOKUP(AH373, 'Mythical Island'!$C$2:$C889, 'Mythical Island'!$B$2:$B889)-2, OR(AJ373="A2-Dialga", AJ373="A2-Palkia", AJ373="A2"), XLOOKUP(AH373, 'Space-Time Smackdown'!$C$2:$C889, 'Space-Time Smackdown'!$B$2:$B889)-2))</f>
        <v/>
      </c>
      <c r="AM373" s="444" t="str">
        <f t="shared" si="6"/>
        <v/>
      </c>
      <c r="AN373" s="448" t="str">
        <f t="shared" si="7"/>
        <v/>
      </c>
    </row>
    <row r="374">
      <c r="A374" s="277"/>
      <c r="B374" s="277"/>
      <c r="C374" s="441"/>
      <c r="D374" s="277"/>
      <c r="E374" s="277"/>
      <c r="F374" s="277"/>
      <c r="G374" s="277"/>
      <c r="H374" s="277" t="b">
        <f t="shared" si="1"/>
        <v>0</v>
      </c>
      <c r="I374" s="277" t="str">
        <f>IFERROR(__xludf.DUMMYFUNCTION("""COMPUTED_VALUE"""),"A1a 084")</f>
        <v>A1a 084</v>
      </c>
      <c r="J374" s="277" t="str">
        <f>IFERROR(__xludf.DUMMYFUNCTION("""COMPUTED_VALUE"""),"Aerodactyl ex")</f>
        <v>Aerodactyl ex</v>
      </c>
      <c r="K374" s="277" t="str">
        <f>IFERROR(__xludf.DUMMYFUNCTION("""COMPUTED_VALUE"""),"A1a")</f>
        <v>A1a</v>
      </c>
      <c r="L374" s="277" t="str">
        <f>IFERROR(__xludf.DUMMYFUNCTION("""COMPUTED_VALUE"""),"☆☆")</f>
        <v>☆☆</v>
      </c>
      <c r="M374" s="440" t="b">
        <f t="shared" si="2"/>
        <v>1</v>
      </c>
      <c r="N374" s="441"/>
      <c r="O374" s="277"/>
      <c r="P374" s="277"/>
      <c r="Q374" s="278"/>
      <c r="R374" s="449" t="str">
        <f t="array" ref="R374">IFERROR(IFS(OR(P374="A1-Mewtwo", P374="A1-Pikachu", P374="A1-Charizard", P374="A1"), XLOOKUP(N374, 'Genetic Apex'!$C$2:$C889, 'Genetic Apex'!$B$2:$B889)-$B$4, P374="A1a", XLOOKUP(N374, 'Mythical Island'!$C$2:$C889, 'Mythical Island'!$B$2:$B889)-$B$4, OR(P374="A2-Dialga", P374="A2-Palkia", P374="A2"), XLOOKUP(N374, 'Space-Time Smackdown'!$C$2:$C889, 'Space-Time Smackdown'!$B$2:$B889)-$B$4))</f>
        <v/>
      </c>
      <c r="S374" s="277"/>
      <c r="T374" s="277"/>
      <c r="U374" s="277"/>
      <c r="V374" s="278"/>
      <c r="W374" s="443" t="str">
        <f t="array" ref="W374">IFERROR(IFS(OR(U374="A1-Mewtwo", U374="A1-Pikachu", U374="A1-Charizard", U374="A1"), $B$5-XLOOKUP(S374, 'Genetic Apex'!$C$2:$C889, 'Genetic Apex'!$B$2:$B889), U374="A1a", $B$5-XLOOKUP(S374, 'Mythical Island'!$C$2:$C889, 'Mythical Island'!$B$2:$B889), OR(U374="A2-Dialga", U374="A2-Palkia", U374="A2"), $B$5-XLOOKUP(S374, 'Space-Time Smackdown'!$C$2:$C889, 'Space-Time Smackdown'!$B$2:$B889)))</f>
        <v/>
      </c>
      <c r="X374" s="444" t="str">
        <f t="shared" si="3"/>
        <v/>
      </c>
      <c r="Y374" s="445" t="str">
        <f t="shared" si="4"/>
        <v/>
      </c>
      <c r="Z374" s="278"/>
      <c r="AA374" s="466"/>
      <c r="AB374" s="278"/>
      <c r="AC374" s="278"/>
      <c r="AD374" s="278"/>
      <c r="AE374" s="278"/>
      <c r="AF374" s="278"/>
      <c r="AG374" s="278" t="b">
        <f t="shared" si="5"/>
        <v>0</v>
      </c>
      <c r="AH374" s="454"/>
      <c r="AI374" s="278"/>
      <c r="AJ374" s="278"/>
      <c r="AK374" s="278"/>
      <c r="AL374" s="444" t="str">
        <f t="array" ref="AL374">IFERROR(IFS(OR(AJ374="A1-Mewtwo", AJ374="A1-Pikachu", AJ374="A1-Charizard", AJ374="A1"), XLOOKUP(AH374, 'Genetic Apex'!$C$2:$C889, 'Genetic Apex'!$B$2:$B889)-2, AJ374="A1a", XLOOKUP(AH374, 'Mythical Island'!$C$2:$C889, 'Mythical Island'!$B$2:$B889)-2, OR(AJ374="A2-Dialga", AJ374="A2-Palkia", AJ374="A2"), XLOOKUP(AH374, 'Space-Time Smackdown'!$C$2:$C889, 'Space-Time Smackdown'!$B$2:$B889)-2))</f>
        <v/>
      </c>
      <c r="AM374" s="444" t="str">
        <f t="shared" si="6"/>
        <v/>
      </c>
      <c r="AN374" s="448" t="str">
        <f t="shared" si="7"/>
        <v/>
      </c>
    </row>
    <row r="375">
      <c r="A375" s="277"/>
      <c r="B375" s="277"/>
      <c r="C375" s="441"/>
      <c r="D375" s="277"/>
      <c r="E375" s="277"/>
      <c r="F375" s="277"/>
      <c r="G375" s="277"/>
      <c r="H375" s="277" t="b">
        <f t="shared" si="1"/>
        <v>0</v>
      </c>
      <c r="I375" s="277" t="str">
        <f>IFERROR(__xludf.DUMMYFUNCTION("""COMPUTED_VALUE"""),"A1a 085")</f>
        <v>A1a 085</v>
      </c>
      <c r="J375" s="277" t="str">
        <f>IFERROR(__xludf.DUMMYFUNCTION("""COMPUTED_VALUE"""),"Celebi ex")</f>
        <v>Celebi ex</v>
      </c>
      <c r="K375" s="277" t="str">
        <f>IFERROR(__xludf.DUMMYFUNCTION("""COMPUTED_VALUE"""),"A1a")</f>
        <v>A1a</v>
      </c>
      <c r="L375" s="277" t="str">
        <f>IFERROR(__xludf.DUMMYFUNCTION("""COMPUTED_VALUE"""),"☆☆☆")</f>
        <v>☆☆☆</v>
      </c>
      <c r="M375" s="440" t="b">
        <f t="shared" si="2"/>
        <v>1</v>
      </c>
      <c r="N375" s="441"/>
      <c r="O375" s="277"/>
      <c r="P375" s="277"/>
      <c r="Q375" s="278"/>
      <c r="R375" s="449" t="str">
        <f t="array" ref="R375">IFERROR(IFS(OR(P375="A1-Mewtwo", P375="A1-Pikachu", P375="A1-Charizard", P375="A1"), XLOOKUP(N375, 'Genetic Apex'!$C$2:$C889, 'Genetic Apex'!$B$2:$B889)-$B$4, P375="A1a", XLOOKUP(N375, 'Mythical Island'!$C$2:$C889, 'Mythical Island'!$B$2:$B889)-$B$4, OR(P375="A2-Dialga", P375="A2-Palkia", P375="A2"), XLOOKUP(N375, 'Space-Time Smackdown'!$C$2:$C889, 'Space-Time Smackdown'!$B$2:$B889)-$B$4))</f>
        <v/>
      </c>
      <c r="S375" s="277"/>
      <c r="T375" s="277"/>
      <c r="U375" s="277"/>
      <c r="V375" s="278"/>
      <c r="W375" s="443" t="str">
        <f t="array" ref="W375">IFERROR(IFS(OR(U375="A1-Mewtwo", U375="A1-Pikachu", U375="A1-Charizard", U375="A1"), $B$5-XLOOKUP(S375, 'Genetic Apex'!$C$2:$C889, 'Genetic Apex'!$B$2:$B889), U375="A1a", $B$5-XLOOKUP(S375, 'Mythical Island'!$C$2:$C889, 'Mythical Island'!$B$2:$B889), OR(U375="A2-Dialga", U375="A2-Palkia", U375="A2"), $B$5-XLOOKUP(S375, 'Space-Time Smackdown'!$C$2:$C889, 'Space-Time Smackdown'!$B$2:$B889)))</f>
        <v/>
      </c>
      <c r="X375" s="444" t="str">
        <f t="shared" si="3"/>
        <v/>
      </c>
      <c r="Y375" s="445" t="str">
        <f t="shared" si="4"/>
        <v/>
      </c>
      <c r="Z375" s="278"/>
      <c r="AA375" s="466"/>
      <c r="AB375" s="278"/>
      <c r="AC375" s="278"/>
      <c r="AD375" s="278"/>
      <c r="AE375" s="278"/>
      <c r="AF375" s="278"/>
      <c r="AG375" s="278" t="b">
        <f t="shared" si="5"/>
        <v>0</v>
      </c>
      <c r="AH375" s="454"/>
      <c r="AI375" s="278"/>
      <c r="AJ375" s="278"/>
      <c r="AK375" s="278"/>
      <c r="AL375" s="444" t="str">
        <f t="array" ref="AL375">IFERROR(IFS(OR(AJ375="A1-Mewtwo", AJ375="A1-Pikachu", AJ375="A1-Charizard", AJ375="A1"), XLOOKUP(AH375, 'Genetic Apex'!$C$2:$C889, 'Genetic Apex'!$B$2:$B889)-2, AJ375="A1a", XLOOKUP(AH375, 'Mythical Island'!$C$2:$C889, 'Mythical Island'!$B$2:$B889)-2, OR(AJ375="A2-Dialga", AJ375="A2-Palkia", AJ375="A2"), XLOOKUP(AH375, 'Space-Time Smackdown'!$C$2:$C889, 'Space-Time Smackdown'!$B$2:$B889)-2))</f>
        <v/>
      </c>
      <c r="AM375" s="444" t="str">
        <f t="shared" si="6"/>
        <v/>
      </c>
      <c r="AN375" s="448" t="str">
        <f t="shared" si="7"/>
        <v/>
      </c>
    </row>
    <row r="376">
      <c r="A376" s="277"/>
      <c r="B376" s="277"/>
      <c r="C376" s="441"/>
      <c r="D376" s="277"/>
      <c r="E376" s="277"/>
      <c r="F376" s="277"/>
      <c r="G376" s="277"/>
      <c r="H376" s="277" t="b">
        <f t="shared" si="1"/>
        <v>0</v>
      </c>
      <c r="I376" s="277" t="str">
        <f>IFERROR(__xludf.DUMMYFUNCTION("""COMPUTED_VALUE"""),"A1a 086")</f>
        <v>A1a 086</v>
      </c>
      <c r="J376" s="277" t="str">
        <f>IFERROR(__xludf.DUMMYFUNCTION("""COMPUTED_VALUE"""),"Mew ex")</f>
        <v>Mew ex</v>
      </c>
      <c r="K376" s="277" t="str">
        <f>IFERROR(__xludf.DUMMYFUNCTION("""COMPUTED_VALUE"""),"A1a")</f>
        <v>A1a</v>
      </c>
      <c r="L376" s="277" t="str">
        <f>IFERROR(__xludf.DUMMYFUNCTION("""COMPUTED_VALUE"""),"♛")</f>
        <v>♛</v>
      </c>
      <c r="M376" s="440" t="b">
        <f t="shared" si="2"/>
        <v>1</v>
      </c>
      <c r="N376" s="441"/>
      <c r="O376" s="277"/>
      <c r="P376" s="277"/>
      <c r="Q376" s="278"/>
      <c r="R376" s="449" t="str">
        <f t="array" ref="R376">IFERROR(IFS(OR(P376="A1-Mewtwo", P376="A1-Pikachu", P376="A1-Charizard", P376="A1"), XLOOKUP(N376, 'Genetic Apex'!$C$2:$C889, 'Genetic Apex'!$B$2:$B889)-$B$4, P376="A1a", XLOOKUP(N376, 'Mythical Island'!$C$2:$C889, 'Mythical Island'!$B$2:$B889)-$B$4, OR(P376="A2-Dialga", P376="A2-Palkia", P376="A2"), XLOOKUP(N376, 'Space-Time Smackdown'!$C$2:$C889, 'Space-Time Smackdown'!$B$2:$B889)-$B$4))</f>
        <v/>
      </c>
      <c r="S376" s="277"/>
      <c r="T376" s="277"/>
      <c r="U376" s="277"/>
      <c r="V376" s="278"/>
      <c r="W376" s="443" t="str">
        <f t="array" ref="W376">IFERROR(IFS(OR(U376="A1-Mewtwo", U376="A1-Pikachu", U376="A1-Charizard", U376="A1"), $B$5-XLOOKUP(S376, 'Genetic Apex'!$C$2:$C889, 'Genetic Apex'!$B$2:$B889), U376="A1a", $B$5-XLOOKUP(S376, 'Mythical Island'!$C$2:$C889, 'Mythical Island'!$B$2:$B889), OR(U376="A2-Dialga", U376="A2-Palkia", U376="A2"), $B$5-XLOOKUP(S376, 'Space-Time Smackdown'!$C$2:$C889, 'Space-Time Smackdown'!$B$2:$B889)))</f>
        <v/>
      </c>
      <c r="X376" s="444" t="str">
        <f t="shared" si="3"/>
        <v/>
      </c>
      <c r="Y376" s="445" t="str">
        <f t="shared" si="4"/>
        <v/>
      </c>
      <c r="Z376" s="278"/>
      <c r="AA376" s="466"/>
      <c r="AB376" s="278"/>
      <c r="AC376" s="278"/>
      <c r="AD376" s="278"/>
      <c r="AE376" s="278"/>
      <c r="AF376" s="278"/>
      <c r="AG376" s="278" t="b">
        <f t="shared" si="5"/>
        <v>0</v>
      </c>
      <c r="AH376" s="454"/>
      <c r="AI376" s="278"/>
      <c r="AJ376" s="278"/>
      <c r="AK376" s="278"/>
      <c r="AL376" s="444" t="str">
        <f t="array" ref="AL376">IFERROR(IFS(OR(AJ376="A1-Mewtwo", AJ376="A1-Pikachu", AJ376="A1-Charizard", AJ376="A1"), XLOOKUP(AH376, 'Genetic Apex'!$C$2:$C889, 'Genetic Apex'!$B$2:$B889)-2, AJ376="A1a", XLOOKUP(AH376, 'Mythical Island'!$C$2:$C889, 'Mythical Island'!$B$2:$B889)-2, OR(AJ376="A2-Dialga", AJ376="A2-Palkia", AJ376="A2"), XLOOKUP(AH376, 'Space-Time Smackdown'!$C$2:$C889, 'Space-Time Smackdown'!$B$2:$B889)-2))</f>
        <v/>
      </c>
      <c r="AM376" s="444" t="str">
        <f t="shared" si="6"/>
        <v/>
      </c>
      <c r="AN376" s="448" t="str">
        <f t="shared" si="7"/>
        <v/>
      </c>
    </row>
    <row r="377">
      <c r="A377" s="277"/>
      <c r="B377" s="277"/>
      <c r="C377" s="441"/>
      <c r="D377" s="277"/>
      <c r="E377" s="277"/>
      <c r="F377" s="277"/>
      <c r="G377" s="277"/>
      <c r="H377" s="277" t="b">
        <f t="shared" si="1"/>
        <v>0</v>
      </c>
      <c r="I377" s="277"/>
      <c r="J377" s="277"/>
      <c r="K377" s="277"/>
      <c r="L377" s="277"/>
      <c r="M377" s="440" t="b">
        <f t="shared" si="2"/>
        <v>0</v>
      </c>
      <c r="N377" s="441"/>
      <c r="O377" s="277"/>
      <c r="P377" s="277"/>
      <c r="Q377" s="278"/>
      <c r="R377" s="449" t="str">
        <f t="array" ref="R377">IFERROR(IFS(OR(P377="A1-Mewtwo", P377="A1-Pikachu", P377="A1-Charizard", P377="A1"), XLOOKUP(N377, 'Genetic Apex'!$C$2:$C889, 'Genetic Apex'!$B$2:$B889)-$B$4, P377="A1a", XLOOKUP(N377, 'Mythical Island'!$C$2:$C889, 'Mythical Island'!$B$2:$B889)-$B$4, OR(P377="A2-Dialga", P377="A2-Palkia", P377="A2"), XLOOKUP(N377, 'Space-Time Smackdown'!$C$2:$C889, 'Space-Time Smackdown'!$B$2:$B889)-$B$4))</f>
        <v/>
      </c>
      <c r="S377" s="277"/>
      <c r="T377" s="277"/>
      <c r="U377" s="277"/>
      <c r="V377" s="278"/>
      <c r="W377" s="443" t="str">
        <f t="array" ref="W377">IFERROR(IFS(OR(U377="A1-Mewtwo", U377="A1-Pikachu", U377="A1-Charizard", U377="A1"), $B$5-XLOOKUP(S377, 'Genetic Apex'!$C$2:$C889, 'Genetic Apex'!$B$2:$B889), U377="A1a", $B$5-XLOOKUP(S377, 'Mythical Island'!$C$2:$C889, 'Mythical Island'!$B$2:$B889), OR(U377="A2-Dialga", U377="A2-Palkia", U377="A2"), $B$5-XLOOKUP(S377, 'Space-Time Smackdown'!$C$2:$C889, 'Space-Time Smackdown'!$B$2:$B889)))</f>
        <v/>
      </c>
      <c r="X377" s="444" t="str">
        <f t="shared" si="3"/>
        <v/>
      </c>
      <c r="Y377" s="445" t="str">
        <f t="shared" si="4"/>
        <v/>
      </c>
      <c r="Z377" s="278"/>
      <c r="AA377" s="466"/>
      <c r="AB377" s="278"/>
      <c r="AC377" s="278"/>
      <c r="AD377" s="278"/>
      <c r="AE377" s="278"/>
      <c r="AF377" s="278"/>
      <c r="AG377" s="278" t="b">
        <f t="shared" si="5"/>
        <v>0</v>
      </c>
      <c r="AH377" s="454"/>
      <c r="AI377" s="278"/>
      <c r="AJ377" s="278"/>
      <c r="AK377" s="278"/>
      <c r="AL377" s="444" t="str">
        <f t="array" ref="AL377">IFERROR(IFS(OR(AJ377="A1-Mewtwo", AJ377="A1-Pikachu", AJ377="A1-Charizard", AJ377="A1"), XLOOKUP(AH377, 'Genetic Apex'!$C$2:$C889, 'Genetic Apex'!$B$2:$B889)-2, AJ377="A1a", XLOOKUP(AH377, 'Mythical Island'!$C$2:$C889, 'Mythical Island'!$B$2:$B889)-2, OR(AJ377="A2-Dialga", AJ377="A2-Palkia", AJ377="A2"), XLOOKUP(AH377, 'Space-Time Smackdown'!$C$2:$C889, 'Space-Time Smackdown'!$B$2:$B889)-2))</f>
        <v/>
      </c>
      <c r="AM377" s="444" t="str">
        <f t="shared" si="6"/>
        <v/>
      </c>
      <c r="AN377" s="448" t="str">
        <f t="shared" si="7"/>
        <v/>
      </c>
    </row>
    <row r="378">
      <c r="A378" s="277"/>
      <c r="B378" s="277"/>
      <c r="C378" s="441"/>
      <c r="D378" s="277"/>
      <c r="E378" s="277"/>
      <c r="F378" s="277"/>
      <c r="G378" s="277"/>
      <c r="H378" s="277" t="b">
        <f t="shared" si="1"/>
        <v>0</v>
      </c>
      <c r="I378" s="277" t="str">
        <f>IFERROR(__xludf.DUMMYFUNCTION("""COMPUTED_VALUE"""),"A2 001")</f>
        <v>A2 001</v>
      </c>
      <c r="J378" s="277" t="str">
        <f>IFERROR(__xludf.DUMMYFUNCTION("""COMPUTED_VALUE"""),"Oddish")</f>
        <v>Oddish</v>
      </c>
      <c r="K378" s="277" t="str">
        <f>IFERROR(__xludf.DUMMYFUNCTION("""COMPUTED_VALUE"""),"A2")</f>
        <v>A2</v>
      </c>
      <c r="L378" s="277" t="str">
        <f>IFERROR(__xludf.DUMMYFUNCTION("""COMPUTED_VALUE"""),"♢")</f>
        <v>♢</v>
      </c>
      <c r="M378" s="440" t="b">
        <f t="shared" si="2"/>
        <v>0</v>
      </c>
      <c r="N378" s="441"/>
      <c r="O378" s="277"/>
      <c r="P378" s="277"/>
      <c r="Q378" s="278"/>
      <c r="R378" s="449" t="str">
        <f t="array" ref="R378">IFERROR(IFS(OR(P378="A1-Mewtwo", P378="A1-Pikachu", P378="A1-Charizard", P378="A1"), XLOOKUP(N378, 'Genetic Apex'!$C$2:$C889, 'Genetic Apex'!$B$2:$B889)-$B$4, P378="A1a", XLOOKUP(N378, 'Mythical Island'!$C$2:$C889, 'Mythical Island'!$B$2:$B889)-$B$4, OR(P378="A2-Dialga", P378="A2-Palkia", P378="A2"), XLOOKUP(N378, 'Space-Time Smackdown'!$C$2:$C889, 'Space-Time Smackdown'!$B$2:$B889)-$B$4))</f>
        <v/>
      </c>
      <c r="S378" s="277"/>
      <c r="T378" s="277"/>
      <c r="U378" s="277"/>
      <c r="V378" s="278"/>
      <c r="W378" s="443" t="str">
        <f t="array" ref="W378">IFERROR(IFS(OR(U378="A1-Mewtwo", U378="A1-Pikachu", U378="A1-Charizard", U378="A1"), $B$5-XLOOKUP(S378, 'Genetic Apex'!$C$2:$C889, 'Genetic Apex'!$B$2:$B889), U378="A1a", $B$5-XLOOKUP(S378, 'Mythical Island'!$C$2:$C889, 'Mythical Island'!$B$2:$B889), OR(U378="A2-Dialga", U378="A2-Palkia", U378="A2"), $B$5-XLOOKUP(S378, 'Space-Time Smackdown'!$C$2:$C889, 'Space-Time Smackdown'!$B$2:$B889)))</f>
        <v/>
      </c>
      <c r="X378" s="444" t="str">
        <f t="shared" si="3"/>
        <v/>
      </c>
      <c r="Y378" s="445" t="str">
        <f t="shared" si="4"/>
        <v/>
      </c>
      <c r="Z378" s="278"/>
      <c r="AA378" s="466"/>
      <c r="AB378" s="278"/>
      <c r="AC378" s="278"/>
      <c r="AD378" s="278"/>
      <c r="AE378" s="278"/>
      <c r="AF378" s="278"/>
      <c r="AG378" s="278" t="b">
        <f t="shared" si="5"/>
        <v>0</v>
      </c>
      <c r="AH378" s="454"/>
      <c r="AI378" s="278"/>
      <c r="AJ378" s="278"/>
      <c r="AK378" s="278"/>
      <c r="AL378" s="444" t="str">
        <f t="array" ref="AL378">IFERROR(IFS(OR(AJ378="A1-Mewtwo", AJ378="A1-Pikachu", AJ378="A1-Charizard", AJ378="A1"), XLOOKUP(AH378, 'Genetic Apex'!$C$2:$C889, 'Genetic Apex'!$B$2:$B889)-2, AJ378="A1a", XLOOKUP(AH378, 'Mythical Island'!$C$2:$C889, 'Mythical Island'!$B$2:$B889)-2, OR(AJ378="A2-Dialga", AJ378="A2-Palkia", AJ378="A2"), XLOOKUP(AH378, 'Space-Time Smackdown'!$C$2:$C889, 'Space-Time Smackdown'!$B$2:$B889)-2))</f>
        <v/>
      </c>
      <c r="AM378" s="444" t="str">
        <f t="shared" si="6"/>
        <v/>
      </c>
      <c r="AN378" s="448" t="str">
        <f t="shared" si="7"/>
        <v/>
      </c>
    </row>
    <row r="379">
      <c r="A379" s="277"/>
      <c r="B379" s="277"/>
      <c r="C379" s="441"/>
      <c r="D379" s="277"/>
      <c r="E379" s="277"/>
      <c r="F379" s="277"/>
      <c r="G379" s="277"/>
      <c r="H379" s="277" t="b">
        <f t="shared" si="1"/>
        <v>0</v>
      </c>
      <c r="I379" s="277" t="str">
        <f>IFERROR(__xludf.DUMMYFUNCTION("""COMPUTED_VALUE"""),"A2 002")</f>
        <v>A2 002</v>
      </c>
      <c r="J379" s="277" t="str">
        <f>IFERROR(__xludf.DUMMYFUNCTION("""COMPUTED_VALUE"""),"Gloom")</f>
        <v>Gloom</v>
      </c>
      <c r="K379" s="277" t="str">
        <f>IFERROR(__xludf.DUMMYFUNCTION("""COMPUTED_VALUE"""),"A2")</f>
        <v>A2</v>
      </c>
      <c r="L379" s="277" t="str">
        <f>IFERROR(__xludf.DUMMYFUNCTION("""COMPUTED_VALUE"""),"♢")</f>
        <v>♢</v>
      </c>
      <c r="M379" s="440" t="b">
        <f t="shared" si="2"/>
        <v>0</v>
      </c>
      <c r="N379" s="441"/>
      <c r="O379" s="277"/>
      <c r="P379" s="277"/>
      <c r="Q379" s="278"/>
      <c r="R379" s="449" t="str">
        <f t="array" ref="R379">IFERROR(IFS(OR(P379="A1-Mewtwo", P379="A1-Pikachu", P379="A1-Charizard", P379="A1"), XLOOKUP(N379, 'Genetic Apex'!$C$2:$C889, 'Genetic Apex'!$B$2:$B889)-$B$4, P379="A1a", XLOOKUP(N379, 'Mythical Island'!$C$2:$C889, 'Mythical Island'!$B$2:$B889)-$B$4, OR(P379="A2-Dialga", P379="A2-Palkia", P379="A2"), XLOOKUP(N379, 'Space-Time Smackdown'!$C$2:$C889, 'Space-Time Smackdown'!$B$2:$B889)-$B$4))</f>
        <v/>
      </c>
      <c r="S379" s="277"/>
      <c r="T379" s="277"/>
      <c r="U379" s="277"/>
      <c r="V379" s="278"/>
      <c r="W379" s="443" t="str">
        <f t="array" ref="W379">IFERROR(IFS(OR(U379="A1-Mewtwo", U379="A1-Pikachu", U379="A1-Charizard", U379="A1"), $B$5-XLOOKUP(S379, 'Genetic Apex'!$C$2:$C889, 'Genetic Apex'!$B$2:$B889), U379="A1a", $B$5-XLOOKUP(S379, 'Mythical Island'!$C$2:$C889, 'Mythical Island'!$B$2:$B889), OR(U379="A2-Dialga", U379="A2-Palkia", U379="A2"), $B$5-XLOOKUP(S379, 'Space-Time Smackdown'!$C$2:$C889, 'Space-Time Smackdown'!$B$2:$B889)))</f>
        <v/>
      </c>
      <c r="X379" s="444" t="str">
        <f t="shared" si="3"/>
        <v/>
      </c>
      <c r="Y379" s="445" t="str">
        <f t="shared" si="4"/>
        <v/>
      </c>
      <c r="Z379" s="278"/>
      <c r="AA379" s="466"/>
      <c r="AB379" s="278"/>
      <c r="AC379" s="278"/>
      <c r="AD379" s="278"/>
      <c r="AE379" s="278"/>
      <c r="AF379" s="278"/>
      <c r="AG379" s="278" t="b">
        <f t="shared" si="5"/>
        <v>0</v>
      </c>
      <c r="AH379" s="454"/>
      <c r="AI379" s="278"/>
      <c r="AJ379" s="278"/>
      <c r="AK379" s="278"/>
      <c r="AL379" s="444" t="str">
        <f t="array" ref="AL379">IFERROR(IFS(OR(AJ379="A1-Mewtwo", AJ379="A1-Pikachu", AJ379="A1-Charizard", AJ379="A1"), XLOOKUP(AH379, 'Genetic Apex'!$C$2:$C889, 'Genetic Apex'!$B$2:$B889)-2, AJ379="A1a", XLOOKUP(AH379, 'Mythical Island'!$C$2:$C889, 'Mythical Island'!$B$2:$B889)-2, OR(AJ379="A2-Dialga", AJ379="A2-Palkia", AJ379="A2"), XLOOKUP(AH379, 'Space-Time Smackdown'!$C$2:$C889, 'Space-Time Smackdown'!$B$2:$B889)-2))</f>
        <v/>
      </c>
      <c r="AM379" s="444" t="str">
        <f t="shared" si="6"/>
        <v/>
      </c>
      <c r="AN379" s="448" t="str">
        <f t="shared" si="7"/>
        <v/>
      </c>
    </row>
    <row r="380">
      <c r="A380" s="277"/>
      <c r="B380" s="277"/>
      <c r="C380" s="441"/>
      <c r="D380" s="277"/>
      <c r="E380" s="277"/>
      <c r="F380" s="277"/>
      <c r="G380" s="277"/>
      <c r="H380" s="277" t="b">
        <f t="shared" si="1"/>
        <v>0</v>
      </c>
      <c r="I380" s="277" t="str">
        <f>IFERROR(__xludf.DUMMYFUNCTION("""COMPUTED_VALUE"""),"A2 003")</f>
        <v>A2 003</v>
      </c>
      <c r="J380" s="277" t="str">
        <f>IFERROR(__xludf.DUMMYFUNCTION("""COMPUTED_VALUE"""),"Bellossom")</f>
        <v>Bellossom</v>
      </c>
      <c r="K380" s="277" t="str">
        <f>IFERROR(__xludf.DUMMYFUNCTION("""COMPUTED_VALUE"""),"A2")</f>
        <v>A2</v>
      </c>
      <c r="L380" s="277" t="str">
        <f>IFERROR(__xludf.DUMMYFUNCTION("""COMPUTED_VALUE"""),"♢♢")</f>
        <v>♢♢</v>
      </c>
      <c r="M380" s="440" t="b">
        <f t="shared" si="2"/>
        <v>0</v>
      </c>
      <c r="N380" s="441"/>
      <c r="O380" s="277"/>
      <c r="P380" s="277"/>
      <c r="Q380" s="278"/>
      <c r="R380" s="449" t="str">
        <f t="array" ref="R380">IFERROR(IFS(OR(P380="A1-Mewtwo", P380="A1-Pikachu", P380="A1-Charizard", P380="A1"), XLOOKUP(N380, 'Genetic Apex'!$C$2:$C889, 'Genetic Apex'!$B$2:$B889)-$B$4, P380="A1a", XLOOKUP(N380, 'Mythical Island'!$C$2:$C889, 'Mythical Island'!$B$2:$B889)-$B$4, OR(P380="A2-Dialga", P380="A2-Palkia", P380="A2"), XLOOKUP(N380, 'Space-Time Smackdown'!$C$2:$C889, 'Space-Time Smackdown'!$B$2:$B889)-$B$4))</f>
        <v/>
      </c>
      <c r="S380" s="277"/>
      <c r="T380" s="277"/>
      <c r="U380" s="277"/>
      <c r="V380" s="278"/>
      <c r="W380" s="443" t="str">
        <f t="array" ref="W380">IFERROR(IFS(OR(U380="A1-Mewtwo", U380="A1-Pikachu", U380="A1-Charizard", U380="A1"), $B$5-XLOOKUP(S380, 'Genetic Apex'!$C$2:$C889, 'Genetic Apex'!$B$2:$B889), U380="A1a", $B$5-XLOOKUP(S380, 'Mythical Island'!$C$2:$C889, 'Mythical Island'!$B$2:$B889), OR(U380="A2-Dialga", U380="A2-Palkia", U380="A2"), $B$5-XLOOKUP(S380, 'Space-Time Smackdown'!$C$2:$C889, 'Space-Time Smackdown'!$B$2:$B889)))</f>
        <v/>
      </c>
      <c r="X380" s="444" t="str">
        <f t="shared" si="3"/>
        <v/>
      </c>
      <c r="Y380" s="445" t="str">
        <f t="shared" si="4"/>
        <v/>
      </c>
      <c r="Z380" s="278"/>
      <c r="AA380" s="466"/>
      <c r="AB380" s="278"/>
      <c r="AC380" s="278"/>
      <c r="AD380" s="278"/>
      <c r="AE380" s="278"/>
      <c r="AF380" s="278"/>
      <c r="AG380" s="278" t="b">
        <f t="shared" si="5"/>
        <v>0</v>
      </c>
      <c r="AH380" s="454"/>
      <c r="AI380" s="278"/>
      <c r="AJ380" s="278"/>
      <c r="AK380" s="278"/>
      <c r="AL380" s="444" t="str">
        <f t="array" ref="AL380">IFERROR(IFS(OR(AJ380="A1-Mewtwo", AJ380="A1-Pikachu", AJ380="A1-Charizard", AJ380="A1"), XLOOKUP(AH380, 'Genetic Apex'!$C$2:$C889, 'Genetic Apex'!$B$2:$B889)-2, AJ380="A1a", XLOOKUP(AH380, 'Mythical Island'!$C$2:$C889, 'Mythical Island'!$B$2:$B889)-2, OR(AJ380="A2-Dialga", AJ380="A2-Palkia", AJ380="A2"), XLOOKUP(AH380, 'Space-Time Smackdown'!$C$2:$C889, 'Space-Time Smackdown'!$B$2:$B889)-2))</f>
        <v/>
      </c>
      <c r="AM380" s="444" t="str">
        <f t="shared" si="6"/>
        <v/>
      </c>
      <c r="AN380" s="448" t="str">
        <f t="shared" si="7"/>
        <v/>
      </c>
    </row>
    <row r="381">
      <c r="A381" s="277"/>
      <c r="B381" s="277"/>
      <c r="C381" s="441"/>
      <c r="D381" s="277"/>
      <c r="E381" s="277"/>
      <c r="F381" s="277"/>
      <c r="G381" s="277"/>
      <c r="H381" s="277" t="b">
        <f t="shared" si="1"/>
        <v>0</v>
      </c>
      <c r="I381" s="277" t="str">
        <f>IFERROR(__xludf.DUMMYFUNCTION("""COMPUTED_VALUE"""),"A2 004")</f>
        <v>A2 004</v>
      </c>
      <c r="J381" s="277" t="str">
        <f>IFERROR(__xludf.DUMMYFUNCTION("""COMPUTED_VALUE"""),"Tangela")</f>
        <v>Tangela</v>
      </c>
      <c r="K381" s="277" t="str">
        <f>IFERROR(__xludf.DUMMYFUNCTION("""COMPUTED_VALUE"""),"A2-Dialga")</f>
        <v>A2-Dialga</v>
      </c>
      <c r="L381" s="277" t="str">
        <f>IFERROR(__xludf.DUMMYFUNCTION("""COMPUTED_VALUE"""),"♢")</f>
        <v>♢</v>
      </c>
      <c r="M381" s="440" t="b">
        <f t="shared" si="2"/>
        <v>0</v>
      </c>
      <c r="N381" s="441"/>
      <c r="O381" s="277"/>
      <c r="P381" s="277"/>
      <c r="Q381" s="278"/>
      <c r="R381" s="449" t="str">
        <f t="array" ref="R381">IFERROR(IFS(OR(P381="A1-Mewtwo", P381="A1-Pikachu", P381="A1-Charizard", P381="A1"), XLOOKUP(N381, 'Genetic Apex'!$C$2:$C889, 'Genetic Apex'!$B$2:$B889)-$B$4, P381="A1a", XLOOKUP(N381, 'Mythical Island'!$C$2:$C889, 'Mythical Island'!$B$2:$B889)-$B$4, OR(P381="A2-Dialga", P381="A2-Palkia", P381="A2"), XLOOKUP(N381, 'Space-Time Smackdown'!$C$2:$C889, 'Space-Time Smackdown'!$B$2:$B889)-$B$4))</f>
        <v/>
      </c>
      <c r="S381" s="277"/>
      <c r="T381" s="277"/>
      <c r="U381" s="277"/>
      <c r="V381" s="278"/>
      <c r="W381" s="443" t="str">
        <f t="array" ref="W381">IFERROR(IFS(OR(U381="A1-Mewtwo", U381="A1-Pikachu", U381="A1-Charizard", U381="A1"), $B$5-XLOOKUP(S381, 'Genetic Apex'!$C$2:$C889, 'Genetic Apex'!$B$2:$B889), U381="A1a", $B$5-XLOOKUP(S381, 'Mythical Island'!$C$2:$C889, 'Mythical Island'!$B$2:$B889), OR(U381="A2-Dialga", U381="A2-Palkia", U381="A2"), $B$5-XLOOKUP(S381, 'Space-Time Smackdown'!$C$2:$C889, 'Space-Time Smackdown'!$B$2:$B889)))</f>
        <v/>
      </c>
      <c r="X381" s="444" t="str">
        <f t="shared" si="3"/>
        <v/>
      </c>
      <c r="Y381" s="445" t="str">
        <f t="shared" si="4"/>
        <v/>
      </c>
      <c r="Z381" s="278"/>
      <c r="AA381" s="466"/>
      <c r="AB381" s="278"/>
      <c r="AC381" s="278"/>
      <c r="AD381" s="278"/>
      <c r="AE381" s="278"/>
      <c r="AF381" s="278"/>
      <c r="AG381" s="278" t="b">
        <f t="shared" si="5"/>
        <v>0</v>
      </c>
      <c r="AH381" s="454"/>
      <c r="AI381" s="278"/>
      <c r="AJ381" s="278"/>
      <c r="AK381" s="278"/>
      <c r="AL381" s="444" t="str">
        <f t="array" ref="AL381">IFERROR(IFS(OR(AJ381="A1-Mewtwo", AJ381="A1-Pikachu", AJ381="A1-Charizard", AJ381="A1"), XLOOKUP(AH381, 'Genetic Apex'!$C$2:$C889, 'Genetic Apex'!$B$2:$B889)-2, AJ381="A1a", XLOOKUP(AH381, 'Mythical Island'!$C$2:$C889, 'Mythical Island'!$B$2:$B889)-2, OR(AJ381="A2-Dialga", AJ381="A2-Palkia", AJ381="A2"), XLOOKUP(AH381, 'Space-Time Smackdown'!$C$2:$C889, 'Space-Time Smackdown'!$B$2:$B889)-2))</f>
        <v/>
      </c>
      <c r="AM381" s="444" t="str">
        <f t="shared" si="6"/>
        <v/>
      </c>
      <c r="AN381" s="448" t="str">
        <f t="shared" si="7"/>
        <v/>
      </c>
    </row>
    <row r="382">
      <c r="A382" s="277"/>
      <c r="B382" s="277"/>
      <c r="C382" s="441"/>
      <c r="D382" s="277"/>
      <c r="E382" s="277"/>
      <c r="F382" s="277"/>
      <c r="G382" s="277"/>
      <c r="H382" s="277" t="b">
        <f t="shared" si="1"/>
        <v>0</v>
      </c>
      <c r="I382" s="277" t="str">
        <f>IFERROR(__xludf.DUMMYFUNCTION("""COMPUTED_VALUE"""),"A2 005")</f>
        <v>A2 005</v>
      </c>
      <c r="J382" s="277" t="str">
        <f>IFERROR(__xludf.DUMMYFUNCTION("""COMPUTED_VALUE"""),"Tangrowth")</f>
        <v>Tangrowth</v>
      </c>
      <c r="K382" s="277" t="str">
        <f>IFERROR(__xludf.DUMMYFUNCTION("""COMPUTED_VALUE"""),"A2-Dialga")</f>
        <v>A2-Dialga</v>
      </c>
      <c r="L382" s="277" t="str">
        <f>IFERROR(__xludf.DUMMYFUNCTION("""COMPUTED_VALUE"""),"♢♢")</f>
        <v>♢♢</v>
      </c>
      <c r="M382" s="440" t="b">
        <f t="shared" si="2"/>
        <v>0</v>
      </c>
      <c r="N382" s="441"/>
      <c r="O382" s="277"/>
      <c r="P382" s="277"/>
      <c r="Q382" s="278"/>
      <c r="R382" s="449" t="str">
        <f t="array" ref="R382">IFERROR(IFS(OR(P382="A1-Mewtwo", P382="A1-Pikachu", P382="A1-Charizard", P382="A1"), XLOOKUP(N382, 'Genetic Apex'!$C$2:$C889, 'Genetic Apex'!$B$2:$B889)-$B$4, P382="A1a", XLOOKUP(N382, 'Mythical Island'!$C$2:$C889, 'Mythical Island'!$B$2:$B889)-$B$4, OR(P382="A2-Dialga", P382="A2-Palkia", P382="A2"), XLOOKUP(N382, 'Space-Time Smackdown'!$C$2:$C889, 'Space-Time Smackdown'!$B$2:$B889)-$B$4))</f>
        <v/>
      </c>
      <c r="S382" s="277"/>
      <c r="T382" s="277"/>
      <c r="U382" s="277"/>
      <c r="V382" s="278"/>
      <c r="W382" s="443" t="str">
        <f t="array" ref="W382">IFERROR(IFS(OR(U382="A1-Mewtwo", U382="A1-Pikachu", U382="A1-Charizard", U382="A1"), $B$5-XLOOKUP(S382, 'Genetic Apex'!$C$2:$C889, 'Genetic Apex'!$B$2:$B889), U382="A1a", $B$5-XLOOKUP(S382, 'Mythical Island'!$C$2:$C889, 'Mythical Island'!$B$2:$B889), OR(U382="A2-Dialga", U382="A2-Palkia", U382="A2"), $B$5-XLOOKUP(S382, 'Space-Time Smackdown'!$C$2:$C889, 'Space-Time Smackdown'!$B$2:$B889)))</f>
        <v/>
      </c>
      <c r="X382" s="444" t="str">
        <f t="shared" si="3"/>
        <v/>
      </c>
      <c r="Y382" s="445" t="str">
        <f t="shared" si="4"/>
        <v/>
      </c>
      <c r="Z382" s="278"/>
      <c r="AA382" s="466"/>
      <c r="AB382" s="278"/>
      <c r="AC382" s="278"/>
      <c r="AD382" s="278"/>
      <c r="AE382" s="278"/>
      <c r="AF382" s="278"/>
      <c r="AG382" s="278" t="b">
        <f t="shared" si="5"/>
        <v>0</v>
      </c>
      <c r="AH382" s="454"/>
      <c r="AI382" s="278"/>
      <c r="AJ382" s="278"/>
      <c r="AK382" s="278"/>
      <c r="AL382" s="444" t="str">
        <f t="array" ref="AL382">IFERROR(IFS(OR(AJ382="A1-Mewtwo", AJ382="A1-Pikachu", AJ382="A1-Charizard", AJ382="A1"), XLOOKUP(AH382, 'Genetic Apex'!$C$2:$C889, 'Genetic Apex'!$B$2:$B889)-2, AJ382="A1a", XLOOKUP(AH382, 'Mythical Island'!$C$2:$C889, 'Mythical Island'!$B$2:$B889)-2, OR(AJ382="A2-Dialga", AJ382="A2-Palkia", AJ382="A2"), XLOOKUP(AH382, 'Space-Time Smackdown'!$C$2:$C889, 'Space-Time Smackdown'!$B$2:$B889)-2))</f>
        <v/>
      </c>
      <c r="AM382" s="444" t="str">
        <f t="shared" si="6"/>
        <v/>
      </c>
      <c r="AN382" s="448" t="str">
        <f t="shared" si="7"/>
        <v/>
      </c>
    </row>
    <row r="383">
      <c r="A383" s="277"/>
      <c r="B383" s="277"/>
      <c r="C383" s="441"/>
      <c r="D383" s="277"/>
      <c r="E383" s="277"/>
      <c r="F383" s="277"/>
      <c r="G383" s="277"/>
      <c r="H383" s="277" t="b">
        <f t="shared" si="1"/>
        <v>0</v>
      </c>
      <c r="I383" s="277" t="str">
        <f>IFERROR(__xludf.DUMMYFUNCTION("""COMPUTED_VALUE"""),"A2 006")</f>
        <v>A2 006</v>
      </c>
      <c r="J383" s="277" t="str">
        <f>IFERROR(__xludf.DUMMYFUNCTION("""COMPUTED_VALUE"""),"Yanma")</f>
        <v>Yanma</v>
      </c>
      <c r="K383" s="277" t="str">
        <f>IFERROR(__xludf.DUMMYFUNCTION("""COMPUTED_VALUE"""),"A2-Dialga")</f>
        <v>A2-Dialga</v>
      </c>
      <c r="L383" s="277" t="str">
        <f>IFERROR(__xludf.DUMMYFUNCTION("""COMPUTED_VALUE"""),"♢")</f>
        <v>♢</v>
      </c>
      <c r="M383" s="440" t="b">
        <f t="shared" si="2"/>
        <v>0</v>
      </c>
      <c r="N383" s="441"/>
      <c r="O383" s="277"/>
      <c r="P383" s="277"/>
      <c r="Q383" s="278"/>
      <c r="R383" s="449" t="str">
        <f t="array" ref="R383">IFERROR(IFS(OR(P383="A1-Mewtwo", P383="A1-Pikachu", P383="A1-Charizard", P383="A1"), XLOOKUP(N383, 'Genetic Apex'!$C$2:$C889, 'Genetic Apex'!$B$2:$B889)-$B$4, P383="A1a", XLOOKUP(N383, 'Mythical Island'!$C$2:$C889, 'Mythical Island'!$B$2:$B889)-$B$4, OR(P383="A2-Dialga", P383="A2-Palkia", P383="A2"), XLOOKUP(N383, 'Space-Time Smackdown'!$C$2:$C889, 'Space-Time Smackdown'!$B$2:$B889)-$B$4))</f>
        <v/>
      </c>
      <c r="S383" s="277"/>
      <c r="T383" s="277"/>
      <c r="U383" s="277"/>
      <c r="V383" s="278"/>
      <c r="W383" s="443" t="str">
        <f t="array" ref="W383">IFERROR(IFS(OR(U383="A1-Mewtwo", U383="A1-Pikachu", U383="A1-Charizard", U383="A1"), $B$5-XLOOKUP(S383, 'Genetic Apex'!$C$2:$C889, 'Genetic Apex'!$B$2:$B889), U383="A1a", $B$5-XLOOKUP(S383, 'Mythical Island'!$C$2:$C889, 'Mythical Island'!$B$2:$B889), OR(U383="A2-Dialga", U383="A2-Palkia", U383="A2"), $B$5-XLOOKUP(S383, 'Space-Time Smackdown'!$C$2:$C889, 'Space-Time Smackdown'!$B$2:$B889)))</f>
        <v/>
      </c>
      <c r="X383" s="444" t="str">
        <f t="shared" si="3"/>
        <v/>
      </c>
      <c r="Y383" s="445" t="str">
        <f t="shared" si="4"/>
        <v/>
      </c>
      <c r="Z383" s="278"/>
      <c r="AA383" s="466"/>
      <c r="AB383" s="278"/>
      <c r="AC383" s="278"/>
      <c r="AD383" s="278"/>
      <c r="AE383" s="278"/>
      <c r="AF383" s="278"/>
      <c r="AG383" s="278" t="b">
        <f t="shared" si="5"/>
        <v>0</v>
      </c>
      <c r="AH383" s="454"/>
      <c r="AI383" s="278"/>
      <c r="AJ383" s="278"/>
      <c r="AK383" s="278"/>
      <c r="AL383" s="444" t="str">
        <f t="array" ref="AL383">IFERROR(IFS(OR(AJ383="A1-Mewtwo", AJ383="A1-Pikachu", AJ383="A1-Charizard", AJ383="A1"), XLOOKUP(AH383, 'Genetic Apex'!$C$2:$C889, 'Genetic Apex'!$B$2:$B889)-2, AJ383="A1a", XLOOKUP(AH383, 'Mythical Island'!$C$2:$C889, 'Mythical Island'!$B$2:$B889)-2, OR(AJ383="A2-Dialga", AJ383="A2-Palkia", AJ383="A2"), XLOOKUP(AH383, 'Space-Time Smackdown'!$C$2:$C889, 'Space-Time Smackdown'!$B$2:$B889)-2))</f>
        <v/>
      </c>
      <c r="AM383" s="444" t="str">
        <f t="shared" si="6"/>
        <v/>
      </c>
      <c r="AN383" s="448" t="str">
        <f t="shared" si="7"/>
        <v/>
      </c>
    </row>
    <row r="384">
      <c r="A384" s="277"/>
      <c r="B384" s="277"/>
      <c r="C384" s="441"/>
      <c r="D384" s="277"/>
      <c r="E384" s="277"/>
      <c r="F384" s="277"/>
      <c r="G384" s="277"/>
      <c r="H384" s="277" t="b">
        <f t="shared" si="1"/>
        <v>0</v>
      </c>
      <c r="I384" s="277" t="str">
        <f>IFERROR(__xludf.DUMMYFUNCTION("""COMPUTED_VALUE"""),"A2 007")</f>
        <v>A2 007</v>
      </c>
      <c r="J384" s="277" t="str">
        <f>IFERROR(__xludf.DUMMYFUNCTION("""COMPUTED_VALUE"""),"Yanmega ex")</f>
        <v>Yanmega ex</v>
      </c>
      <c r="K384" s="277" t="str">
        <f>IFERROR(__xludf.DUMMYFUNCTION("""COMPUTED_VALUE"""),"A2-Dialga")</f>
        <v>A2-Dialga</v>
      </c>
      <c r="L384" s="277" t="str">
        <f>IFERROR(__xludf.DUMMYFUNCTION("""COMPUTED_VALUE"""),"♢♢♢♢")</f>
        <v>♢♢♢♢</v>
      </c>
      <c r="M384" s="440" t="b">
        <f t="shared" si="2"/>
        <v>0</v>
      </c>
      <c r="N384" s="441"/>
      <c r="O384" s="277"/>
      <c r="P384" s="277"/>
      <c r="Q384" s="278"/>
      <c r="R384" s="449" t="str">
        <f t="array" ref="R384">IFERROR(IFS(OR(P384="A1-Mewtwo", P384="A1-Pikachu", P384="A1-Charizard", P384="A1"), XLOOKUP(N384, 'Genetic Apex'!$C$2:$C889, 'Genetic Apex'!$B$2:$B889)-$B$4, P384="A1a", XLOOKUP(N384, 'Mythical Island'!$C$2:$C889, 'Mythical Island'!$B$2:$B889)-$B$4, OR(P384="A2-Dialga", P384="A2-Palkia", P384="A2"), XLOOKUP(N384, 'Space-Time Smackdown'!$C$2:$C889, 'Space-Time Smackdown'!$B$2:$B889)-$B$4))</f>
        <v/>
      </c>
      <c r="S384" s="277"/>
      <c r="T384" s="277"/>
      <c r="U384" s="277"/>
      <c r="V384" s="278"/>
      <c r="W384" s="443" t="str">
        <f t="array" ref="W384">IFERROR(IFS(OR(U384="A1-Mewtwo", U384="A1-Pikachu", U384="A1-Charizard", U384="A1"), $B$5-XLOOKUP(S384, 'Genetic Apex'!$C$2:$C889, 'Genetic Apex'!$B$2:$B889), U384="A1a", $B$5-XLOOKUP(S384, 'Mythical Island'!$C$2:$C889, 'Mythical Island'!$B$2:$B889), OR(U384="A2-Dialga", U384="A2-Palkia", U384="A2"), $B$5-XLOOKUP(S384, 'Space-Time Smackdown'!$C$2:$C889, 'Space-Time Smackdown'!$B$2:$B889)))</f>
        <v/>
      </c>
      <c r="X384" s="444" t="str">
        <f t="shared" si="3"/>
        <v/>
      </c>
      <c r="Y384" s="445" t="str">
        <f t="shared" si="4"/>
        <v/>
      </c>
      <c r="Z384" s="278"/>
      <c r="AA384" s="466"/>
      <c r="AB384" s="278"/>
      <c r="AC384" s="278"/>
      <c r="AD384" s="278"/>
      <c r="AE384" s="278"/>
      <c r="AF384" s="278"/>
      <c r="AG384" s="278" t="b">
        <f t="shared" si="5"/>
        <v>0</v>
      </c>
      <c r="AH384" s="454"/>
      <c r="AI384" s="278"/>
      <c r="AJ384" s="278"/>
      <c r="AK384" s="278"/>
      <c r="AL384" s="444" t="str">
        <f t="array" ref="AL384">IFERROR(IFS(OR(AJ384="A1-Mewtwo", AJ384="A1-Pikachu", AJ384="A1-Charizard", AJ384="A1"), XLOOKUP(AH384, 'Genetic Apex'!$C$2:$C889, 'Genetic Apex'!$B$2:$B889)-2, AJ384="A1a", XLOOKUP(AH384, 'Mythical Island'!$C$2:$C889, 'Mythical Island'!$B$2:$B889)-2, OR(AJ384="A2-Dialga", AJ384="A2-Palkia", AJ384="A2"), XLOOKUP(AH384, 'Space-Time Smackdown'!$C$2:$C889, 'Space-Time Smackdown'!$B$2:$B889)-2))</f>
        <v/>
      </c>
      <c r="AM384" s="444" t="str">
        <f t="shared" si="6"/>
        <v/>
      </c>
      <c r="AN384" s="448" t="str">
        <f t="shared" si="7"/>
        <v/>
      </c>
    </row>
    <row r="385">
      <c r="A385" s="277"/>
      <c r="B385" s="277"/>
      <c r="C385" s="441"/>
      <c r="D385" s="277"/>
      <c r="E385" s="277"/>
      <c r="F385" s="277"/>
      <c r="G385" s="277"/>
      <c r="H385" s="277" t="b">
        <f t="shared" si="1"/>
        <v>0</v>
      </c>
      <c r="I385" s="277" t="str">
        <f>IFERROR(__xludf.DUMMYFUNCTION("""COMPUTED_VALUE"""),"A2 008")</f>
        <v>A2 008</v>
      </c>
      <c r="J385" s="277" t="str">
        <f>IFERROR(__xludf.DUMMYFUNCTION("""COMPUTED_VALUE"""),"Roselia")</f>
        <v>Roselia</v>
      </c>
      <c r="K385" s="277" t="str">
        <f>IFERROR(__xludf.DUMMYFUNCTION("""COMPUTED_VALUE"""),"A2")</f>
        <v>A2</v>
      </c>
      <c r="L385" s="277" t="str">
        <f>IFERROR(__xludf.DUMMYFUNCTION("""COMPUTED_VALUE"""),"♢")</f>
        <v>♢</v>
      </c>
      <c r="M385" s="440" t="b">
        <f t="shared" si="2"/>
        <v>0</v>
      </c>
      <c r="N385" s="441"/>
      <c r="O385" s="277"/>
      <c r="P385" s="277"/>
      <c r="Q385" s="278"/>
      <c r="R385" s="449" t="str">
        <f t="array" ref="R385">IFERROR(IFS(OR(P385="A1-Mewtwo", P385="A1-Pikachu", P385="A1-Charizard", P385="A1"), XLOOKUP(N385, 'Genetic Apex'!$C$2:$C889, 'Genetic Apex'!$B$2:$B889)-$B$4, P385="A1a", XLOOKUP(N385, 'Mythical Island'!$C$2:$C889, 'Mythical Island'!$B$2:$B889)-$B$4, OR(P385="A2-Dialga", P385="A2-Palkia", P385="A2"), XLOOKUP(N385, 'Space-Time Smackdown'!$C$2:$C889, 'Space-Time Smackdown'!$B$2:$B889)-$B$4))</f>
        <v/>
      </c>
      <c r="S385" s="277"/>
      <c r="T385" s="277"/>
      <c r="U385" s="277"/>
      <c r="V385" s="278"/>
      <c r="W385" s="443" t="str">
        <f t="array" ref="W385">IFERROR(IFS(OR(U385="A1-Mewtwo", U385="A1-Pikachu", U385="A1-Charizard", U385="A1"), $B$5-XLOOKUP(S385, 'Genetic Apex'!$C$2:$C889, 'Genetic Apex'!$B$2:$B889), U385="A1a", $B$5-XLOOKUP(S385, 'Mythical Island'!$C$2:$C889, 'Mythical Island'!$B$2:$B889), OR(U385="A2-Dialga", U385="A2-Palkia", U385="A2"), $B$5-XLOOKUP(S385, 'Space-Time Smackdown'!$C$2:$C889, 'Space-Time Smackdown'!$B$2:$B889)))</f>
        <v/>
      </c>
      <c r="X385" s="444" t="str">
        <f t="shared" si="3"/>
        <v/>
      </c>
      <c r="Y385" s="445" t="str">
        <f t="shared" si="4"/>
        <v/>
      </c>
      <c r="Z385" s="278"/>
      <c r="AA385" s="466"/>
      <c r="AB385" s="278"/>
      <c r="AC385" s="278"/>
      <c r="AD385" s="278"/>
      <c r="AE385" s="278"/>
      <c r="AF385" s="278"/>
      <c r="AG385" s="278" t="b">
        <f t="shared" si="5"/>
        <v>0</v>
      </c>
      <c r="AH385" s="454"/>
      <c r="AI385" s="278"/>
      <c r="AJ385" s="278"/>
      <c r="AK385" s="278"/>
      <c r="AL385" s="444" t="str">
        <f t="array" ref="AL385">IFERROR(IFS(OR(AJ385="A1-Mewtwo", AJ385="A1-Pikachu", AJ385="A1-Charizard", AJ385="A1"), XLOOKUP(AH385, 'Genetic Apex'!$C$2:$C889, 'Genetic Apex'!$B$2:$B889)-2, AJ385="A1a", XLOOKUP(AH385, 'Mythical Island'!$C$2:$C889, 'Mythical Island'!$B$2:$B889)-2, OR(AJ385="A2-Dialga", AJ385="A2-Palkia", AJ385="A2"), XLOOKUP(AH385, 'Space-Time Smackdown'!$C$2:$C889, 'Space-Time Smackdown'!$B$2:$B889)-2))</f>
        <v/>
      </c>
      <c r="AM385" s="444" t="str">
        <f t="shared" si="6"/>
        <v/>
      </c>
      <c r="AN385" s="448" t="str">
        <f t="shared" si="7"/>
        <v/>
      </c>
    </row>
    <row r="386">
      <c r="A386" s="277"/>
      <c r="B386" s="277"/>
      <c r="C386" s="441"/>
      <c r="D386" s="277"/>
      <c r="E386" s="277"/>
      <c r="F386" s="277"/>
      <c r="G386" s="277"/>
      <c r="H386" s="277" t="b">
        <f t="shared" si="1"/>
        <v>0</v>
      </c>
      <c r="I386" s="277" t="str">
        <f>IFERROR(__xludf.DUMMYFUNCTION("""COMPUTED_VALUE"""),"A2 009")</f>
        <v>A2 009</v>
      </c>
      <c r="J386" s="277" t="str">
        <f>IFERROR(__xludf.DUMMYFUNCTION("""COMPUTED_VALUE"""),"Roserade")</f>
        <v>Roserade</v>
      </c>
      <c r="K386" s="277" t="str">
        <f>IFERROR(__xludf.DUMMYFUNCTION("""COMPUTED_VALUE"""),"A2")</f>
        <v>A2</v>
      </c>
      <c r="L386" s="277" t="str">
        <f>IFERROR(__xludf.DUMMYFUNCTION("""COMPUTED_VALUE"""),"♢♢")</f>
        <v>♢♢</v>
      </c>
      <c r="M386" s="440" t="b">
        <f t="shared" si="2"/>
        <v>0</v>
      </c>
      <c r="N386" s="441"/>
      <c r="O386" s="277"/>
      <c r="P386" s="277"/>
      <c r="Q386" s="278"/>
      <c r="R386" s="449" t="str">
        <f t="array" ref="R386">IFERROR(IFS(OR(P386="A1-Mewtwo", P386="A1-Pikachu", P386="A1-Charizard", P386="A1"), XLOOKUP(N386, 'Genetic Apex'!$C$2:$C889, 'Genetic Apex'!$B$2:$B889)-$B$4, P386="A1a", XLOOKUP(N386, 'Mythical Island'!$C$2:$C889, 'Mythical Island'!$B$2:$B889)-$B$4, OR(P386="A2-Dialga", P386="A2-Palkia", P386="A2"), XLOOKUP(N386, 'Space-Time Smackdown'!$C$2:$C889, 'Space-Time Smackdown'!$B$2:$B889)-$B$4))</f>
        <v/>
      </c>
      <c r="S386" s="277"/>
      <c r="T386" s="277"/>
      <c r="U386" s="277"/>
      <c r="V386" s="278"/>
      <c r="W386" s="443" t="str">
        <f t="array" ref="W386">IFERROR(IFS(OR(U386="A1-Mewtwo", U386="A1-Pikachu", U386="A1-Charizard", U386="A1"), $B$5-XLOOKUP(S386, 'Genetic Apex'!$C$2:$C889, 'Genetic Apex'!$B$2:$B889), U386="A1a", $B$5-XLOOKUP(S386, 'Mythical Island'!$C$2:$C889, 'Mythical Island'!$B$2:$B889), OR(U386="A2-Dialga", U386="A2-Palkia", U386="A2"), $B$5-XLOOKUP(S386, 'Space-Time Smackdown'!$C$2:$C889, 'Space-Time Smackdown'!$B$2:$B889)))</f>
        <v/>
      </c>
      <c r="X386" s="444" t="str">
        <f t="shared" si="3"/>
        <v/>
      </c>
      <c r="Y386" s="445" t="str">
        <f t="shared" si="4"/>
        <v/>
      </c>
      <c r="Z386" s="278"/>
      <c r="AA386" s="466"/>
      <c r="AB386" s="278"/>
      <c r="AC386" s="278"/>
      <c r="AD386" s="278"/>
      <c r="AE386" s="278"/>
      <c r="AF386" s="278"/>
      <c r="AG386" s="278" t="b">
        <f t="shared" si="5"/>
        <v>0</v>
      </c>
      <c r="AH386" s="454"/>
      <c r="AI386" s="278"/>
      <c r="AJ386" s="278"/>
      <c r="AK386" s="278"/>
      <c r="AL386" s="444" t="str">
        <f t="array" ref="AL386">IFERROR(IFS(OR(AJ386="A1-Mewtwo", AJ386="A1-Pikachu", AJ386="A1-Charizard", AJ386="A1"), XLOOKUP(AH386, 'Genetic Apex'!$C$2:$C889, 'Genetic Apex'!$B$2:$B889)-2, AJ386="A1a", XLOOKUP(AH386, 'Mythical Island'!$C$2:$C889, 'Mythical Island'!$B$2:$B889)-2, OR(AJ386="A2-Dialga", AJ386="A2-Palkia", AJ386="A2"), XLOOKUP(AH386, 'Space-Time Smackdown'!$C$2:$C889, 'Space-Time Smackdown'!$B$2:$B889)-2))</f>
        <v/>
      </c>
      <c r="AM386" s="444" t="str">
        <f t="shared" si="6"/>
        <v/>
      </c>
      <c r="AN386" s="448" t="str">
        <f t="shared" si="7"/>
        <v/>
      </c>
    </row>
    <row r="387">
      <c r="A387" s="277"/>
      <c r="B387" s="277"/>
      <c r="C387" s="441"/>
      <c r="D387" s="277"/>
      <c r="E387" s="277"/>
      <c r="F387" s="277"/>
      <c r="G387" s="277"/>
      <c r="H387" s="277" t="b">
        <f t="shared" si="1"/>
        <v>0</v>
      </c>
      <c r="I387" s="277" t="str">
        <f>IFERROR(__xludf.DUMMYFUNCTION("""COMPUTED_VALUE"""),"A2 010")</f>
        <v>A2 010</v>
      </c>
      <c r="J387" s="277" t="str">
        <f>IFERROR(__xludf.DUMMYFUNCTION("""COMPUTED_VALUE"""),"Turtwig")</f>
        <v>Turtwig</v>
      </c>
      <c r="K387" s="277" t="str">
        <f>IFERROR(__xludf.DUMMYFUNCTION("""COMPUTED_VALUE"""),"A2-Palkia")</f>
        <v>A2-Palkia</v>
      </c>
      <c r="L387" s="277" t="str">
        <f>IFERROR(__xludf.DUMMYFUNCTION("""COMPUTED_VALUE"""),"♢")</f>
        <v>♢</v>
      </c>
      <c r="M387" s="440" t="b">
        <f t="shared" si="2"/>
        <v>0</v>
      </c>
      <c r="N387" s="441"/>
      <c r="O387" s="277"/>
      <c r="P387" s="277"/>
      <c r="Q387" s="278"/>
      <c r="R387" s="449" t="str">
        <f t="array" ref="R387">IFERROR(IFS(OR(P387="A1-Mewtwo", P387="A1-Pikachu", P387="A1-Charizard", P387="A1"), XLOOKUP(N387, 'Genetic Apex'!$C$2:$C889, 'Genetic Apex'!$B$2:$B889)-$B$4, P387="A1a", XLOOKUP(N387, 'Mythical Island'!$C$2:$C889, 'Mythical Island'!$B$2:$B889)-$B$4, OR(P387="A2-Dialga", P387="A2-Palkia", P387="A2"), XLOOKUP(N387, 'Space-Time Smackdown'!$C$2:$C889, 'Space-Time Smackdown'!$B$2:$B889)-$B$4))</f>
        <v/>
      </c>
      <c r="S387" s="277"/>
      <c r="T387" s="277"/>
      <c r="U387" s="277"/>
      <c r="V387" s="278"/>
      <c r="W387" s="443" t="str">
        <f t="array" ref="W387">IFERROR(IFS(OR(U387="A1-Mewtwo", U387="A1-Pikachu", U387="A1-Charizard", U387="A1"), $B$5-XLOOKUP(S387, 'Genetic Apex'!$C$2:$C889, 'Genetic Apex'!$B$2:$B889), U387="A1a", $B$5-XLOOKUP(S387, 'Mythical Island'!$C$2:$C889, 'Mythical Island'!$B$2:$B889), OR(U387="A2-Dialga", U387="A2-Palkia", U387="A2"), $B$5-XLOOKUP(S387, 'Space-Time Smackdown'!$C$2:$C889, 'Space-Time Smackdown'!$B$2:$B889)))</f>
        <v/>
      </c>
      <c r="X387" s="444" t="str">
        <f t="shared" si="3"/>
        <v/>
      </c>
      <c r="Y387" s="445" t="str">
        <f t="shared" si="4"/>
        <v/>
      </c>
      <c r="Z387" s="278"/>
      <c r="AA387" s="466"/>
      <c r="AB387" s="278"/>
      <c r="AC387" s="278"/>
      <c r="AD387" s="278"/>
      <c r="AE387" s="278"/>
      <c r="AF387" s="278"/>
      <c r="AG387" s="278" t="b">
        <f t="shared" si="5"/>
        <v>0</v>
      </c>
      <c r="AH387" s="454"/>
      <c r="AI387" s="278"/>
      <c r="AJ387" s="278"/>
      <c r="AK387" s="278"/>
      <c r="AL387" s="444" t="str">
        <f t="array" ref="AL387">IFERROR(IFS(OR(AJ387="A1-Mewtwo", AJ387="A1-Pikachu", AJ387="A1-Charizard", AJ387="A1"), XLOOKUP(AH387, 'Genetic Apex'!$C$2:$C889, 'Genetic Apex'!$B$2:$B889)-2, AJ387="A1a", XLOOKUP(AH387, 'Mythical Island'!$C$2:$C889, 'Mythical Island'!$B$2:$B889)-2, OR(AJ387="A2-Dialga", AJ387="A2-Palkia", AJ387="A2"), XLOOKUP(AH387, 'Space-Time Smackdown'!$C$2:$C889, 'Space-Time Smackdown'!$B$2:$B889)-2))</f>
        <v/>
      </c>
      <c r="AM387" s="444" t="str">
        <f t="shared" si="6"/>
        <v/>
      </c>
      <c r="AN387" s="448" t="str">
        <f t="shared" si="7"/>
        <v/>
      </c>
    </row>
    <row r="388">
      <c r="A388" s="277"/>
      <c r="B388" s="277"/>
      <c r="C388" s="441"/>
      <c r="D388" s="277"/>
      <c r="E388" s="277"/>
      <c r="F388" s="277"/>
      <c r="G388" s="277"/>
      <c r="H388" s="277" t="b">
        <f t="shared" si="1"/>
        <v>0</v>
      </c>
      <c r="I388" s="277" t="str">
        <f>IFERROR(__xludf.DUMMYFUNCTION("""COMPUTED_VALUE"""),"A2 011")</f>
        <v>A2 011</v>
      </c>
      <c r="J388" s="277" t="str">
        <f>IFERROR(__xludf.DUMMYFUNCTION("""COMPUTED_VALUE"""),"Grotle")</f>
        <v>Grotle</v>
      </c>
      <c r="K388" s="277" t="str">
        <f>IFERROR(__xludf.DUMMYFUNCTION("""COMPUTED_VALUE"""),"A2-Palkia")</f>
        <v>A2-Palkia</v>
      </c>
      <c r="L388" s="277" t="str">
        <f>IFERROR(__xludf.DUMMYFUNCTION("""COMPUTED_VALUE"""),"♢♢")</f>
        <v>♢♢</v>
      </c>
      <c r="M388" s="440" t="b">
        <f t="shared" si="2"/>
        <v>0</v>
      </c>
      <c r="N388" s="441"/>
      <c r="O388" s="277"/>
      <c r="P388" s="277"/>
      <c r="Q388" s="278"/>
      <c r="R388" s="449" t="str">
        <f t="array" ref="R388">IFERROR(IFS(OR(P388="A1-Mewtwo", P388="A1-Pikachu", P388="A1-Charizard", P388="A1"), XLOOKUP(N388, 'Genetic Apex'!$C$2:$C889, 'Genetic Apex'!$B$2:$B889)-$B$4, P388="A1a", XLOOKUP(N388, 'Mythical Island'!$C$2:$C889, 'Mythical Island'!$B$2:$B889)-$B$4, OR(P388="A2-Dialga", P388="A2-Palkia", P388="A2"), XLOOKUP(N388, 'Space-Time Smackdown'!$C$2:$C889, 'Space-Time Smackdown'!$B$2:$B889)-$B$4))</f>
        <v/>
      </c>
      <c r="S388" s="277"/>
      <c r="T388" s="277"/>
      <c r="U388" s="277"/>
      <c r="V388" s="278"/>
      <c r="W388" s="443" t="str">
        <f t="array" ref="W388">IFERROR(IFS(OR(U388="A1-Mewtwo", U388="A1-Pikachu", U388="A1-Charizard", U388="A1"), $B$5-XLOOKUP(S388, 'Genetic Apex'!$C$2:$C889, 'Genetic Apex'!$B$2:$B889), U388="A1a", $B$5-XLOOKUP(S388, 'Mythical Island'!$C$2:$C889, 'Mythical Island'!$B$2:$B889), OR(U388="A2-Dialga", U388="A2-Palkia", U388="A2"), $B$5-XLOOKUP(S388, 'Space-Time Smackdown'!$C$2:$C889, 'Space-Time Smackdown'!$B$2:$B889)))</f>
        <v/>
      </c>
      <c r="X388" s="444" t="str">
        <f t="shared" si="3"/>
        <v/>
      </c>
      <c r="Y388" s="445" t="str">
        <f t="shared" si="4"/>
        <v/>
      </c>
      <c r="Z388" s="278"/>
      <c r="AA388" s="466"/>
      <c r="AB388" s="278"/>
      <c r="AC388" s="278"/>
      <c r="AD388" s="278"/>
      <c r="AE388" s="278"/>
      <c r="AF388" s="278"/>
      <c r="AG388" s="278" t="b">
        <f t="shared" si="5"/>
        <v>0</v>
      </c>
      <c r="AH388" s="454"/>
      <c r="AI388" s="278"/>
      <c r="AJ388" s="278"/>
      <c r="AK388" s="278"/>
      <c r="AL388" s="444" t="str">
        <f t="array" ref="AL388">IFERROR(IFS(OR(AJ388="A1-Mewtwo", AJ388="A1-Pikachu", AJ388="A1-Charizard", AJ388="A1"), XLOOKUP(AH388, 'Genetic Apex'!$C$2:$C889, 'Genetic Apex'!$B$2:$B889)-2, AJ388="A1a", XLOOKUP(AH388, 'Mythical Island'!$C$2:$C889, 'Mythical Island'!$B$2:$B889)-2, OR(AJ388="A2-Dialga", AJ388="A2-Palkia", AJ388="A2"), XLOOKUP(AH388, 'Space-Time Smackdown'!$C$2:$C889, 'Space-Time Smackdown'!$B$2:$B889)-2))</f>
        <v/>
      </c>
      <c r="AM388" s="444" t="str">
        <f t="shared" si="6"/>
        <v/>
      </c>
      <c r="AN388" s="448" t="str">
        <f t="shared" si="7"/>
        <v/>
      </c>
    </row>
    <row r="389">
      <c r="A389" s="277"/>
      <c r="B389" s="277"/>
      <c r="C389" s="441"/>
      <c r="D389" s="277"/>
      <c r="E389" s="277"/>
      <c r="F389" s="277"/>
      <c r="G389" s="277"/>
      <c r="H389" s="277" t="b">
        <f t="shared" si="1"/>
        <v>0</v>
      </c>
      <c r="I389" s="277" t="str">
        <f>IFERROR(__xludf.DUMMYFUNCTION("""COMPUTED_VALUE"""),"A2 012")</f>
        <v>A2 012</v>
      </c>
      <c r="J389" s="277" t="str">
        <f>IFERROR(__xludf.DUMMYFUNCTION("""COMPUTED_VALUE"""),"Torterra")</f>
        <v>Torterra</v>
      </c>
      <c r="K389" s="277" t="str">
        <f>IFERROR(__xludf.DUMMYFUNCTION("""COMPUTED_VALUE"""),"A2-Palkia")</f>
        <v>A2-Palkia</v>
      </c>
      <c r="L389" s="277" t="str">
        <f>IFERROR(__xludf.DUMMYFUNCTION("""COMPUTED_VALUE"""),"♢♢♢")</f>
        <v>♢♢♢</v>
      </c>
      <c r="M389" s="440" t="b">
        <f t="shared" si="2"/>
        <v>0</v>
      </c>
      <c r="N389" s="441"/>
      <c r="O389" s="277"/>
      <c r="P389" s="277"/>
      <c r="Q389" s="278"/>
      <c r="R389" s="449" t="str">
        <f t="array" ref="R389">IFERROR(IFS(OR(P389="A1-Mewtwo", P389="A1-Pikachu", P389="A1-Charizard", P389="A1"), XLOOKUP(N389, 'Genetic Apex'!$C$2:$C889, 'Genetic Apex'!$B$2:$B889)-$B$4, P389="A1a", XLOOKUP(N389, 'Mythical Island'!$C$2:$C889, 'Mythical Island'!$B$2:$B889)-$B$4, OR(P389="A2-Dialga", P389="A2-Palkia", P389="A2"), XLOOKUP(N389, 'Space-Time Smackdown'!$C$2:$C889, 'Space-Time Smackdown'!$B$2:$B889)-$B$4))</f>
        <v/>
      </c>
      <c r="S389" s="277"/>
      <c r="T389" s="277"/>
      <c r="U389" s="277"/>
      <c r="V389" s="278"/>
      <c r="W389" s="443" t="str">
        <f t="array" ref="W389">IFERROR(IFS(OR(U389="A1-Mewtwo", U389="A1-Pikachu", U389="A1-Charizard", U389="A1"), $B$5-XLOOKUP(S389, 'Genetic Apex'!$C$2:$C889, 'Genetic Apex'!$B$2:$B889), U389="A1a", $B$5-XLOOKUP(S389, 'Mythical Island'!$C$2:$C889, 'Mythical Island'!$B$2:$B889), OR(U389="A2-Dialga", U389="A2-Palkia", U389="A2"), $B$5-XLOOKUP(S389, 'Space-Time Smackdown'!$C$2:$C889, 'Space-Time Smackdown'!$B$2:$B889)))</f>
        <v/>
      </c>
      <c r="X389" s="444" t="str">
        <f t="shared" si="3"/>
        <v/>
      </c>
      <c r="Y389" s="445" t="str">
        <f t="shared" si="4"/>
        <v/>
      </c>
      <c r="Z389" s="278"/>
      <c r="AA389" s="466"/>
      <c r="AB389" s="278"/>
      <c r="AC389" s="278"/>
      <c r="AD389" s="278"/>
      <c r="AE389" s="278"/>
      <c r="AF389" s="278"/>
      <c r="AG389" s="278" t="b">
        <f t="shared" si="5"/>
        <v>0</v>
      </c>
      <c r="AH389" s="454"/>
      <c r="AI389" s="278"/>
      <c r="AJ389" s="278"/>
      <c r="AK389" s="278"/>
      <c r="AL389" s="444" t="str">
        <f t="array" ref="AL389">IFERROR(IFS(OR(AJ389="A1-Mewtwo", AJ389="A1-Pikachu", AJ389="A1-Charizard", AJ389="A1"), XLOOKUP(AH389, 'Genetic Apex'!$C$2:$C889, 'Genetic Apex'!$B$2:$B889)-2, AJ389="A1a", XLOOKUP(AH389, 'Mythical Island'!$C$2:$C889, 'Mythical Island'!$B$2:$B889)-2, OR(AJ389="A2-Dialga", AJ389="A2-Palkia", AJ389="A2"), XLOOKUP(AH389, 'Space-Time Smackdown'!$C$2:$C889, 'Space-Time Smackdown'!$B$2:$B889)-2))</f>
        <v/>
      </c>
      <c r="AM389" s="444" t="str">
        <f t="shared" si="6"/>
        <v/>
      </c>
      <c r="AN389" s="448" t="str">
        <f t="shared" si="7"/>
        <v/>
      </c>
    </row>
    <row r="390">
      <c r="A390" s="277"/>
      <c r="B390" s="277"/>
      <c r="C390" s="441"/>
      <c r="D390" s="277"/>
      <c r="E390" s="277"/>
      <c r="F390" s="277"/>
      <c r="G390" s="277"/>
      <c r="H390" s="277" t="b">
        <f t="shared" si="1"/>
        <v>0</v>
      </c>
      <c r="I390" s="277" t="str">
        <f>IFERROR(__xludf.DUMMYFUNCTION("""COMPUTED_VALUE"""),"A2 013")</f>
        <v>A2 013</v>
      </c>
      <c r="J390" s="277" t="str">
        <f>IFERROR(__xludf.DUMMYFUNCTION("""COMPUTED_VALUE"""),"Kricketot")</f>
        <v>Kricketot</v>
      </c>
      <c r="K390" s="277" t="str">
        <f>IFERROR(__xludf.DUMMYFUNCTION("""COMPUTED_VALUE"""),"A2-Palkia")</f>
        <v>A2-Palkia</v>
      </c>
      <c r="L390" s="277" t="str">
        <f>IFERROR(__xludf.DUMMYFUNCTION("""COMPUTED_VALUE"""),"♢")</f>
        <v>♢</v>
      </c>
      <c r="M390" s="440" t="b">
        <f t="shared" si="2"/>
        <v>0</v>
      </c>
      <c r="N390" s="441"/>
      <c r="O390" s="277"/>
      <c r="P390" s="277"/>
      <c r="Q390" s="278"/>
      <c r="R390" s="449" t="str">
        <f t="array" ref="R390">IFERROR(IFS(OR(P390="A1-Mewtwo", P390="A1-Pikachu", P390="A1-Charizard", P390="A1"), XLOOKUP(N390, 'Genetic Apex'!$C$2:$C889, 'Genetic Apex'!$B$2:$B889)-$B$4, P390="A1a", XLOOKUP(N390, 'Mythical Island'!$C$2:$C889, 'Mythical Island'!$B$2:$B889)-$B$4, OR(P390="A2-Dialga", P390="A2-Palkia", P390="A2"), XLOOKUP(N390, 'Space-Time Smackdown'!$C$2:$C889, 'Space-Time Smackdown'!$B$2:$B889)-$B$4))</f>
        <v/>
      </c>
      <c r="S390" s="277"/>
      <c r="T390" s="277"/>
      <c r="U390" s="277"/>
      <c r="V390" s="278"/>
      <c r="W390" s="443" t="str">
        <f t="array" ref="W390">IFERROR(IFS(OR(U390="A1-Mewtwo", U390="A1-Pikachu", U390="A1-Charizard", U390="A1"), $B$5-XLOOKUP(S390, 'Genetic Apex'!$C$2:$C889, 'Genetic Apex'!$B$2:$B889), U390="A1a", $B$5-XLOOKUP(S390, 'Mythical Island'!$C$2:$C889, 'Mythical Island'!$B$2:$B889), OR(U390="A2-Dialga", U390="A2-Palkia", U390="A2"), $B$5-XLOOKUP(S390, 'Space-Time Smackdown'!$C$2:$C889, 'Space-Time Smackdown'!$B$2:$B889)))</f>
        <v/>
      </c>
      <c r="X390" s="444" t="str">
        <f t="shared" si="3"/>
        <v/>
      </c>
      <c r="Y390" s="445" t="str">
        <f t="shared" si="4"/>
        <v/>
      </c>
      <c r="Z390" s="278"/>
      <c r="AA390" s="466"/>
      <c r="AB390" s="278"/>
      <c r="AC390" s="278"/>
      <c r="AD390" s="278"/>
      <c r="AE390" s="278"/>
      <c r="AF390" s="278"/>
      <c r="AG390" s="278" t="b">
        <f t="shared" si="5"/>
        <v>0</v>
      </c>
      <c r="AH390" s="454"/>
      <c r="AI390" s="278"/>
      <c r="AJ390" s="278"/>
      <c r="AK390" s="278"/>
      <c r="AL390" s="444" t="str">
        <f t="array" ref="AL390">IFERROR(IFS(OR(AJ390="A1-Mewtwo", AJ390="A1-Pikachu", AJ390="A1-Charizard", AJ390="A1"), XLOOKUP(AH390, 'Genetic Apex'!$C$2:$C889, 'Genetic Apex'!$B$2:$B889)-2, AJ390="A1a", XLOOKUP(AH390, 'Mythical Island'!$C$2:$C889, 'Mythical Island'!$B$2:$B889)-2, OR(AJ390="A2-Dialga", AJ390="A2-Palkia", AJ390="A2"), XLOOKUP(AH390, 'Space-Time Smackdown'!$C$2:$C889, 'Space-Time Smackdown'!$B$2:$B889)-2))</f>
        <v/>
      </c>
      <c r="AM390" s="444" t="str">
        <f t="shared" si="6"/>
        <v/>
      </c>
      <c r="AN390" s="448" t="str">
        <f t="shared" si="7"/>
        <v/>
      </c>
    </row>
    <row r="391">
      <c r="A391" s="277"/>
      <c r="B391" s="277"/>
      <c r="C391" s="441"/>
      <c r="D391" s="277"/>
      <c r="E391" s="277"/>
      <c r="F391" s="277"/>
      <c r="G391" s="277"/>
      <c r="H391" s="277" t="b">
        <f t="shared" si="1"/>
        <v>0</v>
      </c>
      <c r="I391" s="277" t="str">
        <f>IFERROR(__xludf.DUMMYFUNCTION("""COMPUTED_VALUE"""),"A2 014")</f>
        <v>A2 014</v>
      </c>
      <c r="J391" s="277" t="str">
        <f>IFERROR(__xludf.DUMMYFUNCTION("""COMPUTED_VALUE"""),"Kricketune")</f>
        <v>Kricketune</v>
      </c>
      <c r="K391" s="277" t="str">
        <f>IFERROR(__xludf.DUMMYFUNCTION("""COMPUTED_VALUE"""),"A2-Palkia")</f>
        <v>A2-Palkia</v>
      </c>
      <c r="L391" s="277" t="str">
        <f>IFERROR(__xludf.DUMMYFUNCTION("""COMPUTED_VALUE"""),"♢")</f>
        <v>♢</v>
      </c>
      <c r="M391" s="440" t="b">
        <f t="shared" si="2"/>
        <v>0</v>
      </c>
      <c r="N391" s="441"/>
      <c r="O391" s="277"/>
      <c r="P391" s="277"/>
      <c r="Q391" s="278"/>
      <c r="R391" s="449" t="str">
        <f t="array" ref="R391">IFERROR(IFS(OR(P391="A1-Mewtwo", P391="A1-Pikachu", P391="A1-Charizard", P391="A1"), XLOOKUP(N391, 'Genetic Apex'!$C$2:$C889, 'Genetic Apex'!$B$2:$B889)-$B$4, P391="A1a", XLOOKUP(N391, 'Mythical Island'!$C$2:$C889, 'Mythical Island'!$B$2:$B889)-$B$4, OR(P391="A2-Dialga", P391="A2-Palkia", P391="A2"), XLOOKUP(N391, 'Space-Time Smackdown'!$C$2:$C889, 'Space-Time Smackdown'!$B$2:$B889)-$B$4))</f>
        <v/>
      </c>
      <c r="S391" s="277"/>
      <c r="T391" s="277"/>
      <c r="U391" s="277"/>
      <c r="V391" s="278"/>
      <c r="W391" s="443" t="str">
        <f t="array" ref="W391">IFERROR(IFS(OR(U391="A1-Mewtwo", U391="A1-Pikachu", U391="A1-Charizard", U391="A1"), $B$5-XLOOKUP(S391, 'Genetic Apex'!$C$2:$C889, 'Genetic Apex'!$B$2:$B889), U391="A1a", $B$5-XLOOKUP(S391, 'Mythical Island'!$C$2:$C889, 'Mythical Island'!$B$2:$B889), OR(U391="A2-Dialga", U391="A2-Palkia", U391="A2"), $B$5-XLOOKUP(S391, 'Space-Time Smackdown'!$C$2:$C889, 'Space-Time Smackdown'!$B$2:$B889)))</f>
        <v/>
      </c>
      <c r="X391" s="444" t="str">
        <f t="shared" si="3"/>
        <v/>
      </c>
      <c r="Y391" s="445" t="str">
        <f t="shared" si="4"/>
        <v/>
      </c>
      <c r="Z391" s="278"/>
      <c r="AA391" s="466"/>
      <c r="AB391" s="278"/>
      <c r="AC391" s="278"/>
      <c r="AD391" s="278"/>
      <c r="AE391" s="278"/>
      <c r="AF391" s="278"/>
      <c r="AG391" s="278" t="b">
        <f t="shared" si="5"/>
        <v>0</v>
      </c>
      <c r="AH391" s="454"/>
      <c r="AI391" s="278"/>
      <c r="AJ391" s="278"/>
      <c r="AK391" s="278"/>
      <c r="AL391" s="444" t="str">
        <f t="array" ref="AL391">IFERROR(IFS(OR(AJ391="A1-Mewtwo", AJ391="A1-Pikachu", AJ391="A1-Charizard", AJ391="A1"), XLOOKUP(AH391, 'Genetic Apex'!$C$2:$C889, 'Genetic Apex'!$B$2:$B889)-2, AJ391="A1a", XLOOKUP(AH391, 'Mythical Island'!$C$2:$C889, 'Mythical Island'!$B$2:$B889)-2, OR(AJ391="A2-Dialga", AJ391="A2-Palkia", AJ391="A2"), XLOOKUP(AH391, 'Space-Time Smackdown'!$C$2:$C889, 'Space-Time Smackdown'!$B$2:$B889)-2))</f>
        <v/>
      </c>
      <c r="AM391" s="444" t="str">
        <f t="shared" si="6"/>
        <v/>
      </c>
      <c r="AN391" s="448" t="str">
        <f t="shared" si="7"/>
        <v/>
      </c>
    </row>
    <row r="392">
      <c r="A392" s="277"/>
      <c r="B392" s="277"/>
      <c r="C392" s="441"/>
      <c r="D392" s="277"/>
      <c r="E392" s="277"/>
      <c r="F392" s="277"/>
      <c r="G392" s="277"/>
      <c r="H392" s="277" t="b">
        <f t="shared" si="1"/>
        <v>0</v>
      </c>
      <c r="I392" s="277" t="str">
        <f>IFERROR(__xludf.DUMMYFUNCTION("""COMPUTED_VALUE"""),"A2 015")</f>
        <v>A2 015</v>
      </c>
      <c r="J392" s="277" t="str">
        <f>IFERROR(__xludf.DUMMYFUNCTION("""COMPUTED_VALUE"""),"Burmy")</f>
        <v>Burmy</v>
      </c>
      <c r="K392" s="277" t="str">
        <f>IFERROR(__xludf.DUMMYFUNCTION("""COMPUTED_VALUE"""),"A2")</f>
        <v>A2</v>
      </c>
      <c r="L392" s="277" t="str">
        <f>IFERROR(__xludf.DUMMYFUNCTION("""COMPUTED_VALUE"""),"♢")</f>
        <v>♢</v>
      </c>
      <c r="M392" s="440" t="b">
        <f t="shared" si="2"/>
        <v>0</v>
      </c>
      <c r="N392" s="441"/>
      <c r="O392" s="277"/>
      <c r="P392" s="277"/>
      <c r="Q392" s="278"/>
      <c r="R392" s="449" t="str">
        <f t="array" ref="R392">IFERROR(IFS(OR(P392="A1-Mewtwo", P392="A1-Pikachu", P392="A1-Charizard", P392="A1"), XLOOKUP(N392, 'Genetic Apex'!$C$2:$C889, 'Genetic Apex'!$B$2:$B889)-$B$4, P392="A1a", XLOOKUP(N392, 'Mythical Island'!$C$2:$C889, 'Mythical Island'!$B$2:$B889)-$B$4, OR(P392="A2-Dialga", P392="A2-Palkia", P392="A2"), XLOOKUP(N392, 'Space-Time Smackdown'!$C$2:$C889, 'Space-Time Smackdown'!$B$2:$B889)-$B$4))</f>
        <v/>
      </c>
      <c r="S392" s="277"/>
      <c r="T392" s="277"/>
      <c r="U392" s="277"/>
      <c r="V392" s="278"/>
      <c r="W392" s="443" t="str">
        <f t="array" ref="W392">IFERROR(IFS(OR(U392="A1-Mewtwo", U392="A1-Pikachu", U392="A1-Charizard", U392="A1"), $B$5-XLOOKUP(S392, 'Genetic Apex'!$C$2:$C889, 'Genetic Apex'!$B$2:$B889), U392="A1a", $B$5-XLOOKUP(S392, 'Mythical Island'!$C$2:$C889, 'Mythical Island'!$B$2:$B889), OR(U392="A2-Dialga", U392="A2-Palkia", U392="A2"), $B$5-XLOOKUP(S392, 'Space-Time Smackdown'!$C$2:$C889, 'Space-Time Smackdown'!$B$2:$B889)))</f>
        <v/>
      </c>
      <c r="X392" s="444" t="str">
        <f t="shared" si="3"/>
        <v/>
      </c>
      <c r="Y392" s="445" t="str">
        <f t="shared" si="4"/>
        <v/>
      </c>
      <c r="Z392" s="278"/>
      <c r="AA392" s="466"/>
      <c r="AB392" s="278"/>
      <c r="AC392" s="278"/>
      <c r="AD392" s="278"/>
      <c r="AE392" s="278"/>
      <c r="AF392" s="278"/>
      <c r="AG392" s="278" t="b">
        <f t="shared" si="5"/>
        <v>0</v>
      </c>
      <c r="AH392" s="454"/>
      <c r="AI392" s="278"/>
      <c r="AJ392" s="278"/>
      <c r="AK392" s="278"/>
      <c r="AL392" s="444" t="str">
        <f t="array" ref="AL392">IFERROR(IFS(OR(AJ392="A1-Mewtwo", AJ392="A1-Pikachu", AJ392="A1-Charizard", AJ392="A1"), XLOOKUP(AH392, 'Genetic Apex'!$C$2:$C889, 'Genetic Apex'!$B$2:$B889)-2, AJ392="A1a", XLOOKUP(AH392, 'Mythical Island'!$C$2:$C889, 'Mythical Island'!$B$2:$B889)-2, OR(AJ392="A2-Dialga", AJ392="A2-Palkia", AJ392="A2"), XLOOKUP(AH392, 'Space-Time Smackdown'!$C$2:$C889, 'Space-Time Smackdown'!$B$2:$B889)-2))</f>
        <v/>
      </c>
      <c r="AM392" s="444" t="str">
        <f t="shared" si="6"/>
        <v/>
      </c>
      <c r="AN392" s="448" t="str">
        <f t="shared" si="7"/>
        <v/>
      </c>
    </row>
    <row r="393">
      <c r="A393" s="277"/>
      <c r="B393" s="277"/>
      <c r="C393" s="441"/>
      <c r="D393" s="277"/>
      <c r="E393" s="277"/>
      <c r="F393" s="277"/>
      <c r="G393" s="277"/>
      <c r="H393" s="277" t="b">
        <f t="shared" si="1"/>
        <v>0</v>
      </c>
      <c r="I393" s="277" t="str">
        <f>IFERROR(__xludf.DUMMYFUNCTION("""COMPUTED_VALUE"""),"A2 016")</f>
        <v>A2 016</v>
      </c>
      <c r="J393" s="277" t="str">
        <f>IFERROR(__xludf.DUMMYFUNCTION("""COMPUTED_VALUE"""),"Wormadam")</f>
        <v>Wormadam</v>
      </c>
      <c r="K393" s="277" t="str">
        <f>IFERROR(__xludf.DUMMYFUNCTION("""COMPUTED_VALUE"""),"A2")</f>
        <v>A2</v>
      </c>
      <c r="L393" s="277" t="str">
        <f>IFERROR(__xludf.DUMMYFUNCTION("""COMPUTED_VALUE"""),"♢")</f>
        <v>♢</v>
      </c>
      <c r="M393" s="440" t="b">
        <f t="shared" si="2"/>
        <v>0</v>
      </c>
      <c r="N393" s="441"/>
      <c r="O393" s="277"/>
      <c r="P393" s="277"/>
      <c r="Q393" s="278"/>
      <c r="R393" s="449" t="str">
        <f t="array" ref="R393">IFERROR(IFS(OR(P393="A1-Mewtwo", P393="A1-Pikachu", P393="A1-Charizard", P393="A1"), XLOOKUP(N393, 'Genetic Apex'!$C$2:$C889, 'Genetic Apex'!$B$2:$B889)-$B$4, P393="A1a", XLOOKUP(N393, 'Mythical Island'!$C$2:$C889, 'Mythical Island'!$B$2:$B889)-$B$4, OR(P393="A2-Dialga", P393="A2-Palkia", P393="A2"), XLOOKUP(N393, 'Space-Time Smackdown'!$C$2:$C889, 'Space-Time Smackdown'!$B$2:$B889)-$B$4))</f>
        <v/>
      </c>
      <c r="S393" s="277"/>
      <c r="T393" s="277"/>
      <c r="U393" s="277"/>
      <c r="V393" s="278"/>
      <c r="W393" s="443" t="str">
        <f t="array" ref="W393">IFERROR(IFS(OR(U393="A1-Mewtwo", U393="A1-Pikachu", U393="A1-Charizard", U393="A1"), $B$5-XLOOKUP(S393, 'Genetic Apex'!$C$2:$C889, 'Genetic Apex'!$B$2:$B889), U393="A1a", $B$5-XLOOKUP(S393, 'Mythical Island'!$C$2:$C889, 'Mythical Island'!$B$2:$B889), OR(U393="A2-Dialga", U393="A2-Palkia", U393="A2"), $B$5-XLOOKUP(S393, 'Space-Time Smackdown'!$C$2:$C889, 'Space-Time Smackdown'!$B$2:$B889)))</f>
        <v/>
      </c>
      <c r="X393" s="444" t="str">
        <f t="shared" si="3"/>
        <v/>
      </c>
      <c r="Y393" s="445" t="str">
        <f t="shared" si="4"/>
        <v/>
      </c>
      <c r="Z393" s="278"/>
      <c r="AA393" s="466"/>
      <c r="AB393" s="278"/>
      <c r="AC393" s="278"/>
      <c r="AD393" s="278"/>
      <c r="AE393" s="278"/>
      <c r="AF393" s="278"/>
      <c r="AG393" s="278" t="b">
        <f t="shared" si="5"/>
        <v>0</v>
      </c>
      <c r="AH393" s="454"/>
      <c r="AI393" s="278"/>
      <c r="AJ393" s="278"/>
      <c r="AK393" s="278"/>
      <c r="AL393" s="444" t="str">
        <f t="array" ref="AL393">IFERROR(IFS(OR(AJ393="A1-Mewtwo", AJ393="A1-Pikachu", AJ393="A1-Charizard", AJ393="A1"), XLOOKUP(AH393, 'Genetic Apex'!$C$2:$C889, 'Genetic Apex'!$B$2:$B889)-2, AJ393="A1a", XLOOKUP(AH393, 'Mythical Island'!$C$2:$C889, 'Mythical Island'!$B$2:$B889)-2, OR(AJ393="A2-Dialga", AJ393="A2-Palkia", AJ393="A2"), XLOOKUP(AH393, 'Space-Time Smackdown'!$C$2:$C889, 'Space-Time Smackdown'!$B$2:$B889)-2))</f>
        <v/>
      </c>
      <c r="AM393" s="444" t="str">
        <f t="shared" si="6"/>
        <v/>
      </c>
      <c r="AN393" s="448" t="str">
        <f t="shared" si="7"/>
        <v/>
      </c>
    </row>
    <row r="394">
      <c r="A394" s="277"/>
      <c r="B394" s="277"/>
      <c r="C394" s="441"/>
      <c r="D394" s="277"/>
      <c r="E394" s="277"/>
      <c r="F394" s="277"/>
      <c r="G394" s="277"/>
      <c r="H394" s="277" t="b">
        <f t="shared" si="1"/>
        <v>0</v>
      </c>
      <c r="I394" s="277" t="str">
        <f>IFERROR(__xludf.DUMMYFUNCTION("""COMPUTED_VALUE"""),"A2 017")</f>
        <v>A2 017</v>
      </c>
      <c r="J394" s="277" t="str">
        <f>IFERROR(__xludf.DUMMYFUNCTION("""COMPUTED_VALUE"""),"Combee")</f>
        <v>Combee</v>
      </c>
      <c r="K394" s="277" t="str">
        <f>IFERROR(__xludf.DUMMYFUNCTION("""COMPUTED_VALUE"""),"A2-Dialga")</f>
        <v>A2-Dialga</v>
      </c>
      <c r="L394" s="277" t="str">
        <f>IFERROR(__xludf.DUMMYFUNCTION("""COMPUTED_VALUE"""),"♢")</f>
        <v>♢</v>
      </c>
      <c r="M394" s="440" t="b">
        <f t="shared" si="2"/>
        <v>0</v>
      </c>
      <c r="N394" s="441"/>
      <c r="O394" s="277"/>
      <c r="P394" s="277"/>
      <c r="Q394" s="278"/>
      <c r="R394" s="449" t="str">
        <f t="array" ref="R394">IFERROR(IFS(OR(P394="A1-Mewtwo", P394="A1-Pikachu", P394="A1-Charizard", P394="A1"), XLOOKUP(N394, 'Genetic Apex'!$C$2:$C889, 'Genetic Apex'!$B$2:$B889)-$B$4, P394="A1a", XLOOKUP(N394, 'Mythical Island'!$C$2:$C889, 'Mythical Island'!$B$2:$B889)-$B$4, OR(P394="A2-Dialga", P394="A2-Palkia", P394="A2"), XLOOKUP(N394, 'Space-Time Smackdown'!$C$2:$C889, 'Space-Time Smackdown'!$B$2:$B889)-$B$4))</f>
        <v/>
      </c>
      <c r="S394" s="277"/>
      <c r="T394" s="277"/>
      <c r="U394" s="277"/>
      <c r="V394" s="278"/>
      <c r="W394" s="443" t="str">
        <f t="array" ref="W394">IFERROR(IFS(OR(U394="A1-Mewtwo", U394="A1-Pikachu", U394="A1-Charizard", U394="A1"), $B$5-XLOOKUP(S394, 'Genetic Apex'!$C$2:$C889, 'Genetic Apex'!$B$2:$B889), U394="A1a", $B$5-XLOOKUP(S394, 'Mythical Island'!$C$2:$C889, 'Mythical Island'!$B$2:$B889), OR(U394="A2-Dialga", U394="A2-Palkia", U394="A2"), $B$5-XLOOKUP(S394, 'Space-Time Smackdown'!$C$2:$C889, 'Space-Time Smackdown'!$B$2:$B889)))</f>
        <v/>
      </c>
      <c r="X394" s="444" t="str">
        <f t="shared" si="3"/>
        <v/>
      </c>
      <c r="Y394" s="445" t="str">
        <f t="shared" si="4"/>
        <v/>
      </c>
      <c r="Z394" s="278"/>
      <c r="AA394" s="466"/>
      <c r="AB394" s="278"/>
      <c r="AC394" s="278"/>
      <c r="AD394" s="278"/>
      <c r="AE394" s="278"/>
      <c r="AF394" s="278"/>
      <c r="AG394" s="278" t="b">
        <f t="shared" si="5"/>
        <v>0</v>
      </c>
      <c r="AH394" s="454"/>
      <c r="AI394" s="278"/>
      <c r="AJ394" s="278"/>
      <c r="AK394" s="278"/>
      <c r="AL394" s="444" t="str">
        <f t="array" ref="AL394">IFERROR(IFS(OR(AJ394="A1-Mewtwo", AJ394="A1-Pikachu", AJ394="A1-Charizard", AJ394="A1"), XLOOKUP(AH394, 'Genetic Apex'!$C$2:$C889, 'Genetic Apex'!$B$2:$B889)-2, AJ394="A1a", XLOOKUP(AH394, 'Mythical Island'!$C$2:$C889, 'Mythical Island'!$B$2:$B889)-2, OR(AJ394="A2-Dialga", AJ394="A2-Palkia", AJ394="A2"), XLOOKUP(AH394, 'Space-Time Smackdown'!$C$2:$C889, 'Space-Time Smackdown'!$B$2:$B889)-2))</f>
        <v/>
      </c>
      <c r="AM394" s="444" t="str">
        <f t="shared" si="6"/>
        <v/>
      </c>
      <c r="AN394" s="448" t="str">
        <f t="shared" si="7"/>
        <v/>
      </c>
    </row>
    <row r="395">
      <c r="A395" s="277"/>
      <c r="B395" s="277"/>
      <c r="C395" s="441"/>
      <c r="D395" s="277"/>
      <c r="E395" s="277"/>
      <c r="F395" s="277"/>
      <c r="G395" s="277"/>
      <c r="H395" s="277" t="b">
        <f t="shared" si="1"/>
        <v>0</v>
      </c>
      <c r="I395" s="277" t="str">
        <f>IFERROR(__xludf.DUMMYFUNCTION("""COMPUTED_VALUE"""),"A2 018")</f>
        <v>A2 018</v>
      </c>
      <c r="J395" s="277" t="str">
        <f>IFERROR(__xludf.DUMMYFUNCTION("""COMPUTED_VALUE"""),"Vespiquen")</f>
        <v>Vespiquen</v>
      </c>
      <c r="K395" s="277" t="str">
        <f>IFERROR(__xludf.DUMMYFUNCTION("""COMPUTED_VALUE"""),"A2-Dialga")</f>
        <v>A2-Dialga</v>
      </c>
      <c r="L395" s="277" t="str">
        <f>IFERROR(__xludf.DUMMYFUNCTION("""COMPUTED_VALUE"""),"♢♢")</f>
        <v>♢♢</v>
      </c>
      <c r="M395" s="440" t="b">
        <f t="shared" si="2"/>
        <v>0</v>
      </c>
      <c r="N395" s="441"/>
      <c r="O395" s="277"/>
      <c r="P395" s="277"/>
      <c r="Q395" s="278"/>
      <c r="R395" s="449" t="str">
        <f t="array" ref="R395">IFERROR(IFS(OR(P395="A1-Mewtwo", P395="A1-Pikachu", P395="A1-Charizard", P395="A1"), XLOOKUP(N395, 'Genetic Apex'!$C$2:$C889, 'Genetic Apex'!$B$2:$B889)-$B$4, P395="A1a", XLOOKUP(N395, 'Mythical Island'!$C$2:$C889, 'Mythical Island'!$B$2:$B889)-$B$4, OR(P395="A2-Dialga", P395="A2-Palkia", P395="A2"), XLOOKUP(N395, 'Space-Time Smackdown'!$C$2:$C889, 'Space-Time Smackdown'!$B$2:$B889)-$B$4))</f>
        <v/>
      </c>
      <c r="S395" s="277"/>
      <c r="T395" s="277"/>
      <c r="U395" s="277"/>
      <c r="V395" s="278"/>
      <c r="W395" s="443" t="str">
        <f t="array" ref="W395">IFERROR(IFS(OR(U395="A1-Mewtwo", U395="A1-Pikachu", U395="A1-Charizard", U395="A1"), $B$5-XLOOKUP(S395, 'Genetic Apex'!$C$2:$C889, 'Genetic Apex'!$B$2:$B889), U395="A1a", $B$5-XLOOKUP(S395, 'Mythical Island'!$C$2:$C889, 'Mythical Island'!$B$2:$B889), OR(U395="A2-Dialga", U395="A2-Palkia", U395="A2"), $B$5-XLOOKUP(S395, 'Space-Time Smackdown'!$C$2:$C889, 'Space-Time Smackdown'!$B$2:$B889)))</f>
        <v/>
      </c>
      <c r="X395" s="444" t="str">
        <f t="shared" si="3"/>
        <v/>
      </c>
      <c r="Y395" s="445" t="str">
        <f t="shared" si="4"/>
        <v/>
      </c>
      <c r="Z395" s="278"/>
      <c r="AA395" s="466"/>
      <c r="AB395" s="278"/>
      <c r="AC395" s="278"/>
      <c r="AD395" s="278"/>
      <c r="AE395" s="278"/>
      <c r="AF395" s="278"/>
      <c r="AG395" s="278" t="b">
        <f t="shared" si="5"/>
        <v>0</v>
      </c>
      <c r="AH395" s="454"/>
      <c r="AI395" s="278"/>
      <c r="AJ395" s="278"/>
      <c r="AK395" s="278"/>
      <c r="AL395" s="444" t="str">
        <f t="array" ref="AL395">IFERROR(IFS(OR(AJ395="A1-Mewtwo", AJ395="A1-Pikachu", AJ395="A1-Charizard", AJ395="A1"), XLOOKUP(AH395, 'Genetic Apex'!$C$2:$C889, 'Genetic Apex'!$B$2:$B889)-2, AJ395="A1a", XLOOKUP(AH395, 'Mythical Island'!$C$2:$C889, 'Mythical Island'!$B$2:$B889)-2, OR(AJ395="A2-Dialga", AJ395="A2-Palkia", AJ395="A2"), XLOOKUP(AH395, 'Space-Time Smackdown'!$C$2:$C889, 'Space-Time Smackdown'!$B$2:$B889)-2))</f>
        <v/>
      </c>
      <c r="AM395" s="444" t="str">
        <f t="shared" si="6"/>
        <v/>
      </c>
      <c r="AN395" s="448" t="str">
        <f t="shared" si="7"/>
        <v/>
      </c>
    </row>
    <row r="396">
      <c r="A396" s="277"/>
      <c r="B396" s="277"/>
      <c r="C396" s="441"/>
      <c r="D396" s="277"/>
      <c r="E396" s="277"/>
      <c r="F396" s="277"/>
      <c r="G396" s="277"/>
      <c r="H396" s="277" t="b">
        <f t="shared" si="1"/>
        <v>0</v>
      </c>
      <c r="I396" s="277" t="str">
        <f>IFERROR(__xludf.DUMMYFUNCTION("""COMPUTED_VALUE"""),"A2 019")</f>
        <v>A2 019</v>
      </c>
      <c r="J396" s="277" t="str">
        <f>IFERROR(__xludf.DUMMYFUNCTION("""COMPUTED_VALUE"""),"Carnivine")</f>
        <v>Carnivine</v>
      </c>
      <c r="K396" s="277" t="str">
        <f>IFERROR(__xludf.DUMMYFUNCTION("""COMPUTED_VALUE"""),"A2-Palkia")</f>
        <v>A2-Palkia</v>
      </c>
      <c r="L396" s="277" t="str">
        <f>IFERROR(__xludf.DUMMYFUNCTION("""COMPUTED_VALUE"""),"♢♢")</f>
        <v>♢♢</v>
      </c>
      <c r="M396" s="440" t="b">
        <f t="shared" si="2"/>
        <v>0</v>
      </c>
      <c r="N396" s="441"/>
      <c r="O396" s="277"/>
      <c r="P396" s="277"/>
      <c r="Q396" s="278"/>
      <c r="R396" s="449" t="str">
        <f t="array" ref="R396">IFERROR(IFS(OR(P396="A1-Mewtwo", P396="A1-Pikachu", P396="A1-Charizard", P396="A1"), XLOOKUP(N396, 'Genetic Apex'!$C$2:$C889, 'Genetic Apex'!$B$2:$B889)-$B$4, P396="A1a", XLOOKUP(N396, 'Mythical Island'!$C$2:$C889, 'Mythical Island'!$B$2:$B889)-$B$4, OR(P396="A2-Dialga", P396="A2-Palkia", P396="A2"), XLOOKUP(N396, 'Space-Time Smackdown'!$C$2:$C889, 'Space-Time Smackdown'!$B$2:$B889)-$B$4))</f>
        <v/>
      </c>
      <c r="S396" s="277"/>
      <c r="T396" s="277"/>
      <c r="U396" s="277"/>
      <c r="V396" s="278"/>
      <c r="W396" s="443" t="str">
        <f t="array" ref="W396">IFERROR(IFS(OR(U396="A1-Mewtwo", U396="A1-Pikachu", U396="A1-Charizard", U396="A1"), $B$5-XLOOKUP(S396, 'Genetic Apex'!$C$2:$C889, 'Genetic Apex'!$B$2:$B889), U396="A1a", $B$5-XLOOKUP(S396, 'Mythical Island'!$C$2:$C889, 'Mythical Island'!$B$2:$B889), OR(U396="A2-Dialga", U396="A2-Palkia", U396="A2"), $B$5-XLOOKUP(S396, 'Space-Time Smackdown'!$C$2:$C889, 'Space-Time Smackdown'!$B$2:$B889)))</f>
        <v/>
      </c>
      <c r="X396" s="444" t="str">
        <f t="shared" si="3"/>
        <v/>
      </c>
      <c r="Y396" s="445" t="str">
        <f t="shared" si="4"/>
        <v/>
      </c>
      <c r="Z396" s="278"/>
      <c r="AA396" s="466"/>
      <c r="AB396" s="278"/>
      <c r="AC396" s="278"/>
      <c r="AD396" s="278"/>
      <c r="AE396" s="278"/>
      <c r="AF396" s="278"/>
      <c r="AG396" s="278" t="b">
        <f t="shared" si="5"/>
        <v>0</v>
      </c>
      <c r="AH396" s="454"/>
      <c r="AI396" s="278"/>
      <c r="AJ396" s="278"/>
      <c r="AK396" s="278"/>
      <c r="AL396" s="444" t="str">
        <f t="array" ref="AL396">IFERROR(IFS(OR(AJ396="A1-Mewtwo", AJ396="A1-Pikachu", AJ396="A1-Charizard", AJ396="A1"), XLOOKUP(AH396, 'Genetic Apex'!$C$2:$C889, 'Genetic Apex'!$B$2:$B889)-2, AJ396="A1a", XLOOKUP(AH396, 'Mythical Island'!$C$2:$C889, 'Mythical Island'!$B$2:$B889)-2, OR(AJ396="A2-Dialga", AJ396="A2-Palkia", AJ396="A2"), XLOOKUP(AH396, 'Space-Time Smackdown'!$C$2:$C889, 'Space-Time Smackdown'!$B$2:$B889)-2))</f>
        <v/>
      </c>
      <c r="AM396" s="444" t="str">
        <f t="shared" si="6"/>
        <v/>
      </c>
      <c r="AN396" s="448" t="str">
        <f t="shared" si="7"/>
        <v/>
      </c>
    </row>
    <row r="397">
      <c r="A397" s="277"/>
      <c r="B397" s="277"/>
      <c r="C397" s="441"/>
      <c r="D397" s="277"/>
      <c r="E397" s="277"/>
      <c r="F397" s="277"/>
      <c r="G397" s="277"/>
      <c r="H397" s="277" t="b">
        <f t="shared" si="1"/>
        <v>0</v>
      </c>
      <c r="I397" s="277" t="str">
        <f>IFERROR(__xludf.DUMMYFUNCTION("""COMPUTED_VALUE"""),"A2 020")</f>
        <v>A2 020</v>
      </c>
      <c r="J397" s="277" t="str">
        <f>IFERROR(__xludf.DUMMYFUNCTION("""COMPUTED_VALUE"""),"Leafeon")</f>
        <v>Leafeon</v>
      </c>
      <c r="K397" s="277" t="str">
        <f>IFERROR(__xludf.DUMMYFUNCTION("""COMPUTED_VALUE"""),"A2-Dialga")</f>
        <v>A2-Dialga</v>
      </c>
      <c r="L397" s="277" t="str">
        <f>IFERROR(__xludf.DUMMYFUNCTION("""COMPUTED_VALUE"""),"♢♢♢")</f>
        <v>♢♢♢</v>
      </c>
      <c r="M397" s="440" t="b">
        <f t="shared" si="2"/>
        <v>0</v>
      </c>
      <c r="N397" s="441"/>
      <c r="O397" s="277"/>
      <c r="P397" s="277"/>
      <c r="Q397" s="278"/>
      <c r="R397" s="449" t="str">
        <f t="array" ref="R397">IFERROR(IFS(OR(P397="A1-Mewtwo", P397="A1-Pikachu", P397="A1-Charizard", P397="A1"), XLOOKUP(N397, 'Genetic Apex'!$C$2:$C889, 'Genetic Apex'!$B$2:$B889)-$B$4, P397="A1a", XLOOKUP(N397, 'Mythical Island'!$C$2:$C889, 'Mythical Island'!$B$2:$B889)-$B$4, OR(P397="A2-Dialga", P397="A2-Palkia", P397="A2"), XLOOKUP(N397, 'Space-Time Smackdown'!$C$2:$C889, 'Space-Time Smackdown'!$B$2:$B889)-$B$4))</f>
        <v/>
      </c>
      <c r="S397" s="277"/>
      <c r="T397" s="277"/>
      <c r="U397" s="277"/>
      <c r="V397" s="278"/>
      <c r="W397" s="443" t="str">
        <f t="array" ref="W397">IFERROR(IFS(OR(U397="A1-Mewtwo", U397="A1-Pikachu", U397="A1-Charizard", U397="A1"), $B$5-XLOOKUP(S397, 'Genetic Apex'!$C$2:$C889, 'Genetic Apex'!$B$2:$B889), U397="A1a", $B$5-XLOOKUP(S397, 'Mythical Island'!$C$2:$C889, 'Mythical Island'!$B$2:$B889), OR(U397="A2-Dialga", U397="A2-Palkia", U397="A2"), $B$5-XLOOKUP(S397, 'Space-Time Smackdown'!$C$2:$C889, 'Space-Time Smackdown'!$B$2:$B889)))</f>
        <v/>
      </c>
      <c r="X397" s="444" t="str">
        <f t="shared" si="3"/>
        <v/>
      </c>
      <c r="Y397" s="445" t="str">
        <f t="shared" si="4"/>
        <v/>
      </c>
      <c r="Z397" s="278"/>
      <c r="AA397" s="466"/>
      <c r="AB397" s="278"/>
      <c r="AC397" s="278"/>
      <c r="AD397" s="278"/>
      <c r="AE397" s="278"/>
      <c r="AF397" s="278"/>
      <c r="AG397" s="278" t="b">
        <f t="shared" si="5"/>
        <v>0</v>
      </c>
      <c r="AH397" s="454"/>
      <c r="AI397" s="278"/>
      <c r="AJ397" s="278"/>
      <c r="AK397" s="278"/>
      <c r="AL397" s="444" t="str">
        <f t="array" ref="AL397">IFERROR(IFS(OR(AJ397="A1-Mewtwo", AJ397="A1-Pikachu", AJ397="A1-Charizard", AJ397="A1"), XLOOKUP(AH397, 'Genetic Apex'!$C$2:$C889, 'Genetic Apex'!$B$2:$B889)-2, AJ397="A1a", XLOOKUP(AH397, 'Mythical Island'!$C$2:$C889, 'Mythical Island'!$B$2:$B889)-2, OR(AJ397="A2-Dialga", AJ397="A2-Palkia", AJ397="A2"), XLOOKUP(AH397, 'Space-Time Smackdown'!$C$2:$C889, 'Space-Time Smackdown'!$B$2:$B889)-2))</f>
        <v/>
      </c>
      <c r="AM397" s="444" t="str">
        <f t="shared" si="6"/>
        <v/>
      </c>
      <c r="AN397" s="448" t="str">
        <f t="shared" si="7"/>
        <v/>
      </c>
    </row>
    <row r="398">
      <c r="A398" s="277"/>
      <c r="B398" s="277"/>
      <c r="C398" s="441"/>
      <c r="D398" s="277"/>
      <c r="E398" s="277"/>
      <c r="F398" s="277"/>
      <c r="G398" s="277"/>
      <c r="H398" s="277" t="b">
        <f t="shared" si="1"/>
        <v>0</v>
      </c>
      <c r="I398" s="277" t="str">
        <f>IFERROR(__xludf.DUMMYFUNCTION("""COMPUTED_VALUE"""),"A2 021")</f>
        <v>A2 021</v>
      </c>
      <c r="J398" s="277" t="str">
        <f>IFERROR(__xludf.DUMMYFUNCTION("""COMPUTED_VALUE"""),"Mow Rotom")</f>
        <v>Mow Rotom</v>
      </c>
      <c r="K398" s="277" t="str">
        <f>IFERROR(__xludf.DUMMYFUNCTION("""COMPUTED_VALUE"""),"A2")</f>
        <v>A2</v>
      </c>
      <c r="L398" s="277" t="str">
        <f>IFERROR(__xludf.DUMMYFUNCTION("""COMPUTED_VALUE"""),"♢")</f>
        <v>♢</v>
      </c>
      <c r="M398" s="440" t="b">
        <f t="shared" si="2"/>
        <v>0</v>
      </c>
      <c r="N398" s="441"/>
      <c r="O398" s="277"/>
      <c r="P398" s="277"/>
      <c r="Q398" s="278"/>
      <c r="R398" s="449" t="str">
        <f t="array" ref="R398">IFERROR(IFS(OR(P398="A1-Mewtwo", P398="A1-Pikachu", P398="A1-Charizard", P398="A1"), XLOOKUP(N398, 'Genetic Apex'!$C$2:$C889, 'Genetic Apex'!$B$2:$B889)-$B$4, P398="A1a", XLOOKUP(N398, 'Mythical Island'!$C$2:$C889, 'Mythical Island'!$B$2:$B889)-$B$4, OR(P398="A2-Dialga", P398="A2-Palkia", P398="A2"), XLOOKUP(N398, 'Space-Time Smackdown'!$C$2:$C889, 'Space-Time Smackdown'!$B$2:$B889)-$B$4))</f>
        <v/>
      </c>
      <c r="S398" s="277"/>
      <c r="T398" s="277"/>
      <c r="U398" s="277"/>
      <c r="V398" s="278"/>
      <c r="W398" s="443" t="str">
        <f t="array" ref="W398">IFERROR(IFS(OR(U398="A1-Mewtwo", U398="A1-Pikachu", U398="A1-Charizard", U398="A1"), $B$5-XLOOKUP(S398, 'Genetic Apex'!$C$2:$C889, 'Genetic Apex'!$B$2:$B889), U398="A1a", $B$5-XLOOKUP(S398, 'Mythical Island'!$C$2:$C889, 'Mythical Island'!$B$2:$B889), OR(U398="A2-Dialga", U398="A2-Palkia", U398="A2"), $B$5-XLOOKUP(S398, 'Space-Time Smackdown'!$C$2:$C889, 'Space-Time Smackdown'!$B$2:$B889)))</f>
        <v/>
      </c>
      <c r="X398" s="444" t="str">
        <f t="shared" si="3"/>
        <v/>
      </c>
      <c r="Y398" s="445" t="str">
        <f t="shared" si="4"/>
        <v/>
      </c>
      <c r="Z398" s="278"/>
      <c r="AA398" s="466"/>
      <c r="AB398" s="278"/>
      <c r="AC398" s="278"/>
      <c r="AD398" s="278"/>
      <c r="AE398" s="278"/>
      <c r="AF398" s="278"/>
      <c r="AG398" s="278" t="b">
        <f t="shared" si="5"/>
        <v>0</v>
      </c>
      <c r="AH398" s="454"/>
      <c r="AI398" s="278"/>
      <c r="AJ398" s="278"/>
      <c r="AK398" s="278"/>
      <c r="AL398" s="444" t="str">
        <f t="array" ref="AL398">IFERROR(IFS(OR(AJ398="A1-Mewtwo", AJ398="A1-Pikachu", AJ398="A1-Charizard", AJ398="A1"), XLOOKUP(AH398, 'Genetic Apex'!$C$2:$C889, 'Genetic Apex'!$B$2:$B889)-2, AJ398="A1a", XLOOKUP(AH398, 'Mythical Island'!$C$2:$C889, 'Mythical Island'!$B$2:$B889)-2, OR(AJ398="A2-Dialga", AJ398="A2-Palkia", AJ398="A2"), XLOOKUP(AH398, 'Space-Time Smackdown'!$C$2:$C889, 'Space-Time Smackdown'!$B$2:$B889)-2))</f>
        <v/>
      </c>
      <c r="AM398" s="444" t="str">
        <f t="shared" si="6"/>
        <v/>
      </c>
      <c r="AN398" s="448" t="str">
        <f t="shared" si="7"/>
        <v/>
      </c>
    </row>
    <row r="399">
      <c r="A399" s="277"/>
      <c r="B399" s="277"/>
      <c r="C399" s="441"/>
      <c r="D399" s="277"/>
      <c r="E399" s="277"/>
      <c r="F399" s="277"/>
      <c r="G399" s="277"/>
      <c r="H399" s="277" t="b">
        <f t="shared" si="1"/>
        <v>0</v>
      </c>
      <c r="I399" s="277" t="str">
        <f>IFERROR(__xludf.DUMMYFUNCTION("""COMPUTED_VALUE"""),"A2 022")</f>
        <v>A2 022</v>
      </c>
      <c r="J399" s="277" t="str">
        <f>IFERROR(__xludf.DUMMYFUNCTION("""COMPUTED_VALUE"""),"Shaymin")</f>
        <v>Shaymin</v>
      </c>
      <c r="K399" s="277" t="str">
        <f>IFERROR(__xludf.DUMMYFUNCTION("""COMPUTED_VALUE"""),"A2-Dialga")</f>
        <v>A2-Dialga</v>
      </c>
      <c r="L399" s="277" t="str">
        <f>IFERROR(__xludf.DUMMYFUNCTION("""COMPUTED_VALUE"""),"♢♢♢")</f>
        <v>♢♢♢</v>
      </c>
      <c r="M399" s="440" t="b">
        <f t="shared" si="2"/>
        <v>0</v>
      </c>
      <c r="N399" s="441"/>
      <c r="O399" s="277"/>
      <c r="P399" s="277"/>
      <c r="Q399" s="278"/>
      <c r="R399" s="449" t="str">
        <f t="array" ref="R399">IFERROR(IFS(OR(P399="A1-Mewtwo", P399="A1-Pikachu", P399="A1-Charizard", P399="A1"), XLOOKUP(N399, 'Genetic Apex'!$C$2:$C889, 'Genetic Apex'!$B$2:$B889)-$B$4, P399="A1a", XLOOKUP(N399, 'Mythical Island'!$C$2:$C889, 'Mythical Island'!$B$2:$B889)-$B$4, OR(P399="A2-Dialga", P399="A2-Palkia", P399="A2"), XLOOKUP(N399, 'Space-Time Smackdown'!$C$2:$C889, 'Space-Time Smackdown'!$B$2:$B889)-$B$4))</f>
        <v/>
      </c>
      <c r="S399" s="277"/>
      <c r="T399" s="277"/>
      <c r="U399" s="277"/>
      <c r="V399" s="278"/>
      <c r="W399" s="443" t="str">
        <f t="array" ref="W399">IFERROR(IFS(OR(U399="A1-Mewtwo", U399="A1-Pikachu", U399="A1-Charizard", U399="A1"), $B$5-XLOOKUP(S399, 'Genetic Apex'!$C$2:$C889, 'Genetic Apex'!$B$2:$B889), U399="A1a", $B$5-XLOOKUP(S399, 'Mythical Island'!$C$2:$C889, 'Mythical Island'!$B$2:$B889), OR(U399="A2-Dialga", U399="A2-Palkia", U399="A2"), $B$5-XLOOKUP(S399, 'Space-Time Smackdown'!$C$2:$C889, 'Space-Time Smackdown'!$B$2:$B889)))</f>
        <v/>
      </c>
      <c r="X399" s="444" t="str">
        <f t="shared" si="3"/>
        <v/>
      </c>
      <c r="Y399" s="445" t="str">
        <f t="shared" si="4"/>
        <v/>
      </c>
      <c r="Z399" s="278"/>
      <c r="AA399" s="466"/>
      <c r="AB399" s="278"/>
      <c r="AC399" s="278"/>
      <c r="AD399" s="278"/>
      <c r="AE399" s="278"/>
      <c r="AF399" s="278"/>
      <c r="AG399" s="278" t="b">
        <f t="shared" si="5"/>
        <v>0</v>
      </c>
      <c r="AH399" s="454"/>
      <c r="AI399" s="278"/>
      <c r="AJ399" s="278"/>
      <c r="AK399" s="278"/>
      <c r="AL399" s="444" t="str">
        <f t="array" ref="AL399">IFERROR(IFS(OR(AJ399="A1-Mewtwo", AJ399="A1-Pikachu", AJ399="A1-Charizard", AJ399="A1"), XLOOKUP(AH399, 'Genetic Apex'!$C$2:$C889, 'Genetic Apex'!$B$2:$B889)-2, AJ399="A1a", XLOOKUP(AH399, 'Mythical Island'!$C$2:$C889, 'Mythical Island'!$B$2:$B889)-2, OR(AJ399="A2-Dialga", AJ399="A2-Palkia", AJ399="A2"), XLOOKUP(AH399, 'Space-Time Smackdown'!$C$2:$C889, 'Space-Time Smackdown'!$B$2:$B889)-2))</f>
        <v/>
      </c>
      <c r="AM399" s="444" t="str">
        <f t="shared" si="6"/>
        <v/>
      </c>
      <c r="AN399" s="448" t="str">
        <f t="shared" si="7"/>
        <v/>
      </c>
    </row>
    <row r="400">
      <c r="A400" s="277"/>
      <c r="B400" s="277"/>
      <c r="C400" s="441"/>
      <c r="D400" s="277"/>
      <c r="E400" s="277"/>
      <c r="F400" s="277"/>
      <c r="G400" s="277"/>
      <c r="H400" s="277" t="b">
        <f t="shared" si="1"/>
        <v>0</v>
      </c>
      <c r="I400" s="277" t="str">
        <f>IFERROR(__xludf.DUMMYFUNCTION("""COMPUTED_VALUE"""),"A2 023")</f>
        <v>A2 023</v>
      </c>
      <c r="J400" s="277" t="str">
        <f>IFERROR(__xludf.DUMMYFUNCTION("""COMPUTED_VALUE"""),"Magmar")</f>
        <v>Magmar</v>
      </c>
      <c r="K400" s="277" t="str">
        <f>IFERROR(__xludf.DUMMYFUNCTION("""COMPUTED_VALUE"""),"A2-Palkia")</f>
        <v>A2-Palkia</v>
      </c>
      <c r="L400" s="277" t="str">
        <f>IFERROR(__xludf.DUMMYFUNCTION("""COMPUTED_VALUE"""),"♢")</f>
        <v>♢</v>
      </c>
      <c r="M400" s="440" t="b">
        <f t="shared" si="2"/>
        <v>0</v>
      </c>
      <c r="N400" s="441"/>
      <c r="O400" s="277"/>
      <c r="P400" s="277"/>
      <c r="Q400" s="278"/>
      <c r="R400" s="449" t="str">
        <f t="array" ref="R400">IFERROR(IFS(OR(P400="A1-Mewtwo", P400="A1-Pikachu", P400="A1-Charizard", P400="A1"), XLOOKUP(N400, 'Genetic Apex'!$C$2:$C889, 'Genetic Apex'!$B$2:$B889)-$B$4, P400="A1a", XLOOKUP(N400, 'Mythical Island'!$C$2:$C889, 'Mythical Island'!$B$2:$B889)-$B$4, OR(P400="A2-Dialga", P400="A2-Palkia", P400="A2"), XLOOKUP(N400, 'Space-Time Smackdown'!$C$2:$C889, 'Space-Time Smackdown'!$B$2:$B889)-$B$4))</f>
        <v/>
      </c>
      <c r="S400" s="277"/>
      <c r="T400" s="277"/>
      <c r="U400" s="277"/>
      <c r="V400" s="278"/>
      <c r="W400" s="443" t="str">
        <f t="array" ref="W400">IFERROR(IFS(OR(U400="A1-Mewtwo", U400="A1-Pikachu", U400="A1-Charizard", U400="A1"), $B$5-XLOOKUP(S400, 'Genetic Apex'!$C$2:$C889, 'Genetic Apex'!$B$2:$B889), U400="A1a", $B$5-XLOOKUP(S400, 'Mythical Island'!$C$2:$C889, 'Mythical Island'!$B$2:$B889), OR(U400="A2-Dialga", U400="A2-Palkia", U400="A2"), $B$5-XLOOKUP(S400, 'Space-Time Smackdown'!$C$2:$C889, 'Space-Time Smackdown'!$B$2:$B889)))</f>
        <v/>
      </c>
      <c r="X400" s="444" t="str">
        <f t="shared" si="3"/>
        <v/>
      </c>
      <c r="Y400" s="445" t="str">
        <f t="shared" si="4"/>
        <v/>
      </c>
      <c r="Z400" s="278"/>
      <c r="AA400" s="466"/>
      <c r="AB400" s="278"/>
      <c r="AC400" s="278"/>
      <c r="AD400" s="278"/>
      <c r="AE400" s="278"/>
      <c r="AF400" s="278"/>
      <c r="AG400" s="278" t="b">
        <f t="shared" si="5"/>
        <v>0</v>
      </c>
      <c r="AH400" s="454"/>
      <c r="AI400" s="278"/>
      <c r="AJ400" s="278"/>
      <c r="AK400" s="278"/>
      <c r="AL400" s="444" t="str">
        <f t="array" ref="AL400">IFERROR(IFS(OR(AJ400="A1-Mewtwo", AJ400="A1-Pikachu", AJ400="A1-Charizard", AJ400="A1"), XLOOKUP(AH400, 'Genetic Apex'!$C$2:$C889, 'Genetic Apex'!$B$2:$B889)-2, AJ400="A1a", XLOOKUP(AH400, 'Mythical Island'!$C$2:$C889, 'Mythical Island'!$B$2:$B889)-2, OR(AJ400="A2-Dialga", AJ400="A2-Palkia", AJ400="A2"), XLOOKUP(AH400, 'Space-Time Smackdown'!$C$2:$C889, 'Space-Time Smackdown'!$B$2:$B889)-2))</f>
        <v/>
      </c>
      <c r="AM400" s="444" t="str">
        <f t="shared" si="6"/>
        <v/>
      </c>
      <c r="AN400" s="448" t="str">
        <f t="shared" si="7"/>
        <v/>
      </c>
    </row>
    <row r="401">
      <c r="A401" s="277"/>
      <c r="B401" s="277"/>
      <c r="C401" s="441"/>
      <c r="D401" s="277"/>
      <c r="E401" s="277"/>
      <c r="F401" s="277"/>
      <c r="G401" s="277"/>
      <c r="H401" s="277" t="b">
        <f t="shared" si="1"/>
        <v>0</v>
      </c>
      <c r="I401" s="277" t="str">
        <f>IFERROR(__xludf.DUMMYFUNCTION("""COMPUTED_VALUE"""),"A2 024")</f>
        <v>A2 024</v>
      </c>
      <c r="J401" s="277" t="str">
        <f>IFERROR(__xludf.DUMMYFUNCTION("""COMPUTED_VALUE"""),"Magmortar")</f>
        <v>Magmortar</v>
      </c>
      <c r="K401" s="277" t="str">
        <f>IFERROR(__xludf.DUMMYFUNCTION("""COMPUTED_VALUE"""),"A2-Palkia")</f>
        <v>A2-Palkia</v>
      </c>
      <c r="L401" s="277" t="str">
        <f>IFERROR(__xludf.DUMMYFUNCTION("""COMPUTED_VALUE"""),"♢♢♢")</f>
        <v>♢♢♢</v>
      </c>
      <c r="M401" s="440" t="b">
        <f t="shared" si="2"/>
        <v>0</v>
      </c>
      <c r="N401" s="441"/>
      <c r="O401" s="277"/>
      <c r="P401" s="277"/>
      <c r="Q401" s="278"/>
      <c r="R401" s="449" t="str">
        <f t="array" ref="R401">IFERROR(IFS(OR(P401="A1-Mewtwo", P401="A1-Pikachu", P401="A1-Charizard", P401="A1"), XLOOKUP(N401, 'Genetic Apex'!$C$2:$C889, 'Genetic Apex'!$B$2:$B889)-$B$4, P401="A1a", XLOOKUP(N401, 'Mythical Island'!$C$2:$C889, 'Mythical Island'!$B$2:$B889)-$B$4, OR(P401="A2-Dialga", P401="A2-Palkia", P401="A2"), XLOOKUP(N401, 'Space-Time Smackdown'!$C$2:$C889, 'Space-Time Smackdown'!$B$2:$B889)-$B$4))</f>
        <v/>
      </c>
      <c r="S401" s="277"/>
      <c r="T401" s="277"/>
      <c r="U401" s="277"/>
      <c r="V401" s="278"/>
      <c r="W401" s="443" t="str">
        <f t="array" ref="W401">IFERROR(IFS(OR(U401="A1-Mewtwo", U401="A1-Pikachu", U401="A1-Charizard", U401="A1"), $B$5-XLOOKUP(S401, 'Genetic Apex'!$C$2:$C889, 'Genetic Apex'!$B$2:$B889), U401="A1a", $B$5-XLOOKUP(S401, 'Mythical Island'!$C$2:$C889, 'Mythical Island'!$B$2:$B889), OR(U401="A2-Dialga", U401="A2-Palkia", U401="A2"), $B$5-XLOOKUP(S401, 'Space-Time Smackdown'!$C$2:$C889, 'Space-Time Smackdown'!$B$2:$B889)))</f>
        <v/>
      </c>
      <c r="X401" s="444" t="str">
        <f t="shared" si="3"/>
        <v/>
      </c>
      <c r="Y401" s="445" t="str">
        <f t="shared" si="4"/>
        <v/>
      </c>
      <c r="Z401" s="278"/>
      <c r="AA401" s="466"/>
      <c r="AB401" s="278"/>
      <c r="AC401" s="278"/>
      <c r="AD401" s="278"/>
      <c r="AE401" s="278"/>
      <c r="AF401" s="278"/>
      <c r="AG401" s="278" t="b">
        <f t="shared" si="5"/>
        <v>0</v>
      </c>
      <c r="AH401" s="454"/>
      <c r="AI401" s="278"/>
      <c r="AJ401" s="278"/>
      <c r="AK401" s="278"/>
      <c r="AL401" s="444" t="str">
        <f t="array" ref="AL401">IFERROR(IFS(OR(AJ401="A1-Mewtwo", AJ401="A1-Pikachu", AJ401="A1-Charizard", AJ401="A1"), XLOOKUP(AH401, 'Genetic Apex'!$C$2:$C889, 'Genetic Apex'!$B$2:$B889)-2, AJ401="A1a", XLOOKUP(AH401, 'Mythical Island'!$C$2:$C889, 'Mythical Island'!$B$2:$B889)-2, OR(AJ401="A2-Dialga", AJ401="A2-Palkia", AJ401="A2"), XLOOKUP(AH401, 'Space-Time Smackdown'!$C$2:$C889, 'Space-Time Smackdown'!$B$2:$B889)-2))</f>
        <v/>
      </c>
      <c r="AM401" s="444" t="str">
        <f t="shared" si="6"/>
        <v/>
      </c>
      <c r="AN401" s="448" t="str">
        <f t="shared" si="7"/>
        <v/>
      </c>
    </row>
    <row r="402">
      <c r="A402" s="277"/>
      <c r="B402" s="277"/>
      <c r="C402" s="441"/>
      <c r="D402" s="277"/>
      <c r="E402" s="277"/>
      <c r="F402" s="277"/>
      <c r="G402" s="277"/>
      <c r="H402" s="277" t="b">
        <f t="shared" si="1"/>
        <v>0</v>
      </c>
      <c r="I402" s="277" t="str">
        <f>IFERROR(__xludf.DUMMYFUNCTION("""COMPUTED_VALUE"""),"A2 025")</f>
        <v>A2 025</v>
      </c>
      <c r="J402" s="277" t="str">
        <f>IFERROR(__xludf.DUMMYFUNCTION("""COMPUTED_VALUE"""),"Slugma")</f>
        <v>Slugma</v>
      </c>
      <c r="K402" s="277" t="str">
        <f>IFERROR(__xludf.DUMMYFUNCTION("""COMPUTED_VALUE"""),"A2")</f>
        <v>A2</v>
      </c>
      <c r="L402" s="277" t="str">
        <f>IFERROR(__xludf.DUMMYFUNCTION("""COMPUTED_VALUE"""),"♢")</f>
        <v>♢</v>
      </c>
      <c r="M402" s="440" t="b">
        <f t="shared" si="2"/>
        <v>0</v>
      </c>
      <c r="N402" s="441"/>
      <c r="O402" s="277"/>
      <c r="P402" s="277"/>
      <c r="Q402" s="278"/>
      <c r="R402" s="449" t="str">
        <f t="array" ref="R402">IFERROR(IFS(OR(P402="A1-Mewtwo", P402="A1-Pikachu", P402="A1-Charizard", P402="A1"), XLOOKUP(N402, 'Genetic Apex'!$C$2:$C889, 'Genetic Apex'!$B$2:$B889)-$B$4, P402="A1a", XLOOKUP(N402, 'Mythical Island'!$C$2:$C889, 'Mythical Island'!$B$2:$B889)-$B$4, OR(P402="A2-Dialga", P402="A2-Palkia", P402="A2"), XLOOKUP(N402, 'Space-Time Smackdown'!$C$2:$C889, 'Space-Time Smackdown'!$B$2:$B889)-$B$4))</f>
        <v/>
      </c>
      <c r="S402" s="277"/>
      <c r="T402" s="277"/>
      <c r="U402" s="277"/>
      <c r="V402" s="278"/>
      <c r="W402" s="443" t="str">
        <f t="array" ref="W402">IFERROR(IFS(OR(U402="A1-Mewtwo", U402="A1-Pikachu", U402="A1-Charizard", U402="A1"), $B$5-XLOOKUP(S402, 'Genetic Apex'!$C$2:$C889, 'Genetic Apex'!$B$2:$B889), U402="A1a", $B$5-XLOOKUP(S402, 'Mythical Island'!$C$2:$C889, 'Mythical Island'!$B$2:$B889), OR(U402="A2-Dialga", U402="A2-Palkia", U402="A2"), $B$5-XLOOKUP(S402, 'Space-Time Smackdown'!$C$2:$C889, 'Space-Time Smackdown'!$B$2:$B889)))</f>
        <v/>
      </c>
      <c r="X402" s="444" t="str">
        <f t="shared" si="3"/>
        <v/>
      </c>
      <c r="Y402" s="445" t="str">
        <f t="shared" si="4"/>
        <v/>
      </c>
      <c r="Z402" s="278"/>
      <c r="AA402" s="466"/>
      <c r="AB402" s="278"/>
      <c r="AC402" s="278"/>
      <c r="AD402" s="278"/>
      <c r="AE402" s="278"/>
      <c r="AF402" s="278"/>
      <c r="AG402" s="278" t="b">
        <f t="shared" si="5"/>
        <v>0</v>
      </c>
      <c r="AH402" s="454"/>
      <c r="AI402" s="278"/>
      <c r="AJ402" s="278"/>
      <c r="AK402" s="278"/>
      <c r="AL402" s="444" t="str">
        <f t="array" ref="AL402">IFERROR(IFS(OR(AJ402="A1-Mewtwo", AJ402="A1-Pikachu", AJ402="A1-Charizard", AJ402="A1"), XLOOKUP(AH402, 'Genetic Apex'!$C$2:$C889, 'Genetic Apex'!$B$2:$B889)-2, AJ402="A1a", XLOOKUP(AH402, 'Mythical Island'!$C$2:$C889, 'Mythical Island'!$B$2:$B889)-2, OR(AJ402="A2-Dialga", AJ402="A2-Palkia", AJ402="A2"), XLOOKUP(AH402, 'Space-Time Smackdown'!$C$2:$C889, 'Space-Time Smackdown'!$B$2:$B889)-2))</f>
        <v/>
      </c>
      <c r="AM402" s="444" t="str">
        <f t="shared" si="6"/>
        <v/>
      </c>
      <c r="AN402" s="448" t="str">
        <f t="shared" si="7"/>
        <v/>
      </c>
    </row>
    <row r="403">
      <c r="A403" s="277"/>
      <c r="B403" s="277"/>
      <c r="C403" s="441"/>
      <c r="D403" s="277"/>
      <c r="E403" s="277"/>
      <c r="F403" s="277"/>
      <c r="G403" s="277"/>
      <c r="H403" s="277" t="b">
        <f t="shared" si="1"/>
        <v>0</v>
      </c>
      <c r="I403" s="277" t="str">
        <f>IFERROR(__xludf.DUMMYFUNCTION("""COMPUTED_VALUE"""),"A2 026")</f>
        <v>A2 026</v>
      </c>
      <c r="J403" s="277" t="str">
        <f>IFERROR(__xludf.DUMMYFUNCTION("""COMPUTED_VALUE"""),"Magcargo")</f>
        <v>Magcargo</v>
      </c>
      <c r="K403" s="277" t="str">
        <f>IFERROR(__xludf.DUMMYFUNCTION("""COMPUTED_VALUE"""),"A2")</f>
        <v>A2</v>
      </c>
      <c r="L403" s="277" t="str">
        <f>IFERROR(__xludf.DUMMYFUNCTION("""COMPUTED_VALUE"""),"♢♢")</f>
        <v>♢♢</v>
      </c>
      <c r="M403" s="440" t="b">
        <f t="shared" si="2"/>
        <v>0</v>
      </c>
      <c r="N403" s="441"/>
      <c r="O403" s="277"/>
      <c r="P403" s="277"/>
      <c r="Q403" s="278"/>
      <c r="R403" s="449" t="str">
        <f t="array" ref="R403">IFERROR(IFS(OR(P403="A1-Mewtwo", P403="A1-Pikachu", P403="A1-Charizard", P403="A1"), XLOOKUP(N403, 'Genetic Apex'!$C$2:$C889, 'Genetic Apex'!$B$2:$B889)-$B$4, P403="A1a", XLOOKUP(N403, 'Mythical Island'!$C$2:$C889, 'Mythical Island'!$B$2:$B889)-$B$4, OR(P403="A2-Dialga", P403="A2-Palkia", P403="A2"), XLOOKUP(N403, 'Space-Time Smackdown'!$C$2:$C889, 'Space-Time Smackdown'!$B$2:$B889)-$B$4))</f>
        <v/>
      </c>
      <c r="S403" s="277"/>
      <c r="T403" s="277"/>
      <c r="U403" s="277"/>
      <c r="V403" s="278"/>
      <c r="W403" s="443" t="str">
        <f t="array" ref="W403">IFERROR(IFS(OR(U403="A1-Mewtwo", U403="A1-Pikachu", U403="A1-Charizard", U403="A1"), $B$5-XLOOKUP(S403, 'Genetic Apex'!$C$2:$C889, 'Genetic Apex'!$B$2:$B889), U403="A1a", $B$5-XLOOKUP(S403, 'Mythical Island'!$C$2:$C889, 'Mythical Island'!$B$2:$B889), OR(U403="A2-Dialga", U403="A2-Palkia", U403="A2"), $B$5-XLOOKUP(S403, 'Space-Time Smackdown'!$C$2:$C889, 'Space-Time Smackdown'!$B$2:$B889)))</f>
        <v/>
      </c>
      <c r="X403" s="444" t="str">
        <f t="shared" si="3"/>
        <v/>
      </c>
      <c r="Y403" s="445" t="str">
        <f t="shared" si="4"/>
        <v/>
      </c>
      <c r="Z403" s="278"/>
      <c r="AA403" s="466"/>
      <c r="AB403" s="278"/>
      <c r="AC403" s="278"/>
      <c r="AD403" s="278"/>
      <c r="AE403" s="278"/>
      <c r="AF403" s="278"/>
      <c r="AG403" s="278" t="b">
        <f t="shared" si="5"/>
        <v>0</v>
      </c>
      <c r="AH403" s="454"/>
      <c r="AI403" s="278"/>
      <c r="AJ403" s="278"/>
      <c r="AK403" s="278"/>
      <c r="AL403" s="444" t="str">
        <f t="array" ref="AL403">IFERROR(IFS(OR(AJ403="A1-Mewtwo", AJ403="A1-Pikachu", AJ403="A1-Charizard", AJ403="A1"), XLOOKUP(AH403, 'Genetic Apex'!$C$2:$C889, 'Genetic Apex'!$B$2:$B889)-2, AJ403="A1a", XLOOKUP(AH403, 'Mythical Island'!$C$2:$C889, 'Mythical Island'!$B$2:$B889)-2, OR(AJ403="A2-Dialga", AJ403="A2-Palkia", AJ403="A2"), XLOOKUP(AH403, 'Space-Time Smackdown'!$C$2:$C889, 'Space-Time Smackdown'!$B$2:$B889)-2))</f>
        <v/>
      </c>
      <c r="AM403" s="444" t="str">
        <f t="shared" si="6"/>
        <v/>
      </c>
      <c r="AN403" s="448" t="str">
        <f t="shared" si="7"/>
        <v/>
      </c>
    </row>
    <row r="404">
      <c r="A404" s="277"/>
      <c r="B404" s="277"/>
      <c r="C404" s="441"/>
      <c r="D404" s="277"/>
      <c r="E404" s="277"/>
      <c r="F404" s="277"/>
      <c r="G404" s="277"/>
      <c r="H404" s="277" t="b">
        <f t="shared" si="1"/>
        <v>0</v>
      </c>
      <c r="I404" s="277" t="str">
        <f>IFERROR(__xludf.DUMMYFUNCTION("""COMPUTED_VALUE"""),"A2 027")</f>
        <v>A2 027</v>
      </c>
      <c r="J404" s="277" t="str">
        <f>IFERROR(__xludf.DUMMYFUNCTION("""COMPUTED_VALUE"""),"Chimchar")</f>
        <v>Chimchar</v>
      </c>
      <c r="K404" s="277" t="str">
        <f>IFERROR(__xludf.DUMMYFUNCTION("""COMPUTED_VALUE"""),"A2-Palkia")</f>
        <v>A2-Palkia</v>
      </c>
      <c r="L404" s="277" t="str">
        <f>IFERROR(__xludf.DUMMYFUNCTION("""COMPUTED_VALUE"""),"♢")</f>
        <v>♢</v>
      </c>
      <c r="M404" s="440" t="b">
        <f t="shared" si="2"/>
        <v>0</v>
      </c>
      <c r="N404" s="441"/>
      <c r="O404" s="277"/>
      <c r="P404" s="277"/>
      <c r="Q404" s="278"/>
      <c r="R404" s="449" t="str">
        <f t="array" ref="R404">IFERROR(IFS(OR(P404="A1-Mewtwo", P404="A1-Pikachu", P404="A1-Charizard", P404="A1"), XLOOKUP(N404, 'Genetic Apex'!$C$2:$C889, 'Genetic Apex'!$B$2:$B889)-$B$4, P404="A1a", XLOOKUP(N404, 'Mythical Island'!$C$2:$C889, 'Mythical Island'!$B$2:$B889)-$B$4, OR(P404="A2-Dialga", P404="A2-Palkia", P404="A2"), XLOOKUP(N404, 'Space-Time Smackdown'!$C$2:$C889, 'Space-Time Smackdown'!$B$2:$B889)-$B$4))</f>
        <v/>
      </c>
      <c r="S404" s="277"/>
      <c r="T404" s="277"/>
      <c r="U404" s="277"/>
      <c r="V404" s="278"/>
      <c r="W404" s="443" t="str">
        <f t="array" ref="W404">IFERROR(IFS(OR(U404="A1-Mewtwo", U404="A1-Pikachu", U404="A1-Charizard", U404="A1"), $B$5-XLOOKUP(S404, 'Genetic Apex'!$C$2:$C889, 'Genetic Apex'!$B$2:$B889), U404="A1a", $B$5-XLOOKUP(S404, 'Mythical Island'!$C$2:$C889, 'Mythical Island'!$B$2:$B889), OR(U404="A2-Dialga", U404="A2-Palkia", U404="A2"), $B$5-XLOOKUP(S404, 'Space-Time Smackdown'!$C$2:$C889, 'Space-Time Smackdown'!$B$2:$B889)))</f>
        <v/>
      </c>
      <c r="X404" s="444" t="str">
        <f t="shared" si="3"/>
        <v/>
      </c>
      <c r="Y404" s="445" t="str">
        <f t="shared" si="4"/>
        <v/>
      </c>
      <c r="Z404" s="278"/>
      <c r="AA404" s="466"/>
      <c r="AB404" s="278"/>
      <c r="AC404" s="278"/>
      <c r="AD404" s="278"/>
      <c r="AE404" s="278"/>
      <c r="AF404" s="278"/>
      <c r="AG404" s="278" t="b">
        <f t="shared" si="5"/>
        <v>0</v>
      </c>
      <c r="AH404" s="454"/>
      <c r="AI404" s="278"/>
      <c r="AJ404" s="278"/>
      <c r="AK404" s="278"/>
      <c r="AL404" s="444" t="str">
        <f t="array" ref="AL404">IFERROR(IFS(OR(AJ404="A1-Mewtwo", AJ404="A1-Pikachu", AJ404="A1-Charizard", AJ404="A1"), XLOOKUP(AH404, 'Genetic Apex'!$C$2:$C889, 'Genetic Apex'!$B$2:$B889)-2, AJ404="A1a", XLOOKUP(AH404, 'Mythical Island'!$C$2:$C889, 'Mythical Island'!$B$2:$B889)-2, OR(AJ404="A2-Dialga", AJ404="A2-Palkia", AJ404="A2"), XLOOKUP(AH404, 'Space-Time Smackdown'!$C$2:$C889, 'Space-Time Smackdown'!$B$2:$B889)-2))</f>
        <v/>
      </c>
      <c r="AM404" s="444" t="str">
        <f t="shared" si="6"/>
        <v/>
      </c>
      <c r="AN404" s="448" t="str">
        <f t="shared" si="7"/>
        <v/>
      </c>
    </row>
    <row r="405">
      <c r="A405" s="277"/>
      <c r="B405" s="277"/>
      <c r="C405" s="441"/>
      <c r="D405" s="277"/>
      <c r="E405" s="277"/>
      <c r="F405" s="277"/>
      <c r="G405" s="277"/>
      <c r="H405" s="277" t="b">
        <f t="shared" si="1"/>
        <v>0</v>
      </c>
      <c r="I405" s="277" t="str">
        <f>IFERROR(__xludf.DUMMYFUNCTION("""COMPUTED_VALUE"""),"A2 028")</f>
        <v>A2 028</v>
      </c>
      <c r="J405" s="277" t="str">
        <f>IFERROR(__xludf.DUMMYFUNCTION("""COMPUTED_VALUE"""),"Monferno")</f>
        <v>Monferno</v>
      </c>
      <c r="K405" s="277" t="str">
        <f>IFERROR(__xludf.DUMMYFUNCTION("""COMPUTED_VALUE"""),"A2-Palkia")</f>
        <v>A2-Palkia</v>
      </c>
      <c r="L405" s="277" t="str">
        <f>IFERROR(__xludf.DUMMYFUNCTION("""COMPUTED_VALUE"""),"♢♢")</f>
        <v>♢♢</v>
      </c>
      <c r="M405" s="440" t="b">
        <f t="shared" si="2"/>
        <v>0</v>
      </c>
      <c r="N405" s="441"/>
      <c r="O405" s="277"/>
      <c r="P405" s="277"/>
      <c r="Q405" s="278"/>
      <c r="R405" s="449" t="str">
        <f t="array" ref="R405">IFERROR(IFS(OR(P405="A1-Mewtwo", P405="A1-Pikachu", P405="A1-Charizard", P405="A1"), XLOOKUP(N405, 'Genetic Apex'!$C$2:$C889, 'Genetic Apex'!$B$2:$B889)-$B$4, P405="A1a", XLOOKUP(N405, 'Mythical Island'!$C$2:$C889, 'Mythical Island'!$B$2:$B889)-$B$4, OR(P405="A2-Dialga", P405="A2-Palkia", P405="A2"), XLOOKUP(N405, 'Space-Time Smackdown'!$C$2:$C889, 'Space-Time Smackdown'!$B$2:$B889)-$B$4))</f>
        <v/>
      </c>
      <c r="S405" s="277"/>
      <c r="T405" s="277"/>
      <c r="U405" s="277"/>
      <c r="V405" s="278"/>
      <c r="W405" s="443" t="str">
        <f t="array" ref="W405">IFERROR(IFS(OR(U405="A1-Mewtwo", U405="A1-Pikachu", U405="A1-Charizard", U405="A1"), $B$5-XLOOKUP(S405, 'Genetic Apex'!$C$2:$C889, 'Genetic Apex'!$B$2:$B889), U405="A1a", $B$5-XLOOKUP(S405, 'Mythical Island'!$C$2:$C889, 'Mythical Island'!$B$2:$B889), OR(U405="A2-Dialga", U405="A2-Palkia", U405="A2"), $B$5-XLOOKUP(S405, 'Space-Time Smackdown'!$C$2:$C889, 'Space-Time Smackdown'!$B$2:$B889)))</f>
        <v/>
      </c>
      <c r="X405" s="444" t="str">
        <f t="shared" si="3"/>
        <v/>
      </c>
      <c r="Y405" s="445" t="str">
        <f t="shared" si="4"/>
        <v/>
      </c>
      <c r="Z405" s="278"/>
      <c r="AA405" s="466"/>
      <c r="AB405" s="278"/>
      <c r="AC405" s="278"/>
      <c r="AD405" s="278"/>
      <c r="AE405" s="278"/>
      <c r="AF405" s="278"/>
      <c r="AG405" s="278" t="b">
        <f t="shared" si="5"/>
        <v>0</v>
      </c>
      <c r="AH405" s="454"/>
      <c r="AI405" s="278"/>
      <c r="AJ405" s="278"/>
      <c r="AK405" s="278"/>
      <c r="AL405" s="444" t="str">
        <f t="array" ref="AL405">IFERROR(IFS(OR(AJ405="A1-Mewtwo", AJ405="A1-Pikachu", AJ405="A1-Charizard", AJ405="A1"), XLOOKUP(AH405, 'Genetic Apex'!$C$2:$C889, 'Genetic Apex'!$B$2:$B889)-2, AJ405="A1a", XLOOKUP(AH405, 'Mythical Island'!$C$2:$C889, 'Mythical Island'!$B$2:$B889)-2, OR(AJ405="A2-Dialga", AJ405="A2-Palkia", AJ405="A2"), XLOOKUP(AH405, 'Space-Time Smackdown'!$C$2:$C889, 'Space-Time Smackdown'!$B$2:$B889)-2))</f>
        <v/>
      </c>
      <c r="AM405" s="444" t="str">
        <f t="shared" si="6"/>
        <v/>
      </c>
      <c r="AN405" s="448" t="str">
        <f t="shared" si="7"/>
        <v/>
      </c>
    </row>
    <row r="406">
      <c r="A406" s="277"/>
      <c r="B406" s="277"/>
      <c r="C406" s="441"/>
      <c r="D406" s="277"/>
      <c r="E406" s="277"/>
      <c r="F406" s="277"/>
      <c r="G406" s="277"/>
      <c r="H406" s="277" t="b">
        <f t="shared" si="1"/>
        <v>0</v>
      </c>
      <c r="I406" s="277" t="str">
        <f>IFERROR(__xludf.DUMMYFUNCTION("""COMPUTED_VALUE"""),"A2 029")</f>
        <v>A2 029</v>
      </c>
      <c r="J406" s="277" t="str">
        <f>IFERROR(__xludf.DUMMYFUNCTION("""COMPUTED_VALUE"""),"Infernape ex")</f>
        <v>Infernape ex</v>
      </c>
      <c r="K406" s="277" t="str">
        <f>IFERROR(__xludf.DUMMYFUNCTION("""COMPUTED_VALUE"""),"A2-Palkia")</f>
        <v>A2-Palkia</v>
      </c>
      <c r="L406" s="277" t="str">
        <f>IFERROR(__xludf.DUMMYFUNCTION("""COMPUTED_VALUE"""),"♢♢♢♢")</f>
        <v>♢♢♢♢</v>
      </c>
      <c r="M406" s="440" t="b">
        <f t="shared" si="2"/>
        <v>0</v>
      </c>
      <c r="N406" s="441"/>
      <c r="O406" s="277"/>
      <c r="P406" s="277"/>
      <c r="Q406" s="278"/>
      <c r="R406" s="449" t="str">
        <f t="array" ref="R406">IFERROR(IFS(OR(P406="A1-Mewtwo", P406="A1-Pikachu", P406="A1-Charizard", P406="A1"), XLOOKUP(N406, 'Genetic Apex'!$C$2:$C889, 'Genetic Apex'!$B$2:$B889)-$B$4, P406="A1a", XLOOKUP(N406, 'Mythical Island'!$C$2:$C889, 'Mythical Island'!$B$2:$B889)-$B$4, OR(P406="A2-Dialga", P406="A2-Palkia", P406="A2"), XLOOKUP(N406, 'Space-Time Smackdown'!$C$2:$C889, 'Space-Time Smackdown'!$B$2:$B889)-$B$4))</f>
        <v/>
      </c>
      <c r="S406" s="277"/>
      <c r="T406" s="277"/>
      <c r="U406" s="277"/>
      <c r="V406" s="278"/>
      <c r="W406" s="443" t="str">
        <f t="array" ref="W406">IFERROR(IFS(OR(U406="A1-Mewtwo", U406="A1-Pikachu", U406="A1-Charizard", U406="A1"), $B$5-XLOOKUP(S406, 'Genetic Apex'!$C$2:$C889, 'Genetic Apex'!$B$2:$B889), U406="A1a", $B$5-XLOOKUP(S406, 'Mythical Island'!$C$2:$C889, 'Mythical Island'!$B$2:$B889), OR(U406="A2-Dialga", U406="A2-Palkia", U406="A2"), $B$5-XLOOKUP(S406, 'Space-Time Smackdown'!$C$2:$C889, 'Space-Time Smackdown'!$B$2:$B889)))</f>
        <v/>
      </c>
      <c r="X406" s="444" t="str">
        <f t="shared" si="3"/>
        <v/>
      </c>
      <c r="Y406" s="445" t="str">
        <f t="shared" si="4"/>
        <v/>
      </c>
      <c r="Z406" s="278"/>
      <c r="AA406" s="466"/>
      <c r="AB406" s="278"/>
      <c r="AC406" s="278"/>
      <c r="AD406" s="278"/>
      <c r="AE406" s="278"/>
      <c r="AF406" s="278"/>
      <c r="AG406" s="278" t="b">
        <f t="shared" si="5"/>
        <v>0</v>
      </c>
      <c r="AH406" s="454"/>
      <c r="AI406" s="278"/>
      <c r="AJ406" s="278"/>
      <c r="AK406" s="278"/>
      <c r="AL406" s="444" t="str">
        <f t="array" ref="AL406">IFERROR(IFS(OR(AJ406="A1-Mewtwo", AJ406="A1-Pikachu", AJ406="A1-Charizard", AJ406="A1"), XLOOKUP(AH406, 'Genetic Apex'!$C$2:$C889, 'Genetic Apex'!$B$2:$B889)-2, AJ406="A1a", XLOOKUP(AH406, 'Mythical Island'!$C$2:$C889, 'Mythical Island'!$B$2:$B889)-2, OR(AJ406="A2-Dialga", AJ406="A2-Palkia", AJ406="A2"), XLOOKUP(AH406, 'Space-Time Smackdown'!$C$2:$C889, 'Space-Time Smackdown'!$B$2:$B889)-2))</f>
        <v/>
      </c>
      <c r="AM406" s="444" t="str">
        <f t="shared" si="6"/>
        <v/>
      </c>
      <c r="AN406" s="448" t="str">
        <f t="shared" si="7"/>
        <v/>
      </c>
    </row>
    <row r="407">
      <c r="A407" s="277"/>
      <c r="B407" s="277"/>
      <c r="C407" s="441"/>
      <c r="D407" s="277"/>
      <c r="E407" s="277"/>
      <c r="F407" s="277"/>
      <c r="G407" s="277"/>
      <c r="H407" s="277" t="b">
        <f t="shared" si="1"/>
        <v>0</v>
      </c>
      <c r="I407" s="277" t="str">
        <f>IFERROR(__xludf.DUMMYFUNCTION("""COMPUTED_VALUE"""),"A2 030")</f>
        <v>A2 030</v>
      </c>
      <c r="J407" s="277" t="str">
        <f>IFERROR(__xludf.DUMMYFUNCTION("""COMPUTED_VALUE"""),"Heat Rotom")</f>
        <v>Heat Rotom</v>
      </c>
      <c r="K407" s="277" t="str">
        <f>IFERROR(__xludf.DUMMYFUNCTION("""COMPUTED_VALUE"""),"A2")</f>
        <v>A2</v>
      </c>
      <c r="L407" s="277" t="str">
        <f>IFERROR(__xludf.DUMMYFUNCTION("""COMPUTED_VALUE"""),"♢")</f>
        <v>♢</v>
      </c>
      <c r="M407" s="440" t="b">
        <f t="shared" si="2"/>
        <v>0</v>
      </c>
      <c r="N407" s="441"/>
      <c r="O407" s="277"/>
      <c r="P407" s="277"/>
      <c r="Q407" s="278"/>
      <c r="R407" s="449" t="str">
        <f t="array" ref="R407">IFERROR(IFS(OR(P407="A1-Mewtwo", P407="A1-Pikachu", P407="A1-Charizard", P407="A1"), XLOOKUP(N407, 'Genetic Apex'!$C$2:$C889, 'Genetic Apex'!$B$2:$B889)-$B$4, P407="A1a", XLOOKUP(N407, 'Mythical Island'!$C$2:$C889, 'Mythical Island'!$B$2:$B889)-$B$4, OR(P407="A2-Dialga", P407="A2-Palkia", P407="A2"), XLOOKUP(N407, 'Space-Time Smackdown'!$C$2:$C889, 'Space-Time Smackdown'!$B$2:$B889)-$B$4))</f>
        <v/>
      </c>
      <c r="S407" s="277"/>
      <c r="T407" s="277"/>
      <c r="U407" s="277"/>
      <c r="V407" s="278"/>
      <c r="W407" s="443" t="str">
        <f t="array" ref="W407">IFERROR(IFS(OR(U407="A1-Mewtwo", U407="A1-Pikachu", U407="A1-Charizard", U407="A1"), $B$5-XLOOKUP(S407, 'Genetic Apex'!$C$2:$C889, 'Genetic Apex'!$B$2:$B889), U407="A1a", $B$5-XLOOKUP(S407, 'Mythical Island'!$C$2:$C889, 'Mythical Island'!$B$2:$B889), OR(U407="A2-Dialga", U407="A2-Palkia", U407="A2"), $B$5-XLOOKUP(S407, 'Space-Time Smackdown'!$C$2:$C889, 'Space-Time Smackdown'!$B$2:$B889)))</f>
        <v/>
      </c>
      <c r="X407" s="444" t="str">
        <f t="shared" si="3"/>
        <v/>
      </c>
      <c r="Y407" s="445" t="str">
        <f t="shared" si="4"/>
        <v/>
      </c>
      <c r="Z407" s="278"/>
      <c r="AA407" s="466"/>
      <c r="AB407" s="278"/>
      <c r="AC407" s="278"/>
      <c r="AD407" s="278"/>
      <c r="AE407" s="278"/>
      <c r="AF407" s="278"/>
      <c r="AG407" s="278" t="b">
        <f t="shared" si="5"/>
        <v>0</v>
      </c>
      <c r="AH407" s="454"/>
      <c r="AI407" s="278"/>
      <c r="AJ407" s="278"/>
      <c r="AK407" s="278"/>
      <c r="AL407" s="444" t="str">
        <f t="array" ref="AL407">IFERROR(IFS(OR(AJ407="A1-Mewtwo", AJ407="A1-Pikachu", AJ407="A1-Charizard", AJ407="A1"), XLOOKUP(AH407, 'Genetic Apex'!$C$2:$C889, 'Genetic Apex'!$B$2:$B889)-2, AJ407="A1a", XLOOKUP(AH407, 'Mythical Island'!$C$2:$C889, 'Mythical Island'!$B$2:$B889)-2, OR(AJ407="A2-Dialga", AJ407="A2-Palkia", AJ407="A2"), XLOOKUP(AH407, 'Space-Time Smackdown'!$C$2:$C889, 'Space-Time Smackdown'!$B$2:$B889)-2))</f>
        <v/>
      </c>
      <c r="AM407" s="444" t="str">
        <f t="shared" si="6"/>
        <v/>
      </c>
      <c r="AN407" s="448" t="str">
        <f t="shared" si="7"/>
        <v/>
      </c>
    </row>
    <row r="408">
      <c r="A408" s="277"/>
      <c r="B408" s="277"/>
      <c r="C408" s="441"/>
      <c r="D408" s="277"/>
      <c r="E408" s="277"/>
      <c r="F408" s="277"/>
      <c r="G408" s="277"/>
      <c r="H408" s="277" t="b">
        <f t="shared" si="1"/>
        <v>0</v>
      </c>
      <c r="I408" s="277" t="str">
        <f>IFERROR(__xludf.DUMMYFUNCTION("""COMPUTED_VALUE"""),"A2 031")</f>
        <v>A2 031</v>
      </c>
      <c r="J408" s="277" t="str">
        <f>IFERROR(__xludf.DUMMYFUNCTION("""COMPUTED_VALUE"""),"Swinub")</f>
        <v>Swinub</v>
      </c>
      <c r="K408" s="277" t="str">
        <f>IFERROR(__xludf.DUMMYFUNCTION("""COMPUTED_VALUE"""),"A2-Dialga")</f>
        <v>A2-Dialga</v>
      </c>
      <c r="L408" s="277" t="str">
        <f>IFERROR(__xludf.DUMMYFUNCTION("""COMPUTED_VALUE"""),"♢")</f>
        <v>♢</v>
      </c>
      <c r="M408" s="440" t="b">
        <f t="shared" si="2"/>
        <v>0</v>
      </c>
      <c r="N408" s="441"/>
      <c r="O408" s="277"/>
      <c r="P408" s="277"/>
      <c r="Q408" s="278"/>
      <c r="R408" s="449" t="str">
        <f t="array" ref="R408">IFERROR(IFS(OR(P408="A1-Mewtwo", P408="A1-Pikachu", P408="A1-Charizard", P408="A1"), XLOOKUP(N408, 'Genetic Apex'!$C$2:$C889, 'Genetic Apex'!$B$2:$B889)-$B$4, P408="A1a", XLOOKUP(N408, 'Mythical Island'!$C$2:$C889, 'Mythical Island'!$B$2:$B889)-$B$4, OR(P408="A2-Dialga", P408="A2-Palkia", P408="A2"), XLOOKUP(N408, 'Space-Time Smackdown'!$C$2:$C889, 'Space-Time Smackdown'!$B$2:$B889)-$B$4))</f>
        <v/>
      </c>
      <c r="S408" s="277"/>
      <c r="T408" s="277"/>
      <c r="U408" s="277"/>
      <c r="V408" s="278"/>
      <c r="W408" s="443" t="str">
        <f t="array" ref="W408">IFERROR(IFS(OR(U408="A1-Mewtwo", U408="A1-Pikachu", U408="A1-Charizard", U408="A1"), $B$5-XLOOKUP(S408, 'Genetic Apex'!$C$2:$C889, 'Genetic Apex'!$B$2:$B889), U408="A1a", $B$5-XLOOKUP(S408, 'Mythical Island'!$C$2:$C889, 'Mythical Island'!$B$2:$B889), OR(U408="A2-Dialga", U408="A2-Palkia", U408="A2"), $B$5-XLOOKUP(S408, 'Space-Time Smackdown'!$C$2:$C889, 'Space-Time Smackdown'!$B$2:$B889)))</f>
        <v/>
      </c>
      <c r="X408" s="444" t="str">
        <f t="shared" si="3"/>
        <v/>
      </c>
      <c r="Y408" s="445" t="str">
        <f t="shared" si="4"/>
        <v/>
      </c>
      <c r="Z408" s="278"/>
      <c r="AA408" s="466"/>
      <c r="AB408" s="278"/>
      <c r="AC408" s="278"/>
      <c r="AD408" s="278"/>
      <c r="AE408" s="278"/>
      <c r="AF408" s="278"/>
      <c r="AG408" s="278" t="b">
        <f t="shared" si="5"/>
        <v>0</v>
      </c>
      <c r="AH408" s="454"/>
      <c r="AI408" s="278"/>
      <c r="AJ408" s="278"/>
      <c r="AK408" s="278"/>
      <c r="AL408" s="444" t="str">
        <f t="array" ref="AL408">IFERROR(IFS(OR(AJ408="A1-Mewtwo", AJ408="A1-Pikachu", AJ408="A1-Charizard", AJ408="A1"), XLOOKUP(AH408, 'Genetic Apex'!$C$2:$C889, 'Genetic Apex'!$B$2:$B889)-2, AJ408="A1a", XLOOKUP(AH408, 'Mythical Island'!$C$2:$C889, 'Mythical Island'!$B$2:$B889)-2, OR(AJ408="A2-Dialga", AJ408="A2-Palkia", AJ408="A2"), XLOOKUP(AH408, 'Space-Time Smackdown'!$C$2:$C889, 'Space-Time Smackdown'!$B$2:$B889)-2))</f>
        <v/>
      </c>
      <c r="AM408" s="444" t="str">
        <f t="shared" si="6"/>
        <v/>
      </c>
      <c r="AN408" s="448" t="str">
        <f t="shared" si="7"/>
        <v/>
      </c>
    </row>
    <row r="409">
      <c r="A409" s="277"/>
      <c r="B409" s="277"/>
      <c r="C409" s="441"/>
      <c r="D409" s="277"/>
      <c r="E409" s="277"/>
      <c r="F409" s="277"/>
      <c r="G409" s="277"/>
      <c r="H409" s="277" t="b">
        <f t="shared" si="1"/>
        <v>0</v>
      </c>
      <c r="I409" s="277" t="str">
        <f>IFERROR(__xludf.DUMMYFUNCTION("""COMPUTED_VALUE"""),"A2 032")</f>
        <v>A2 032</v>
      </c>
      <c r="J409" s="277" t="str">
        <f>IFERROR(__xludf.DUMMYFUNCTION("""COMPUTED_VALUE"""),"Piloswine")</f>
        <v>Piloswine</v>
      </c>
      <c r="K409" s="277" t="str">
        <f>IFERROR(__xludf.DUMMYFUNCTION("""COMPUTED_VALUE"""),"A2-Dialga")</f>
        <v>A2-Dialga</v>
      </c>
      <c r="L409" s="277" t="str">
        <f>IFERROR(__xludf.DUMMYFUNCTION("""COMPUTED_VALUE"""),"♢♢")</f>
        <v>♢♢</v>
      </c>
      <c r="M409" s="440" t="b">
        <f t="shared" si="2"/>
        <v>0</v>
      </c>
      <c r="N409" s="441"/>
      <c r="O409" s="277"/>
      <c r="P409" s="277"/>
      <c r="Q409" s="278"/>
      <c r="R409" s="449" t="str">
        <f t="array" ref="R409">IFERROR(IFS(OR(P409="A1-Mewtwo", P409="A1-Pikachu", P409="A1-Charizard", P409="A1"), XLOOKUP(N409, 'Genetic Apex'!$C$2:$C889, 'Genetic Apex'!$B$2:$B889)-$B$4, P409="A1a", XLOOKUP(N409, 'Mythical Island'!$C$2:$C889, 'Mythical Island'!$B$2:$B889)-$B$4, OR(P409="A2-Dialga", P409="A2-Palkia", P409="A2"), XLOOKUP(N409, 'Space-Time Smackdown'!$C$2:$C889, 'Space-Time Smackdown'!$B$2:$B889)-$B$4))</f>
        <v/>
      </c>
      <c r="S409" s="277"/>
      <c r="T409" s="277"/>
      <c r="U409" s="277"/>
      <c r="V409" s="278"/>
      <c r="W409" s="443" t="str">
        <f t="array" ref="W409">IFERROR(IFS(OR(U409="A1-Mewtwo", U409="A1-Pikachu", U409="A1-Charizard", U409="A1"), $B$5-XLOOKUP(S409, 'Genetic Apex'!$C$2:$C889, 'Genetic Apex'!$B$2:$B889), U409="A1a", $B$5-XLOOKUP(S409, 'Mythical Island'!$C$2:$C889, 'Mythical Island'!$B$2:$B889), OR(U409="A2-Dialga", U409="A2-Palkia", U409="A2"), $B$5-XLOOKUP(S409, 'Space-Time Smackdown'!$C$2:$C889, 'Space-Time Smackdown'!$B$2:$B889)))</f>
        <v/>
      </c>
      <c r="X409" s="444" t="str">
        <f t="shared" si="3"/>
        <v/>
      </c>
      <c r="Y409" s="445" t="str">
        <f t="shared" si="4"/>
        <v/>
      </c>
      <c r="Z409" s="278"/>
      <c r="AA409" s="466"/>
      <c r="AB409" s="278"/>
      <c r="AC409" s="278"/>
      <c r="AD409" s="278"/>
      <c r="AE409" s="278"/>
      <c r="AF409" s="278"/>
      <c r="AG409" s="278" t="b">
        <f t="shared" si="5"/>
        <v>0</v>
      </c>
      <c r="AH409" s="454"/>
      <c r="AI409" s="278"/>
      <c r="AJ409" s="278"/>
      <c r="AK409" s="278"/>
      <c r="AL409" s="444" t="str">
        <f t="array" ref="AL409">IFERROR(IFS(OR(AJ409="A1-Mewtwo", AJ409="A1-Pikachu", AJ409="A1-Charizard", AJ409="A1"), XLOOKUP(AH409, 'Genetic Apex'!$C$2:$C889, 'Genetic Apex'!$B$2:$B889)-2, AJ409="A1a", XLOOKUP(AH409, 'Mythical Island'!$C$2:$C889, 'Mythical Island'!$B$2:$B889)-2, OR(AJ409="A2-Dialga", AJ409="A2-Palkia", AJ409="A2"), XLOOKUP(AH409, 'Space-Time Smackdown'!$C$2:$C889, 'Space-Time Smackdown'!$B$2:$B889)-2))</f>
        <v/>
      </c>
      <c r="AM409" s="444" t="str">
        <f t="shared" si="6"/>
        <v/>
      </c>
      <c r="AN409" s="448" t="str">
        <f t="shared" si="7"/>
        <v/>
      </c>
    </row>
    <row r="410">
      <c r="A410" s="277"/>
      <c r="B410" s="277"/>
      <c r="C410" s="441"/>
      <c r="D410" s="277"/>
      <c r="E410" s="277"/>
      <c r="F410" s="277"/>
      <c r="G410" s="277"/>
      <c r="H410" s="277" t="b">
        <f t="shared" si="1"/>
        <v>0</v>
      </c>
      <c r="I410" s="277" t="str">
        <f>IFERROR(__xludf.DUMMYFUNCTION("""COMPUTED_VALUE"""),"A2 033")</f>
        <v>A2 033</v>
      </c>
      <c r="J410" s="277" t="str">
        <f>IFERROR(__xludf.DUMMYFUNCTION("""COMPUTED_VALUE"""),"Mamoswine")</f>
        <v>Mamoswine</v>
      </c>
      <c r="K410" s="277" t="str">
        <f>IFERROR(__xludf.DUMMYFUNCTION("""COMPUTED_VALUE"""),"A2-Dialga")</f>
        <v>A2-Dialga</v>
      </c>
      <c r="L410" s="277" t="str">
        <f>IFERROR(__xludf.DUMMYFUNCTION("""COMPUTED_VALUE"""),"♢♢♢")</f>
        <v>♢♢♢</v>
      </c>
      <c r="M410" s="440" t="b">
        <f t="shared" si="2"/>
        <v>0</v>
      </c>
      <c r="N410" s="441"/>
      <c r="O410" s="277"/>
      <c r="P410" s="277"/>
      <c r="Q410" s="278"/>
      <c r="R410" s="449" t="str">
        <f t="array" ref="R410">IFERROR(IFS(OR(P410="A1-Mewtwo", P410="A1-Pikachu", P410="A1-Charizard", P410="A1"), XLOOKUP(N410, 'Genetic Apex'!$C$2:$C889, 'Genetic Apex'!$B$2:$B889)-$B$4, P410="A1a", XLOOKUP(N410, 'Mythical Island'!$C$2:$C889, 'Mythical Island'!$B$2:$B889)-$B$4, OR(P410="A2-Dialga", P410="A2-Palkia", P410="A2"), XLOOKUP(N410, 'Space-Time Smackdown'!$C$2:$C889, 'Space-Time Smackdown'!$B$2:$B889)-$B$4))</f>
        <v/>
      </c>
      <c r="S410" s="277"/>
      <c r="T410" s="277"/>
      <c r="U410" s="277"/>
      <c r="V410" s="278"/>
      <c r="W410" s="443" t="str">
        <f t="array" ref="W410">IFERROR(IFS(OR(U410="A1-Mewtwo", U410="A1-Pikachu", U410="A1-Charizard", U410="A1"), $B$5-XLOOKUP(S410, 'Genetic Apex'!$C$2:$C889, 'Genetic Apex'!$B$2:$B889), U410="A1a", $B$5-XLOOKUP(S410, 'Mythical Island'!$C$2:$C889, 'Mythical Island'!$B$2:$B889), OR(U410="A2-Dialga", U410="A2-Palkia", U410="A2"), $B$5-XLOOKUP(S410, 'Space-Time Smackdown'!$C$2:$C889, 'Space-Time Smackdown'!$B$2:$B889)))</f>
        <v/>
      </c>
      <c r="X410" s="444" t="str">
        <f t="shared" si="3"/>
        <v/>
      </c>
      <c r="Y410" s="445" t="str">
        <f t="shared" si="4"/>
        <v/>
      </c>
      <c r="Z410" s="278"/>
      <c r="AA410" s="466"/>
      <c r="AB410" s="278"/>
      <c r="AC410" s="278"/>
      <c r="AD410" s="278"/>
      <c r="AE410" s="278"/>
      <c r="AF410" s="278"/>
      <c r="AG410" s="278" t="b">
        <f t="shared" si="5"/>
        <v>0</v>
      </c>
      <c r="AH410" s="454"/>
      <c r="AI410" s="278"/>
      <c r="AJ410" s="278"/>
      <c r="AK410" s="278"/>
      <c r="AL410" s="444" t="str">
        <f t="array" ref="AL410">IFERROR(IFS(OR(AJ410="A1-Mewtwo", AJ410="A1-Pikachu", AJ410="A1-Charizard", AJ410="A1"), XLOOKUP(AH410, 'Genetic Apex'!$C$2:$C889, 'Genetic Apex'!$B$2:$B889)-2, AJ410="A1a", XLOOKUP(AH410, 'Mythical Island'!$C$2:$C889, 'Mythical Island'!$B$2:$B889)-2, OR(AJ410="A2-Dialga", AJ410="A2-Palkia", AJ410="A2"), XLOOKUP(AH410, 'Space-Time Smackdown'!$C$2:$C889, 'Space-Time Smackdown'!$B$2:$B889)-2))</f>
        <v/>
      </c>
      <c r="AM410" s="444" t="str">
        <f t="shared" si="6"/>
        <v/>
      </c>
      <c r="AN410" s="448" t="str">
        <f t="shared" si="7"/>
        <v/>
      </c>
    </row>
    <row r="411">
      <c r="A411" s="277"/>
      <c r="B411" s="277"/>
      <c r="C411" s="441"/>
      <c r="D411" s="277"/>
      <c r="E411" s="277"/>
      <c r="F411" s="277"/>
      <c r="G411" s="277"/>
      <c r="H411" s="277" t="b">
        <f t="shared" si="1"/>
        <v>0</v>
      </c>
      <c r="I411" s="277" t="str">
        <f>IFERROR(__xludf.DUMMYFUNCTION("""COMPUTED_VALUE"""),"A2 034")</f>
        <v>A2 034</v>
      </c>
      <c r="J411" s="277" t="str">
        <f>IFERROR(__xludf.DUMMYFUNCTION("""COMPUTED_VALUE"""),"Regice")</f>
        <v>Regice</v>
      </c>
      <c r="K411" s="277" t="str">
        <f>IFERROR(__xludf.DUMMYFUNCTION("""COMPUTED_VALUE"""),"A2-Palkia")</f>
        <v>A2-Palkia</v>
      </c>
      <c r="L411" s="277" t="str">
        <f>IFERROR(__xludf.DUMMYFUNCTION("""COMPUTED_VALUE"""),"♢♢")</f>
        <v>♢♢</v>
      </c>
      <c r="M411" s="440" t="b">
        <f t="shared" si="2"/>
        <v>0</v>
      </c>
      <c r="N411" s="441"/>
      <c r="O411" s="277"/>
      <c r="P411" s="277"/>
      <c r="Q411" s="278"/>
      <c r="R411" s="449" t="str">
        <f t="array" ref="R411">IFERROR(IFS(OR(P411="A1-Mewtwo", P411="A1-Pikachu", P411="A1-Charizard", P411="A1"), XLOOKUP(N411, 'Genetic Apex'!$C$2:$C889, 'Genetic Apex'!$B$2:$B889)-$B$4, P411="A1a", XLOOKUP(N411, 'Mythical Island'!$C$2:$C889, 'Mythical Island'!$B$2:$B889)-$B$4, OR(P411="A2-Dialga", P411="A2-Palkia", P411="A2"), XLOOKUP(N411, 'Space-Time Smackdown'!$C$2:$C889, 'Space-Time Smackdown'!$B$2:$B889)-$B$4))</f>
        <v/>
      </c>
      <c r="S411" s="277"/>
      <c r="T411" s="277"/>
      <c r="U411" s="277"/>
      <c r="V411" s="278"/>
      <c r="W411" s="443" t="str">
        <f t="array" ref="W411">IFERROR(IFS(OR(U411="A1-Mewtwo", U411="A1-Pikachu", U411="A1-Charizard", U411="A1"), $B$5-XLOOKUP(S411, 'Genetic Apex'!$C$2:$C889, 'Genetic Apex'!$B$2:$B889), U411="A1a", $B$5-XLOOKUP(S411, 'Mythical Island'!$C$2:$C889, 'Mythical Island'!$B$2:$B889), OR(U411="A2-Dialga", U411="A2-Palkia", U411="A2"), $B$5-XLOOKUP(S411, 'Space-Time Smackdown'!$C$2:$C889, 'Space-Time Smackdown'!$B$2:$B889)))</f>
        <v/>
      </c>
      <c r="X411" s="444" t="str">
        <f t="shared" si="3"/>
        <v/>
      </c>
      <c r="Y411" s="445" t="str">
        <f t="shared" si="4"/>
        <v/>
      </c>
      <c r="Z411" s="278"/>
      <c r="AA411" s="466"/>
      <c r="AB411" s="278"/>
      <c r="AC411" s="278"/>
      <c r="AD411" s="278"/>
      <c r="AE411" s="278"/>
      <c r="AF411" s="278"/>
      <c r="AG411" s="278" t="b">
        <f t="shared" si="5"/>
        <v>0</v>
      </c>
      <c r="AH411" s="454"/>
      <c r="AI411" s="278"/>
      <c r="AJ411" s="278"/>
      <c r="AK411" s="278"/>
      <c r="AL411" s="444" t="str">
        <f t="array" ref="AL411">IFERROR(IFS(OR(AJ411="A1-Mewtwo", AJ411="A1-Pikachu", AJ411="A1-Charizard", AJ411="A1"), XLOOKUP(AH411, 'Genetic Apex'!$C$2:$C889, 'Genetic Apex'!$B$2:$B889)-2, AJ411="A1a", XLOOKUP(AH411, 'Mythical Island'!$C$2:$C889, 'Mythical Island'!$B$2:$B889)-2, OR(AJ411="A2-Dialga", AJ411="A2-Palkia", AJ411="A2"), XLOOKUP(AH411, 'Space-Time Smackdown'!$C$2:$C889, 'Space-Time Smackdown'!$B$2:$B889)-2))</f>
        <v/>
      </c>
      <c r="AM411" s="444" t="str">
        <f t="shared" si="6"/>
        <v/>
      </c>
      <c r="AN411" s="448" t="str">
        <f t="shared" si="7"/>
        <v/>
      </c>
    </row>
    <row r="412">
      <c r="A412" s="277"/>
      <c r="B412" s="277"/>
      <c r="C412" s="441"/>
      <c r="D412" s="277"/>
      <c r="E412" s="277"/>
      <c r="F412" s="277"/>
      <c r="G412" s="277"/>
      <c r="H412" s="277" t="b">
        <f t="shared" si="1"/>
        <v>0</v>
      </c>
      <c r="I412" s="277" t="str">
        <f>IFERROR(__xludf.DUMMYFUNCTION("""COMPUTED_VALUE"""),"A2 035")</f>
        <v>A2 035</v>
      </c>
      <c r="J412" s="277" t="str">
        <f>IFERROR(__xludf.DUMMYFUNCTION("""COMPUTED_VALUE"""),"Piplup")</f>
        <v>Piplup</v>
      </c>
      <c r="K412" s="277" t="str">
        <f>IFERROR(__xludf.DUMMYFUNCTION("""COMPUTED_VALUE"""),"A2-Palkia")</f>
        <v>A2-Palkia</v>
      </c>
      <c r="L412" s="277" t="str">
        <f>IFERROR(__xludf.DUMMYFUNCTION("""COMPUTED_VALUE"""),"♢")</f>
        <v>♢</v>
      </c>
      <c r="M412" s="440" t="b">
        <f t="shared" si="2"/>
        <v>0</v>
      </c>
      <c r="N412" s="441"/>
      <c r="O412" s="277"/>
      <c r="P412" s="277"/>
      <c r="Q412" s="278"/>
      <c r="R412" s="449" t="str">
        <f t="array" ref="R412">IFERROR(IFS(OR(P412="A1-Mewtwo", P412="A1-Pikachu", P412="A1-Charizard", P412="A1"), XLOOKUP(N412, 'Genetic Apex'!$C$2:$C889, 'Genetic Apex'!$B$2:$B889)-$B$4, P412="A1a", XLOOKUP(N412, 'Mythical Island'!$C$2:$C889, 'Mythical Island'!$B$2:$B889)-$B$4, OR(P412="A2-Dialga", P412="A2-Palkia", P412="A2"), XLOOKUP(N412, 'Space-Time Smackdown'!$C$2:$C889, 'Space-Time Smackdown'!$B$2:$B889)-$B$4))</f>
        <v/>
      </c>
      <c r="S412" s="277"/>
      <c r="T412" s="277"/>
      <c r="U412" s="277"/>
      <c r="V412" s="278"/>
      <c r="W412" s="443" t="str">
        <f t="array" ref="W412">IFERROR(IFS(OR(U412="A1-Mewtwo", U412="A1-Pikachu", U412="A1-Charizard", U412="A1"), $B$5-XLOOKUP(S412, 'Genetic Apex'!$C$2:$C889, 'Genetic Apex'!$B$2:$B889), U412="A1a", $B$5-XLOOKUP(S412, 'Mythical Island'!$C$2:$C889, 'Mythical Island'!$B$2:$B889), OR(U412="A2-Dialga", U412="A2-Palkia", U412="A2"), $B$5-XLOOKUP(S412, 'Space-Time Smackdown'!$C$2:$C889, 'Space-Time Smackdown'!$B$2:$B889)))</f>
        <v/>
      </c>
      <c r="X412" s="444" t="str">
        <f t="shared" si="3"/>
        <v/>
      </c>
      <c r="Y412" s="445" t="str">
        <f t="shared" si="4"/>
        <v/>
      </c>
      <c r="Z412" s="278"/>
      <c r="AA412" s="466"/>
      <c r="AB412" s="278"/>
      <c r="AC412" s="278"/>
      <c r="AD412" s="278"/>
      <c r="AE412" s="278"/>
      <c r="AF412" s="278"/>
      <c r="AG412" s="278" t="b">
        <f t="shared" si="5"/>
        <v>0</v>
      </c>
      <c r="AH412" s="454"/>
      <c r="AI412" s="278"/>
      <c r="AJ412" s="278"/>
      <c r="AK412" s="278"/>
      <c r="AL412" s="444" t="str">
        <f t="array" ref="AL412">IFERROR(IFS(OR(AJ412="A1-Mewtwo", AJ412="A1-Pikachu", AJ412="A1-Charizard", AJ412="A1"), XLOOKUP(AH412, 'Genetic Apex'!$C$2:$C889, 'Genetic Apex'!$B$2:$B889)-2, AJ412="A1a", XLOOKUP(AH412, 'Mythical Island'!$C$2:$C889, 'Mythical Island'!$B$2:$B889)-2, OR(AJ412="A2-Dialga", AJ412="A2-Palkia", AJ412="A2"), XLOOKUP(AH412, 'Space-Time Smackdown'!$C$2:$C889, 'Space-Time Smackdown'!$B$2:$B889)-2))</f>
        <v/>
      </c>
      <c r="AM412" s="444" t="str">
        <f t="shared" si="6"/>
        <v/>
      </c>
      <c r="AN412" s="448" t="str">
        <f t="shared" si="7"/>
        <v/>
      </c>
    </row>
    <row r="413">
      <c r="A413" s="277"/>
      <c r="B413" s="277"/>
      <c r="C413" s="441"/>
      <c r="D413" s="277"/>
      <c r="E413" s="277"/>
      <c r="F413" s="277"/>
      <c r="G413" s="277"/>
      <c r="H413" s="277" t="b">
        <f t="shared" si="1"/>
        <v>0</v>
      </c>
      <c r="I413" s="277" t="str">
        <f>IFERROR(__xludf.DUMMYFUNCTION("""COMPUTED_VALUE"""),"A2 036")</f>
        <v>A2 036</v>
      </c>
      <c r="J413" s="277" t="str">
        <f>IFERROR(__xludf.DUMMYFUNCTION("""COMPUTED_VALUE"""),"Prinplup")</f>
        <v>Prinplup</v>
      </c>
      <c r="K413" s="277" t="str">
        <f>IFERROR(__xludf.DUMMYFUNCTION("""COMPUTED_VALUE"""),"A2-Palkia")</f>
        <v>A2-Palkia</v>
      </c>
      <c r="L413" s="277" t="str">
        <f>IFERROR(__xludf.DUMMYFUNCTION("""COMPUTED_VALUE"""),"♢♢")</f>
        <v>♢♢</v>
      </c>
      <c r="M413" s="440" t="b">
        <f t="shared" si="2"/>
        <v>0</v>
      </c>
      <c r="N413" s="441"/>
      <c r="O413" s="277"/>
      <c r="P413" s="277"/>
      <c r="Q413" s="278"/>
      <c r="R413" s="449" t="str">
        <f t="array" ref="R413">IFERROR(IFS(OR(P413="A1-Mewtwo", P413="A1-Pikachu", P413="A1-Charizard", P413="A1"), XLOOKUP(N413, 'Genetic Apex'!$C$2:$C889, 'Genetic Apex'!$B$2:$B889)-$B$4, P413="A1a", XLOOKUP(N413, 'Mythical Island'!$C$2:$C889, 'Mythical Island'!$B$2:$B889)-$B$4, OR(P413="A2-Dialga", P413="A2-Palkia", P413="A2"), XLOOKUP(N413, 'Space-Time Smackdown'!$C$2:$C889, 'Space-Time Smackdown'!$B$2:$B889)-$B$4))</f>
        <v/>
      </c>
      <c r="S413" s="277"/>
      <c r="T413" s="277"/>
      <c r="U413" s="277"/>
      <c r="V413" s="278"/>
      <c r="W413" s="443" t="str">
        <f t="array" ref="W413">IFERROR(IFS(OR(U413="A1-Mewtwo", U413="A1-Pikachu", U413="A1-Charizard", U413="A1"), $B$5-XLOOKUP(S413, 'Genetic Apex'!$C$2:$C889, 'Genetic Apex'!$B$2:$B889), U413="A1a", $B$5-XLOOKUP(S413, 'Mythical Island'!$C$2:$C889, 'Mythical Island'!$B$2:$B889), OR(U413="A2-Dialga", U413="A2-Palkia", U413="A2"), $B$5-XLOOKUP(S413, 'Space-Time Smackdown'!$C$2:$C889, 'Space-Time Smackdown'!$B$2:$B889)))</f>
        <v/>
      </c>
      <c r="X413" s="444" t="str">
        <f t="shared" si="3"/>
        <v/>
      </c>
      <c r="Y413" s="445" t="str">
        <f t="shared" si="4"/>
        <v/>
      </c>
      <c r="Z413" s="278"/>
      <c r="AA413" s="466"/>
      <c r="AB413" s="278"/>
      <c r="AC413" s="278"/>
      <c r="AD413" s="278"/>
      <c r="AE413" s="278"/>
      <c r="AF413" s="278"/>
      <c r="AG413" s="278" t="b">
        <f t="shared" si="5"/>
        <v>0</v>
      </c>
      <c r="AH413" s="454"/>
      <c r="AI413" s="278"/>
      <c r="AJ413" s="278"/>
      <c r="AK413" s="278"/>
      <c r="AL413" s="444" t="str">
        <f t="array" ref="AL413">IFERROR(IFS(OR(AJ413="A1-Mewtwo", AJ413="A1-Pikachu", AJ413="A1-Charizard", AJ413="A1"), XLOOKUP(AH413, 'Genetic Apex'!$C$2:$C889, 'Genetic Apex'!$B$2:$B889)-2, AJ413="A1a", XLOOKUP(AH413, 'Mythical Island'!$C$2:$C889, 'Mythical Island'!$B$2:$B889)-2, OR(AJ413="A2-Dialga", AJ413="A2-Palkia", AJ413="A2"), XLOOKUP(AH413, 'Space-Time Smackdown'!$C$2:$C889, 'Space-Time Smackdown'!$B$2:$B889)-2))</f>
        <v/>
      </c>
      <c r="AM413" s="444" t="str">
        <f t="shared" si="6"/>
        <v/>
      </c>
      <c r="AN413" s="448" t="str">
        <f t="shared" si="7"/>
        <v/>
      </c>
    </row>
    <row r="414">
      <c r="A414" s="277"/>
      <c r="B414" s="277"/>
      <c r="C414" s="441"/>
      <c r="D414" s="277"/>
      <c r="E414" s="277"/>
      <c r="F414" s="277"/>
      <c r="G414" s="277"/>
      <c r="H414" s="277" t="b">
        <f t="shared" si="1"/>
        <v>0</v>
      </c>
      <c r="I414" s="277" t="str">
        <f>IFERROR(__xludf.DUMMYFUNCTION("""COMPUTED_VALUE"""),"A2 037")</f>
        <v>A2 037</v>
      </c>
      <c r="J414" s="277" t="str">
        <f>IFERROR(__xludf.DUMMYFUNCTION("""COMPUTED_VALUE"""),"Empoleon")</f>
        <v>Empoleon</v>
      </c>
      <c r="K414" s="277" t="str">
        <f>IFERROR(__xludf.DUMMYFUNCTION("""COMPUTED_VALUE"""),"A2-Palkia")</f>
        <v>A2-Palkia</v>
      </c>
      <c r="L414" s="277" t="str">
        <f>IFERROR(__xludf.DUMMYFUNCTION("""COMPUTED_VALUE"""),"♢♢♢")</f>
        <v>♢♢♢</v>
      </c>
      <c r="M414" s="440" t="b">
        <f t="shared" si="2"/>
        <v>0</v>
      </c>
      <c r="N414" s="441"/>
      <c r="O414" s="277"/>
      <c r="P414" s="277"/>
      <c r="Q414" s="278"/>
      <c r="R414" s="449" t="str">
        <f t="array" ref="R414">IFERROR(IFS(OR(P414="A1-Mewtwo", P414="A1-Pikachu", P414="A1-Charizard", P414="A1"), XLOOKUP(N414, 'Genetic Apex'!$C$2:$C889, 'Genetic Apex'!$B$2:$B889)-$B$4, P414="A1a", XLOOKUP(N414, 'Mythical Island'!$C$2:$C889, 'Mythical Island'!$B$2:$B889)-$B$4, OR(P414="A2-Dialga", P414="A2-Palkia", P414="A2"), XLOOKUP(N414, 'Space-Time Smackdown'!$C$2:$C889, 'Space-Time Smackdown'!$B$2:$B889)-$B$4))</f>
        <v/>
      </c>
      <c r="S414" s="277"/>
      <c r="T414" s="277"/>
      <c r="U414" s="277"/>
      <c r="V414" s="278"/>
      <c r="W414" s="443" t="str">
        <f t="array" ref="W414">IFERROR(IFS(OR(U414="A1-Mewtwo", U414="A1-Pikachu", U414="A1-Charizard", U414="A1"), $B$5-XLOOKUP(S414, 'Genetic Apex'!$C$2:$C889, 'Genetic Apex'!$B$2:$B889), U414="A1a", $B$5-XLOOKUP(S414, 'Mythical Island'!$C$2:$C889, 'Mythical Island'!$B$2:$B889), OR(U414="A2-Dialga", U414="A2-Palkia", U414="A2"), $B$5-XLOOKUP(S414, 'Space-Time Smackdown'!$C$2:$C889, 'Space-Time Smackdown'!$B$2:$B889)))</f>
        <v/>
      </c>
      <c r="X414" s="444" t="str">
        <f t="shared" si="3"/>
        <v/>
      </c>
      <c r="Y414" s="445" t="str">
        <f t="shared" si="4"/>
        <v/>
      </c>
      <c r="Z414" s="278"/>
      <c r="AA414" s="466"/>
      <c r="AB414" s="278"/>
      <c r="AC414" s="278"/>
      <c r="AD414" s="278"/>
      <c r="AE414" s="278"/>
      <c r="AF414" s="278"/>
      <c r="AG414" s="278" t="b">
        <f t="shared" si="5"/>
        <v>0</v>
      </c>
      <c r="AH414" s="454"/>
      <c r="AI414" s="278"/>
      <c r="AJ414" s="278"/>
      <c r="AK414" s="278"/>
      <c r="AL414" s="444" t="str">
        <f t="array" ref="AL414">IFERROR(IFS(OR(AJ414="A1-Mewtwo", AJ414="A1-Pikachu", AJ414="A1-Charizard", AJ414="A1"), XLOOKUP(AH414, 'Genetic Apex'!$C$2:$C889, 'Genetic Apex'!$B$2:$B889)-2, AJ414="A1a", XLOOKUP(AH414, 'Mythical Island'!$C$2:$C889, 'Mythical Island'!$B$2:$B889)-2, OR(AJ414="A2-Dialga", AJ414="A2-Palkia", AJ414="A2"), XLOOKUP(AH414, 'Space-Time Smackdown'!$C$2:$C889, 'Space-Time Smackdown'!$B$2:$B889)-2))</f>
        <v/>
      </c>
      <c r="AM414" s="444" t="str">
        <f t="shared" si="6"/>
        <v/>
      </c>
      <c r="AN414" s="448" t="str">
        <f t="shared" si="7"/>
        <v/>
      </c>
    </row>
    <row r="415">
      <c r="A415" s="277"/>
      <c r="B415" s="277"/>
      <c r="C415" s="441"/>
      <c r="D415" s="277"/>
      <c r="E415" s="277"/>
      <c r="F415" s="277"/>
      <c r="G415" s="277"/>
      <c r="H415" s="277" t="b">
        <f t="shared" si="1"/>
        <v>0</v>
      </c>
      <c r="I415" s="277" t="str">
        <f>IFERROR(__xludf.DUMMYFUNCTION("""COMPUTED_VALUE"""),"A2 038")</f>
        <v>A2 038</v>
      </c>
      <c r="J415" s="277" t="str">
        <f>IFERROR(__xludf.DUMMYFUNCTION("""COMPUTED_VALUE"""),"Buizel")</f>
        <v>Buizel</v>
      </c>
      <c r="K415" s="277" t="str">
        <f>IFERROR(__xludf.DUMMYFUNCTION("""COMPUTED_VALUE"""),"A2")</f>
        <v>A2</v>
      </c>
      <c r="L415" s="277" t="str">
        <f>IFERROR(__xludf.DUMMYFUNCTION("""COMPUTED_VALUE"""),"♢")</f>
        <v>♢</v>
      </c>
      <c r="M415" s="440" t="b">
        <f t="shared" si="2"/>
        <v>0</v>
      </c>
      <c r="N415" s="441"/>
      <c r="O415" s="277"/>
      <c r="P415" s="277"/>
      <c r="Q415" s="278"/>
      <c r="R415" s="449" t="str">
        <f t="array" ref="R415">IFERROR(IFS(OR(P415="A1-Mewtwo", P415="A1-Pikachu", P415="A1-Charizard", P415="A1"), XLOOKUP(N415, 'Genetic Apex'!$C$2:$C889, 'Genetic Apex'!$B$2:$B889)-$B$4, P415="A1a", XLOOKUP(N415, 'Mythical Island'!$C$2:$C889, 'Mythical Island'!$B$2:$B889)-$B$4, OR(P415="A2-Dialga", P415="A2-Palkia", P415="A2"), XLOOKUP(N415, 'Space-Time Smackdown'!$C$2:$C889, 'Space-Time Smackdown'!$B$2:$B889)-$B$4))</f>
        <v/>
      </c>
      <c r="S415" s="277"/>
      <c r="T415" s="277"/>
      <c r="U415" s="277"/>
      <c r="V415" s="278"/>
      <c r="W415" s="443" t="str">
        <f t="array" ref="W415">IFERROR(IFS(OR(U415="A1-Mewtwo", U415="A1-Pikachu", U415="A1-Charizard", U415="A1"), $B$5-XLOOKUP(S415, 'Genetic Apex'!$C$2:$C889, 'Genetic Apex'!$B$2:$B889), U415="A1a", $B$5-XLOOKUP(S415, 'Mythical Island'!$C$2:$C889, 'Mythical Island'!$B$2:$B889), OR(U415="A2-Dialga", U415="A2-Palkia", U415="A2"), $B$5-XLOOKUP(S415, 'Space-Time Smackdown'!$C$2:$C889, 'Space-Time Smackdown'!$B$2:$B889)))</f>
        <v/>
      </c>
      <c r="X415" s="444" t="str">
        <f t="shared" si="3"/>
        <v/>
      </c>
      <c r="Y415" s="445" t="str">
        <f t="shared" si="4"/>
        <v/>
      </c>
      <c r="Z415" s="278"/>
      <c r="AA415" s="466"/>
      <c r="AB415" s="278"/>
      <c r="AC415" s="278"/>
      <c r="AD415" s="278"/>
      <c r="AE415" s="278"/>
      <c r="AF415" s="278"/>
      <c r="AG415" s="278" t="b">
        <f t="shared" si="5"/>
        <v>0</v>
      </c>
      <c r="AH415" s="454"/>
      <c r="AI415" s="278"/>
      <c r="AJ415" s="278"/>
      <c r="AK415" s="278"/>
      <c r="AL415" s="444" t="str">
        <f t="array" ref="AL415">IFERROR(IFS(OR(AJ415="A1-Mewtwo", AJ415="A1-Pikachu", AJ415="A1-Charizard", AJ415="A1"), XLOOKUP(AH415, 'Genetic Apex'!$C$2:$C889, 'Genetic Apex'!$B$2:$B889)-2, AJ415="A1a", XLOOKUP(AH415, 'Mythical Island'!$C$2:$C889, 'Mythical Island'!$B$2:$B889)-2, OR(AJ415="A2-Dialga", AJ415="A2-Palkia", AJ415="A2"), XLOOKUP(AH415, 'Space-Time Smackdown'!$C$2:$C889, 'Space-Time Smackdown'!$B$2:$B889)-2))</f>
        <v/>
      </c>
      <c r="AM415" s="444" t="str">
        <f t="shared" si="6"/>
        <v/>
      </c>
      <c r="AN415" s="448" t="str">
        <f t="shared" si="7"/>
        <v/>
      </c>
    </row>
    <row r="416">
      <c r="A416" s="277"/>
      <c r="B416" s="277"/>
      <c r="C416" s="441"/>
      <c r="D416" s="277"/>
      <c r="E416" s="277"/>
      <c r="F416" s="277"/>
      <c r="G416" s="277"/>
      <c r="H416" s="277" t="b">
        <f t="shared" si="1"/>
        <v>0</v>
      </c>
      <c r="I416" s="277" t="str">
        <f>IFERROR(__xludf.DUMMYFUNCTION("""COMPUTED_VALUE"""),"A2 039")</f>
        <v>A2 039</v>
      </c>
      <c r="J416" s="277" t="str">
        <f>IFERROR(__xludf.DUMMYFUNCTION("""COMPUTED_VALUE"""),"Floatzel")</f>
        <v>Floatzel</v>
      </c>
      <c r="K416" s="277" t="str">
        <f>IFERROR(__xludf.DUMMYFUNCTION("""COMPUTED_VALUE"""),"A2")</f>
        <v>A2</v>
      </c>
      <c r="L416" s="277" t="str">
        <f>IFERROR(__xludf.DUMMYFUNCTION("""COMPUTED_VALUE"""),"♢♢")</f>
        <v>♢♢</v>
      </c>
      <c r="M416" s="440" t="b">
        <f t="shared" si="2"/>
        <v>0</v>
      </c>
      <c r="N416" s="441"/>
      <c r="O416" s="277"/>
      <c r="P416" s="277"/>
      <c r="Q416" s="278"/>
      <c r="R416" s="449" t="str">
        <f t="array" ref="R416">IFERROR(IFS(OR(P416="A1-Mewtwo", P416="A1-Pikachu", P416="A1-Charizard", P416="A1"), XLOOKUP(N416, 'Genetic Apex'!$C$2:$C889, 'Genetic Apex'!$B$2:$B889)-$B$4, P416="A1a", XLOOKUP(N416, 'Mythical Island'!$C$2:$C889, 'Mythical Island'!$B$2:$B889)-$B$4, OR(P416="A2-Dialga", P416="A2-Palkia", P416="A2"), XLOOKUP(N416, 'Space-Time Smackdown'!$C$2:$C889, 'Space-Time Smackdown'!$B$2:$B889)-$B$4))</f>
        <v/>
      </c>
      <c r="S416" s="277"/>
      <c r="T416" s="277"/>
      <c r="U416" s="277"/>
      <c r="V416" s="278"/>
      <c r="W416" s="443" t="str">
        <f t="array" ref="W416">IFERROR(IFS(OR(U416="A1-Mewtwo", U416="A1-Pikachu", U416="A1-Charizard", U416="A1"), $B$5-XLOOKUP(S416, 'Genetic Apex'!$C$2:$C889, 'Genetic Apex'!$B$2:$B889), U416="A1a", $B$5-XLOOKUP(S416, 'Mythical Island'!$C$2:$C889, 'Mythical Island'!$B$2:$B889), OR(U416="A2-Dialga", U416="A2-Palkia", U416="A2"), $B$5-XLOOKUP(S416, 'Space-Time Smackdown'!$C$2:$C889, 'Space-Time Smackdown'!$B$2:$B889)))</f>
        <v/>
      </c>
      <c r="X416" s="444" t="str">
        <f t="shared" si="3"/>
        <v/>
      </c>
      <c r="Y416" s="445" t="str">
        <f t="shared" si="4"/>
        <v/>
      </c>
      <c r="Z416" s="278"/>
      <c r="AA416" s="466"/>
      <c r="AB416" s="278"/>
      <c r="AC416" s="278"/>
      <c r="AD416" s="278"/>
      <c r="AE416" s="278"/>
      <c r="AF416" s="278"/>
      <c r="AG416" s="278" t="b">
        <f t="shared" si="5"/>
        <v>0</v>
      </c>
      <c r="AH416" s="454"/>
      <c r="AI416" s="278"/>
      <c r="AJ416" s="278"/>
      <c r="AK416" s="278"/>
      <c r="AL416" s="444" t="str">
        <f t="array" ref="AL416">IFERROR(IFS(OR(AJ416="A1-Mewtwo", AJ416="A1-Pikachu", AJ416="A1-Charizard", AJ416="A1"), XLOOKUP(AH416, 'Genetic Apex'!$C$2:$C889, 'Genetic Apex'!$B$2:$B889)-2, AJ416="A1a", XLOOKUP(AH416, 'Mythical Island'!$C$2:$C889, 'Mythical Island'!$B$2:$B889)-2, OR(AJ416="A2-Dialga", AJ416="A2-Palkia", AJ416="A2"), XLOOKUP(AH416, 'Space-Time Smackdown'!$C$2:$C889, 'Space-Time Smackdown'!$B$2:$B889)-2))</f>
        <v/>
      </c>
      <c r="AM416" s="444" t="str">
        <f t="shared" si="6"/>
        <v/>
      </c>
      <c r="AN416" s="448" t="str">
        <f t="shared" si="7"/>
        <v/>
      </c>
    </row>
    <row r="417">
      <c r="A417" s="277"/>
      <c r="B417" s="277"/>
      <c r="C417" s="441"/>
      <c r="D417" s="277"/>
      <c r="E417" s="277"/>
      <c r="F417" s="277"/>
      <c r="G417" s="277"/>
      <c r="H417" s="277" t="b">
        <f t="shared" si="1"/>
        <v>0</v>
      </c>
      <c r="I417" s="277" t="str">
        <f>IFERROR(__xludf.DUMMYFUNCTION("""COMPUTED_VALUE"""),"A2 040")</f>
        <v>A2 040</v>
      </c>
      <c r="J417" s="277" t="str">
        <f>IFERROR(__xludf.DUMMYFUNCTION("""COMPUTED_VALUE"""),"Shellos")</f>
        <v>Shellos</v>
      </c>
      <c r="K417" s="277" t="str">
        <f>IFERROR(__xludf.DUMMYFUNCTION("""COMPUTED_VALUE"""),"A2-Palkia")</f>
        <v>A2-Palkia</v>
      </c>
      <c r="L417" s="277" t="str">
        <f>IFERROR(__xludf.DUMMYFUNCTION("""COMPUTED_VALUE"""),"♢")</f>
        <v>♢</v>
      </c>
      <c r="M417" s="440" t="b">
        <f t="shared" si="2"/>
        <v>0</v>
      </c>
      <c r="N417" s="441"/>
      <c r="O417" s="277"/>
      <c r="P417" s="277"/>
      <c r="Q417" s="278"/>
      <c r="R417" s="449" t="str">
        <f t="array" ref="R417">IFERROR(IFS(OR(P417="A1-Mewtwo", P417="A1-Pikachu", P417="A1-Charizard", P417="A1"), XLOOKUP(N417, 'Genetic Apex'!$C$2:$C889, 'Genetic Apex'!$B$2:$B889)-$B$4, P417="A1a", XLOOKUP(N417, 'Mythical Island'!$C$2:$C889, 'Mythical Island'!$B$2:$B889)-$B$4, OR(P417="A2-Dialga", P417="A2-Palkia", P417="A2"), XLOOKUP(N417, 'Space-Time Smackdown'!$C$2:$C889, 'Space-Time Smackdown'!$B$2:$B889)-$B$4))</f>
        <v/>
      </c>
      <c r="S417" s="277"/>
      <c r="T417" s="277"/>
      <c r="U417" s="277"/>
      <c r="V417" s="278"/>
      <c r="W417" s="443" t="str">
        <f t="array" ref="W417">IFERROR(IFS(OR(U417="A1-Mewtwo", U417="A1-Pikachu", U417="A1-Charizard", U417="A1"), $B$5-XLOOKUP(S417, 'Genetic Apex'!$C$2:$C889, 'Genetic Apex'!$B$2:$B889), U417="A1a", $B$5-XLOOKUP(S417, 'Mythical Island'!$C$2:$C889, 'Mythical Island'!$B$2:$B889), OR(U417="A2-Dialga", U417="A2-Palkia", U417="A2"), $B$5-XLOOKUP(S417, 'Space-Time Smackdown'!$C$2:$C889, 'Space-Time Smackdown'!$B$2:$B889)))</f>
        <v/>
      </c>
      <c r="X417" s="444" t="str">
        <f t="shared" si="3"/>
        <v/>
      </c>
      <c r="Y417" s="445" t="str">
        <f t="shared" si="4"/>
        <v/>
      </c>
      <c r="Z417" s="278"/>
      <c r="AA417" s="466"/>
      <c r="AB417" s="278"/>
      <c r="AC417" s="278"/>
      <c r="AD417" s="278"/>
      <c r="AE417" s="278"/>
      <c r="AF417" s="278"/>
      <c r="AG417" s="278" t="b">
        <f t="shared" si="5"/>
        <v>0</v>
      </c>
      <c r="AH417" s="454"/>
      <c r="AI417" s="278"/>
      <c r="AJ417" s="278"/>
      <c r="AK417" s="278"/>
      <c r="AL417" s="444" t="str">
        <f t="array" ref="AL417">IFERROR(IFS(OR(AJ417="A1-Mewtwo", AJ417="A1-Pikachu", AJ417="A1-Charizard", AJ417="A1"), XLOOKUP(AH417, 'Genetic Apex'!$C$2:$C889, 'Genetic Apex'!$B$2:$B889)-2, AJ417="A1a", XLOOKUP(AH417, 'Mythical Island'!$C$2:$C889, 'Mythical Island'!$B$2:$B889)-2, OR(AJ417="A2-Dialga", AJ417="A2-Palkia", AJ417="A2"), XLOOKUP(AH417, 'Space-Time Smackdown'!$C$2:$C889, 'Space-Time Smackdown'!$B$2:$B889)-2))</f>
        <v/>
      </c>
      <c r="AM417" s="444" t="str">
        <f t="shared" si="6"/>
        <v/>
      </c>
      <c r="AN417" s="448" t="str">
        <f t="shared" si="7"/>
        <v/>
      </c>
    </row>
    <row r="418">
      <c r="A418" s="277"/>
      <c r="B418" s="277"/>
      <c r="C418" s="441"/>
      <c r="D418" s="277"/>
      <c r="E418" s="277"/>
      <c r="F418" s="277"/>
      <c r="G418" s="277"/>
      <c r="H418" s="277" t="b">
        <f t="shared" si="1"/>
        <v>0</v>
      </c>
      <c r="I418" s="277" t="str">
        <f>IFERROR(__xludf.DUMMYFUNCTION("""COMPUTED_VALUE"""),"A2 041")</f>
        <v>A2 041</v>
      </c>
      <c r="J418" s="277" t="str">
        <f>IFERROR(__xludf.DUMMYFUNCTION("""COMPUTED_VALUE"""),"Gastrodon")</f>
        <v>Gastrodon</v>
      </c>
      <c r="K418" s="277" t="str">
        <f>IFERROR(__xludf.DUMMYFUNCTION("""COMPUTED_VALUE"""),"A2-Palkia")</f>
        <v>A2-Palkia</v>
      </c>
      <c r="L418" s="277" t="str">
        <f>IFERROR(__xludf.DUMMYFUNCTION("""COMPUTED_VALUE"""),"♢♢")</f>
        <v>♢♢</v>
      </c>
      <c r="M418" s="440" t="b">
        <f t="shared" si="2"/>
        <v>0</v>
      </c>
      <c r="N418" s="441"/>
      <c r="O418" s="277"/>
      <c r="P418" s="277"/>
      <c r="Q418" s="278"/>
      <c r="R418" s="449" t="str">
        <f t="array" ref="R418">IFERROR(IFS(OR(P418="A1-Mewtwo", P418="A1-Pikachu", P418="A1-Charizard", P418="A1"), XLOOKUP(N418, 'Genetic Apex'!$C$2:$C889, 'Genetic Apex'!$B$2:$B889)-$B$4, P418="A1a", XLOOKUP(N418, 'Mythical Island'!$C$2:$C889, 'Mythical Island'!$B$2:$B889)-$B$4, OR(P418="A2-Dialga", P418="A2-Palkia", P418="A2"), XLOOKUP(N418, 'Space-Time Smackdown'!$C$2:$C889, 'Space-Time Smackdown'!$B$2:$B889)-$B$4))</f>
        <v/>
      </c>
      <c r="S418" s="277"/>
      <c r="T418" s="277"/>
      <c r="U418" s="277"/>
      <c r="V418" s="278"/>
      <c r="W418" s="443" t="str">
        <f t="array" ref="W418">IFERROR(IFS(OR(U418="A1-Mewtwo", U418="A1-Pikachu", U418="A1-Charizard", U418="A1"), $B$5-XLOOKUP(S418, 'Genetic Apex'!$C$2:$C889, 'Genetic Apex'!$B$2:$B889), U418="A1a", $B$5-XLOOKUP(S418, 'Mythical Island'!$C$2:$C889, 'Mythical Island'!$B$2:$B889), OR(U418="A2-Dialga", U418="A2-Palkia", U418="A2"), $B$5-XLOOKUP(S418, 'Space-Time Smackdown'!$C$2:$C889, 'Space-Time Smackdown'!$B$2:$B889)))</f>
        <v/>
      </c>
      <c r="X418" s="444" t="str">
        <f t="shared" si="3"/>
        <v/>
      </c>
      <c r="Y418" s="445" t="str">
        <f t="shared" si="4"/>
        <v/>
      </c>
      <c r="Z418" s="278"/>
      <c r="AA418" s="466"/>
      <c r="AB418" s="278"/>
      <c r="AC418" s="278"/>
      <c r="AD418" s="278"/>
      <c r="AE418" s="278"/>
      <c r="AF418" s="278"/>
      <c r="AG418" s="278" t="b">
        <f t="shared" si="5"/>
        <v>0</v>
      </c>
      <c r="AH418" s="454"/>
      <c r="AI418" s="278"/>
      <c r="AJ418" s="278"/>
      <c r="AK418" s="278"/>
      <c r="AL418" s="444" t="str">
        <f t="array" ref="AL418">IFERROR(IFS(OR(AJ418="A1-Mewtwo", AJ418="A1-Pikachu", AJ418="A1-Charizard", AJ418="A1"), XLOOKUP(AH418, 'Genetic Apex'!$C$2:$C889, 'Genetic Apex'!$B$2:$B889)-2, AJ418="A1a", XLOOKUP(AH418, 'Mythical Island'!$C$2:$C889, 'Mythical Island'!$B$2:$B889)-2, OR(AJ418="A2-Dialga", AJ418="A2-Palkia", AJ418="A2"), XLOOKUP(AH418, 'Space-Time Smackdown'!$C$2:$C889, 'Space-Time Smackdown'!$B$2:$B889)-2))</f>
        <v/>
      </c>
      <c r="AM418" s="444" t="str">
        <f t="shared" si="6"/>
        <v/>
      </c>
      <c r="AN418" s="448" t="str">
        <f t="shared" si="7"/>
        <v/>
      </c>
    </row>
    <row r="419">
      <c r="A419" s="277"/>
      <c r="B419" s="277"/>
      <c r="C419" s="441"/>
      <c r="D419" s="277"/>
      <c r="E419" s="277"/>
      <c r="F419" s="277"/>
      <c r="G419" s="277"/>
      <c r="H419" s="277" t="b">
        <f t="shared" si="1"/>
        <v>0</v>
      </c>
      <c r="I419" s="277" t="str">
        <f>IFERROR(__xludf.DUMMYFUNCTION("""COMPUTED_VALUE"""),"A2 042")</f>
        <v>A2 042</v>
      </c>
      <c r="J419" s="277" t="str">
        <f>IFERROR(__xludf.DUMMYFUNCTION("""COMPUTED_VALUE"""),"Finneon")</f>
        <v>Finneon</v>
      </c>
      <c r="K419" s="277" t="str">
        <f>IFERROR(__xludf.DUMMYFUNCTION("""COMPUTED_VALUE"""),"A2")</f>
        <v>A2</v>
      </c>
      <c r="L419" s="277" t="str">
        <f>IFERROR(__xludf.DUMMYFUNCTION("""COMPUTED_VALUE"""),"♢")</f>
        <v>♢</v>
      </c>
      <c r="M419" s="440" t="b">
        <f t="shared" si="2"/>
        <v>0</v>
      </c>
      <c r="N419" s="441"/>
      <c r="O419" s="277"/>
      <c r="P419" s="277"/>
      <c r="Q419" s="278"/>
      <c r="R419" s="449" t="str">
        <f t="array" ref="R419">IFERROR(IFS(OR(P419="A1-Mewtwo", P419="A1-Pikachu", P419="A1-Charizard", P419="A1"), XLOOKUP(N419, 'Genetic Apex'!$C$2:$C889, 'Genetic Apex'!$B$2:$B889)-$B$4, P419="A1a", XLOOKUP(N419, 'Mythical Island'!$C$2:$C889, 'Mythical Island'!$B$2:$B889)-$B$4, OR(P419="A2-Dialga", P419="A2-Palkia", P419="A2"), XLOOKUP(N419, 'Space-Time Smackdown'!$C$2:$C889, 'Space-Time Smackdown'!$B$2:$B889)-$B$4))</f>
        <v/>
      </c>
      <c r="S419" s="277"/>
      <c r="T419" s="277"/>
      <c r="U419" s="277"/>
      <c r="V419" s="278"/>
      <c r="W419" s="443" t="str">
        <f t="array" ref="W419">IFERROR(IFS(OR(U419="A1-Mewtwo", U419="A1-Pikachu", U419="A1-Charizard", U419="A1"), $B$5-XLOOKUP(S419, 'Genetic Apex'!$C$2:$C889, 'Genetic Apex'!$B$2:$B889), U419="A1a", $B$5-XLOOKUP(S419, 'Mythical Island'!$C$2:$C889, 'Mythical Island'!$B$2:$B889), OR(U419="A2-Dialga", U419="A2-Palkia", U419="A2"), $B$5-XLOOKUP(S419, 'Space-Time Smackdown'!$C$2:$C889, 'Space-Time Smackdown'!$B$2:$B889)))</f>
        <v/>
      </c>
      <c r="X419" s="444" t="str">
        <f t="shared" si="3"/>
        <v/>
      </c>
      <c r="Y419" s="445" t="str">
        <f t="shared" si="4"/>
        <v/>
      </c>
      <c r="Z419" s="278"/>
      <c r="AA419" s="466"/>
      <c r="AB419" s="278"/>
      <c r="AC419" s="278"/>
      <c r="AD419" s="278"/>
      <c r="AE419" s="278"/>
      <c r="AF419" s="278"/>
      <c r="AG419" s="278" t="b">
        <f t="shared" si="5"/>
        <v>0</v>
      </c>
      <c r="AH419" s="454"/>
      <c r="AI419" s="278"/>
      <c r="AJ419" s="278"/>
      <c r="AK419" s="278"/>
      <c r="AL419" s="444" t="str">
        <f t="array" ref="AL419">IFERROR(IFS(OR(AJ419="A1-Mewtwo", AJ419="A1-Pikachu", AJ419="A1-Charizard", AJ419="A1"), XLOOKUP(AH419, 'Genetic Apex'!$C$2:$C889, 'Genetic Apex'!$B$2:$B889)-2, AJ419="A1a", XLOOKUP(AH419, 'Mythical Island'!$C$2:$C889, 'Mythical Island'!$B$2:$B889)-2, OR(AJ419="A2-Dialga", AJ419="A2-Palkia", AJ419="A2"), XLOOKUP(AH419, 'Space-Time Smackdown'!$C$2:$C889, 'Space-Time Smackdown'!$B$2:$B889)-2))</f>
        <v/>
      </c>
      <c r="AM419" s="444" t="str">
        <f t="shared" si="6"/>
        <v/>
      </c>
      <c r="AN419" s="448" t="str">
        <f t="shared" si="7"/>
        <v/>
      </c>
    </row>
    <row r="420">
      <c r="A420" s="277"/>
      <c r="B420" s="277"/>
      <c r="C420" s="441"/>
      <c r="D420" s="277"/>
      <c r="E420" s="277"/>
      <c r="F420" s="277"/>
      <c r="G420" s="277"/>
      <c r="H420" s="277" t="b">
        <f t="shared" si="1"/>
        <v>0</v>
      </c>
      <c r="I420" s="277" t="str">
        <f>IFERROR(__xludf.DUMMYFUNCTION("""COMPUTED_VALUE"""),"A2 043")</f>
        <v>A2 043</v>
      </c>
      <c r="J420" s="277" t="str">
        <f>IFERROR(__xludf.DUMMYFUNCTION("""COMPUTED_VALUE"""),"Lumineon")</f>
        <v>Lumineon</v>
      </c>
      <c r="K420" s="277" t="str">
        <f>IFERROR(__xludf.DUMMYFUNCTION("""COMPUTED_VALUE"""),"A2")</f>
        <v>A2</v>
      </c>
      <c r="L420" s="277" t="str">
        <f>IFERROR(__xludf.DUMMYFUNCTION("""COMPUTED_VALUE"""),"♢♢")</f>
        <v>♢♢</v>
      </c>
      <c r="M420" s="440" t="b">
        <f t="shared" si="2"/>
        <v>0</v>
      </c>
      <c r="N420" s="441"/>
      <c r="O420" s="277"/>
      <c r="P420" s="277"/>
      <c r="Q420" s="278"/>
      <c r="R420" s="449" t="str">
        <f t="array" ref="R420">IFERROR(IFS(OR(P420="A1-Mewtwo", P420="A1-Pikachu", P420="A1-Charizard", P420="A1"), XLOOKUP(N420, 'Genetic Apex'!$C$2:$C889, 'Genetic Apex'!$B$2:$B889)-$B$4, P420="A1a", XLOOKUP(N420, 'Mythical Island'!$C$2:$C889, 'Mythical Island'!$B$2:$B889)-$B$4, OR(P420="A2-Dialga", P420="A2-Palkia", P420="A2"), XLOOKUP(N420, 'Space-Time Smackdown'!$C$2:$C889, 'Space-Time Smackdown'!$B$2:$B889)-$B$4))</f>
        <v/>
      </c>
      <c r="S420" s="277"/>
      <c r="T420" s="277"/>
      <c r="U420" s="277"/>
      <c r="V420" s="278"/>
      <c r="W420" s="443" t="str">
        <f t="array" ref="W420">IFERROR(IFS(OR(U420="A1-Mewtwo", U420="A1-Pikachu", U420="A1-Charizard", U420="A1"), $B$5-XLOOKUP(S420, 'Genetic Apex'!$C$2:$C889, 'Genetic Apex'!$B$2:$B889), U420="A1a", $B$5-XLOOKUP(S420, 'Mythical Island'!$C$2:$C889, 'Mythical Island'!$B$2:$B889), OR(U420="A2-Dialga", U420="A2-Palkia", U420="A2"), $B$5-XLOOKUP(S420, 'Space-Time Smackdown'!$C$2:$C889, 'Space-Time Smackdown'!$B$2:$B889)))</f>
        <v/>
      </c>
      <c r="X420" s="444" t="str">
        <f t="shared" si="3"/>
        <v/>
      </c>
      <c r="Y420" s="445" t="str">
        <f t="shared" si="4"/>
        <v/>
      </c>
      <c r="Z420" s="278"/>
      <c r="AA420" s="466"/>
      <c r="AB420" s="278"/>
      <c r="AC420" s="278"/>
      <c r="AD420" s="278"/>
      <c r="AE420" s="278"/>
      <c r="AF420" s="278"/>
      <c r="AG420" s="278" t="b">
        <f t="shared" si="5"/>
        <v>0</v>
      </c>
      <c r="AH420" s="454"/>
      <c r="AI420" s="278"/>
      <c r="AJ420" s="278"/>
      <c r="AK420" s="278"/>
      <c r="AL420" s="444" t="str">
        <f t="array" ref="AL420">IFERROR(IFS(OR(AJ420="A1-Mewtwo", AJ420="A1-Pikachu", AJ420="A1-Charizard", AJ420="A1"), XLOOKUP(AH420, 'Genetic Apex'!$C$2:$C889, 'Genetic Apex'!$B$2:$B889)-2, AJ420="A1a", XLOOKUP(AH420, 'Mythical Island'!$C$2:$C889, 'Mythical Island'!$B$2:$B889)-2, OR(AJ420="A2-Dialga", AJ420="A2-Palkia", AJ420="A2"), XLOOKUP(AH420, 'Space-Time Smackdown'!$C$2:$C889, 'Space-Time Smackdown'!$B$2:$B889)-2))</f>
        <v/>
      </c>
      <c r="AM420" s="444" t="str">
        <f t="shared" si="6"/>
        <v/>
      </c>
      <c r="AN420" s="448" t="str">
        <f t="shared" si="7"/>
        <v/>
      </c>
    </row>
    <row r="421">
      <c r="A421" s="277"/>
      <c r="B421" s="277"/>
      <c r="C421" s="441"/>
      <c r="D421" s="277"/>
      <c r="E421" s="277"/>
      <c r="F421" s="277"/>
      <c r="G421" s="277"/>
      <c r="H421" s="277" t="b">
        <f t="shared" si="1"/>
        <v>0</v>
      </c>
      <c r="I421" s="277" t="str">
        <f>IFERROR(__xludf.DUMMYFUNCTION("""COMPUTED_VALUE"""),"A2 044")</f>
        <v>A2 044</v>
      </c>
      <c r="J421" s="277" t="str">
        <f>IFERROR(__xludf.DUMMYFUNCTION("""COMPUTED_VALUE"""),"Snover")</f>
        <v>Snover</v>
      </c>
      <c r="K421" s="277" t="str">
        <f>IFERROR(__xludf.DUMMYFUNCTION("""COMPUTED_VALUE"""),"A2")</f>
        <v>A2</v>
      </c>
      <c r="L421" s="277" t="str">
        <f>IFERROR(__xludf.DUMMYFUNCTION("""COMPUTED_VALUE"""),"♢")</f>
        <v>♢</v>
      </c>
      <c r="M421" s="440" t="b">
        <f t="shared" si="2"/>
        <v>0</v>
      </c>
      <c r="N421" s="441"/>
      <c r="O421" s="277"/>
      <c r="P421" s="277"/>
      <c r="Q421" s="278"/>
      <c r="R421" s="449" t="str">
        <f t="array" ref="R421">IFERROR(IFS(OR(P421="A1-Mewtwo", P421="A1-Pikachu", P421="A1-Charizard", P421="A1"), XLOOKUP(N421, 'Genetic Apex'!$C$2:$C889, 'Genetic Apex'!$B$2:$B889)-$B$4, P421="A1a", XLOOKUP(N421, 'Mythical Island'!$C$2:$C889, 'Mythical Island'!$B$2:$B889)-$B$4, OR(P421="A2-Dialga", P421="A2-Palkia", P421="A2"), XLOOKUP(N421, 'Space-Time Smackdown'!$C$2:$C889, 'Space-Time Smackdown'!$B$2:$B889)-$B$4))</f>
        <v/>
      </c>
      <c r="S421" s="277"/>
      <c r="T421" s="277"/>
      <c r="U421" s="277"/>
      <c r="V421" s="278"/>
      <c r="W421" s="443" t="str">
        <f t="array" ref="W421">IFERROR(IFS(OR(U421="A1-Mewtwo", U421="A1-Pikachu", U421="A1-Charizard", U421="A1"), $B$5-XLOOKUP(S421, 'Genetic Apex'!$C$2:$C889, 'Genetic Apex'!$B$2:$B889), U421="A1a", $B$5-XLOOKUP(S421, 'Mythical Island'!$C$2:$C889, 'Mythical Island'!$B$2:$B889), OR(U421="A2-Dialga", U421="A2-Palkia", U421="A2"), $B$5-XLOOKUP(S421, 'Space-Time Smackdown'!$C$2:$C889, 'Space-Time Smackdown'!$B$2:$B889)))</f>
        <v/>
      </c>
      <c r="X421" s="444" t="str">
        <f t="shared" si="3"/>
        <v/>
      </c>
      <c r="Y421" s="445" t="str">
        <f t="shared" si="4"/>
        <v/>
      </c>
      <c r="Z421" s="278"/>
      <c r="AA421" s="466"/>
      <c r="AB421" s="278"/>
      <c r="AC421" s="278"/>
      <c r="AD421" s="278"/>
      <c r="AE421" s="278"/>
      <c r="AF421" s="278"/>
      <c r="AG421" s="278" t="b">
        <f t="shared" si="5"/>
        <v>0</v>
      </c>
      <c r="AH421" s="454"/>
      <c r="AI421" s="278"/>
      <c r="AJ421" s="278"/>
      <c r="AK421" s="278"/>
      <c r="AL421" s="444" t="str">
        <f t="array" ref="AL421">IFERROR(IFS(OR(AJ421="A1-Mewtwo", AJ421="A1-Pikachu", AJ421="A1-Charizard", AJ421="A1"), XLOOKUP(AH421, 'Genetic Apex'!$C$2:$C889, 'Genetic Apex'!$B$2:$B889)-2, AJ421="A1a", XLOOKUP(AH421, 'Mythical Island'!$C$2:$C889, 'Mythical Island'!$B$2:$B889)-2, OR(AJ421="A2-Dialga", AJ421="A2-Palkia", AJ421="A2"), XLOOKUP(AH421, 'Space-Time Smackdown'!$C$2:$C889, 'Space-Time Smackdown'!$B$2:$B889)-2))</f>
        <v/>
      </c>
      <c r="AM421" s="444" t="str">
        <f t="shared" si="6"/>
        <v/>
      </c>
      <c r="AN421" s="448" t="str">
        <f t="shared" si="7"/>
        <v/>
      </c>
    </row>
    <row r="422">
      <c r="A422" s="277"/>
      <c r="B422" s="277"/>
      <c r="C422" s="441"/>
      <c r="D422" s="277"/>
      <c r="E422" s="277"/>
      <c r="F422" s="277"/>
      <c r="G422" s="277"/>
      <c r="H422" s="277" t="b">
        <f t="shared" si="1"/>
        <v>0</v>
      </c>
      <c r="I422" s="277" t="str">
        <f>IFERROR(__xludf.DUMMYFUNCTION("""COMPUTED_VALUE"""),"A2 045")</f>
        <v>A2 045</v>
      </c>
      <c r="J422" s="277" t="str">
        <f>IFERROR(__xludf.DUMMYFUNCTION("""COMPUTED_VALUE"""),"Abomasnow")</f>
        <v>Abomasnow</v>
      </c>
      <c r="K422" s="277" t="str">
        <f>IFERROR(__xludf.DUMMYFUNCTION("""COMPUTED_VALUE"""),"A2")</f>
        <v>A2</v>
      </c>
      <c r="L422" s="277" t="str">
        <f>IFERROR(__xludf.DUMMYFUNCTION("""COMPUTED_VALUE"""),"♢♢")</f>
        <v>♢♢</v>
      </c>
      <c r="M422" s="440" t="b">
        <f t="shared" si="2"/>
        <v>0</v>
      </c>
      <c r="N422" s="441"/>
      <c r="O422" s="277"/>
      <c r="P422" s="277"/>
      <c r="Q422" s="278"/>
      <c r="R422" s="449" t="str">
        <f t="array" ref="R422">IFERROR(IFS(OR(P422="A1-Mewtwo", P422="A1-Pikachu", P422="A1-Charizard", P422="A1"), XLOOKUP(N422, 'Genetic Apex'!$C$2:$C889, 'Genetic Apex'!$B$2:$B889)-$B$4, P422="A1a", XLOOKUP(N422, 'Mythical Island'!$C$2:$C889, 'Mythical Island'!$B$2:$B889)-$B$4, OR(P422="A2-Dialga", P422="A2-Palkia", P422="A2"), XLOOKUP(N422, 'Space-Time Smackdown'!$C$2:$C889, 'Space-Time Smackdown'!$B$2:$B889)-$B$4))</f>
        <v/>
      </c>
      <c r="S422" s="277"/>
      <c r="T422" s="277"/>
      <c r="U422" s="277"/>
      <c r="V422" s="278"/>
      <c r="W422" s="443" t="str">
        <f t="array" ref="W422">IFERROR(IFS(OR(U422="A1-Mewtwo", U422="A1-Pikachu", U422="A1-Charizard", U422="A1"), $B$5-XLOOKUP(S422, 'Genetic Apex'!$C$2:$C889, 'Genetic Apex'!$B$2:$B889), U422="A1a", $B$5-XLOOKUP(S422, 'Mythical Island'!$C$2:$C889, 'Mythical Island'!$B$2:$B889), OR(U422="A2-Dialga", U422="A2-Palkia", U422="A2"), $B$5-XLOOKUP(S422, 'Space-Time Smackdown'!$C$2:$C889, 'Space-Time Smackdown'!$B$2:$B889)))</f>
        <v/>
      </c>
      <c r="X422" s="444" t="str">
        <f t="shared" si="3"/>
        <v/>
      </c>
      <c r="Y422" s="445" t="str">
        <f t="shared" si="4"/>
        <v/>
      </c>
      <c r="Z422" s="278"/>
      <c r="AA422" s="466"/>
      <c r="AB422" s="278"/>
      <c r="AC422" s="278"/>
      <c r="AD422" s="278"/>
      <c r="AE422" s="278"/>
      <c r="AF422" s="278"/>
      <c r="AG422" s="278" t="b">
        <f t="shared" si="5"/>
        <v>0</v>
      </c>
      <c r="AH422" s="454"/>
      <c r="AI422" s="278"/>
      <c r="AJ422" s="278"/>
      <c r="AK422" s="278"/>
      <c r="AL422" s="444" t="str">
        <f t="array" ref="AL422">IFERROR(IFS(OR(AJ422="A1-Mewtwo", AJ422="A1-Pikachu", AJ422="A1-Charizard", AJ422="A1"), XLOOKUP(AH422, 'Genetic Apex'!$C$2:$C889, 'Genetic Apex'!$B$2:$B889)-2, AJ422="A1a", XLOOKUP(AH422, 'Mythical Island'!$C$2:$C889, 'Mythical Island'!$B$2:$B889)-2, OR(AJ422="A2-Dialga", AJ422="A2-Palkia", AJ422="A2"), XLOOKUP(AH422, 'Space-Time Smackdown'!$C$2:$C889, 'Space-Time Smackdown'!$B$2:$B889)-2))</f>
        <v/>
      </c>
      <c r="AM422" s="444" t="str">
        <f t="shared" si="6"/>
        <v/>
      </c>
      <c r="AN422" s="448" t="str">
        <f t="shared" si="7"/>
        <v/>
      </c>
    </row>
    <row r="423">
      <c r="A423" s="277"/>
      <c r="B423" s="277"/>
      <c r="C423" s="441"/>
      <c r="D423" s="277"/>
      <c r="E423" s="277"/>
      <c r="F423" s="277"/>
      <c r="G423" s="277"/>
      <c r="H423" s="277" t="b">
        <f t="shared" si="1"/>
        <v>0</v>
      </c>
      <c r="I423" s="277" t="str">
        <f>IFERROR(__xludf.DUMMYFUNCTION("""COMPUTED_VALUE"""),"A2 046")</f>
        <v>A2 046</v>
      </c>
      <c r="J423" s="277" t="str">
        <f>IFERROR(__xludf.DUMMYFUNCTION("""COMPUTED_VALUE"""),"Glaceon")</f>
        <v>Glaceon</v>
      </c>
      <c r="K423" s="277" t="str">
        <f>IFERROR(__xludf.DUMMYFUNCTION("""COMPUTED_VALUE"""),"A2-Palkia")</f>
        <v>A2-Palkia</v>
      </c>
      <c r="L423" s="277" t="str">
        <f>IFERROR(__xludf.DUMMYFUNCTION("""COMPUTED_VALUE"""),"♢♢♢")</f>
        <v>♢♢♢</v>
      </c>
      <c r="M423" s="440" t="b">
        <f t="shared" si="2"/>
        <v>0</v>
      </c>
      <c r="N423" s="441"/>
      <c r="O423" s="277"/>
      <c r="P423" s="277"/>
      <c r="Q423" s="278"/>
      <c r="R423" s="449" t="str">
        <f t="array" ref="R423">IFERROR(IFS(OR(P423="A1-Mewtwo", P423="A1-Pikachu", P423="A1-Charizard", P423="A1"), XLOOKUP(N423, 'Genetic Apex'!$C$2:$C889, 'Genetic Apex'!$B$2:$B889)-$B$4, P423="A1a", XLOOKUP(N423, 'Mythical Island'!$C$2:$C889, 'Mythical Island'!$B$2:$B889)-$B$4, OR(P423="A2-Dialga", P423="A2-Palkia", P423="A2"), XLOOKUP(N423, 'Space-Time Smackdown'!$C$2:$C889, 'Space-Time Smackdown'!$B$2:$B889)-$B$4))</f>
        <v/>
      </c>
      <c r="S423" s="277"/>
      <c r="T423" s="277"/>
      <c r="U423" s="277"/>
      <c r="V423" s="278"/>
      <c r="W423" s="443" t="str">
        <f t="array" ref="W423">IFERROR(IFS(OR(U423="A1-Mewtwo", U423="A1-Pikachu", U423="A1-Charizard", U423="A1"), $B$5-XLOOKUP(S423, 'Genetic Apex'!$C$2:$C889, 'Genetic Apex'!$B$2:$B889), U423="A1a", $B$5-XLOOKUP(S423, 'Mythical Island'!$C$2:$C889, 'Mythical Island'!$B$2:$B889), OR(U423="A2-Dialga", U423="A2-Palkia", U423="A2"), $B$5-XLOOKUP(S423, 'Space-Time Smackdown'!$C$2:$C889, 'Space-Time Smackdown'!$B$2:$B889)))</f>
        <v/>
      </c>
      <c r="X423" s="444" t="str">
        <f t="shared" si="3"/>
        <v/>
      </c>
      <c r="Y423" s="445" t="str">
        <f t="shared" si="4"/>
        <v/>
      </c>
      <c r="Z423" s="278"/>
      <c r="AA423" s="466"/>
      <c r="AB423" s="278"/>
      <c r="AC423" s="278"/>
      <c r="AD423" s="278"/>
      <c r="AE423" s="278"/>
      <c r="AF423" s="278"/>
      <c r="AG423" s="278" t="b">
        <f t="shared" si="5"/>
        <v>0</v>
      </c>
      <c r="AH423" s="454"/>
      <c r="AI423" s="278"/>
      <c r="AJ423" s="278"/>
      <c r="AK423" s="278"/>
      <c r="AL423" s="444" t="str">
        <f t="array" ref="AL423">IFERROR(IFS(OR(AJ423="A1-Mewtwo", AJ423="A1-Pikachu", AJ423="A1-Charizard", AJ423="A1"), XLOOKUP(AH423, 'Genetic Apex'!$C$2:$C889, 'Genetic Apex'!$B$2:$B889)-2, AJ423="A1a", XLOOKUP(AH423, 'Mythical Island'!$C$2:$C889, 'Mythical Island'!$B$2:$B889)-2, OR(AJ423="A2-Dialga", AJ423="A2-Palkia", AJ423="A2"), XLOOKUP(AH423, 'Space-Time Smackdown'!$C$2:$C889, 'Space-Time Smackdown'!$B$2:$B889)-2))</f>
        <v/>
      </c>
      <c r="AM423" s="444" t="str">
        <f t="shared" si="6"/>
        <v/>
      </c>
      <c r="AN423" s="448" t="str">
        <f t="shared" si="7"/>
        <v/>
      </c>
    </row>
    <row r="424">
      <c r="A424" s="277"/>
      <c r="B424" s="277"/>
      <c r="C424" s="441"/>
      <c r="D424" s="277"/>
      <c r="E424" s="277"/>
      <c r="F424" s="277"/>
      <c r="G424" s="277"/>
      <c r="H424" s="277" t="b">
        <f t="shared" si="1"/>
        <v>0</v>
      </c>
      <c r="I424" s="277" t="str">
        <f>IFERROR(__xludf.DUMMYFUNCTION("""COMPUTED_VALUE"""),"A2 047")</f>
        <v>A2 047</v>
      </c>
      <c r="J424" s="277" t="str">
        <f>IFERROR(__xludf.DUMMYFUNCTION("""COMPUTED_VALUE"""),"Wash Rotom")</f>
        <v>Wash Rotom</v>
      </c>
      <c r="K424" s="277" t="str">
        <f>IFERROR(__xludf.DUMMYFUNCTION("""COMPUTED_VALUE"""),"A2")</f>
        <v>A2</v>
      </c>
      <c r="L424" s="277" t="str">
        <f>IFERROR(__xludf.DUMMYFUNCTION("""COMPUTED_VALUE"""),"♢")</f>
        <v>♢</v>
      </c>
      <c r="M424" s="440" t="b">
        <f t="shared" si="2"/>
        <v>0</v>
      </c>
      <c r="N424" s="441"/>
      <c r="O424" s="277"/>
      <c r="P424" s="277"/>
      <c r="Q424" s="278"/>
      <c r="R424" s="449" t="str">
        <f t="array" ref="R424">IFERROR(IFS(OR(P424="A1-Mewtwo", P424="A1-Pikachu", P424="A1-Charizard", P424="A1"), XLOOKUP(N424, 'Genetic Apex'!$C$2:$C889, 'Genetic Apex'!$B$2:$B889)-$B$4, P424="A1a", XLOOKUP(N424, 'Mythical Island'!$C$2:$C889, 'Mythical Island'!$B$2:$B889)-$B$4, OR(P424="A2-Dialga", P424="A2-Palkia", P424="A2"), XLOOKUP(N424, 'Space-Time Smackdown'!$C$2:$C889, 'Space-Time Smackdown'!$B$2:$B889)-$B$4))</f>
        <v/>
      </c>
      <c r="S424" s="277"/>
      <c r="T424" s="277"/>
      <c r="U424" s="277"/>
      <c r="V424" s="278"/>
      <c r="W424" s="443" t="str">
        <f t="array" ref="W424">IFERROR(IFS(OR(U424="A1-Mewtwo", U424="A1-Pikachu", U424="A1-Charizard", U424="A1"), $B$5-XLOOKUP(S424, 'Genetic Apex'!$C$2:$C889, 'Genetic Apex'!$B$2:$B889), U424="A1a", $B$5-XLOOKUP(S424, 'Mythical Island'!$C$2:$C889, 'Mythical Island'!$B$2:$B889), OR(U424="A2-Dialga", U424="A2-Palkia", U424="A2"), $B$5-XLOOKUP(S424, 'Space-Time Smackdown'!$C$2:$C889, 'Space-Time Smackdown'!$B$2:$B889)))</f>
        <v/>
      </c>
      <c r="X424" s="444" t="str">
        <f t="shared" si="3"/>
        <v/>
      </c>
      <c r="Y424" s="445" t="str">
        <f t="shared" si="4"/>
        <v/>
      </c>
      <c r="Z424" s="278"/>
      <c r="AA424" s="466"/>
      <c r="AB424" s="278"/>
      <c r="AC424" s="278"/>
      <c r="AD424" s="278"/>
      <c r="AE424" s="278"/>
      <c r="AF424" s="278"/>
      <c r="AG424" s="278" t="b">
        <f t="shared" si="5"/>
        <v>0</v>
      </c>
      <c r="AH424" s="454"/>
      <c r="AI424" s="278"/>
      <c r="AJ424" s="278"/>
      <c r="AK424" s="278"/>
      <c r="AL424" s="444" t="str">
        <f t="array" ref="AL424">IFERROR(IFS(OR(AJ424="A1-Mewtwo", AJ424="A1-Pikachu", AJ424="A1-Charizard", AJ424="A1"), XLOOKUP(AH424, 'Genetic Apex'!$C$2:$C889, 'Genetic Apex'!$B$2:$B889)-2, AJ424="A1a", XLOOKUP(AH424, 'Mythical Island'!$C$2:$C889, 'Mythical Island'!$B$2:$B889)-2, OR(AJ424="A2-Dialga", AJ424="A2-Palkia", AJ424="A2"), XLOOKUP(AH424, 'Space-Time Smackdown'!$C$2:$C889, 'Space-Time Smackdown'!$B$2:$B889)-2))</f>
        <v/>
      </c>
      <c r="AM424" s="444" t="str">
        <f t="shared" si="6"/>
        <v/>
      </c>
      <c r="AN424" s="448" t="str">
        <f t="shared" si="7"/>
        <v/>
      </c>
    </row>
    <row r="425">
      <c r="A425" s="277"/>
      <c r="B425" s="277"/>
      <c r="C425" s="441"/>
      <c r="D425" s="277"/>
      <c r="E425" s="277"/>
      <c r="F425" s="277"/>
      <c r="G425" s="277"/>
      <c r="H425" s="277" t="b">
        <f t="shared" si="1"/>
        <v>0</v>
      </c>
      <c r="I425" s="277" t="str">
        <f>IFERROR(__xludf.DUMMYFUNCTION("""COMPUTED_VALUE"""),"A2 048")</f>
        <v>A2 048</v>
      </c>
      <c r="J425" s="277" t="str">
        <f>IFERROR(__xludf.DUMMYFUNCTION("""COMPUTED_VALUE"""),"Frost Rotom")</f>
        <v>Frost Rotom</v>
      </c>
      <c r="K425" s="277" t="str">
        <f>IFERROR(__xludf.DUMMYFUNCTION("""COMPUTED_VALUE"""),"A2")</f>
        <v>A2</v>
      </c>
      <c r="L425" s="277" t="str">
        <f>IFERROR(__xludf.DUMMYFUNCTION("""COMPUTED_VALUE"""),"♢")</f>
        <v>♢</v>
      </c>
      <c r="M425" s="440" t="b">
        <f t="shared" si="2"/>
        <v>0</v>
      </c>
      <c r="N425" s="441"/>
      <c r="O425" s="277"/>
      <c r="P425" s="277"/>
      <c r="Q425" s="278"/>
      <c r="R425" s="449" t="str">
        <f t="array" ref="R425">IFERROR(IFS(OR(P425="A1-Mewtwo", P425="A1-Pikachu", P425="A1-Charizard", P425="A1"), XLOOKUP(N425, 'Genetic Apex'!$C$2:$C889, 'Genetic Apex'!$B$2:$B889)-$B$4, P425="A1a", XLOOKUP(N425, 'Mythical Island'!$C$2:$C889, 'Mythical Island'!$B$2:$B889)-$B$4, OR(P425="A2-Dialga", P425="A2-Palkia", P425="A2"), XLOOKUP(N425, 'Space-Time Smackdown'!$C$2:$C889, 'Space-Time Smackdown'!$B$2:$B889)-$B$4))</f>
        <v/>
      </c>
      <c r="S425" s="277"/>
      <c r="T425" s="277"/>
      <c r="U425" s="277"/>
      <c r="V425" s="278"/>
      <c r="W425" s="443" t="str">
        <f t="array" ref="W425">IFERROR(IFS(OR(U425="A1-Mewtwo", U425="A1-Pikachu", U425="A1-Charizard", U425="A1"), $B$5-XLOOKUP(S425, 'Genetic Apex'!$C$2:$C889, 'Genetic Apex'!$B$2:$B889), U425="A1a", $B$5-XLOOKUP(S425, 'Mythical Island'!$C$2:$C889, 'Mythical Island'!$B$2:$B889), OR(U425="A2-Dialga", U425="A2-Palkia", U425="A2"), $B$5-XLOOKUP(S425, 'Space-Time Smackdown'!$C$2:$C889, 'Space-Time Smackdown'!$B$2:$B889)))</f>
        <v/>
      </c>
      <c r="X425" s="444" t="str">
        <f t="shared" si="3"/>
        <v/>
      </c>
      <c r="Y425" s="445" t="str">
        <f t="shared" si="4"/>
        <v/>
      </c>
      <c r="Z425" s="278"/>
      <c r="AA425" s="466"/>
      <c r="AB425" s="278"/>
      <c r="AC425" s="278"/>
      <c r="AD425" s="278"/>
      <c r="AE425" s="278"/>
      <c r="AF425" s="278"/>
      <c r="AG425" s="278" t="b">
        <f t="shared" si="5"/>
        <v>0</v>
      </c>
      <c r="AH425" s="454"/>
      <c r="AI425" s="278"/>
      <c r="AJ425" s="278"/>
      <c r="AK425" s="278"/>
      <c r="AL425" s="444" t="str">
        <f t="array" ref="AL425">IFERROR(IFS(OR(AJ425="A1-Mewtwo", AJ425="A1-Pikachu", AJ425="A1-Charizard", AJ425="A1"), XLOOKUP(AH425, 'Genetic Apex'!$C$2:$C889, 'Genetic Apex'!$B$2:$B889)-2, AJ425="A1a", XLOOKUP(AH425, 'Mythical Island'!$C$2:$C889, 'Mythical Island'!$B$2:$B889)-2, OR(AJ425="A2-Dialga", AJ425="A2-Palkia", AJ425="A2"), XLOOKUP(AH425, 'Space-Time Smackdown'!$C$2:$C889, 'Space-Time Smackdown'!$B$2:$B889)-2))</f>
        <v/>
      </c>
      <c r="AM425" s="444" t="str">
        <f t="shared" si="6"/>
        <v/>
      </c>
      <c r="AN425" s="448" t="str">
        <f t="shared" si="7"/>
        <v/>
      </c>
    </row>
    <row r="426">
      <c r="A426" s="277"/>
      <c r="B426" s="277"/>
      <c r="C426" s="441"/>
      <c r="D426" s="277"/>
      <c r="E426" s="277"/>
      <c r="F426" s="277"/>
      <c r="G426" s="277"/>
      <c r="H426" s="277" t="b">
        <f t="shared" si="1"/>
        <v>0</v>
      </c>
      <c r="I426" s="277" t="str">
        <f>IFERROR(__xludf.DUMMYFUNCTION("""COMPUTED_VALUE"""),"A2 049")</f>
        <v>A2 049</v>
      </c>
      <c r="J426" s="277" t="str">
        <f>IFERROR(__xludf.DUMMYFUNCTION("""COMPUTED_VALUE"""),"Palkia ex")</f>
        <v>Palkia ex</v>
      </c>
      <c r="K426" s="277" t="str">
        <f>IFERROR(__xludf.DUMMYFUNCTION("""COMPUTED_VALUE"""),"A2-Palkia")</f>
        <v>A2-Palkia</v>
      </c>
      <c r="L426" s="277" t="str">
        <f>IFERROR(__xludf.DUMMYFUNCTION("""COMPUTED_VALUE"""),"♢♢♢♢")</f>
        <v>♢♢♢♢</v>
      </c>
      <c r="M426" s="440" t="b">
        <f t="shared" si="2"/>
        <v>0</v>
      </c>
      <c r="N426" s="441"/>
      <c r="O426" s="277"/>
      <c r="P426" s="277"/>
      <c r="Q426" s="278"/>
      <c r="R426" s="449" t="str">
        <f t="array" ref="R426">IFERROR(IFS(OR(P426="A1-Mewtwo", P426="A1-Pikachu", P426="A1-Charizard", P426="A1"), XLOOKUP(N426, 'Genetic Apex'!$C$2:$C889, 'Genetic Apex'!$B$2:$B889)-$B$4, P426="A1a", XLOOKUP(N426, 'Mythical Island'!$C$2:$C889, 'Mythical Island'!$B$2:$B889)-$B$4, OR(P426="A2-Dialga", P426="A2-Palkia", P426="A2"), XLOOKUP(N426, 'Space-Time Smackdown'!$C$2:$C889, 'Space-Time Smackdown'!$B$2:$B889)-$B$4))</f>
        <v/>
      </c>
      <c r="S426" s="277"/>
      <c r="T426" s="277"/>
      <c r="U426" s="277"/>
      <c r="V426" s="278"/>
      <c r="W426" s="443" t="str">
        <f t="array" ref="W426">IFERROR(IFS(OR(U426="A1-Mewtwo", U426="A1-Pikachu", U426="A1-Charizard", U426="A1"), $B$5-XLOOKUP(S426, 'Genetic Apex'!$C$2:$C889, 'Genetic Apex'!$B$2:$B889), U426="A1a", $B$5-XLOOKUP(S426, 'Mythical Island'!$C$2:$C889, 'Mythical Island'!$B$2:$B889), OR(U426="A2-Dialga", U426="A2-Palkia", U426="A2"), $B$5-XLOOKUP(S426, 'Space-Time Smackdown'!$C$2:$C889, 'Space-Time Smackdown'!$B$2:$B889)))</f>
        <v/>
      </c>
      <c r="X426" s="444" t="str">
        <f t="shared" si="3"/>
        <v/>
      </c>
      <c r="Y426" s="445" t="str">
        <f t="shared" si="4"/>
        <v/>
      </c>
      <c r="Z426" s="278"/>
      <c r="AA426" s="466"/>
      <c r="AB426" s="278"/>
      <c r="AC426" s="278"/>
      <c r="AD426" s="278"/>
      <c r="AE426" s="278"/>
      <c r="AF426" s="278"/>
      <c r="AG426" s="278" t="b">
        <f t="shared" si="5"/>
        <v>0</v>
      </c>
      <c r="AH426" s="454"/>
      <c r="AI426" s="278"/>
      <c r="AJ426" s="278"/>
      <c r="AK426" s="278"/>
      <c r="AL426" s="444" t="str">
        <f t="array" ref="AL426">IFERROR(IFS(OR(AJ426="A1-Mewtwo", AJ426="A1-Pikachu", AJ426="A1-Charizard", AJ426="A1"), XLOOKUP(AH426, 'Genetic Apex'!$C$2:$C889, 'Genetic Apex'!$B$2:$B889)-2, AJ426="A1a", XLOOKUP(AH426, 'Mythical Island'!$C$2:$C889, 'Mythical Island'!$B$2:$B889)-2, OR(AJ426="A2-Dialga", AJ426="A2-Palkia", AJ426="A2"), XLOOKUP(AH426, 'Space-Time Smackdown'!$C$2:$C889, 'Space-Time Smackdown'!$B$2:$B889)-2))</f>
        <v/>
      </c>
      <c r="AM426" s="444" t="str">
        <f t="shared" si="6"/>
        <v/>
      </c>
      <c r="AN426" s="448" t="str">
        <f t="shared" si="7"/>
        <v/>
      </c>
    </row>
    <row r="427">
      <c r="A427" s="277"/>
      <c r="B427" s="277"/>
      <c r="C427" s="441"/>
      <c r="D427" s="277"/>
      <c r="E427" s="277"/>
      <c r="F427" s="277"/>
      <c r="G427" s="277"/>
      <c r="H427" s="277" t="b">
        <f t="shared" si="1"/>
        <v>0</v>
      </c>
      <c r="I427" s="277" t="str">
        <f>IFERROR(__xludf.DUMMYFUNCTION("""COMPUTED_VALUE"""),"A2 050")</f>
        <v>A2 050</v>
      </c>
      <c r="J427" s="277" t="str">
        <f>IFERROR(__xludf.DUMMYFUNCTION("""COMPUTED_VALUE"""),"Manaphy")</f>
        <v>Manaphy</v>
      </c>
      <c r="K427" s="277" t="str">
        <f>IFERROR(__xludf.DUMMYFUNCTION("""COMPUTED_VALUE"""),"A2-Palkia")</f>
        <v>A2-Palkia</v>
      </c>
      <c r="L427" s="277" t="str">
        <f>IFERROR(__xludf.DUMMYFUNCTION("""COMPUTED_VALUE"""),"♢♢")</f>
        <v>♢♢</v>
      </c>
      <c r="M427" s="440" t="b">
        <f t="shared" si="2"/>
        <v>0</v>
      </c>
      <c r="N427" s="441"/>
      <c r="O427" s="277"/>
      <c r="P427" s="277"/>
      <c r="Q427" s="278"/>
      <c r="R427" s="449" t="str">
        <f t="array" ref="R427">IFERROR(IFS(OR(P427="A1-Mewtwo", P427="A1-Pikachu", P427="A1-Charizard", P427="A1"), XLOOKUP(N427, 'Genetic Apex'!$C$2:$C889, 'Genetic Apex'!$B$2:$B889)-$B$4, P427="A1a", XLOOKUP(N427, 'Mythical Island'!$C$2:$C889, 'Mythical Island'!$B$2:$B889)-$B$4, OR(P427="A2-Dialga", P427="A2-Palkia", P427="A2"), XLOOKUP(N427, 'Space-Time Smackdown'!$C$2:$C889, 'Space-Time Smackdown'!$B$2:$B889)-$B$4))</f>
        <v/>
      </c>
      <c r="S427" s="277"/>
      <c r="T427" s="277"/>
      <c r="U427" s="277"/>
      <c r="V427" s="278"/>
      <c r="W427" s="443" t="str">
        <f t="array" ref="W427">IFERROR(IFS(OR(U427="A1-Mewtwo", U427="A1-Pikachu", U427="A1-Charizard", U427="A1"), $B$5-XLOOKUP(S427, 'Genetic Apex'!$C$2:$C889, 'Genetic Apex'!$B$2:$B889), U427="A1a", $B$5-XLOOKUP(S427, 'Mythical Island'!$C$2:$C889, 'Mythical Island'!$B$2:$B889), OR(U427="A2-Dialga", U427="A2-Palkia", U427="A2"), $B$5-XLOOKUP(S427, 'Space-Time Smackdown'!$C$2:$C889, 'Space-Time Smackdown'!$B$2:$B889)))</f>
        <v/>
      </c>
      <c r="X427" s="444" t="str">
        <f t="shared" si="3"/>
        <v/>
      </c>
      <c r="Y427" s="445" t="str">
        <f t="shared" si="4"/>
        <v/>
      </c>
      <c r="Z427" s="278"/>
      <c r="AA427" s="466"/>
      <c r="AB427" s="278"/>
      <c r="AC427" s="278"/>
      <c r="AD427" s="278"/>
      <c r="AE427" s="278"/>
      <c r="AF427" s="278"/>
      <c r="AG427" s="278" t="b">
        <f t="shared" si="5"/>
        <v>0</v>
      </c>
      <c r="AH427" s="454"/>
      <c r="AI427" s="278"/>
      <c r="AJ427" s="278"/>
      <c r="AK427" s="278"/>
      <c r="AL427" s="444" t="str">
        <f t="array" ref="AL427">IFERROR(IFS(OR(AJ427="A1-Mewtwo", AJ427="A1-Pikachu", AJ427="A1-Charizard", AJ427="A1"), XLOOKUP(AH427, 'Genetic Apex'!$C$2:$C889, 'Genetic Apex'!$B$2:$B889)-2, AJ427="A1a", XLOOKUP(AH427, 'Mythical Island'!$C$2:$C889, 'Mythical Island'!$B$2:$B889)-2, OR(AJ427="A2-Dialga", AJ427="A2-Palkia", AJ427="A2"), XLOOKUP(AH427, 'Space-Time Smackdown'!$C$2:$C889, 'Space-Time Smackdown'!$B$2:$B889)-2))</f>
        <v/>
      </c>
      <c r="AM427" s="444" t="str">
        <f t="shared" si="6"/>
        <v/>
      </c>
      <c r="AN427" s="448" t="str">
        <f t="shared" si="7"/>
        <v/>
      </c>
    </row>
    <row r="428">
      <c r="A428" s="277"/>
      <c r="B428" s="277"/>
      <c r="C428" s="441"/>
      <c r="D428" s="277"/>
      <c r="E428" s="277"/>
      <c r="F428" s="277"/>
      <c r="G428" s="277"/>
      <c r="H428" s="277" t="b">
        <f t="shared" si="1"/>
        <v>0</v>
      </c>
      <c r="I428" s="277" t="str">
        <f>IFERROR(__xludf.DUMMYFUNCTION("""COMPUTED_VALUE"""),"A2 051")</f>
        <v>A2 051</v>
      </c>
      <c r="J428" s="277" t="str">
        <f>IFERROR(__xludf.DUMMYFUNCTION("""COMPUTED_VALUE"""),"Magnemite")</f>
        <v>Magnemite</v>
      </c>
      <c r="K428" s="277" t="str">
        <f>IFERROR(__xludf.DUMMYFUNCTION("""COMPUTED_VALUE"""),"A2")</f>
        <v>A2</v>
      </c>
      <c r="L428" s="277" t="str">
        <f>IFERROR(__xludf.DUMMYFUNCTION("""COMPUTED_VALUE"""),"♢")</f>
        <v>♢</v>
      </c>
      <c r="M428" s="440" t="b">
        <f t="shared" si="2"/>
        <v>0</v>
      </c>
      <c r="N428" s="441"/>
      <c r="O428" s="277"/>
      <c r="P428" s="277"/>
      <c r="Q428" s="278"/>
      <c r="R428" s="449" t="str">
        <f t="array" ref="R428">IFERROR(IFS(OR(P428="A1-Mewtwo", P428="A1-Pikachu", P428="A1-Charizard", P428="A1"), XLOOKUP(N428, 'Genetic Apex'!$C$2:$C889, 'Genetic Apex'!$B$2:$B889)-$B$4, P428="A1a", XLOOKUP(N428, 'Mythical Island'!$C$2:$C889, 'Mythical Island'!$B$2:$B889)-$B$4, OR(P428="A2-Dialga", P428="A2-Palkia", P428="A2"), XLOOKUP(N428, 'Space-Time Smackdown'!$C$2:$C889, 'Space-Time Smackdown'!$B$2:$B889)-$B$4))</f>
        <v/>
      </c>
      <c r="S428" s="277"/>
      <c r="T428" s="277"/>
      <c r="U428" s="277"/>
      <c r="V428" s="278"/>
      <c r="W428" s="443" t="str">
        <f t="array" ref="W428">IFERROR(IFS(OR(U428="A1-Mewtwo", U428="A1-Pikachu", U428="A1-Charizard", U428="A1"), $B$5-XLOOKUP(S428, 'Genetic Apex'!$C$2:$C889, 'Genetic Apex'!$B$2:$B889), U428="A1a", $B$5-XLOOKUP(S428, 'Mythical Island'!$C$2:$C889, 'Mythical Island'!$B$2:$B889), OR(U428="A2-Dialga", U428="A2-Palkia", U428="A2"), $B$5-XLOOKUP(S428, 'Space-Time Smackdown'!$C$2:$C889, 'Space-Time Smackdown'!$B$2:$B889)))</f>
        <v/>
      </c>
      <c r="X428" s="444" t="str">
        <f t="shared" si="3"/>
        <v/>
      </c>
      <c r="Y428" s="445" t="str">
        <f t="shared" si="4"/>
        <v/>
      </c>
      <c r="Z428" s="278"/>
      <c r="AA428" s="466"/>
      <c r="AB428" s="278"/>
      <c r="AC428" s="278"/>
      <c r="AD428" s="278"/>
      <c r="AE428" s="278"/>
      <c r="AF428" s="278"/>
      <c r="AG428" s="278" t="b">
        <f t="shared" si="5"/>
        <v>0</v>
      </c>
      <c r="AH428" s="454"/>
      <c r="AI428" s="278"/>
      <c r="AJ428" s="278"/>
      <c r="AK428" s="278"/>
      <c r="AL428" s="444" t="str">
        <f t="array" ref="AL428">IFERROR(IFS(OR(AJ428="A1-Mewtwo", AJ428="A1-Pikachu", AJ428="A1-Charizard", AJ428="A1"), XLOOKUP(AH428, 'Genetic Apex'!$C$2:$C889, 'Genetic Apex'!$B$2:$B889)-2, AJ428="A1a", XLOOKUP(AH428, 'Mythical Island'!$C$2:$C889, 'Mythical Island'!$B$2:$B889)-2, OR(AJ428="A2-Dialga", AJ428="A2-Palkia", AJ428="A2"), XLOOKUP(AH428, 'Space-Time Smackdown'!$C$2:$C889, 'Space-Time Smackdown'!$B$2:$B889)-2))</f>
        <v/>
      </c>
      <c r="AM428" s="444" t="str">
        <f t="shared" si="6"/>
        <v/>
      </c>
      <c r="AN428" s="448" t="str">
        <f t="shared" si="7"/>
        <v/>
      </c>
    </row>
    <row r="429">
      <c r="A429" s="277"/>
      <c r="B429" s="277"/>
      <c r="C429" s="441"/>
      <c r="D429" s="277"/>
      <c r="E429" s="277"/>
      <c r="F429" s="277"/>
      <c r="G429" s="277"/>
      <c r="H429" s="277" t="b">
        <f t="shared" si="1"/>
        <v>0</v>
      </c>
      <c r="I429" s="277" t="str">
        <f>IFERROR(__xludf.DUMMYFUNCTION("""COMPUTED_VALUE"""),"A2 052")</f>
        <v>A2 052</v>
      </c>
      <c r="J429" s="277" t="str">
        <f>IFERROR(__xludf.DUMMYFUNCTION("""COMPUTED_VALUE"""),"Magneton")</f>
        <v>Magneton</v>
      </c>
      <c r="K429" s="277" t="str">
        <f>IFERROR(__xludf.DUMMYFUNCTION("""COMPUTED_VALUE"""),"A2")</f>
        <v>A2</v>
      </c>
      <c r="L429" s="277" t="str">
        <f>IFERROR(__xludf.DUMMYFUNCTION("""COMPUTED_VALUE"""),"♢♢")</f>
        <v>♢♢</v>
      </c>
      <c r="M429" s="440" t="b">
        <f t="shared" si="2"/>
        <v>0</v>
      </c>
      <c r="N429" s="441"/>
      <c r="O429" s="277"/>
      <c r="P429" s="277"/>
      <c r="Q429" s="278"/>
      <c r="R429" s="449" t="str">
        <f t="array" ref="R429">IFERROR(IFS(OR(P429="A1-Mewtwo", P429="A1-Pikachu", P429="A1-Charizard", P429="A1"), XLOOKUP(N429, 'Genetic Apex'!$C$2:$C889, 'Genetic Apex'!$B$2:$B889)-$B$4, P429="A1a", XLOOKUP(N429, 'Mythical Island'!$C$2:$C889, 'Mythical Island'!$B$2:$B889)-$B$4, OR(P429="A2-Dialga", P429="A2-Palkia", P429="A2"), XLOOKUP(N429, 'Space-Time Smackdown'!$C$2:$C889, 'Space-Time Smackdown'!$B$2:$B889)-$B$4))</f>
        <v/>
      </c>
      <c r="S429" s="277"/>
      <c r="T429" s="277"/>
      <c r="U429" s="277"/>
      <c r="V429" s="278"/>
      <c r="W429" s="443" t="str">
        <f t="array" ref="W429">IFERROR(IFS(OR(U429="A1-Mewtwo", U429="A1-Pikachu", U429="A1-Charizard", U429="A1"), $B$5-XLOOKUP(S429, 'Genetic Apex'!$C$2:$C889, 'Genetic Apex'!$B$2:$B889), U429="A1a", $B$5-XLOOKUP(S429, 'Mythical Island'!$C$2:$C889, 'Mythical Island'!$B$2:$B889), OR(U429="A2-Dialga", U429="A2-Palkia", U429="A2"), $B$5-XLOOKUP(S429, 'Space-Time Smackdown'!$C$2:$C889, 'Space-Time Smackdown'!$B$2:$B889)))</f>
        <v/>
      </c>
      <c r="X429" s="444" t="str">
        <f t="shared" si="3"/>
        <v/>
      </c>
      <c r="Y429" s="445" t="str">
        <f t="shared" si="4"/>
        <v/>
      </c>
      <c r="Z429" s="278"/>
      <c r="AA429" s="466"/>
      <c r="AB429" s="278"/>
      <c r="AC429" s="278"/>
      <c r="AD429" s="278"/>
      <c r="AE429" s="278"/>
      <c r="AF429" s="278"/>
      <c r="AG429" s="278" t="b">
        <f t="shared" si="5"/>
        <v>0</v>
      </c>
      <c r="AH429" s="454"/>
      <c r="AI429" s="278"/>
      <c r="AJ429" s="278"/>
      <c r="AK429" s="278"/>
      <c r="AL429" s="444" t="str">
        <f t="array" ref="AL429">IFERROR(IFS(OR(AJ429="A1-Mewtwo", AJ429="A1-Pikachu", AJ429="A1-Charizard", AJ429="A1"), XLOOKUP(AH429, 'Genetic Apex'!$C$2:$C889, 'Genetic Apex'!$B$2:$B889)-2, AJ429="A1a", XLOOKUP(AH429, 'Mythical Island'!$C$2:$C889, 'Mythical Island'!$B$2:$B889)-2, OR(AJ429="A2-Dialga", AJ429="A2-Palkia", AJ429="A2"), XLOOKUP(AH429, 'Space-Time Smackdown'!$C$2:$C889, 'Space-Time Smackdown'!$B$2:$B889)-2))</f>
        <v/>
      </c>
      <c r="AM429" s="444" t="str">
        <f t="shared" si="6"/>
        <v/>
      </c>
      <c r="AN429" s="448" t="str">
        <f t="shared" si="7"/>
        <v/>
      </c>
    </row>
    <row r="430">
      <c r="A430" s="277"/>
      <c r="B430" s="277"/>
      <c r="C430" s="441"/>
      <c r="D430" s="277"/>
      <c r="E430" s="277"/>
      <c r="F430" s="277"/>
      <c r="G430" s="277"/>
      <c r="H430" s="277" t="b">
        <f t="shared" si="1"/>
        <v>0</v>
      </c>
      <c r="I430" s="277" t="str">
        <f>IFERROR(__xludf.DUMMYFUNCTION("""COMPUTED_VALUE"""),"A2 053")</f>
        <v>A2 053</v>
      </c>
      <c r="J430" s="277" t="str">
        <f>IFERROR(__xludf.DUMMYFUNCTION("""COMPUTED_VALUE"""),"Magnezone")</f>
        <v>Magnezone</v>
      </c>
      <c r="K430" s="277" t="str">
        <f>IFERROR(__xludf.DUMMYFUNCTION("""COMPUTED_VALUE"""),"A2")</f>
        <v>A2</v>
      </c>
      <c r="L430" s="277" t="str">
        <f>IFERROR(__xludf.DUMMYFUNCTION("""COMPUTED_VALUE"""),"♢♢♢")</f>
        <v>♢♢♢</v>
      </c>
      <c r="M430" s="440" t="b">
        <f t="shared" si="2"/>
        <v>0</v>
      </c>
      <c r="N430" s="441"/>
      <c r="O430" s="277"/>
      <c r="P430" s="277"/>
      <c r="Q430" s="278"/>
      <c r="R430" s="449" t="str">
        <f t="array" ref="R430">IFERROR(IFS(OR(P430="A1-Mewtwo", P430="A1-Pikachu", P430="A1-Charizard", P430="A1"), XLOOKUP(N430, 'Genetic Apex'!$C$2:$C889, 'Genetic Apex'!$B$2:$B889)-$B$4, P430="A1a", XLOOKUP(N430, 'Mythical Island'!$C$2:$C889, 'Mythical Island'!$B$2:$B889)-$B$4, OR(P430="A2-Dialga", P430="A2-Palkia", P430="A2"), XLOOKUP(N430, 'Space-Time Smackdown'!$C$2:$C889, 'Space-Time Smackdown'!$B$2:$B889)-$B$4))</f>
        <v/>
      </c>
      <c r="S430" s="277"/>
      <c r="T430" s="277"/>
      <c r="U430" s="277"/>
      <c r="V430" s="278"/>
      <c r="W430" s="443" t="str">
        <f t="array" ref="W430">IFERROR(IFS(OR(U430="A1-Mewtwo", U430="A1-Pikachu", U430="A1-Charizard", U430="A1"), $B$5-XLOOKUP(S430, 'Genetic Apex'!$C$2:$C889, 'Genetic Apex'!$B$2:$B889), U430="A1a", $B$5-XLOOKUP(S430, 'Mythical Island'!$C$2:$C889, 'Mythical Island'!$B$2:$B889), OR(U430="A2-Dialga", U430="A2-Palkia", U430="A2"), $B$5-XLOOKUP(S430, 'Space-Time Smackdown'!$C$2:$C889, 'Space-Time Smackdown'!$B$2:$B889)))</f>
        <v/>
      </c>
      <c r="X430" s="444" t="str">
        <f t="shared" si="3"/>
        <v/>
      </c>
      <c r="Y430" s="445" t="str">
        <f t="shared" si="4"/>
        <v/>
      </c>
      <c r="Z430" s="278"/>
      <c r="AA430" s="466"/>
      <c r="AB430" s="278"/>
      <c r="AC430" s="278"/>
      <c r="AD430" s="278"/>
      <c r="AE430" s="278"/>
      <c r="AF430" s="278"/>
      <c r="AG430" s="278" t="b">
        <f t="shared" si="5"/>
        <v>0</v>
      </c>
      <c r="AH430" s="454"/>
      <c r="AI430" s="278"/>
      <c r="AJ430" s="278"/>
      <c r="AK430" s="278"/>
      <c r="AL430" s="444" t="str">
        <f t="array" ref="AL430">IFERROR(IFS(OR(AJ430="A1-Mewtwo", AJ430="A1-Pikachu", AJ430="A1-Charizard", AJ430="A1"), XLOOKUP(AH430, 'Genetic Apex'!$C$2:$C889, 'Genetic Apex'!$B$2:$B889)-2, AJ430="A1a", XLOOKUP(AH430, 'Mythical Island'!$C$2:$C889, 'Mythical Island'!$B$2:$B889)-2, OR(AJ430="A2-Dialga", AJ430="A2-Palkia", AJ430="A2"), XLOOKUP(AH430, 'Space-Time Smackdown'!$C$2:$C889, 'Space-Time Smackdown'!$B$2:$B889)-2))</f>
        <v/>
      </c>
      <c r="AM430" s="444" t="str">
        <f t="shared" si="6"/>
        <v/>
      </c>
      <c r="AN430" s="448" t="str">
        <f t="shared" si="7"/>
        <v/>
      </c>
    </row>
    <row r="431">
      <c r="A431" s="277"/>
      <c r="B431" s="277"/>
      <c r="C431" s="441"/>
      <c r="D431" s="277"/>
      <c r="E431" s="277"/>
      <c r="F431" s="277"/>
      <c r="G431" s="277"/>
      <c r="H431" s="277" t="b">
        <f t="shared" si="1"/>
        <v>0</v>
      </c>
      <c r="I431" s="277" t="str">
        <f>IFERROR(__xludf.DUMMYFUNCTION("""COMPUTED_VALUE"""),"A2 054")</f>
        <v>A2 054</v>
      </c>
      <c r="J431" s="277" t="str">
        <f>IFERROR(__xludf.DUMMYFUNCTION("""COMPUTED_VALUE"""),"Voltorb")</f>
        <v>Voltorb</v>
      </c>
      <c r="K431" s="277" t="str">
        <f>IFERROR(__xludf.DUMMYFUNCTION("""COMPUTED_VALUE"""),"A2")</f>
        <v>A2</v>
      </c>
      <c r="L431" s="277" t="str">
        <f>IFERROR(__xludf.DUMMYFUNCTION("""COMPUTED_VALUE"""),"♢")</f>
        <v>♢</v>
      </c>
      <c r="M431" s="440" t="b">
        <f t="shared" si="2"/>
        <v>0</v>
      </c>
      <c r="N431" s="441"/>
      <c r="O431" s="277"/>
      <c r="P431" s="277"/>
      <c r="Q431" s="278"/>
      <c r="R431" s="449" t="str">
        <f t="array" ref="R431">IFERROR(IFS(OR(P431="A1-Mewtwo", P431="A1-Pikachu", P431="A1-Charizard", P431="A1"), XLOOKUP(N431, 'Genetic Apex'!$C$2:$C889, 'Genetic Apex'!$B$2:$B889)-$B$4, P431="A1a", XLOOKUP(N431, 'Mythical Island'!$C$2:$C889, 'Mythical Island'!$B$2:$B889)-$B$4, OR(P431="A2-Dialga", P431="A2-Palkia", P431="A2"), XLOOKUP(N431, 'Space-Time Smackdown'!$C$2:$C889, 'Space-Time Smackdown'!$B$2:$B889)-$B$4))</f>
        <v/>
      </c>
      <c r="S431" s="277"/>
      <c r="T431" s="277"/>
      <c r="U431" s="277"/>
      <c r="V431" s="278"/>
      <c r="W431" s="443" t="str">
        <f t="array" ref="W431">IFERROR(IFS(OR(U431="A1-Mewtwo", U431="A1-Pikachu", U431="A1-Charizard", U431="A1"), $B$5-XLOOKUP(S431, 'Genetic Apex'!$C$2:$C889, 'Genetic Apex'!$B$2:$B889), U431="A1a", $B$5-XLOOKUP(S431, 'Mythical Island'!$C$2:$C889, 'Mythical Island'!$B$2:$B889), OR(U431="A2-Dialga", U431="A2-Palkia", U431="A2"), $B$5-XLOOKUP(S431, 'Space-Time Smackdown'!$C$2:$C889, 'Space-Time Smackdown'!$B$2:$B889)))</f>
        <v/>
      </c>
      <c r="X431" s="444" t="str">
        <f t="shared" si="3"/>
        <v/>
      </c>
      <c r="Y431" s="445" t="str">
        <f t="shared" si="4"/>
        <v/>
      </c>
      <c r="Z431" s="278"/>
      <c r="AA431" s="466"/>
      <c r="AB431" s="278"/>
      <c r="AC431" s="278"/>
      <c r="AD431" s="278"/>
      <c r="AE431" s="278"/>
      <c r="AF431" s="278"/>
      <c r="AG431" s="278" t="b">
        <f t="shared" si="5"/>
        <v>0</v>
      </c>
      <c r="AH431" s="454"/>
      <c r="AI431" s="278"/>
      <c r="AJ431" s="278"/>
      <c r="AK431" s="278"/>
      <c r="AL431" s="444" t="str">
        <f t="array" ref="AL431">IFERROR(IFS(OR(AJ431="A1-Mewtwo", AJ431="A1-Pikachu", AJ431="A1-Charizard", AJ431="A1"), XLOOKUP(AH431, 'Genetic Apex'!$C$2:$C889, 'Genetic Apex'!$B$2:$B889)-2, AJ431="A1a", XLOOKUP(AH431, 'Mythical Island'!$C$2:$C889, 'Mythical Island'!$B$2:$B889)-2, OR(AJ431="A2-Dialga", AJ431="A2-Palkia", AJ431="A2"), XLOOKUP(AH431, 'Space-Time Smackdown'!$C$2:$C889, 'Space-Time Smackdown'!$B$2:$B889)-2))</f>
        <v/>
      </c>
      <c r="AM431" s="444" t="str">
        <f t="shared" si="6"/>
        <v/>
      </c>
      <c r="AN431" s="448" t="str">
        <f t="shared" si="7"/>
        <v/>
      </c>
    </row>
    <row r="432">
      <c r="A432" s="277"/>
      <c r="B432" s="277"/>
      <c r="C432" s="441"/>
      <c r="D432" s="277"/>
      <c r="E432" s="277"/>
      <c r="F432" s="277"/>
      <c r="G432" s="277"/>
      <c r="H432" s="277" t="b">
        <f t="shared" si="1"/>
        <v>0</v>
      </c>
      <c r="I432" s="277" t="str">
        <f>IFERROR(__xludf.DUMMYFUNCTION("""COMPUTED_VALUE"""),"A2 055")</f>
        <v>A2 055</v>
      </c>
      <c r="J432" s="277" t="str">
        <f>IFERROR(__xludf.DUMMYFUNCTION("""COMPUTED_VALUE"""),"Electrode")</f>
        <v>Electrode</v>
      </c>
      <c r="K432" s="277" t="str">
        <f>IFERROR(__xludf.DUMMYFUNCTION("""COMPUTED_VALUE"""),"A2")</f>
        <v>A2</v>
      </c>
      <c r="L432" s="277" t="str">
        <f>IFERROR(__xludf.DUMMYFUNCTION("""COMPUTED_VALUE"""),"♢♢")</f>
        <v>♢♢</v>
      </c>
      <c r="M432" s="440" t="b">
        <f t="shared" si="2"/>
        <v>0</v>
      </c>
      <c r="N432" s="441"/>
      <c r="O432" s="277"/>
      <c r="P432" s="277"/>
      <c r="Q432" s="278"/>
      <c r="R432" s="449" t="str">
        <f t="array" ref="R432">IFERROR(IFS(OR(P432="A1-Mewtwo", P432="A1-Pikachu", P432="A1-Charizard", P432="A1"), XLOOKUP(N432, 'Genetic Apex'!$C$2:$C889, 'Genetic Apex'!$B$2:$B889)-$B$4, P432="A1a", XLOOKUP(N432, 'Mythical Island'!$C$2:$C889, 'Mythical Island'!$B$2:$B889)-$B$4, OR(P432="A2-Dialga", P432="A2-Palkia", P432="A2"), XLOOKUP(N432, 'Space-Time Smackdown'!$C$2:$C889, 'Space-Time Smackdown'!$B$2:$B889)-$B$4))</f>
        <v/>
      </c>
      <c r="S432" s="277"/>
      <c r="T432" s="277"/>
      <c r="U432" s="277"/>
      <c r="V432" s="278"/>
      <c r="W432" s="443" t="str">
        <f t="array" ref="W432">IFERROR(IFS(OR(U432="A1-Mewtwo", U432="A1-Pikachu", U432="A1-Charizard", U432="A1"), $B$5-XLOOKUP(S432, 'Genetic Apex'!$C$2:$C889, 'Genetic Apex'!$B$2:$B889), U432="A1a", $B$5-XLOOKUP(S432, 'Mythical Island'!$C$2:$C889, 'Mythical Island'!$B$2:$B889), OR(U432="A2-Dialga", U432="A2-Palkia", U432="A2"), $B$5-XLOOKUP(S432, 'Space-Time Smackdown'!$C$2:$C889, 'Space-Time Smackdown'!$B$2:$B889)))</f>
        <v/>
      </c>
      <c r="X432" s="444" t="str">
        <f t="shared" si="3"/>
        <v/>
      </c>
      <c r="Y432" s="445" t="str">
        <f t="shared" si="4"/>
        <v/>
      </c>
      <c r="Z432" s="278"/>
      <c r="AA432" s="466"/>
      <c r="AB432" s="278"/>
      <c r="AC432" s="278"/>
      <c r="AD432" s="278"/>
      <c r="AE432" s="278"/>
      <c r="AF432" s="278"/>
      <c r="AG432" s="278" t="b">
        <f t="shared" si="5"/>
        <v>0</v>
      </c>
      <c r="AH432" s="454"/>
      <c r="AI432" s="278"/>
      <c r="AJ432" s="278"/>
      <c r="AK432" s="278"/>
      <c r="AL432" s="444" t="str">
        <f t="array" ref="AL432">IFERROR(IFS(OR(AJ432="A1-Mewtwo", AJ432="A1-Pikachu", AJ432="A1-Charizard", AJ432="A1"), XLOOKUP(AH432, 'Genetic Apex'!$C$2:$C889, 'Genetic Apex'!$B$2:$B889)-2, AJ432="A1a", XLOOKUP(AH432, 'Mythical Island'!$C$2:$C889, 'Mythical Island'!$B$2:$B889)-2, OR(AJ432="A2-Dialga", AJ432="A2-Palkia", AJ432="A2"), XLOOKUP(AH432, 'Space-Time Smackdown'!$C$2:$C889, 'Space-Time Smackdown'!$B$2:$B889)-2))</f>
        <v/>
      </c>
      <c r="AM432" s="444" t="str">
        <f t="shared" si="6"/>
        <v/>
      </c>
      <c r="AN432" s="448" t="str">
        <f t="shared" si="7"/>
        <v/>
      </c>
    </row>
    <row r="433">
      <c r="A433" s="277"/>
      <c r="B433" s="277"/>
      <c r="C433" s="441"/>
      <c r="D433" s="277"/>
      <c r="E433" s="277"/>
      <c r="F433" s="277"/>
      <c r="G433" s="277"/>
      <c r="H433" s="277" t="b">
        <f t="shared" si="1"/>
        <v>0</v>
      </c>
      <c r="I433" s="277" t="str">
        <f>IFERROR(__xludf.DUMMYFUNCTION("""COMPUTED_VALUE"""),"A2 056")</f>
        <v>A2 056</v>
      </c>
      <c r="J433" s="277" t="str">
        <f>IFERROR(__xludf.DUMMYFUNCTION("""COMPUTED_VALUE"""),"Electabuzz")</f>
        <v>Electabuzz</v>
      </c>
      <c r="K433" s="277" t="str">
        <f>IFERROR(__xludf.DUMMYFUNCTION("""COMPUTED_VALUE"""),"A2-Dialga")</f>
        <v>A2-Dialga</v>
      </c>
      <c r="L433" s="277" t="str">
        <f>IFERROR(__xludf.DUMMYFUNCTION("""COMPUTED_VALUE"""),"♢")</f>
        <v>♢</v>
      </c>
      <c r="M433" s="440" t="b">
        <f t="shared" si="2"/>
        <v>0</v>
      </c>
      <c r="N433" s="441"/>
      <c r="O433" s="277"/>
      <c r="P433" s="277"/>
      <c r="Q433" s="278"/>
      <c r="R433" s="449" t="str">
        <f t="array" ref="R433">IFERROR(IFS(OR(P433="A1-Mewtwo", P433="A1-Pikachu", P433="A1-Charizard", P433="A1"), XLOOKUP(N433, 'Genetic Apex'!$C$2:$C889, 'Genetic Apex'!$B$2:$B889)-$B$4, P433="A1a", XLOOKUP(N433, 'Mythical Island'!$C$2:$C889, 'Mythical Island'!$B$2:$B889)-$B$4, OR(P433="A2-Dialga", P433="A2-Palkia", P433="A2"), XLOOKUP(N433, 'Space-Time Smackdown'!$C$2:$C889, 'Space-Time Smackdown'!$B$2:$B889)-$B$4))</f>
        <v/>
      </c>
      <c r="S433" s="277"/>
      <c r="T433" s="277"/>
      <c r="U433" s="277"/>
      <c r="V433" s="278"/>
      <c r="W433" s="443" t="str">
        <f t="array" ref="W433">IFERROR(IFS(OR(U433="A1-Mewtwo", U433="A1-Pikachu", U433="A1-Charizard", U433="A1"), $B$5-XLOOKUP(S433, 'Genetic Apex'!$C$2:$C889, 'Genetic Apex'!$B$2:$B889), U433="A1a", $B$5-XLOOKUP(S433, 'Mythical Island'!$C$2:$C889, 'Mythical Island'!$B$2:$B889), OR(U433="A2-Dialga", U433="A2-Palkia", U433="A2"), $B$5-XLOOKUP(S433, 'Space-Time Smackdown'!$C$2:$C889, 'Space-Time Smackdown'!$B$2:$B889)))</f>
        <v/>
      </c>
      <c r="X433" s="444" t="str">
        <f t="shared" si="3"/>
        <v/>
      </c>
      <c r="Y433" s="445" t="str">
        <f t="shared" si="4"/>
        <v/>
      </c>
      <c r="Z433" s="278"/>
      <c r="AA433" s="466"/>
      <c r="AB433" s="278"/>
      <c r="AC433" s="278"/>
      <c r="AD433" s="278"/>
      <c r="AE433" s="278"/>
      <c r="AF433" s="278"/>
      <c r="AG433" s="278" t="b">
        <f t="shared" si="5"/>
        <v>0</v>
      </c>
      <c r="AH433" s="454"/>
      <c r="AI433" s="278"/>
      <c r="AJ433" s="278"/>
      <c r="AK433" s="278"/>
      <c r="AL433" s="444" t="str">
        <f t="array" ref="AL433">IFERROR(IFS(OR(AJ433="A1-Mewtwo", AJ433="A1-Pikachu", AJ433="A1-Charizard", AJ433="A1"), XLOOKUP(AH433, 'Genetic Apex'!$C$2:$C889, 'Genetic Apex'!$B$2:$B889)-2, AJ433="A1a", XLOOKUP(AH433, 'Mythical Island'!$C$2:$C889, 'Mythical Island'!$B$2:$B889)-2, OR(AJ433="A2-Dialga", AJ433="A2-Palkia", AJ433="A2"), XLOOKUP(AH433, 'Space-Time Smackdown'!$C$2:$C889, 'Space-Time Smackdown'!$B$2:$B889)-2))</f>
        <v/>
      </c>
      <c r="AM433" s="444" t="str">
        <f t="shared" si="6"/>
        <v/>
      </c>
      <c r="AN433" s="448" t="str">
        <f t="shared" si="7"/>
        <v/>
      </c>
    </row>
    <row r="434">
      <c r="A434" s="277"/>
      <c r="B434" s="277"/>
      <c r="C434" s="441"/>
      <c r="D434" s="277"/>
      <c r="E434" s="277"/>
      <c r="F434" s="277"/>
      <c r="G434" s="277"/>
      <c r="H434" s="277" t="b">
        <f t="shared" si="1"/>
        <v>0</v>
      </c>
      <c r="I434" s="277" t="str">
        <f>IFERROR(__xludf.DUMMYFUNCTION("""COMPUTED_VALUE"""),"A2 057")</f>
        <v>A2 057</v>
      </c>
      <c r="J434" s="277" t="str">
        <f>IFERROR(__xludf.DUMMYFUNCTION("""COMPUTED_VALUE"""),"Electivire")</f>
        <v>Electivire</v>
      </c>
      <c r="K434" s="277" t="str">
        <f>IFERROR(__xludf.DUMMYFUNCTION("""COMPUTED_VALUE"""),"A2-Dialga")</f>
        <v>A2-Dialga</v>
      </c>
      <c r="L434" s="277" t="str">
        <f>IFERROR(__xludf.DUMMYFUNCTION("""COMPUTED_VALUE"""),"♢♢♢")</f>
        <v>♢♢♢</v>
      </c>
      <c r="M434" s="440" t="b">
        <f t="shared" si="2"/>
        <v>0</v>
      </c>
      <c r="N434" s="441"/>
      <c r="O434" s="277"/>
      <c r="P434" s="277"/>
      <c r="Q434" s="278"/>
      <c r="R434" s="449" t="str">
        <f t="array" ref="R434">IFERROR(IFS(OR(P434="A1-Mewtwo", P434="A1-Pikachu", P434="A1-Charizard", P434="A1"), XLOOKUP(N434, 'Genetic Apex'!$C$2:$C889, 'Genetic Apex'!$B$2:$B889)-$B$4, P434="A1a", XLOOKUP(N434, 'Mythical Island'!$C$2:$C889, 'Mythical Island'!$B$2:$B889)-$B$4, OR(P434="A2-Dialga", P434="A2-Palkia", P434="A2"), XLOOKUP(N434, 'Space-Time Smackdown'!$C$2:$C889, 'Space-Time Smackdown'!$B$2:$B889)-$B$4))</f>
        <v/>
      </c>
      <c r="S434" s="277"/>
      <c r="T434" s="277"/>
      <c r="U434" s="277"/>
      <c r="V434" s="278"/>
      <c r="W434" s="443" t="str">
        <f t="array" ref="W434">IFERROR(IFS(OR(U434="A1-Mewtwo", U434="A1-Pikachu", U434="A1-Charizard", U434="A1"), $B$5-XLOOKUP(S434, 'Genetic Apex'!$C$2:$C889, 'Genetic Apex'!$B$2:$B889), U434="A1a", $B$5-XLOOKUP(S434, 'Mythical Island'!$C$2:$C889, 'Mythical Island'!$B$2:$B889), OR(U434="A2-Dialga", U434="A2-Palkia", U434="A2"), $B$5-XLOOKUP(S434, 'Space-Time Smackdown'!$C$2:$C889, 'Space-Time Smackdown'!$B$2:$B889)))</f>
        <v/>
      </c>
      <c r="X434" s="444" t="str">
        <f t="shared" si="3"/>
        <v/>
      </c>
      <c r="Y434" s="445" t="str">
        <f t="shared" si="4"/>
        <v/>
      </c>
      <c r="Z434" s="278"/>
      <c r="AA434" s="466"/>
      <c r="AB434" s="278"/>
      <c r="AC434" s="278"/>
      <c r="AD434" s="278"/>
      <c r="AE434" s="278"/>
      <c r="AF434" s="278"/>
      <c r="AG434" s="278" t="b">
        <f t="shared" si="5"/>
        <v>0</v>
      </c>
      <c r="AH434" s="454"/>
      <c r="AI434" s="278"/>
      <c r="AJ434" s="278"/>
      <c r="AK434" s="278"/>
      <c r="AL434" s="444" t="str">
        <f t="array" ref="AL434">IFERROR(IFS(OR(AJ434="A1-Mewtwo", AJ434="A1-Pikachu", AJ434="A1-Charizard", AJ434="A1"), XLOOKUP(AH434, 'Genetic Apex'!$C$2:$C889, 'Genetic Apex'!$B$2:$B889)-2, AJ434="A1a", XLOOKUP(AH434, 'Mythical Island'!$C$2:$C889, 'Mythical Island'!$B$2:$B889)-2, OR(AJ434="A2-Dialga", AJ434="A2-Palkia", AJ434="A2"), XLOOKUP(AH434, 'Space-Time Smackdown'!$C$2:$C889, 'Space-Time Smackdown'!$B$2:$B889)-2))</f>
        <v/>
      </c>
      <c r="AM434" s="444" t="str">
        <f t="shared" si="6"/>
        <v/>
      </c>
      <c r="AN434" s="448" t="str">
        <f t="shared" si="7"/>
        <v/>
      </c>
    </row>
    <row r="435">
      <c r="A435" s="277"/>
      <c r="B435" s="277"/>
      <c r="C435" s="441"/>
      <c r="D435" s="277"/>
      <c r="E435" s="277"/>
      <c r="F435" s="277"/>
      <c r="G435" s="277"/>
      <c r="H435" s="277" t="b">
        <f t="shared" si="1"/>
        <v>0</v>
      </c>
      <c r="I435" s="277" t="str">
        <f>IFERROR(__xludf.DUMMYFUNCTION("""COMPUTED_VALUE"""),"A2 058")</f>
        <v>A2 058</v>
      </c>
      <c r="J435" s="277" t="str">
        <f>IFERROR(__xludf.DUMMYFUNCTION("""COMPUTED_VALUE"""),"Shinx")</f>
        <v>Shinx</v>
      </c>
      <c r="K435" s="277" t="str">
        <f>IFERROR(__xludf.DUMMYFUNCTION("""COMPUTED_VALUE"""),"A2-Dialga")</f>
        <v>A2-Dialga</v>
      </c>
      <c r="L435" s="277" t="str">
        <f>IFERROR(__xludf.DUMMYFUNCTION("""COMPUTED_VALUE"""),"♢")</f>
        <v>♢</v>
      </c>
      <c r="M435" s="440" t="b">
        <f t="shared" si="2"/>
        <v>0</v>
      </c>
      <c r="N435" s="441"/>
      <c r="O435" s="277"/>
      <c r="P435" s="277"/>
      <c r="Q435" s="278"/>
      <c r="R435" s="449" t="str">
        <f t="array" ref="R435">IFERROR(IFS(OR(P435="A1-Mewtwo", P435="A1-Pikachu", P435="A1-Charizard", P435="A1"), XLOOKUP(N435, 'Genetic Apex'!$C$2:$C889, 'Genetic Apex'!$B$2:$B889)-$B$4, P435="A1a", XLOOKUP(N435, 'Mythical Island'!$C$2:$C889, 'Mythical Island'!$B$2:$B889)-$B$4, OR(P435="A2-Dialga", P435="A2-Palkia", P435="A2"), XLOOKUP(N435, 'Space-Time Smackdown'!$C$2:$C889, 'Space-Time Smackdown'!$B$2:$B889)-$B$4))</f>
        <v/>
      </c>
      <c r="S435" s="277"/>
      <c r="T435" s="277"/>
      <c r="U435" s="277"/>
      <c r="V435" s="278"/>
      <c r="W435" s="443" t="str">
        <f t="array" ref="W435">IFERROR(IFS(OR(U435="A1-Mewtwo", U435="A1-Pikachu", U435="A1-Charizard", U435="A1"), $B$5-XLOOKUP(S435, 'Genetic Apex'!$C$2:$C889, 'Genetic Apex'!$B$2:$B889), U435="A1a", $B$5-XLOOKUP(S435, 'Mythical Island'!$C$2:$C889, 'Mythical Island'!$B$2:$B889), OR(U435="A2-Dialga", U435="A2-Palkia", U435="A2"), $B$5-XLOOKUP(S435, 'Space-Time Smackdown'!$C$2:$C889, 'Space-Time Smackdown'!$B$2:$B889)))</f>
        <v/>
      </c>
      <c r="X435" s="444" t="str">
        <f t="shared" si="3"/>
        <v/>
      </c>
      <c r="Y435" s="445" t="str">
        <f t="shared" si="4"/>
        <v/>
      </c>
      <c r="Z435" s="278"/>
      <c r="AA435" s="466"/>
      <c r="AB435" s="278"/>
      <c r="AC435" s="278"/>
      <c r="AD435" s="278"/>
      <c r="AE435" s="278"/>
      <c r="AF435" s="278"/>
      <c r="AG435" s="278" t="b">
        <f t="shared" si="5"/>
        <v>0</v>
      </c>
      <c r="AH435" s="454"/>
      <c r="AI435" s="278"/>
      <c r="AJ435" s="278"/>
      <c r="AK435" s="278"/>
      <c r="AL435" s="444" t="str">
        <f t="array" ref="AL435">IFERROR(IFS(OR(AJ435="A1-Mewtwo", AJ435="A1-Pikachu", AJ435="A1-Charizard", AJ435="A1"), XLOOKUP(AH435, 'Genetic Apex'!$C$2:$C889, 'Genetic Apex'!$B$2:$B889)-2, AJ435="A1a", XLOOKUP(AH435, 'Mythical Island'!$C$2:$C889, 'Mythical Island'!$B$2:$B889)-2, OR(AJ435="A2-Dialga", AJ435="A2-Palkia", AJ435="A2"), XLOOKUP(AH435, 'Space-Time Smackdown'!$C$2:$C889, 'Space-Time Smackdown'!$B$2:$B889)-2))</f>
        <v/>
      </c>
      <c r="AM435" s="444" t="str">
        <f t="shared" si="6"/>
        <v/>
      </c>
      <c r="AN435" s="448" t="str">
        <f t="shared" si="7"/>
        <v/>
      </c>
    </row>
    <row r="436">
      <c r="A436" s="277"/>
      <c r="B436" s="277"/>
      <c r="C436" s="441"/>
      <c r="D436" s="277"/>
      <c r="E436" s="277"/>
      <c r="F436" s="277"/>
      <c r="G436" s="277"/>
      <c r="H436" s="277" t="b">
        <f t="shared" si="1"/>
        <v>0</v>
      </c>
      <c r="I436" s="277" t="str">
        <f>IFERROR(__xludf.DUMMYFUNCTION("""COMPUTED_VALUE"""),"A2 059")</f>
        <v>A2 059</v>
      </c>
      <c r="J436" s="277" t="str">
        <f>IFERROR(__xludf.DUMMYFUNCTION("""COMPUTED_VALUE"""),"Luxio")</f>
        <v>Luxio</v>
      </c>
      <c r="K436" s="277" t="str">
        <f>IFERROR(__xludf.DUMMYFUNCTION("""COMPUTED_VALUE"""),"A2-Dialga")</f>
        <v>A2-Dialga</v>
      </c>
      <c r="L436" s="277" t="str">
        <f>IFERROR(__xludf.DUMMYFUNCTION("""COMPUTED_VALUE"""),"♢♢")</f>
        <v>♢♢</v>
      </c>
      <c r="M436" s="440" t="b">
        <f t="shared" si="2"/>
        <v>0</v>
      </c>
      <c r="N436" s="441"/>
      <c r="O436" s="277"/>
      <c r="P436" s="277"/>
      <c r="Q436" s="278"/>
      <c r="R436" s="449" t="str">
        <f t="array" ref="R436">IFERROR(IFS(OR(P436="A1-Mewtwo", P436="A1-Pikachu", P436="A1-Charizard", P436="A1"), XLOOKUP(N436, 'Genetic Apex'!$C$2:$C889, 'Genetic Apex'!$B$2:$B889)-$B$4, P436="A1a", XLOOKUP(N436, 'Mythical Island'!$C$2:$C889, 'Mythical Island'!$B$2:$B889)-$B$4, OR(P436="A2-Dialga", P436="A2-Palkia", P436="A2"), XLOOKUP(N436, 'Space-Time Smackdown'!$C$2:$C889, 'Space-Time Smackdown'!$B$2:$B889)-$B$4))</f>
        <v/>
      </c>
      <c r="S436" s="277"/>
      <c r="T436" s="277"/>
      <c r="U436" s="277"/>
      <c r="V436" s="278"/>
      <c r="W436" s="443" t="str">
        <f t="array" ref="W436">IFERROR(IFS(OR(U436="A1-Mewtwo", U436="A1-Pikachu", U436="A1-Charizard", U436="A1"), $B$5-XLOOKUP(S436, 'Genetic Apex'!$C$2:$C889, 'Genetic Apex'!$B$2:$B889), U436="A1a", $B$5-XLOOKUP(S436, 'Mythical Island'!$C$2:$C889, 'Mythical Island'!$B$2:$B889), OR(U436="A2-Dialga", U436="A2-Palkia", U436="A2"), $B$5-XLOOKUP(S436, 'Space-Time Smackdown'!$C$2:$C889, 'Space-Time Smackdown'!$B$2:$B889)))</f>
        <v/>
      </c>
      <c r="X436" s="444" t="str">
        <f t="shared" si="3"/>
        <v/>
      </c>
      <c r="Y436" s="445" t="str">
        <f t="shared" si="4"/>
        <v/>
      </c>
      <c r="Z436" s="278"/>
      <c r="AA436" s="466"/>
      <c r="AB436" s="278"/>
      <c r="AC436" s="278"/>
      <c r="AD436" s="278"/>
      <c r="AE436" s="278"/>
      <c r="AF436" s="278"/>
      <c r="AG436" s="278" t="b">
        <f t="shared" si="5"/>
        <v>0</v>
      </c>
      <c r="AH436" s="454"/>
      <c r="AI436" s="278"/>
      <c r="AJ436" s="278"/>
      <c r="AK436" s="278"/>
      <c r="AL436" s="444" t="str">
        <f t="array" ref="AL436">IFERROR(IFS(OR(AJ436="A1-Mewtwo", AJ436="A1-Pikachu", AJ436="A1-Charizard", AJ436="A1"), XLOOKUP(AH436, 'Genetic Apex'!$C$2:$C889, 'Genetic Apex'!$B$2:$B889)-2, AJ436="A1a", XLOOKUP(AH436, 'Mythical Island'!$C$2:$C889, 'Mythical Island'!$B$2:$B889)-2, OR(AJ436="A2-Dialga", AJ436="A2-Palkia", AJ436="A2"), XLOOKUP(AH436, 'Space-Time Smackdown'!$C$2:$C889, 'Space-Time Smackdown'!$B$2:$B889)-2))</f>
        <v/>
      </c>
      <c r="AM436" s="444" t="str">
        <f t="shared" si="6"/>
        <v/>
      </c>
      <c r="AN436" s="448" t="str">
        <f t="shared" si="7"/>
        <v/>
      </c>
    </row>
    <row r="437">
      <c r="A437" s="277"/>
      <c r="B437" s="277"/>
      <c r="C437" s="441"/>
      <c r="D437" s="277"/>
      <c r="E437" s="277"/>
      <c r="F437" s="277"/>
      <c r="G437" s="277"/>
      <c r="H437" s="277" t="b">
        <f t="shared" si="1"/>
        <v>0</v>
      </c>
      <c r="I437" s="277" t="str">
        <f>IFERROR(__xludf.DUMMYFUNCTION("""COMPUTED_VALUE"""),"A2 060")</f>
        <v>A2 060</v>
      </c>
      <c r="J437" s="277" t="str">
        <f>IFERROR(__xludf.DUMMYFUNCTION("""COMPUTED_VALUE"""),"Luxray")</f>
        <v>Luxray</v>
      </c>
      <c r="K437" s="277" t="str">
        <f>IFERROR(__xludf.DUMMYFUNCTION("""COMPUTED_VALUE"""),"A2-Dialga")</f>
        <v>A2-Dialga</v>
      </c>
      <c r="L437" s="277" t="str">
        <f>IFERROR(__xludf.DUMMYFUNCTION("""COMPUTED_VALUE"""),"♢♢♢")</f>
        <v>♢♢♢</v>
      </c>
      <c r="M437" s="440" t="b">
        <f t="shared" si="2"/>
        <v>0</v>
      </c>
      <c r="N437" s="441"/>
      <c r="O437" s="277"/>
      <c r="P437" s="277"/>
      <c r="Q437" s="278"/>
      <c r="R437" s="449" t="str">
        <f t="array" ref="R437">IFERROR(IFS(OR(P437="A1-Mewtwo", P437="A1-Pikachu", P437="A1-Charizard", P437="A1"), XLOOKUP(N437, 'Genetic Apex'!$C$2:$C889, 'Genetic Apex'!$B$2:$B889)-$B$4, P437="A1a", XLOOKUP(N437, 'Mythical Island'!$C$2:$C889, 'Mythical Island'!$B$2:$B889)-$B$4, OR(P437="A2-Dialga", P437="A2-Palkia", P437="A2"), XLOOKUP(N437, 'Space-Time Smackdown'!$C$2:$C889, 'Space-Time Smackdown'!$B$2:$B889)-$B$4))</f>
        <v/>
      </c>
      <c r="S437" s="277"/>
      <c r="T437" s="277"/>
      <c r="U437" s="277"/>
      <c r="V437" s="278"/>
      <c r="W437" s="443" t="str">
        <f t="array" ref="W437">IFERROR(IFS(OR(U437="A1-Mewtwo", U437="A1-Pikachu", U437="A1-Charizard", U437="A1"), $B$5-XLOOKUP(S437, 'Genetic Apex'!$C$2:$C889, 'Genetic Apex'!$B$2:$B889), U437="A1a", $B$5-XLOOKUP(S437, 'Mythical Island'!$C$2:$C889, 'Mythical Island'!$B$2:$B889), OR(U437="A2-Dialga", U437="A2-Palkia", U437="A2"), $B$5-XLOOKUP(S437, 'Space-Time Smackdown'!$C$2:$C889, 'Space-Time Smackdown'!$B$2:$B889)))</f>
        <v/>
      </c>
      <c r="X437" s="444" t="str">
        <f t="shared" si="3"/>
        <v/>
      </c>
      <c r="Y437" s="445" t="str">
        <f t="shared" si="4"/>
        <v/>
      </c>
      <c r="Z437" s="278"/>
      <c r="AA437" s="466"/>
      <c r="AB437" s="278"/>
      <c r="AC437" s="278"/>
      <c r="AD437" s="278"/>
      <c r="AE437" s="278"/>
      <c r="AF437" s="278"/>
      <c r="AG437" s="278" t="b">
        <f t="shared" si="5"/>
        <v>0</v>
      </c>
      <c r="AH437" s="454"/>
      <c r="AI437" s="278"/>
      <c r="AJ437" s="278"/>
      <c r="AK437" s="278"/>
      <c r="AL437" s="444" t="str">
        <f t="array" ref="AL437">IFERROR(IFS(OR(AJ437="A1-Mewtwo", AJ437="A1-Pikachu", AJ437="A1-Charizard", AJ437="A1"), XLOOKUP(AH437, 'Genetic Apex'!$C$2:$C889, 'Genetic Apex'!$B$2:$B889)-2, AJ437="A1a", XLOOKUP(AH437, 'Mythical Island'!$C$2:$C889, 'Mythical Island'!$B$2:$B889)-2, OR(AJ437="A2-Dialga", AJ437="A2-Palkia", AJ437="A2"), XLOOKUP(AH437, 'Space-Time Smackdown'!$C$2:$C889, 'Space-Time Smackdown'!$B$2:$B889)-2))</f>
        <v/>
      </c>
      <c r="AM437" s="444" t="str">
        <f t="shared" si="6"/>
        <v/>
      </c>
      <c r="AN437" s="448" t="str">
        <f t="shared" si="7"/>
        <v/>
      </c>
    </row>
    <row r="438">
      <c r="A438" s="277"/>
      <c r="B438" s="277"/>
      <c r="C438" s="441"/>
      <c r="D438" s="277"/>
      <c r="E438" s="277"/>
      <c r="F438" s="277"/>
      <c r="G438" s="277"/>
      <c r="H438" s="277" t="b">
        <f t="shared" si="1"/>
        <v>0</v>
      </c>
      <c r="I438" s="277" t="str">
        <f>IFERROR(__xludf.DUMMYFUNCTION("""COMPUTED_VALUE"""),"A2 061")</f>
        <v>A2 061</v>
      </c>
      <c r="J438" s="277" t="str">
        <f>IFERROR(__xludf.DUMMYFUNCTION("""COMPUTED_VALUE"""),"Pachirisu ex")</f>
        <v>Pachirisu ex</v>
      </c>
      <c r="K438" s="277" t="str">
        <f>IFERROR(__xludf.DUMMYFUNCTION("""COMPUTED_VALUE"""),"A2-Dialga")</f>
        <v>A2-Dialga</v>
      </c>
      <c r="L438" s="277" t="str">
        <f>IFERROR(__xludf.DUMMYFUNCTION("""COMPUTED_VALUE"""),"♢♢♢♢")</f>
        <v>♢♢♢♢</v>
      </c>
      <c r="M438" s="440" t="b">
        <f t="shared" si="2"/>
        <v>0</v>
      </c>
      <c r="N438" s="441"/>
      <c r="O438" s="277"/>
      <c r="P438" s="277"/>
      <c r="Q438" s="278"/>
      <c r="R438" s="449" t="str">
        <f t="array" ref="R438">IFERROR(IFS(OR(P438="A1-Mewtwo", P438="A1-Pikachu", P438="A1-Charizard", P438="A1"), XLOOKUP(N438, 'Genetic Apex'!$C$2:$C889, 'Genetic Apex'!$B$2:$B889)-$B$4, P438="A1a", XLOOKUP(N438, 'Mythical Island'!$C$2:$C889, 'Mythical Island'!$B$2:$B889)-$B$4, OR(P438="A2-Dialga", P438="A2-Palkia", P438="A2"), XLOOKUP(N438, 'Space-Time Smackdown'!$C$2:$C889, 'Space-Time Smackdown'!$B$2:$B889)-$B$4))</f>
        <v/>
      </c>
      <c r="S438" s="277"/>
      <c r="T438" s="277"/>
      <c r="U438" s="277"/>
      <c r="V438" s="278"/>
      <c r="W438" s="443" t="str">
        <f t="array" ref="W438">IFERROR(IFS(OR(U438="A1-Mewtwo", U438="A1-Pikachu", U438="A1-Charizard", U438="A1"), $B$5-XLOOKUP(S438, 'Genetic Apex'!$C$2:$C889, 'Genetic Apex'!$B$2:$B889), U438="A1a", $B$5-XLOOKUP(S438, 'Mythical Island'!$C$2:$C889, 'Mythical Island'!$B$2:$B889), OR(U438="A2-Dialga", U438="A2-Palkia", U438="A2"), $B$5-XLOOKUP(S438, 'Space-Time Smackdown'!$C$2:$C889, 'Space-Time Smackdown'!$B$2:$B889)))</f>
        <v/>
      </c>
      <c r="X438" s="444" t="str">
        <f t="shared" si="3"/>
        <v/>
      </c>
      <c r="Y438" s="445" t="str">
        <f t="shared" si="4"/>
        <v/>
      </c>
      <c r="Z438" s="278"/>
      <c r="AA438" s="466"/>
      <c r="AB438" s="278"/>
      <c r="AC438" s="278"/>
      <c r="AD438" s="278"/>
      <c r="AE438" s="278"/>
      <c r="AF438" s="278"/>
      <c r="AG438" s="278" t="b">
        <f t="shared" si="5"/>
        <v>0</v>
      </c>
      <c r="AH438" s="454"/>
      <c r="AI438" s="278"/>
      <c r="AJ438" s="278"/>
      <c r="AK438" s="278"/>
      <c r="AL438" s="444" t="str">
        <f t="array" ref="AL438">IFERROR(IFS(OR(AJ438="A1-Mewtwo", AJ438="A1-Pikachu", AJ438="A1-Charizard", AJ438="A1"), XLOOKUP(AH438, 'Genetic Apex'!$C$2:$C889, 'Genetic Apex'!$B$2:$B889)-2, AJ438="A1a", XLOOKUP(AH438, 'Mythical Island'!$C$2:$C889, 'Mythical Island'!$B$2:$B889)-2, OR(AJ438="A2-Dialga", AJ438="A2-Palkia", AJ438="A2"), XLOOKUP(AH438, 'Space-Time Smackdown'!$C$2:$C889, 'Space-Time Smackdown'!$B$2:$B889)-2))</f>
        <v/>
      </c>
      <c r="AM438" s="444" t="str">
        <f t="shared" si="6"/>
        <v/>
      </c>
      <c r="AN438" s="448" t="str">
        <f t="shared" si="7"/>
        <v/>
      </c>
    </row>
    <row r="439">
      <c r="A439" s="277"/>
      <c r="B439" s="277"/>
      <c r="C439" s="441"/>
      <c r="D439" s="277"/>
      <c r="E439" s="277"/>
      <c r="F439" s="277"/>
      <c r="G439" s="277"/>
      <c r="H439" s="277" t="b">
        <f t="shared" si="1"/>
        <v>0</v>
      </c>
      <c r="I439" s="277" t="str">
        <f>IFERROR(__xludf.DUMMYFUNCTION("""COMPUTED_VALUE"""),"A2 062")</f>
        <v>A2 062</v>
      </c>
      <c r="J439" s="277" t="str">
        <f>IFERROR(__xludf.DUMMYFUNCTION("""COMPUTED_VALUE"""),"Rotom")</f>
        <v>Rotom</v>
      </c>
      <c r="K439" s="277" t="str">
        <f>IFERROR(__xludf.DUMMYFUNCTION("""COMPUTED_VALUE"""),"A2-Palkia")</f>
        <v>A2-Palkia</v>
      </c>
      <c r="L439" s="277" t="str">
        <f>IFERROR(__xludf.DUMMYFUNCTION("""COMPUTED_VALUE"""),"♢")</f>
        <v>♢</v>
      </c>
      <c r="M439" s="440" t="b">
        <f t="shared" si="2"/>
        <v>0</v>
      </c>
      <c r="N439" s="441"/>
      <c r="O439" s="277"/>
      <c r="P439" s="277"/>
      <c r="Q439" s="278"/>
      <c r="R439" s="449" t="str">
        <f t="array" ref="R439">IFERROR(IFS(OR(P439="A1-Mewtwo", P439="A1-Pikachu", P439="A1-Charizard", P439="A1"), XLOOKUP(N439, 'Genetic Apex'!$C$2:$C889, 'Genetic Apex'!$B$2:$B889)-$B$4, P439="A1a", XLOOKUP(N439, 'Mythical Island'!$C$2:$C889, 'Mythical Island'!$B$2:$B889)-$B$4, OR(P439="A2-Dialga", P439="A2-Palkia", P439="A2"), XLOOKUP(N439, 'Space-Time Smackdown'!$C$2:$C889, 'Space-Time Smackdown'!$B$2:$B889)-$B$4))</f>
        <v/>
      </c>
      <c r="S439" s="277"/>
      <c r="T439" s="277"/>
      <c r="U439" s="277"/>
      <c r="V439" s="278"/>
      <c r="W439" s="443" t="str">
        <f t="array" ref="W439">IFERROR(IFS(OR(U439="A1-Mewtwo", U439="A1-Pikachu", U439="A1-Charizard", U439="A1"), $B$5-XLOOKUP(S439, 'Genetic Apex'!$C$2:$C889, 'Genetic Apex'!$B$2:$B889), U439="A1a", $B$5-XLOOKUP(S439, 'Mythical Island'!$C$2:$C889, 'Mythical Island'!$B$2:$B889), OR(U439="A2-Dialga", U439="A2-Palkia", U439="A2"), $B$5-XLOOKUP(S439, 'Space-Time Smackdown'!$C$2:$C889, 'Space-Time Smackdown'!$B$2:$B889)))</f>
        <v/>
      </c>
      <c r="X439" s="444" t="str">
        <f t="shared" si="3"/>
        <v/>
      </c>
      <c r="Y439" s="445" t="str">
        <f t="shared" si="4"/>
        <v/>
      </c>
      <c r="Z439" s="278"/>
      <c r="AA439" s="466"/>
      <c r="AB439" s="278"/>
      <c r="AC439" s="278"/>
      <c r="AD439" s="278"/>
      <c r="AE439" s="278"/>
      <c r="AF439" s="278"/>
      <c r="AG439" s="278" t="b">
        <f t="shared" si="5"/>
        <v>0</v>
      </c>
      <c r="AH439" s="454"/>
      <c r="AI439" s="278"/>
      <c r="AJ439" s="278"/>
      <c r="AK439" s="278"/>
      <c r="AL439" s="444" t="str">
        <f t="array" ref="AL439">IFERROR(IFS(OR(AJ439="A1-Mewtwo", AJ439="A1-Pikachu", AJ439="A1-Charizard", AJ439="A1"), XLOOKUP(AH439, 'Genetic Apex'!$C$2:$C889, 'Genetic Apex'!$B$2:$B889)-2, AJ439="A1a", XLOOKUP(AH439, 'Mythical Island'!$C$2:$C889, 'Mythical Island'!$B$2:$B889)-2, OR(AJ439="A2-Dialga", AJ439="A2-Palkia", AJ439="A2"), XLOOKUP(AH439, 'Space-Time Smackdown'!$C$2:$C889, 'Space-Time Smackdown'!$B$2:$B889)-2))</f>
        <v/>
      </c>
      <c r="AM439" s="444" t="str">
        <f t="shared" si="6"/>
        <v/>
      </c>
      <c r="AN439" s="448" t="str">
        <f t="shared" si="7"/>
        <v/>
      </c>
    </row>
    <row r="440">
      <c r="A440" s="277"/>
      <c r="B440" s="277"/>
      <c r="C440" s="441"/>
      <c r="D440" s="277"/>
      <c r="E440" s="277"/>
      <c r="F440" s="277"/>
      <c r="G440" s="277"/>
      <c r="H440" s="277" t="b">
        <f t="shared" si="1"/>
        <v>0</v>
      </c>
      <c r="I440" s="277" t="str">
        <f>IFERROR(__xludf.DUMMYFUNCTION("""COMPUTED_VALUE"""),"A2 063")</f>
        <v>A2 063</v>
      </c>
      <c r="J440" s="277" t="str">
        <f>IFERROR(__xludf.DUMMYFUNCTION("""COMPUTED_VALUE"""),"Togepi")</f>
        <v>Togepi</v>
      </c>
      <c r="K440" s="277" t="str">
        <f>IFERROR(__xludf.DUMMYFUNCTION("""COMPUTED_VALUE"""),"A2")</f>
        <v>A2</v>
      </c>
      <c r="L440" s="277" t="str">
        <f>IFERROR(__xludf.DUMMYFUNCTION("""COMPUTED_VALUE"""),"♢")</f>
        <v>♢</v>
      </c>
      <c r="M440" s="440" t="b">
        <f t="shared" si="2"/>
        <v>0</v>
      </c>
      <c r="N440" s="441"/>
      <c r="O440" s="277"/>
      <c r="P440" s="277"/>
      <c r="Q440" s="278"/>
      <c r="R440" s="449" t="str">
        <f t="array" ref="R440">IFERROR(IFS(OR(P440="A1-Mewtwo", P440="A1-Pikachu", P440="A1-Charizard", P440="A1"), XLOOKUP(N440, 'Genetic Apex'!$C$2:$C889, 'Genetic Apex'!$B$2:$B889)-$B$4, P440="A1a", XLOOKUP(N440, 'Mythical Island'!$C$2:$C889, 'Mythical Island'!$B$2:$B889)-$B$4, OR(P440="A2-Dialga", P440="A2-Palkia", P440="A2"), XLOOKUP(N440, 'Space-Time Smackdown'!$C$2:$C889, 'Space-Time Smackdown'!$B$2:$B889)-$B$4))</f>
        <v/>
      </c>
      <c r="S440" s="277"/>
      <c r="T440" s="277"/>
      <c r="U440" s="277"/>
      <c r="V440" s="278"/>
      <c r="W440" s="443" t="str">
        <f t="array" ref="W440">IFERROR(IFS(OR(U440="A1-Mewtwo", U440="A1-Pikachu", U440="A1-Charizard", U440="A1"), $B$5-XLOOKUP(S440, 'Genetic Apex'!$C$2:$C889, 'Genetic Apex'!$B$2:$B889), U440="A1a", $B$5-XLOOKUP(S440, 'Mythical Island'!$C$2:$C889, 'Mythical Island'!$B$2:$B889), OR(U440="A2-Dialga", U440="A2-Palkia", U440="A2"), $B$5-XLOOKUP(S440, 'Space-Time Smackdown'!$C$2:$C889, 'Space-Time Smackdown'!$B$2:$B889)))</f>
        <v/>
      </c>
      <c r="X440" s="444" t="str">
        <f t="shared" si="3"/>
        <v/>
      </c>
      <c r="Y440" s="445" t="str">
        <f t="shared" si="4"/>
        <v/>
      </c>
      <c r="Z440" s="278"/>
      <c r="AA440" s="466"/>
      <c r="AB440" s="278"/>
      <c r="AC440" s="278"/>
      <c r="AD440" s="278"/>
      <c r="AE440" s="278"/>
      <c r="AF440" s="278"/>
      <c r="AG440" s="278" t="b">
        <f t="shared" si="5"/>
        <v>0</v>
      </c>
      <c r="AH440" s="454"/>
      <c r="AI440" s="278"/>
      <c r="AJ440" s="278"/>
      <c r="AK440" s="278"/>
      <c r="AL440" s="444" t="str">
        <f t="array" ref="AL440">IFERROR(IFS(OR(AJ440="A1-Mewtwo", AJ440="A1-Pikachu", AJ440="A1-Charizard", AJ440="A1"), XLOOKUP(AH440, 'Genetic Apex'!$C$2:$C889, 'Genetic Apex'!$B$2:$B889)-2, AJ440="A1a", XLOOKUP(AH440, 'Mythical Island'!$C$2:$C889, 'Mythical Island'!$B$2:$B889)-2, OR(AJ440="A2-Dialga", AJ440="A2-Palkia", AJ440="A2"), XLOOKUP(AH440, 'Space-Time Smackdown'!$C$2:$C889, 'Space-Time Smackdown'!$B$2:$B889)-2))</f>
        <v/>
      </c>
      <c r="AM440" s="444" t="str">
        <f t="shared" si="6"/>
        <v/>
      </c>
      <c r="AN440" s="448" t="str">
        <f t="shared" si="7"/>
        <v/>
      </c>
    </row>
    <row r="441">
      <c r="A441" s="277"/>
      <c r="B441" s="277"/>
      <c r="C441" s="441"/>
      <c r="D441" s="277"/>
      <c r="E441" s="277"/>
      <c r="F441" s="277"/>
      <c r="G441" s="277"/>
      <c r="H441" s="277" t="b">
        <f t="shared" si="1"/>
        <v>0</v>
      </c>
      <c r="I441" s="277" t="str">
        <f>IFERROR(__xludf.DUMMYFUNCTION("""COMPUTED_VALUE"""),"A2 064")</f>
        <v>A2 064</v>
      </c>
      <c r="J441" s="277" t="str">
        <f>IFERROR(__xludf.DUMMYFUNCTION("""COMPUTED_VALUE"""),"Togetic")</f>
        <v>Togetic</v>
      </c>
      <c r="K441" s="277" t="str">
        <f>IFERROR(__xludf.DUMMYFUNCTION("""COMPUTED_VALUE"""),"A2")</f>
        <v>A2</v>
      </c>
      <c r="L441" s="277" t="str">
        <f>IFERROR(__xludf.DUMMYFUNCTION("""COMPUTED_VALUE"""),"♢♢")</f>
        <v>♢♢</v>
      </c>
      <c r="M441" s="440" t="b">
        <f t="shared" si="2"/>
        <v>0</v>
      </c>
      <c r="N441" s="441"/>
      <c r="O441" s="277"/>
      <c r="P441" s="277"/>
      <c r="Q441" s="278"/>
      <c r="R441" s="449" t="str">
        <f t="array" ref="R441">IFERROR(IFS(OR(P441="A1-Mewtwo", P441="A1-Pikachu", P441="A1-Charizard", P441="A1"), XLOOKUP(N441, 'Genetic Apex'!$C$2:$C889, 'Genetic Apex'!$B$2:$B889)-$B$4, P441="A1a", XLOOKUP(N441, 'Mythical Island'!$C$2:$C889, 'Mythical Island'!$B$2:$B889)-$B$4, OR(P441="A2-Dialga", P441="A2-Palkia", P441="A2"), XLOOKUP(N441, 'Space-Time Smackdown'!$C$2:$C889, 'Space-Time Smackdown'!$B$2:$B889)-$B$4))</f>
        <v/>
      </c>
      <c r="S441" s="277"/>
      <c r="T441" s="277"/>
      <c r="U441" s="277"/>
      <c r="V441" s="278"/>
      <c r="W441" s="443" t="str">
        <f t="array" ref="W441">IFERROR(IFS(OR(U441="A1-Mewtwo", U441="A1-Pikachu", U441="A1-Charizard", U441="A1"), $B$5-XLOOKUP(S441, 'Genetic Apex'!$C$2:$C889, 'Genetic Apex'!$B$2:$B889), U441="A1a", $B$5-XLOOKUP(S441, 'Mythical Island'!$C$2:$C889, 'Mythical Island'!$B$2:$B889), OR(U441="A2-Dialga", U441="A2-Palkia", U441="A2"), $B$5-XLOOKUP(S441, 'Space-Time Smackdown'!$C$2:$C889, 'Space-Time Smackdown'!$B$2:$B889)))</f>
        <v/>
      </c>
      <c r="X441" s="444" t="str">
        <f t="shared" si="3"/>
        <v/>
      </c>
      <c r="Y441" s="445" t="str">
        <f t="shared" si="4"/>
        <v/>
      </c>
      <c r="Z441" s="278"/>
      <c r="AA441" s="466"/>
      <c r="AB441" s="278"/>
      <c r="AC441" s="278"/>
      <c r="AD441" s="278"/>
      <c r="AE441" s="278"/>
      <c r="AF441" s="278"/>
      <c r="AG441" s="278" t="b">
        <f t="shared" si="5"/>
        <v>0</v>
      </c>
      <c r="AH441" s="454"/>
      <c r="AI441" s="278"/>
      <c r="AJ441" s="278"/>
      <c r="AK441" s="278"/>
      <c r="AL441" s="444" t="str">
        <f t="array" ref="AL441">IFERROR(IFS(OR(AJ441="A1-Mewtwo", AJ441="A1-Pikachu", AJ441="A1-Charizard", AJ441="A1"), XLOOKUP(AH441, 'Genetic Apex'!$C$2:$C889, 'Genetic Apex'!$B$2:$B889)-2, AJ441="A1a", XLOOKUP(AH441, 'Mythical Island'!$C$2:$C889, 'Mythical Island'!$B$2:$B889)-2, OR(AJ441="A2-Dialga", AJ441="A2-Palkia", AJ441="A2"), XLOOKUP(AH441, 'Space-Time Smackdown'!$C$2:$C889, 'Space-Time Smackdown'!$B$2:$B889)-2))</f>
        <v/>
      </c>
      <c r="AM441" s="444" t="str">
        <f t="shared" si="6"/>
        <v/>
      </c>
      <c r="AN441" s="448" t="str">
        <f t="shared" si="7"/>
        <v/>
      </c>
    </row>
    <row r="442">
      <c r="A442" s="277"/>
      <c r="B442" s="277"/>
      <c r="C442" s="441"/>
      <c r="D442" s="277"/>
      <c r="E442" s="277"/>
      <c r="F442" s="277"/>
      <c r="G442" s="277"/>
      <c r="H442" s="277" t="b">
        <f t="shared" si="1"/>
        <v>0</v>
      </c>
      <c r="I442" s="277" t="str">
        <f>IFERROR(__xludf.DUMMYFUNCTION("""COMPUTED_VALUE"""),"A2 065")</f>
        <v>A2 065</v>
      </c>
      <c r="J442" s="277" t="str">
        <f>IFERROR(__xludf.DUMMYFUNCTION("""COMPUTED_VALUE"""),"Togekiss")</f>
        <v>Togekiss</v>
      </c>
      <c r="K442" s="277" t="str">
        <f>IFERROR(__xludf.DUMMYFUNCTION("""COMPUTED_VALUE"""),"A2")</f>
        <v>A2</v>
      </c>
      <c r="L442" s="277" t="str">
        <f>IFERROR(__xludf.DUMMYFUNCTION("""COMPUTED_VALUE"""),"♢♢♢")</f>
        <v>♢♢♢</v>
      </c>
      <c r="M442" s="440" t="b">
        <f t="shared" si="2"/>
        <v>0</v>
      </c>
      <c r="N442" s="441"/>
      <c r="O442" s="277"/>
      <c r="P442" s="277"/>
      <c r="Q442" s="278"/>
      <c r="R442" s="449" t="str">
        <f t="array" ref="R442">IFERROR(IFS(OR(P442="A1-Mewtwo", P442="A1-Pikachu", P442="A1-Charizard", P442="A1"), XLOOKUP(N442, 'Genetic Apex'!$C$2:$C889, 'Genetic Apex'!$B$2:$B889)-$B$4, P442="A1a", XLOOKUP(N442, 'Mythical Island'!$C$2:$C889, 'Mythical Island'!$B$2:$B889)-$B$4, OR(P442="A2-Dialga", P442="A2-Palkia", P442="A2"), XLOOKUP(N442, 'Space-Time Smackdown'!$C$2:$C889, 'Space-Time Smackdown'!$B$2:$B889)-$B$4))</f>
        <v/>
      </c>
      <c r="S442" s="277"/>
      <c r="T442" s="277"/>
      <c r="U442" s="277"/>
      <c r="V442" s="278"/>
      <c r="W442" s="443" t="str">
        <f t="array" ref="W442">IFERROR(IFS(OR(U442="A1-Mewtwo", U442="A1-Pikachu", U442="A1-Charizard", U442="A1"), $B$5-XLOOKUP(S442, 'Genetic Apex'!$C$2:$C889, 'Genetic Apex'!$B$2:$B889), U442="A1a", $B$5-XLOOKUP(S442, 'Mythical Island'!$C$2:$C889, 'Mythical Island'!$B$2:$B889), OR(U442="A2-Dialga", U442="A2-Palkia", U442="A2"), $B$5-XLOOKUP(S442, 'Space-Time Smackdown'!$C$2:$C889, 'Space-Time Smackdown'!$B$2:$B889)))</f>
        <v/>
      </c>
      <c r="X442" s="444" t="str">
        <f t="shared" si="3"/>
        <v/>
      </c>
      <c r="Y442" s="445" t="str">
        <f t="shared" si="4"/>
        <v/>
      </c>
      <c r="Z442" s="278"/>
      <c r="AA442" s="466"/>
      <c r="AB442" s="278"/>
      <c r="AC442" s="278"/>
      <c r="AD442" s="278"/>
      <c r="AE442" s="278"/>
      <c r="AF442" s="278"/>
      <c r="AG442" s="278" t="b">
        <f t="shared" si="5"/>
        <v>0</v>
      </c>
      <c r="AH442" s="454"/>
      <c r="AI442" s="278"/>
      <c r="AJ442" s="278"/>
      <c r="AK442" s="278"/>
      <c r="AL442" s="444" t="str">
        <f t="array" ref="AL442">IFERROR(IFS(OR(AJ442="A1-Mewtwo", AJ442="A1-Pikachu", AJ442="A1-Charizard", AJ442="A1"), XLOOKUP(AH442, 'Genetic Apex'!$C$2:$C889, 'Genetic Apex'!$B$2:$B889)-2, AJ442="A1a", XLOOKUP(AH442, 'Mythical Island'!$C$2:$C889, 'Mythical Island'!$B$2:$B889)-2, OR(AJ442="A2-Dialga", AJ442="A2-Palkia", AJ442="A2"), XLOOKUP(AH442, 'Space-Time Smackdown'!$C$2:$C889, 'Space-Time Smackdown'!$B$2:$B889)-2))</f>
        <v/>
      </c>
      <c r="AM442" s="444" t="str">
        <f t="shared" si="6"/>
        <v/>
      </c>
      <c r="AN442" s="448" t="str">
        <f t="shared" si="7"/>
        <v/>
      </c>
    </row>
    <row r="443">
      <c r="A443" s="277"/>
      <c r="B443" s="277"/>
      <c r="C443" s="441"/>
      <c r="D443" s="277"/>
      <c r="E443" s="277"/>
      <c r="F443" s="277"/>
      <c r="G443" s="277"/>
      <c r="H443" s="277" t="b">
        <f t="shared" si="1"/>
        <v>0</v>
      </c>
      <c r="I443" s="277" t="str">
        <f>IFERROR(__xludf.DUMMYFUNCTION("""COMPUTED_VALUE"""),"A2 066")</f>
        <v>A2 066</v>
      </c>
      <c r="J443" s="277" t="str">
        <f>IFERROR(__xludf.DUMMYFUNCTION("""COMPUTED_VALUE"""),"Misdreavus")</f>
        <v>Misdreavus</v>
      </c>
      <c r="K443" s="277" t="str">
        <f>IFERROR(__xludf.DUMMYFUNCTION("""COMPUTED_VALUE"""),"A2-Palkia")</f>
        <v>A2-Palkia</v>
      </c>
      <c r="L443" s="277" t="str">
        <f>IFERROR(__xludf.DUMMYFUNCTION("""COMPUTED_VALUE"""),"♢")</f>
        <v>♢</v>
      </c>
      <c r="M443" s="440" t="b">
        <f t="shared" si="2"/>
        <v>0</v>
      </c>
      <c r="N443" s="441"/>
      <c r="O443" s="277"/>
      <c r="P443" s="277"/>
      <c r="Q443" s="278"/>
      <c r="R443" s="449" t="str">
        <f t="array" ref="R443">IFERROR(IFS(OR(P443="A1-Mewtwo", P443="A1-Pikachu", P443="A1-Charizard", P443="A1"), XLOOKUP(N443, 'Genetic Apex'!$C$2:$C889, 'Genetic Apex'!$B$2:$B889)-$B$4, P443="A1a", XLOOKUP(N443, 'Mythical Island'!$C$2:$C889, 'Mythical Island'!$B$2:$B889)-$B$4, OR(P443="A2-Dialga", P443="A2-Palkia", P443="A2"), XLOOKUP(N443, 'Space-Time Smackdown'!$C$2:$C889, 'Space-Time Smackdown'!$B$2:$B889)-$B$4))</f>
        <v/>
      </c>
      <c r="S443" s="277"/>
      <c r="T443" s="277"/>
      <c r="U443" s="277"/>
      <c r="V443" s="278"/>
      <c r="W443" s="443" t="str">
        <f t="array" ref="W443">IFERROR(IFS(OR(U443="A1-Mewtwo", U443="A1-Pikachu", U443="A1-Charizard", U443="A1"), $B$5-XLOOKUP(S443, 'Genetic Apex'!$C$2:$C889, 'Genetic Apex'!$B$2:$B889), U443="A1a", $B$5-XLOOKUP(S443, 'Mythical Island'!$C$2:$C889, 'Mythical Island'!$B$2:$B889), OR(U443="A2-Dialga", U443="A2-Palkia", U443="A2"), $B$5-XLOOKUP(S443, 'Space-Time Smackdown'!$C$2:$C889, 'Space-Time Smackdown'!$B$2:$B889)))</f>
        <v/>
      </c>
      <c r="X443" s="444" t="str">
        <f t="shared" si="3"/>
        <v/>
      </c>
      <c r="Y443" s="445" t="str">
        <f t="shared" si="4"/>
        <v/>
      </c>
      <c r="Z443" s="278"/>
      <c r="AA443" s="466"/>
      <c r="AB443" s="278"/>
      <c r="AC443" s="278"/>
      <c r="AD443" s="278"/>
      <c r="AE443" s="278"/>
      <c r="AF443" s="278"/>
      <c r="AG443" s="278" t="b">
        <f t="shared" si="5"/>
        <v>0</v>
      </c>
      <c r="AH443" s="454"/>
      <c r="AI443" s="278"/>
      <c r="AJ443" s="278"/>
      <c r="AK443" s="278"/>
      <c r="AL443" s="444" t="str">
        <f t="array" ref="AL443">IFERROR(IFS(OR(AJ443="A1-Mewtwo", AJ443="A1-Pikachu", AJ443="A1-Charizard", AJ443="A1"), XLOOKUP(AH443, 'Genetic Apex'!$C$2:$C889, 'Genetic Apex'!$B$2:$B889)-2, AJ443="A1a", XLOOKUP(AH443, 'Mythical Island'!$C$2:$C889, 'Mythical Island'!$B$2:$B889)-2, OR(AJ443="A2-Dialga", AJ443="A2-Palkia", AJ443="A2"), XLOOKUP(AH443, 'Space-Time Smackdown'!$C$2:$C889, 'Space-Time Smackdown'!$B$2:$B889)-2))</f>
        <v/>
      </c>
      <c r="AM443" s="444" t="str">
        <f t="shared" si="6"/>
        <v/>
      </c>
      <c r="AN443" s="448" t="str">
        <f t="shared" si="7"/>
        <v/>
      </c>
    </row>
    <row r="444">
      <c r="A444" s="277"/>
      <c r="B444" s="277"/>
      <c r="C444" s="441"/>
      <c r="D444" s="277"/>
      <c r="E444" s="277"/>
      <c r="F444" s="277"/>
      <c r="G444" s="277"/>
      <c r="H444" s="277" t="b">
        <f t="shared" si="1"/>
        <v>0</v>
      </c>
      <c r="I444" s="277" t="str">
        <f>IFERROR(__xludf.DUMMYFUNCTION("""COMPUTED_VALUE"""),"A2 067")</f>
        <v>A2 067</v>
      </c>
      <c r="J444" s="277" t="str">
        <f>IFERROR(__xludf.DUMMYFUNCTION("""COMPUTED_VALUE"""),"Mismagius ex")</f>
        <v>Mismagius ex</v>
      </c>
      <c r="K444" s="277" t="str">
        <f>IFERROR(__xludf.DUMMYFUNCTION("""COMPUTED_VALUE"""),"A2-Palkia")</f>
        <v>A2-Palkia</v>
      </c>
      <c r="L444" s="277" t="str">
        <f>IFERROR(__xludf.DUMMYFUNCTION("""COMPUTED_VALUE"""),"♢♢♢♢")</f>
        <v>♢♢♢♢</v>
      </c>
      <c r="M444" s="440" t="b">
        <f t="shared" si="2"/>
        <v>0</v>
      </c>
      <c r="N444" s="441"/>
      <c r="O444" s="277"/>
      <c r="P444" s="277"/>
      <c r="Q444" s="278"/>
      <c r="R444" s="449" t="str">
        <f t="array" ref="R444">IFERROR(IFS(OR(P444="A1-Mewtwo", P444="A1-Pikachu", P444="A1-Charizard", P444="A1"), XLOOKUP(N444, 'Genetic Apex'!$C$2:$C889, 'Genetic Apex'!$B$2:$B889)-$B$4, P444="A1a", XLOOKUP(N444, 'Mythical Island'!$C$2:$C889, 'Mythical Island'!$B$2:$B889)-$B$4, OR(P444="A2-Dialga", P444="A2-Palkia", P444="A2"), XLOOKUP(N444, 'Space-Time Smackdown'!$C$2:$C889, 'Space-Time Smackdown'!$B$2:$B889)-$B$4))</f>
        <v/>
      </c>
      <c r="S444" s="277"/>
      <c r="T444" s="277"/>
      <c r="U444" s="277"/>
      <c r="V444" s="278"/>
      <c r="W444" s="443" t="str">
        <f t="array" ref="W444">IFERROR(IFS(OR(U444="A1-Mewtwo", U444="A1-Pikachu", U444="A1-Charizard", U444="A1"), $B$5-XLOOKUP(S444, 'Genetic Apex'!$C$2:$C889, 'Genetic Apex'!$B$2:$B889), U444="A1a", $B$5-XLOOKUP(S444, 'Mythical Island'!$C$2:$C889, 'Mythical Island'!$B$2:$B889), OR(U444="A2-Dialga", U444="A2-Palkia", U444="A2"), $B$5-XLOOKUP(S444, 'Space-Time Smackdown'!$C$2:$C889, 'Space-Time Smackdown'!$B$2:$B889)))</f>
        <v/>
      </c>
      <c r="X444" s="444" t="str">
        <f t="shared" si="3"/>
        <v/>
      </c>
      <c r="Y444" s="445" t="str">
        <f t="shared" si="4"/>
        <v/>
      </c>
      <c r="Z444" s="278"/>
      <c r="AA444" s="466"/>
      <c r="AB444" s="278"/>
      <c r="AC444" s="278"/>
      <c r="AD444" s="278"/>
      <c r="AE444" s="278"/>
      <c r="AF444" s="278"/>
      <c r="AG444" s="278" t="b">
        <f t="shared" si="5"/>
        <v>0</v>
      </c>
      <c r="AH444" s="454"/>
      <c r="AI444" s="278"/>
      <c r="AJ444" s="278"/>
      <c r="AK444" s="278"/>
      <c r="AL444" s="444" t="str">
        <f t="array" ref="AL444">IFERROR(IFS(OR(AJ444="A1-Mewtwo", AJ444="A1-Pikachu", AJ444="A1-Charizard", AJ444="A1"), XLOOKUP(AH444, 'Genetic Apex'!$C$2:$C889, 'Genetic Apex'!$B$2:$B889)-2, AJ444="A1a", XLOOKUP(AH444, 'Mythical Island'!$C$2:$C889, 'Mythical Island'!$B$2:$B889)-2, OR(AJ444="A2-Dialga", AJ444="A2-Palkia", AJ444="A2"), XLOOKUP(AH444, 'Space-Time Smackdown'!$C$2:$C889, 'Space-Time Smackdown'!$B$2:$B889)-2))</f>
        <v/>
      </c>
      <c r="AM444" s="444" t="str">
        <f t="shared" si="6"/>
        <v/>
      </c>
      <c r="AN444" s="448" t="str">
        <f t="shared" si="7"/>
        <v/>
      </c>
    </row>
    <row r="445">
      <c r="A445" s="277"/>
      <c r="B445" s="277"/>
      <c r="C445" s="441"/>
      <c r="D445" s="277"/>
      <c r="E445" s="277"/>
      <c r="F445" s="277"/>
      <c r="G445" s="277"/>
      <c r="H445" s="277" t="b">
        <f t="shared" si="1"/>
        <v>0</v>
      </c>
      <c r="I445" s="277" t="str">
        <f>IFERROR(__xludf.DUMMYFUNCTION("""COMPUTED_VALUE"""),"A2 068")</f>
        <v>A2 068</v>
      </c>
      <c r="J445" s="277" t="str">
        <f>IFERROR(__xludf.DUMMYFUNCTION("""COMPUTED_VALUE"""),"Ralts")</f>
        <v>Ralts</v>
      </c>
      <c r="K445" s="277" t="str">
        <f>IFERROR(__xludf.DUMMYFUNCTION("""COMPUTED_VALUE"""),"A2-Dialga")</f>
        <v>A2-Dialga</v>
      </c>
      <c r="L445" s="277" t="str">
        <f>IFERROR(__xludf.DUMMYFUNCTION("""COMPUTED_VALUE"""),"♢")</f>
        <v>♢</v>
      </c>
      <c r="M445" s="440" t="b">
        <f t="shared" si="2"/>
        <v>0</v>
      </c>
      <c r="N445" s="441"/>
      <c r="O445" s="277"/>
      <c r="P445" s="277"/>
      <c r="Q445" s="278"/>
      <c r="R445" s="449" t="str">
        <f t="array" ref="R445">IFERROR(IFS(OR(P445="A1-Mewtwo", P445="A1-Pikachu", P445="A1-Charizard", P445="A1"), XLOOKUP(N445, 'Genetic Apex'!$C$2:$C889, 'Genetic Apex'!$B$2:$B889)-$B$4, P445="A1a", XLOOKUP(N445, 'Mythical Island'!$C$2:$C889, 'Mythical Island'!$B$2:$B889)-$B$4, OR(P445="A2-Dialga", P445="A2-Palkia", P445="A2"), XLOOKUP(N445, 'Space-Time Smackdown'!$C$2:$C889, 'Space-Time Smackdown'!$B$2:$B889)-$B$4))</f>
        <v/>
      </c>
      <c r="S445" s="277"/>
      <c r="T445" s="277"/>
      <c r="U445" s="277"/>
      <c r="V445" s="278"/>
      <c r="W445" s="443" t="str">
        <f t="array" ref="W445">IFERROR(IFS(OR(U445="A1-Mewtwo", U445="A1-Pikachu", U445="A1-Charizard", U445="A1"), $B$5-XLOOKUP(S445, 'Genetic Apex'!$C$2:$C889, 'Genetic Apex'!$B$2:$B889), U445="A1a", $B$5-XLOOKUP(S445, 'Mythical Island'!$C$2:$C889, 'Mythical Island'!$B$2:$B889), OR(U445="A2-Dialga", U445="A2-Palkia", U445="A2"), $B$5-XLOOKUP(S445, 'Space-Time Smackdown'!$C$2:$C889, 'Space-Time Smackdown'!$B$2:$B889)))</f>
        <v/>
      </c>
      <c r="X445" s="444" t="str">
        <f t="shared" si="3"/>
        <v/>
      </c>
      <c r="Y445" s="445" t="str">
        <f t="shared" si="4"/>
        <v/>
      </c>
      <c r="Z445" s="278"/>
      <c r="AA445" s="466"/>
      <c r="AB445" s="278"/>
      <c r="AC445" s="278"/>
      <c r="AD445" s="278"/>
      <c r="AE445" s="278"/>
      <c r="AF445" s="278"/>
      <c r="AG445" s="278" t="b">
        <f t="shared" si="5"/>
        <v>0</v>
      </c>
      <c r="AH445" s="454"/>
      <c r="AI445" s="278"/>
      <c r="AJ445" s="278"/>
      <c r="AK445" s="278"/>
      <c r="AL445" s="444" t="str">
        <f t="array" ref="AL445">IFERROR(IFS(OR(AJ445="A1-Mewtwo", AJ445="A1-Pikachu", AJ445="A1-Charizard", AJ445="A1"), XLOOKUP(AH445, 'Genetic Apex'!$C$2:$C889, 'Genetic Apex'!$B$2:$B889)-2, AJ445="A1a", XLOOKUP(AH445, 'Mythical Island'!$C$2:$C889, 'Mythical Island'!$B$2:$B889)-2, OR(AJ445="A2-Dialga", AJ445="A2-Palkia", AJ445="A2"), XLOOKUP(AH445, 'Space-Time Smackdown'!$C$2:$C889, 'Space-Time Smackdown'!$B$2:$B889)-2))</f>
        <v/>
      </c>
      <c r="AM445" s="444" t="str">
        <f t="shared" si="6"/>
        <v/>
      </c>
      <c r="AN445" s="448" t="str">
        <f t="shared" si="7"/>
        <v/>
      </c>
    </row>
    <row r="446">
      <c r="A446" s="277"/>
      <c r="B446" s="277"/>
      <c r="C446" s="441"/>
      <c r="D446" s="277"/>
      <c r="E446" s="277"/>
      <c r="F446" s="277"/>
      <c r="G446" s="277"/>
      <c r="H446" s="277" t="b">
        <f t="shared" si="1"/>
        <v>0</v>
      </c>
      <c r="I446" s="277" t="str">
        <f>IFERROR(__xludf.DUMMYFUNCTION("""COMPUTED_VALUE"""),"A2 069")</f>
        <v>A2 069</v>
      </c>
      <c r="J446" s="277" t="str">
        <f>IFERROR(__xludf.DUMMYFUNCTION("""COMPUTED_VALUE"""),"Kirlia")</f>
        <v>Kirlia</v>
      </c>
      <c r="K446" s="277" t="str">
        <f>IFERROR(__xludf.DUMMYFUNCTION("""COMPUTED_VALUE"""),"A2-Dialga")</f>
        <v>A2-Dialga</v>
      </c>
      <c r="L446" s="277" t="str">
        <f>IFERROR(__xludf.DUMMYFUNCTION("""COMPUTED_VALUE"""),"♢")</f>
        <v>♢</v>
      </c>
      <c r="M446" s="440" t="b">
        <f t="shared" si="2"/>
        <v>0</v>
      </c>
      <c r="N446" s="441"/>
      <c r="O446" s="277"/>
      <c r="P446" s="277"/>
      <c r="Q446" s="278"/>
      <c r="R446" s="449" t="str">
        <f t="array" ref="R446">IFERROR(IFS(OR(P446="A1-Mewtwo", P446="A1-Pikachu", P446="A1-Charizard", P446="A1"), XLOOKUP(N446, 'Genetic Apex'!$C$2:$C889, 'Genetic Apex'!$B$2:$B889)-$B$4, P446="A1a", XLOOKUP(N446, 'Mythical Island'!$C$2:$C889, 'Mythical Island'!$B$2:$B889)-$B$4, OR(P446="A2-Dialga", P446="A2-Palkia", P446="A2"), XLOOKUP(N446, 'Space-Time Smackdown'!$C$2:$C889, 'Space-Time Smackdown'!$B$2:$B889)-$B$4))</f>
        <v/>
      </c>
      <c r="S446" s="277"/>
      <c r="T446" s="277"/>
      <c r="U446" s="277"/>
      <c r="V446" s="278"/>
      <c r="W446" s="443" t="str">
        <f t="array" ref="W446">IFERROR(IFS(OR(U446="A1-Mewtwo", U446="A1-Pikachu", U446="A1-Charizard", U446="A1"), $B$5-XLOOKUP(S446, 'Genetic Apex'!$C$2:$C889, 'Genetic Apex'!$B$2:$B889), U446="A1a", $B$5-XLOOKUP(S446, 'Mythical Island'!$C$2:$C889, 'Mythical Island'!$B$2:$B889), OR(U446="A2-Dialga", U446="A2-Palkia", U446="A2"), $B$5-XLOOKUP(S446, 'Space-Time Smackdown'!$C$2:$C889, 'Space-Time Smackdown'!$B$2:$B889)))</f>
        <v/>
      </c>
      <c r="X446" s="444" t="str">
        <f t="shared" si="3"/>
        <v/>
      </c>
      <c r="Y446" s="445" t="str">
        <f t="shared" si="4"/>
        <v/>
      </c>
      <c r="Z446" s="278"/>
      <c r="AA446" s="466"/>
      <c r="AB446" s="278"/>
      <c r="AC446" s="278"/>
      <c r="AD446" s="278"/>
      <c r="AE446" s="278"/>
      <c r="AF446" s="278"/>
      <c r="AG446" s="278" t="b">
        <f t="shared" si="5"/>
        <v>0</v>
      </c>
      <c r="AH446" s="454"/>
      <c r="AI446" s="278"/>
      <c r="AJ446" s="278"/>
      <c r="AK446" s="278"/>
      <c r="AL446" s="444" t="str">
        <f t="array" ref="AL446">IFERROR(IFS(OR(AJ446="A1-Mewtwo", AJ446="A1-Pikachu", AJ446="A1-Charizard", AJ446="A1"), XLOOKUP(AH446, 'Genetic Apex'!$C$2:$C889, 'Genetic Apex'!$B$2:$B889)-2, AJ446="A1a", XLOOKUP(AH446, 'Mythical Island'!$C$2:$C889, 'Mythical Island'!$B$2:$B889)-2, OR(AJ446="A2-Dialga", AJ446="A2-Palkia", AJ446="A2"), XLOOKUP(AH446, 'Space-Time Smackdown'!$C$2:$C889, 'Space-Time Smackdown'!$B$2:$B889)-2))</f>
        <v/>
      </c>
      <c r="AM446" s="444" t="str">
        <f t="shared" si="6"/>
        <v/>
      </c>
      <c r="AN446" s="448" t="str">
        <f t="shared" si="7"/>
        <v/>
      </c>
    </row>
    <row r="447">
      <c r="A447" s="277"/>
      <c r="B447" s="277"/>
      <c r="C447" s="441"/>
      <c r="D447" s="277"/>
      <c r="E447" s="277"/>
      <c r="F447" s="277"/>
      <c r="G447" s="277"/>
      <c r="H447" s="277" t="b">
        <f t="shared" si="1"/>
        <v>0</v>
      </c>
      <c r="I447" s="277" t="str">
        <f>IFERROR(__xludf.DUMMYFUNCTION("""COMPUTED_VALUE"""),"A2 070")</f>
        <v>A2 070</v>
      </c>
      <c r="J447" s="277" t="str">
        <f>IFERROR(__xludf.DUMMYFUNCTION("""COMPUTED_VALUE"""),"Duskull")</f>
        <v>Duskull</v>
      </c>
      <c r="K447" s="277" t="str">
        <f>IFERROR(__xludf.DUMMYFUNCTION("""COMPUTED_VALUE"""),"A2-Dialga")</f>
        <v>A2-Dialga</v>
      </c>
      <c r="L447" s="277" t="str">
        <f>IFERROR(__xludf.DUMMYFUNCTION("""COMPUTED_VALUE"""),"♢")</f>
        <v>♢</v>
      </c>
      <c r="M447" s="440" t="b">
        <f t="shared" si="2"/>
        <v>0</v>
      </c>
      <c r="N447" s="441"/>
      <c r="O447" s="277"/>
      <c r="P447" s="277"/>
      <c r="Q447" s="278"/>
      <c r="R447" s="449" t="str">
        <f t="array" ref="R447">IFERROR(IFS(OR(P447="A1-Mewtwo", P447="A1-Pikachu", P447="A1-Charizard", P447="A1"), XLOOKUP(N447, 'Genetic Apex'!$C$2:$C889, 'Genetic Apex'!$B$2:$B889)-$B$4, P447="A1a", XLOOKUP(N447, 'Mythical Island'!$C$2:$C889, 'Mythical Island'!$B$2:$B889)-$B$4, OR(P447="A2-Dialga", P447="A2-Palkia", P447="A2"), XLOOKUP(N447, 'Space-Time Smackdown'!$C$2:$C889, 'Space-Time Smackdown'!$B$2:$B889)-$B$4))</f>
        <v/>
      </c>
      <c r="S447" s="277"/>
      <c r="T447" s="277"/>
      <c r="U447" s="277"/>
      <c r="V447" s="278"/>
      <c r="W447" s="443" t="str">
        <f t="array" ref="W447">IFERROR(IFS(OR(U447="A1-Mewtwo", U447="A1-Pikachu", U447="A1-Charizard", U447="A1"), $B$5-XLOOKUP(S447, 'Genetic Apex'!$C$2:$C889, 'Genetic Apex'!$B$2:$B889), U447="A1a", $B$5-XLOOKUP(S447, 'Mythical Island'!$C$2:$C889, 'Mythical Island'!$B$2:$B889), OR(U447="A2-Dialga", U447="A2-Palkia", U447="A2"), $B$5-XLOOKUP(S447, 'Space-Time Smackdown'!$C$2:$C889, 'Space-Time Smackdown'!$B$2:$B889)))</f>
        <v/>
      </c>
      <c r="X447" s="444" t="str">
        <f t="shared" si="3"/>
        <v/>
      </c>
      <c r="Y447" s="445" t="str">
        <f t="shared" si="4"/>
        <v/>
      </c>
      <c r="Z447" s="278"/>
      <c r="AA447" s="466"/>
      <c r="AB447" s="278"/>
      <c r="AC447" s="278"/>
      <c r="AD447" s="278"/>
      <c r="AE447" s="278"/>
      <c r="AF447" s="278"/>
      <c r="AG447" s="278" t="b">
        <f t="shared" si="5"/>
        <v>0</v>
      </c>
      <c r="AH447" s="454"/>
      <c r="AI447" s="278"/>
      <c r="AJ447" s="278"/>
      <c r="AK447" s="278"/>
      <c r="AL447" s="444" t="str">
        <f t="array" ref="AL447">IFERROR(IFS(OR(AJ447="A1-Mewtwo", AJ447="A1-Pikachu", AJ447="A1-Charizard", AJ447="A1"), XLOOKUP(AH447, 'Genetic Apex'!$C$2:$C889, 'Genetic Apex'!$B$2:$B889)-2, AJ447="A1a", XLOOKUP(AH447, 'Mythical Island'!$C$2:$C889, 'Mythical Island'!$B$2:$B889)-2, OR(AJ447="A2-Dialga", AJ447="A2-Palkia", AJ447="A2"), XLOOKUP(AH447, 'Space-Time Smackdown'!$C$2:$C889, 'Space-Time Smackdown'!$B$2:$B889)-2))</f>
        <v/>
      </c>
      <c r="AM447" s="444" t="str">
        <f t="shared" si="6"/>
        <v/>
      </c>
      <c r="AN447" s="448" t="str">
        <f t="shared" si="7"/>
        <v/>
      </c>
    </row>
    <row r="448">
      <c r="A448" s="277"/>
      <c r="B448" s="277"/>
      <c r="C448" s="441"/>
      <c r="D448" s="277"/>
      <c r="E448" s="277"/>
      <c r="F448" s="277"/>
      <c r="G448" s="277"/>
      <c r="H448" s="277" t="b">
        <f t="shared" si="1"/>
        <v>0</v>
      </c>
      <c r="I448" s="277" t="str">
        <f>IFERROR(__xludf.DUMMYFUNCTION("""COMPUTED_VALUE"""),"A2 071")</f>
        <v>A2 071</v>
      </c>
      <c r="J448" s="277" t="str">
        <f>IFERROR(__xludf.DUMMYFUNCTION("""COMPUTED_VALUE"""),"Dusclops")</f>
        <v>Dusclops</v>
      </c>
      <c r="K448" s="277" t="str">
        <f>IFERROR(__xludf.DUMMYFUNCTION("""COMPUTED_VALUE"""),"A2-Dialga")</f>
        <v>A2-Dialga</v>
      </c>
      <c r="L448" s="277" t="str">
        <f>IFERROR(__xludf.DUMMYFUNCTION("""COMPUTED_VALUE"""),"♢♢")</f>
        <v>♢♢</v>
      </c>
      <c r="M448" s="440" t="b">
        <f t="shared" si="2"/>
        <v>0</v>
      </c>
      <c r="N448" s="441"/>
      <c r="O448" s="277"/>
      <c r="P448" s="277"/>
      <c r="Q448" s="278"/>
      <c r="R448" s="449" t="str">
        <f t="array" ref="R448">IFERROR(IFS(OR(P448="A1-Mewtwo", P448="A1-Pikachu", P448="A1-Charizard", P448="A1"), XLOOKUP(N448, 'Genetic Apex'!$C$2:$C889, 'Genetic Apex'!$B$2:$B889)-$B$4, P448="A1a", XLOOKUP(N448, 'Mythical Island'!$C$2:$C889, 'Mythical Island'!$B$2:$B889)-$B$4, OR(P448="A2-Dialga", P448="A2-Palkia", P448="A2"), XLOOKUP(N448, 'Space-Time Smackdown'!$C$2:$C889, 'Space-Time Smackdown'!$B$2:$B889)-$B$4))</f>
        <v/>
      </c>
      <c r="S448" s="277"/>
      <c r="T448" s="277"/>
      <c r="U448" s="277"/>
      <c r="V448" s="278"/>
      <c r="W448" s="443" t="str">
        <f t="array" ref="W448">IFERROR(IFS(OR(U448="A1-Mewtwo", U448="A1-Pikachu", U448="A1-Charizard", U448="A1"), $B$5-XLOOKUP(S448, 'Genetic Apex'!$C$2:$C889, 'Genetic Apex'!$B$2:$B889), U448="A1a", $B$5-XLOOKUP(S448, 'Mythical Island'!$C$2:$C889, 'Mythical Island'!$B$2:$B889), OR(U448="A2-Dialga", U448="A2-Palkia", U448="A2"), $B$5-XLOOKUP(S448, 'Space-Time Smackdown'!$C$2:$C889, 'Space-Time Smackdown'!$B$2:$B889)))</f>
        <v/>
      </c>
      <c r="X448" s="444" t="str">
        <f t="shared" si="3"/>
        <v/>
      </c>
      <c r="Y448" s="445" t="str">
        <f t="shared" si="4"/>
        <v/>
      </c>
      <c r="Z448" s="278"/>
      <c r="AA448" s="466"/>
      <c r="AB448" s="278"/>
      <c r="AC448" s="278"/>
      <c r="AD448" s="278"/>
      <c r="AE448" s="278"/>
      <c r="AF448" s="278"/>
      <c r="AG448" s="278" t="b">
        <f t="shared" si="5"/>
        <v>0</v>
      </c>
      <c r="AH448" s="454"/>
      <c r="AI448" s="278"/>
      <c r="AJ448" s="278"/>
      <c r="AK448" s="278"/>
      <c r="AL448" s="444" t="str">
        <f t="array" ref="AL448">IFERROR(IFS(OR(AJ448="A1-Mewtwo", AJ448="A1-Pikachu", AJ448="A1-Charizard", AJ448="A1"), XLOOKUP(AH448, 'Genetic Apex'!$C$2:$C889, 'Genetic Apex'!$B$2:$B889)-2, AJ448="A1a", XLOOKUP(AH448, 'Mythical Island'!$C$2:$C889, 'Mythical Island'!$B$2:$B889)-2, OR(AJ448="A2-Dialga", AJ448="A2-Palkia", AJ448="A2"), XLOOKUP(AH448, 'Space-Time Smackdown'!$C$2:$C889, 'Space-Time Smackdown'!$B$2:$B889)-2))</f>
        <v/>
      </c>
      <c r="AM448" s="444" t="str">
        <f t="shared" si="6"/>
        <v/>
      </c>
      <c r="AN448" s="448" t="str">
        <f t="shared" si="7"/>
        <v/>
      </c>
    </row>
    <row r="449">
      <c r="A449" s="277"/>
      <c r="B449" s="277"/>
      <c r="C449" s="441"/>
      <c r="D449" s="277"/>
      <c r="E449" s="277"/>
      <c r="F449" s="277"/>
      <c r="G449" s="277"/>
      <c r="H449" s="277" t="b">
        <f t="shared" si="1"/>
        <v>0</v>
      </c>
      <c r="I449" s="277" t="str">
        <f>IFERROR(__xludf.DUMMYFUNCTION("""COMPUTED_VALUE"""),"A2 072")</f>
        <v>A2 072</v>
      </c>
      <c r="J449" s="277" t="str">
        <f>IFERROR(__xludf.DUMMYFUNCTION("""COMPUTED_VALUE"""),"Dusknoir")</f>
        <v>Dusknoir</v>
      </c>
      <c r="K449" s="277" t="str">
        <f>IFERROR(__xludf.DUMMYFUNCTION("""COMPUTED_VALUE"""),"A2-Dialga")</f>
        <v>A2-Dialga</v>
      </c>
      <c r="L449" s="277" t="str">
        <f>IFERROR(__xludf.DUMMYFUNCTION("""COMPUTED_VALUE"""),"♢♢♢")</f>
        <v>♢♢♢</v>
      </c>
      <c r="M449" s="440" t="b">
        <f t="shared" si="2"/>
        <v>0</v>
      </c>
      <c r="N449" s="441"/>
      <c r="O449" s="277"/>
      <c r="P449" s="277"/>
      <c r="Q449" s="278"/>
      <c r="R449" s="449" t="str">
        <f t="array" ref="R449">IFERROR(IFS(OR(P449="A1-Mewtwo", P449="A1-Pikachu", P449="A1-Charizard", P449="A1"), XLOOKUP(N449, 'Genetic Apex'!$C$2:$C889, 'Genetic Apex'!$B$2:$B889)-$B$4, P449="A1a", XLOOKUP(N449, 'Mythical Island'!$C$2:$C889, 'Mythical Island'!$B$2:$B889)-$B$4, OR(P449="A2-Dialga", P449="A2-Palkia", P449="A2"), XLOOKUP(N449, 'Space-Time Smackdown'!$C$2:$C889, 'Space-Time Smackdown'!$B$2:$B889)-$B$4))</f>
        <v/>
      </c>
      <c r="S449" s="277"/>
      <c r="T449" s="277"/>
      <c r="U449" s="277"/>
      <c r="V449" s="278"/>
      <c r="W449" s="443" t="str">
        <f t="array" ref="W449">IFERROR(IFS(OR(U449="A1-Mewtwo", U449="A1-Pikachu", U449="A1-Charizard", U449="A1"), $B$5-XLOOKUP(S449, 'Genetic Apex'!$C$2:$C889, 'Genetic Apex'!$B$2:$B889), U449="A1a", $B$5-XLOOKUP(S449, 'Mythical Island'!$C$2:$C889, 'Mythical Island'!$B$2:$B889), OR(U449="A2-Dialga", U449="A2-Palkia", U449="A2"), $B$5-XLOOKUP(S449, 'Space-Time Smackdown'!$C$2:$C889, 'Space-Time Smackdown'!$B$2:$B889)))</f>
        <v/>
      </c>
      <c r="X449" s="444" t="str">
        <f t="shared" si="3"/>
        <v/>
      </c>
      <c r="Y449" s="445" t="str">
        <f t="shared" si="4"/>
        <v/>
      </c>
      <c r="Z449" s="278"/>
      <c r="AA449" s="466"/>
      <c r="AB449" s="278"/>
      <c r="AC449" s="278"/>
      <c r="AD449" s="278"/>
      <c r="AE449" s="278"/>
      <c r="AF449" s="278"/>
      <c r="AG449" s="278" t="b">
        <f t="shared" si="5"/>
        <v>0</v>
      </c>
      <c r="AH449" s="454"/>
      <c r="AI449" s="278"/>
      <c r="AJ449" s="278"/>
      <c r="AK449" s="278"/>
      <c r="AL449" s="444" t="str">
        <f t="array" ref="AL449">IFERROR(IFS(OR(AJ449="A1-Mewtwo", AJ449="A1-Pikachu", AJ449="A1-Charizard", AJ449="A1"), XLOOKUP(AH449, 'Genetic Apex'!$C$2:$C889, 'Genetic Apex'!$B$2:$B889)-2, AJ449="A1a", XLOOKUP(AH449, 'Mythical Island'!$C$2:$C889, 'Mythical Island'!$B$2:$B889)-2, OR(AJ449="A2-Dialga", AJ449="A2-Palkia", AJ449="A2"), XLOOKUP(AH449, 'Space-Time Smackdown'!$C$2:$C889, 'Space-Time Smackdown'!$B$2:$B889)-2))</f>
        <v/>
      </c>
      <c r="AM449" s="444" t="str">
        <f t="shared" si="6"/>
        <v/>
      </c>
      <c r="AN449" s="448" t="str">
        <f t="shared" si="7"/>
        <v/>
      </c>
    </row>
    <row r="450">
      <c r="A450" s="277"/>
      <c r="B450" s="277"/>
      <c r="C450" s="441"/>
      <c r="D450" s="277"/>
      <c r="E450" s="277"/>
      <c r="F450" s="277"/>
      <c r="G450" s="277"/>
      <c r="H450" s="277" t="b">
        <f t="shared" si="1"/>
        <v>0</v>
      </c>
      <c r="I450" s="277" t="str">
        <f>IFERROR(__xludf.DUMMYFUNCTION("""COMPUTED_VALUE"""),"A2 073")</f>
        <v>A2 073</v>
      </c>
      <c r="J450" s="277" t="str">
        <f>IFERROR(__xludf.DUMMYFUNCTION("""COMPUTED_VALUE"""),"Drifloon")</f>
        <v>Drifloon</v>
      </c>
      <c r="K450" s="277" t="str">
        <f>IFERROR(__xludf.DUMMYFUNCTION("""COMPUTED_VALUE"""),"A2-Dialga")</f>
        <v>A2-Dialga</v>
      </c>
      <c r="L450" s="277" t="str">
        <f>IFERROR(__xludf.DUMMYFUNCTION("""COMPUTED_VALUE"""),"♢")</f>
        <v>♢</v>
      </c>
      <c r="M450" s="440" t="b">
        <f t="shared" si="2"/>
        <v>0</v>
      </c>
      <c r="N450" s="441"/>
      <c r="O450" s="277"/>
      <c r="P450" s="277"/>
      <c r="Q450" s="278"/>
      <c r="R450" s="449" t="str">
        <f t="array" ref="R450">IFERROR(IFS(OR(P450="A1-Mewtwo", P450="A1-Pikachu", P450="A1-Charizard", P450="A1"), XLOOKUP(N450, 'Genetic Apex'!$C$2:$C889, 'Genetic Apex'!$B$2:$B889)-$B$4, P450="A1a", XLOOKUP(N450, 'Mythical Island'!$C$2:$C889, 'Mythical Island'!$B$2:$B889)-$B$4, OR(P450="A2-Dialga", P450="A2-Palkia", P450="A2"), XLOOKUP(N450, 'Space-Time Smackdown'!$C$2:$C889, 'Space-Time Smackdown'!$B$2:$B889)-$B$4))</f>
        <v/>
      </c>
      <c r="S450" s="277"/>
      <c r="T450" s="277"/>
      <c r="U450" s="277"/>
      <c r="V450" s="278"/>
      <c r="W450" s="443" t="str">
        <f t="array" ref="W450">IFERROR(IFS(OR(U450="A1-Mewtwo", U450="A1-Pikachu", U450="A1-Charizard", U450="A1"), $B$5-XLOOKUP(S450, 'Genetic Apex'!$C$2:$C889, 'Genetic Apex'!$B$2:$B889), U450="A1a", $B$5-XLOOKUP(S450, 'Mythical Island'!$C$2:$C889, 'Mythical Island'!$B$2:$B889), OR(U450="A2-Dialga", U450="A2-Palkia", U450="A2"), $B$5-XLOOKUP(S450, 'Space-Time Smackdown'!$C$2:$C889, 'Space-Time Smackdown'!$B$2:$B889)))</f>
        <v/>
      </c>
      <c r="X450" s="444" t="str">
        <f t="shared" si="3"/>
        <v/>
      </c>
      <c r="Y450" s="445" t="str">
        <f t="shared" si="4"/>
        <v/>
      </c>
      <c r="Z450" s="278"/>
      <c r="AA450" s="466"/>
      <c r="AB450" s="278"/>
      <c r="AC450" s="278"/>
      <c r="AD450" s="278"/>
      <c r="AE450" s="278"/>
      <c r="AF450" s="278"/>
      <c r="AG450" s="278" t="b">
        <f t="shared" si="5"/>
        <v>0</v>
      </c>
      <c r="AH450" s="454"/>
      <c r="AI450" s="278"/>
      <c r="AJ450" s="278"/>
      <c r="AK450" s="278"/>
      <c r="AL450" s="444" t="str">
        <f t="array" ref="AL450">IFERROR(IFS(OR(AJ450="A1-Mewtwo", AJ450="A1-Pikachu", AJ450="A1-Charizard", AJ450="A1"), XLOOKUP(AH450, 'Genetic Apex'!$C$2:$C889, 'Genetic Apex'!$B$2:$B889)-2, AJ450="A1a", XLOOKUP(AH450, 'Mythical Island'!$C$2:$C889, 'Mythical Island'!$B$2:$B889)-2, OR(AJ450="A2-Dialga", AJ450="A2-Palkia", AJ450="A2"), XLOOKUP(AH450, 'Space-Time Smackdown'!$C$2:$C889, 'Space-Time Smackdown'!$B$2:$B889)-2))</f>
        <v/>
      </c>
      <c r="AM450" s="444" t="str">
        <f t="shared" si="6"/>
        <v/>
      </c>
      <c r="AN450" s="448" t="str">
        <f t="shared" si="7"/>
        <v/>
      </c>
    </row>
    <row r="451">
      <c r="A451" s="277"/>
      <c r="B451" s="277"/>
      <c r="C451" s="441"/>
      <c r="D451" s="277"/>
      <c r="E451" s="277"/>
      <c r="F451" s="277"/>
      <c r="G451" s="277"/>
      <c r="H451" s="277" t="b">
        <f t="shared" si="1"/>
        <v>0</v>
      </c>
      <c r="I451" s="277" t="str">
        <f>IFERROR(__xludf.DUMMYFUNCTION("""COMPUTED_VALUE"""),"A2 074")</f>
        <v>A2 074</v>
      </c>
      <c r="J451" s="277" t="str">
        <f>IFERROR(__xludf.DUMMYFUNCTION("""COMPUTED_VALUE"""),"Drifblim")</f>
        <v>Drifblim</v>
      </c>
      <c r="K451" s="277" t="str">
        <f>IFERROR(__xludf.DUMMYFUNCTION("""COMPUTED_VALUE"""),"A2-Dialga")</f>
        <v>A2-Dialga</v>
      </c>
      <c r="L451" s="277" t="str">
        <f>IFERROR(__xludf.DUMMYFUNCTION("""COMPUTED_VALUE"""),"♢♢")</f>
        <v>♢♢</v>
      </c>
      <c r="M451" s="440" t="b">
        <f t="shared" si="2"/>
        <v>0</v>
      </c>
      <c r="N451" s="441"/>
      <c r="O451" s="277"/>
      <c r="P451" s="277"/>
      <c r="Q451" s="278"/>
      <c r="R451" s="449" t="str">
        <f t="array" ref="R451">IFERROR(IFS(OR(P451="A1-Mewtwo", P451="A1-Pikachu", P451="A1-Charizard", P451="A1"), XLOOKUP(N451, 'Genetic Apex'!$C$2:$C889, 'Genetic Apex'!$B$2:$B889)-$B$4, P451="A1a", XLOOKUP(N451, 'Mythical Island'!$C$2:$C889, 'Mythical Island'!$B$2:$B889)-$B$4, OR(P451="A2-Dialga", P451="A2-Palkia", P451="A2"), XLOOKUP(N451, 'Space-Time Smackdown'!$C$2:$C889, 'Space-Time Smackdown'!$B$2:$B889)-$B$4))</f>
        <v/>
      </c>
      <c r="S451" s="277"/>
      <c r="T451" s="277"/>
      <c r="U451" s="277"/>
      <c r="V451" s="278"/>
      <c r="W451" s="443" t="str">
        <f t="array" ref="W451">IFERROR(IFS(OR(U451="A1-Mewtwo", U451="A1-Pikachu", U451="A1-Charizard", U451="A1"), $B$5-XLOOKUP(S451, 'Genetic Apex'!$C$2:$C889, 'Genetic Apex'!$B$2:$B889), U451="A1a", $B$5-XLOOKUP(S451, 'Mythical Island'!$C$2:$C889, 'Mythical Island'!$B$2:$B889), OR(U451="A2-Dialga", U451="A2-Palkia", U451="A2"), $B$5-XLOOKUP(S451, 'Space-Time Smackdown'!$C$2:$C889, 'Space-Time Smackdown'!$B$2:$B889)))</f>
        <v/>
      </c>
      <c r="X451" s="444" t="str">
        <f t="shared" si="3"/>
        <v/>
      </c>
      <c r="Y451" s="445" t="str">
        <f t="shared" si="4"/>
        <v/>
      </c>
      <c r="Z451" s="278"/>
      <c r="AA451" s="466"/>
      <c r="AB451" s="278"/>
      <c r="AC451" s="278"/>
      <c r="AD451" s="278"/>
      <c r="AE451" s="278"/>
      <c r="AF451" s="278"/>
      <c r="AG451" s="278" t="b">
        <f t="shared" si="5"/>
        <v>0</v>
      </c>
      <c r="AH451" s="454"/>
      <c r="AI451" s="278"/>
      <c r="AJ451" s="278"/>
      <c r="AK451" s="278"/>
      <c r="AL451" s="444" t="str">
        <f t="array" ref="AL451">IFERROR(IFS(OR(AJ451="A1-Mewtwo", AJ451="A1-Pikachu", AJ451="A1-Charizard", AJ451="A1"), XLOOKUP(AH451, 'Genetic Apex'!$C$2:$C889, 'Genetic Apex'!$B$2:$B889)-2, AJ451="A1a", XLOOKUP(AH451, 'Mythical Island'!$C$2:$C889, 'Mythical Island'!$B$2:$B889)-2, OR(AJ451="A2-Dialga", AJ451="A2-Palkia", AJ451="A2"), XLOOKUP(AH451, 'Space-Time Smackdown'!$C$2:$C889, 'Space-Time Smackdown'!$B$2:$B889)-2))</f>
        <v/>
      </c>
      <c r="AM451" s="444" t="str">
        <f t="shared" si="6"/>
        <v/>
      </c>
      <c r="AN451" s="448" t="str">
        <f t="shared" si="7"/>
        <v/>
      </c>
    </row>
    <row r="452">
      <c r="A452" s="277"/>
      <c r="B452" s="277"/>
      <c r="C452" s="441"/>
      <c r="D452" s="277"/>
      <c r="E452" s="277"/>
      <c r="F452" s="277"/>
      <c r="G452" s="277"/>
      <c r="H452" s="277" t="b">
        <f t="shared" si="1"/>
        <v>0</v>
      </c>
      <c r="I452" s="277" t="str">
        <f>IFERROR(__xludf.DUMMYFUNCTION("""COMPUTED_VALUE"""),"A2 075")</f>
        <v>A2 075</v>
      </c>
      <c r="J452" s="277" t="str">
        <f>IFERROR(__xludf.DUMMYFUNCTION("""COMPUTED_VALUE"""),"Uxie")</f>
        <v>Uxie</v>
      </c>
      <c r="K452" s="277" t="str">
        <f>IFERROR(__xludf.DUMMYFUNCTION("""COMPUTED_VALUE"""),"A2")</f>
        <v>A2</v>
      </c>
      <c r="L452" s="277" t="str">
        <f>IFERROR(__xludf.DUMMYFUNCTION("""COMPUTED_VALUE"""),"♢♢")</f>
        <v>♢♢</v>
      </c>
      <c r="M452" s="440" t="b">
        <f t="shared" si="2"/>
        <v>0</v>
      </c>
      <c r="N452" s="441"/>
      <c r="O452" s="277"/>
      <c r="P452" s="277"/>
      <c r="Q452" s="278"/>
      <c r="R452" s="449" t="str">
        <f t="array" ref="R452">IFERROR(IFS(OR(P452="A1-Mewtwo", P452="A1-Pikachu", P452="A1-Charizard", P452="A1"), XLOOKUP(N452, 'Genetic Apex'!$C$2:$C889, 'Genetic Apex'!$B$2:$B889)-$B$4, P452="A1a", XLOOKUP(N452, 'Mythical Island'!$C$2:$C889, 'Mythical Island'!$B$2:$B889)-$B$4, OR(P452="A2-Dialga", P452="A2-Palkia", P452="A2"), XLOOKUP(N452, 'Space-Time Smackdown'!$C$2:$C889, 'Space-Time Smackdown'!$B$2:$B889)-$B$4))</f>
        <v/>
      </c>
      <c r="S452" s="277"/>
      <c r="T452" s="277"/>
      <c r="U452" s="277"/>
      <c r="V452" s="278"/>
      <c r="W452" s="443" t="str">
        <f t="array" ref="W452">IFERROR(IFS(OR(U452="A1-Mewtwo", U452="A1-Pikachu", U452="A1-Charizard", U452="A1"), $B$5-XLOOKUP(S452, 'Genetic Apex'!$C$2:$C889, 'Genetic Apex'!$B$2:$B889), U452="A1a", $B$5-XLOOKUP(S452, 'Mythical Island'!$C$2:$C889, 'Mythical Island'!$B$2:$B889), OR(U452="A2-Dialga", U452="A2-Palkia", U452="A2"), $B$5-XLOOKUP(S452, 'Space-Time Smackdown'!$C$2:$C889, 'Space-Time Smackdown'!$B$2:$B889)))</f>
        <v/>
      </c>
      <c r="X452" s="444" t="str">
        <f t="shared" si="3"/>
        <v/>
      </c>
      <c r="Y452" s="445" t="str">
        <f t="shared" si="4"/>
        <v/>
      </c>
      <c r="Z452" s="278"/>
      <c r="AA452" s="466"/>
      <c r="AB452" s="278"/>
      <c r="AC452" s="278"/>
      <c r="AD452" s="278"/>
      <c r="AE452" s="278"/>
      <c r="AF452" s="278"/>
      <c r="AG452" s="278" t="b">
        <f t="shared" si="5"/>
        <v>0</v>
      </c>
      <c r="AH452" s="454"/>
      <c r="AI452" s="278"/>
      <c r="AJ452" s="278"/>
      <c r="AK452" s="278"/>
      <c r="AL452" s="444" t="str">
        <f t="array" ref="AL452">IFERROR(IFS(OR(AJ452="A1-Mewtwo", AJ452="A1-Pikachu", AJ452="A1-Charizard", AJ452="A1"), XLOOKUP(AH452, 'Genetic Apex'!$C$2:$C889, 'Genetic Apex'!$B$2:$B889)-2, AJ452="A1a", XLOOKUP(AH452, 'Mythical Island'!$C$2:$C889, 'Mythical Island'!$B$2:$B889)-2, OR(AJ452="A2-Dialga", AJ452="A2-Palkia", AJ452="A2"), XLOOKUP(AH452, 'Space-Time Smackdown'!$C$2:$C889, 'Space-Time Smackdown'!$B$2:$B889)-2))</f>
        <v/>
      </c>
      <c r="AM452" s="444" t="str">
        <f t="shared" si="6"/>
        <v/>
      </c>
      <c r="AN452" s="448" t="str">
        <f t="shared" si="7"/>
        <v/>
      </c>
    </row>
    <row r="453">
      <c r="A453" s="277"/>
      <c r="B453" s="277"/>
      <c r="C453" s="441"/>
      <c r="D453" s="277"/>
      <c r="E453" s="277"/>
      <c r="F453" s="277"/>
      <c r="G453" s="277"/>
      <c r="H453" s="277" t="b">
        <f t="shared" si="1"/>
        <v>0</v>
      </c>
      <c r="I453" s="277" t="str">
        <f>IFERROR(__xludf.DUMMYFUNCTION("""COMPUTED_VALUE"""),"A2 076")</f>
        <v>A2 076</v>
      </c>
      <c r="J453" s="277" t="str">
        <f>IFERROR(__xludf.DUMMYFUNCTION("""COMPUTED_VALUE"""),"Mesprit")</f>
        <v>Mesprit</v>
      </c>
      <c r="K453" s="277" t="str">
        <f>IFERROR(__xludf.DUMMYFUNCTION("""COMPUTED_VALUE"""),"A2")</f>
        <v>A2</v>
      </c>
      <c r="L453" s="277" t="str">
        <f>IFERROR(__xludf.DUMMYFUNCTION("""COMPUTED_VALUE"""),"♢♢♢")</f>
        <v>♢♢♢</v>
      </c>
      <c r="M453" s="440" t="b">
        <f t="shared" si="2"/>
        <v>0</v>
      </c>
      <c r="N453" s="441"/>
      <c r="O453" s="277"/>
      <c r="P453" s="277"/>
      <c r="Q453" s="278"/>
      <c r="R453" s="449" t="str">
        <f t="array" ref="R453">IFERROR(IFS(OR(P453="A1-Mewtwo", P453="A1-Pikachu", P453="A1-Charizard", P453="A1"), XLOOKUP(N453, 'Genetic Apex'!$C$2:$C889, 'Genetic Apex'!$B$2:$B889)-$B$4, P453="A1a", XLOOKUP(N453, 'Mythical Island'!$C$2:$C889, 'Mythical Island'!$B$2:$B889)-$B$4, OR(P453="A2-Dialga", P453="A2-Palkia", P453="A2"), XLOOKUP(N453, 'Space-Time Smackdown'!$C$2:$C889, 'Space-Time Smackdown'!$B$2:$B889)-$B$4))</f>
        <v/>
      </c>
      <c r="S453" s="277"/>
      <c r="T453" s="277"/>
      <c r="U453" s="277"/>
      <c r="V453" s="278"/>
      <c r="W453" s="443" t="str">
        <f t="array" ref="W453">IFERROR(IFS(OR(U453="A1-Mewtwo", U453="A1-Pikachu", U453="A1-Charizard", U453="A1"), $B$5-XLOOKUP(S453, 'Genetic Apex'!$C$2:$C889, 'Genetic Apex'!$B$2:$B889), U453="A1a", $B$5-XLOOKUP(S453, 'Mythical Island'!$C$2:$C889, 'Mythical Island'!$B$2:$B889), OR(U453="A2-Dialga", U453="A2-Palkia", U453="A2"), $B$5-XLOOKUP(S453, 'Space-Time Smackdown'!$C$2:$C889, 'Space-Time Smackdown'!$B$2:$B889)))</f>
        <v/>
      </c>
      <c r="X453" s="444" t="str">
        <f t="shared" si="3"/>
        <v/>
      </c>
      <c r="Y453" s="445" t="str">
        <f t="shared" si="4"/>
        <v/>
      </c>
      <c r="Z453" s="278"/>
      <c r="AA453" s="466"/>
      <c r="AB453" s="278"/>
      <c r="AC453" s="278"/>
      <c r="AD453" s="278"/>
      <c r="AE453" s="278"/>
      <c r="AF453" s="278"/>
      <c r="AG453" s="278" t="b">
        <f t="shared" si="5"/>
        <v>0</v>
      </c>
      <c r="AH453" s="454"/>
      <c r="AI453" s="278"/>
      <c r="AJ453" s="278"/>
      <c r="AK453" s="278"/>
      <c r="AL453" s="444" t="str">
        <f t="array" ref="AL453">IFERROR(IFS(OR(AJ453="A1-Mewtwo", AJ453="A1-Pikachu", AJ453="A1-Charizard", AJ453="A1"), XLOOKUP(AH453, 'Genetic Apex'!$C$2:$C889, 'Genetic Apex'!$B$2:$B889)-2, AJ453="A1a", XLOOKUP(AH453, 'Mythical Island'!$C$2:$C889, 'Mythical Island'!$B$2:$B889)-2, OR(AJ453="A2-Dialga", AJ453="A2-Palkia", AJ453="A2"), XLOOKUP(AH453, 'Space-Time Smackdown'!$C$2:$C889, 'Space-Time Smackdown'!$B$2:$B889)-2))</f>
        <v/>
      </c>
      <c r="AM453" s="444" t="str">
        <f t="shared" si="6"/>
        <v/>
      </c>
      <c r="AN453" s="448" t="str">
        <f t="shared" si="7"/>
        <v/>
      </c>
    </row>
    <row r="454">
      <c r="A454" s="277"/>
      <c r="B454" s="277"/>
      <c r="C454" s="441"/>
      <c r="D454" s="277"/>
      <c r="E454" s="277"/>
      <c r="F454" s="277"/>
      <c r="G454" s="277"/>
      <c r="H454" s="277" t="b">
        <f t="shared" si="1"/>
        <v>0</v>
      </c>
      <c r="I454" s="277" t="str">
        <f>IFERROR(__xludf.DUMMYFUNCTION("""COMPUTED_VALUE"""),"A2 077")</f>
        <v>A2 077</v>
      </c>
      <c r="J454" s="277" t="str">
        <f>IFERROR(__xludf.DUMMYFUNCTION("""COMPUTED_VALUE"""),"Azelf")</f>
        <v>Azelf</v>
      </c>
      <c r="K454" s="277" t="str">
        <f>IFERROR(__xludf.DUMMYFUNCTION("""COMPUTED_VALUE"""),"A2")</f>
        <v>A2</v>
      </c>
      <c r="L454" s="277" t="str">
        <f>IFERROR(__xludf.DUMMYFUNCTION("""COMPUTED_VALUE"""),"♢♢")</f>
        <v>♢♢</v>
      </c>
      <c r="M454" s="440" t="b">
        <f t="shared" si="2"/>
        <v>0</v>
      </c>
      <c r="N454" s="441"/>
      <c r="O454" s="277"/>
      <c r="P454" s="277"/>
      <c r="Q454" s="278"/>
      <c r="R454" s="449" t="str">
        <f t="array" ref="R454">IFERROR(IFS(OR(P454="A1-Mewtwo", P454="A1-Pikachu", P454="A1-Charizard", P454="A1"), XLOOKUP(N454, 'Genetic Apex'!$C$2:$C889, 'Genetic Apex'!$B$2:$B889)-$B$4, P454="A1a", XLOOKUP(N454, 'Mythical Island'!$C$2:$C889, 'Mythical Island'!$B$2:$B889)-$B$4, OR(P454="A2-Dialga", P454="A2-Palkia", P454="A2"), XLOOKUP(N454, 'Space-Time Smackdown'!$C$2:$C889, 'Space-Time Smackdown'!$B$2:$B889)-$B$4))</f>
        <v/>
      </c>
      <c r="S454" s="277"/>
      <c r="T454" s="277"/>
      <c r="U454" s="277"/>
      <c r="V454" s="278"/>
      <c r="W454" s="443" t="str">
        <f t="array" ref="W454">IFERROR(IFS(OR(U454="A1-Mewtwo", U454="A1-Pikachu", U454="A1-Charizard", U454="A1"), $B$5-XLOOKUP(S454, 'Genetic Apex'!$C$2:$C889, 'Genetic Apex'!$B$2:$B889), U454="A1a", $B$5-XLOOKUP(S454, 'Mythical Island'!$C$2:$C889, 'Mythical Island'!$B$2:$B889), OR(U454="A2-Dialga", U454="A2-Palkia", U454="A2"), $B$5-XLOOKUP(S454, 'Space-Time Smackdown'!$C$2:$C889, 'Space-Time Smackdown'!$B$2:$B889)))</f>
        <v/>
      </c>
      <c r="X454" s="444" t="str">
        <f t="shared" si="3"/>
        <v/>
      </c>
      <c r="Y454" s="445" t="str">
        <f t="shared" si="4"/>
        <v/>
      </c>
      <c r="Z454" s="278"/>
      <c r="AA454" s="466"/>
      <c r="AB454" s="278"/>
      <c r="AC454" s="278"/>
      <c r="AD454" s="278"/>
      <c r="AE454" s="278"/>
      <c r="AF454" s="278"/>
      <c r="AG454" s="278" t="b">
        <f t="shared" si="5"/>
        <v>0</v>
      </c>
      <c r="AH454" s="454"/>
      <c r="AI454" s="278"/>
      <c r="AJ454" s="278"/>
      <c r="AK454" s="278"/>
      <c r="AL454" s="444" t="str">
        <f t="array" ref="AL454">IFERROR(IFS(OR(AJ454="A1-Mewtwo", AJ454="A1-Pikachu", AJ454="A1-Charizard", AJ454="A1"), XLOOKUP(AH454, 'Genetic Apex'!$C$2:$C889, 'Genetic Apex'!$B$2:$B889)-2, AJ454="A1a", XLOOKUP(AH454, 'Mythical Island'!$C$2:$C889, 'Mythical Island'!$B$2:$B889)-2, OR(AJ454="A2-Dialga", AJ454="A2-Palkia", AJ454="A2"), XLOOKUP(AH454, 'Space-Time Smackdown'!$C$2:$C889, 'Space-Time Smackdown'!$B$2:$B889)-2))</f>
        <v/>
      </c>
      <c r="AM454" s="444" t="str">
        <f t="shared" si="6"/>
        <v/>
      </c>
      <c r="AN454" s="448" t="str">
        <f t="shared" si="7"/>
        <v/>
      </c>
    </row>
    <row r="455">
      <c r="A455" s="277"/>
      <c r="B455" s="277"/>
      <c r="C455" s="441"/>
      <c r="D455" s="277"/>
      <c r="E455" s="277"/>
      <c r="F455" s="277"/>
      <c r="G455" s="277"/>
      <c r="H455" s="277" t="b">
        <f t="shared" si="1"/>
        <v>0</v>
      </c>
      <c r="I455" s="277" t="str">
        <f>IFERROR(__xludf.DUMMYFUNCTION("""COMPUTED_VALUE"""),"A2 078")</f>
        <v>A2 078</v>
      </c>
      <c r="J455" s="277" t="str">
        <f>IFERROR(__xludf.DUMMYFUNCTION("""COMPUTED_VALUE"""),"Giratina")</f>
        <v>Giratina</v>
      </c>
      <c r="K455" s="277" t="str">
        <f>IFERROR(__xludf.DUMMYFUNCTION("""COMPUTED_VALUE"""),"A2-Palkia")</f>
        <v>A2-Palkia</v>
      </c>
      <c r="L455" s="277" t="str">
        <f>IFERROR(__xludf.DUMMYFUNCTION("""COMPUTED_VALUE"""),"♢♢♢")</f>
        <v>♢♢♢</v>
      </c>
      <c r="M455" s="440" t="b">
        <f t="shared" si="2"/>
        <v>0</v>
      </c>
      <c r="N455" s="441"/>
      <c r="O455" s="277"/>
      <c r="P455" s="277"/>
      <c r="Q455" s="278"/>
      <c r="R455" s="449" t="str">
        <f t="array" ref="R455">IFERROR(IFS(OR(P455="A1-Mewtwo", P455="A1-Pikachu", P455="A1-Charizard", P455="A1"), XLOOKUP(N455, 'Genetic Apex'!$C$2:$C889, 'Genetic Apex'!$B$2:$B889)-$B$4, P455="A1a", XLOOKUP(N455, 'Mythical Island'!$C$2:$C889, 'Mythical Island'!$B$2:$B889)-$B$4, OR(P455="A2-Dialga", P455="A2-Palkia", P455="A2"), XLOOKUP(N455, 'Space-Time Smackdown'!$C$2:$C889, 'Space-Time Smackdown'!$B$2:$B889)-$B$4))</f>
        <v/>
      </c>
      <c r="S455" s="277"/>
      <c r="T455" s="277"/>
      <c r="U455" s="277"/>
      <c r="V455" s="278"/>
      <c r="W455" s="443" t="str">
        <f t="array" ref="W455">IFERROR(IFS(OR(U455="A1-Mewtwo", U455="A1-Pikachu", U455="A1-Charizard", U455="A1"), $B$5-XLOOKUP(S455, 'Genetic Apex'!$C$2:$C889, 'Genetic Apex'!$B$2:$B889), U455="A1a", $B$5-XLOOKUP(S455, 'Mythical Island'!$C$2:$C889, 'Mythical Island'!$B$2:$B889), OR(U455="A2-Dialga", U455="A2-Palkia", U455="A2"), $B$5-XLOOKUP(S455, 'Space-Time Smackdown'!$C$2:$C889, 'Space-Time Smackdown'!$B$2:$B889)))</f>
        <v/>
      </c>
      <c r="X455" s="444" t="str">
        <f t="shared" si="3"/>
        <v/>
      </c>
      <c r="Y455" s="445" t="str">
        <f t="shared" si="4"/>
        <v/>
      </c>
      <c r="Z455" s="278"/>
      <c r="AA455" s="466"/>
      <c r="AB455" s="278"/>
      <c r="AC455" s="278"/>
      <c r="AD455" s="278"/>
      <c r="AE455" s="278"/>
      <c r="AF455" s="278"/>
      <c r="AG455" s="278" t="b">
        <f t="shared" si="5"/>
        <v>0</v>
      </c>
      <c r="AH455" s="454"/>
      <c r="AI455" s="278"/>
      <c r="AJ455" s="278"/>
      <c r="AK455" s="278"/>
      <c r="AL455" s="444" t="str">
        <f t="array" ref="AL455">IFERROR(IFS(OR(AJ455="A1-Mewtwo", AJ455="A1-Pikachu", AJ455="A1-Charizard", AJ455="A1"), XLOOKUP(AH455, 'Genetic Apex'!$C$2:$C889, 'Genetic Apex'!$B$2:$B889)-2, AJ455="A1a", XLOOKUP(AH455, 'Mythical Island'!$C$2:$C889, 'Mythical Island'!$B$2:$B889)-2, OR(AJ455="A2-Dialga", AJ455="A2-Palkia", AJ455="A2"), XLOOKUP(AH455, 'Space-Time Smackdown'!$C$2:$C889, 'Space-Time Smackdown'!$B$2:$B889)-2))</f>
        <v/>
      </c>
      <c r="AM455" s="444" t="str">
        <f t="shared" si="6"/>
        <v/>
      </c>
      <c r="AN455" s="448" t="str">
        <f t="shared" si="7"/>
        <v/>
      </c>
    </row>
    <row r="456">
      <c r="A456" s="277"/>
      <c r="B456" s="277"/>
      <c r="C456" s="441"/>
      <c r="D456" s="277"/>
      <c r="E456" s="277"/>
      <c r="F456" s="277"/>
      <c r="G456" s="277"/>
      <c r="H456" s="277" t="b">
        <f t="shared" si="1"/>
        <v>0</v>
      </c>
      <c r="I456" s="277" t="str">
        <f>IFERROR(__xludf.DUMMYFUNCTION("""COMPUTED_VALUE"""),"A2 079")</f>
        <v>A2 079</v>
      </c>
      <c r="J456" s="277" t="str">
        <f>IFERROR(__xludf.DUMMYFUNCTION("""COMPUTED_VALUE"""),"Cresselia")</f>
        <v>Cresselia</v>
      </c>
      <c r="K456" s="277" t="str">
        <f>IFERROR(__xludf.DUMMYFUNCTION("""COMPUTED_VALUE"""),"A2-Palkia")</f>
        <v>A2-Palkia</v>
      </c>
      <c r="L456" s="277" t="str">
        <f>IFERROR(__xludf.DUMMYFUNCTION("""COMPUTED_VALUE"""),"♢♢♢")</f>
        <v>♢♢♢</v>
      </c>
      <c r="M456" s="440" t="b">
        <f t="shared" si="2"/>
        <v>0</v>
      </c>
      <c r="N456" s="441"/>
      <c r="O456" s="277"/>
      <c r="P456" s="277"/>
      <c r="Q456" s="278"/>
      <c r="R456" s="449" t="str">
        <f t="array" ref="R456">IFERROR(IFS(OR(P456="A1-Mewtwo", P456="A1-Pikachu", P456="A1-Charizard", P456="A1"), XLOOKUP(N456, 'Genetic Apex'!$C$2:$C889, 'Genetic Apex'!$B$2:$B889)-$B$4, P456="A1a", XLOOKUP(N456, 'Mythical Island'!$C$2:$C889, 'Mythical Island'!$B$2:$B889)-$B$4, OR(P456="A2-Dialga", P456="A2-Palkia", P456="A2"), XLOOKUP(N456, 'Space-Time Smackdown'!$C$2:$C889, 'Space-Time Smackdown'!$B$2:$B889)-$B$4))</f>
        <v/>
      </c>
      <c r="S456" s="277"/>
      <c r="T456" s="277"/>
      <c r="U456" s="277"/>
      <c r="V456" s="278"/>
      <c r="W456" s="443" t="str">
        <f t="array" ref="W456">IFERROR(IFS(OR(U456="A1-Mewtwo", U456="A1-Pikachu", U456="A1-Charizard", U456="A1"), $B$5-XLOOKUP(S456, 'Genetic Apex'!$C$2:$C889, 'Genetic Apex'!$B$2:$B889), U456="A1a", $B$5-XLOOKUP(S456, 'Mythical Island'!$C$2:$C889, 'Mythical Island'!$B$2:$B889), OR(U456="A2-Dialga", U456="A2-Palkia", U456="A2"), $B$5-XLOOKUP(S456, 'Space-Time Smackdown'!$C$2:$C889, 'Space-Time Smackdown'!$B$2:$B889)))</f>
        <v/>
      </c>
      <c r="X456" s="444" t="str">
        <f t="shared" si="3"/>
        <v/>
      </c>
      <c r="Y456" s="445" t="str">
        <f t="shared" si="4"/>
        <v/>
      </c>
      <c r="Z456" s="278"/>
      <c r="AA456" s="466"/>
      <c r="AB456" s="278"/>
      <c r="AC456" s="278"/>
      <c r="AD456" s="278"/>
      <c r="AE456" s="278"/>
      <c r="AF456" s="278"/>
      <c r="AG456" s="278" t="b">
        <f t="shared" si="5"/>
        <v>0</v>
      </c>
      <c r="AH456" s="454"/>
      <c r="AI456" s="278"/>
      <c r="AJ456" s="278"/>
      <c r="AK456" s="278"/>
      <c r="AL456" s="444" t="str">
        <f t="array" ref="AL456">IFERROR(IFS(OR(AJ456="A1-Mewtwo", AJ456="A1-Pikachu", AJ456="A1-Charizard", AJ456="A1"), XLOOKUP(AH456, 'Genetic Apex'!$C$2:$C889, 'Genetic Apex'!$B$2:$B889)-2, AJ456="A1a", XLOOKUP(AH456, 'Mythical Island'!$C$2:$C889, 'Mythical Island'!$B$2:$B889)-2, OR(AJ456="A2-Dialga", AJ456="A2-Palkia", AJ456="A2"), XLOOKUP(AH456, 'Space-Time Smackdown'!$C$2:$C889, 'Space-Time Smackdown'!$B$2:$B889)-2))</f>
        <v/>
      </c>
      <c r="AM456" s="444" t="str">
        <f t="shared" si="6"/>
        <v/>
      </c>
      <c r="AN456" s="448" t="str">
        <f t="shared" si="7"/>
        <v/>
      </c>
    </row>
    <row r="457">
      <c r="A457" s="277"/>
      <c r="B457" s="277"/>
      <c r="C457" s="441"/>
      <c r="D457" s="277"/>
      <c r="E457" s="277"/>
      <c r="F457" s="277"/>
      <c r="G457" s="277"/>
      <c r="H457" s="277" t="b">
        <f t="shared" si="1"/>
        <v>0</v>
      </c>
      <c r="I457" s="277" t="str">
        <f>IFERROR(__xludf.DUMMYFUNCTION("""COMPUTED_VALUE"""),"A2 080")</f>
        <v>A2 080</v>
      </c>
      <c r="J457" s="277" t="str">
        <f>IFERROR(__xludf.DUMMYFUNCTION("""COMPUTED_VALUE"""),"Rhyhorn")</f>
        <v>Rhyhorn</v>
      </c>
      <c r="K457" s="277" t="str">
        <f>IFERROR(__xludf.DUMMYFUNCTION("""COMPUTED_VALUE"""),"A2-Palkia")</f>
        <v>A2-Palkia</v>
      </c>
      <c r="L457" s="277" t="str">
        <f>IFERROR(__xludf.DUMMYFUNCTION("""COMPUTED_VALUE"""),"♢")</f>
        <v>♢</v>
      </c>
      <c r="M457" s="440" t="b">
        <f t="shared" si="2"/>
        <v>0</v>
      </c>
      <c r="N457" s="441"/>
      <c r="O457" s="277"/>
      <c r="P457" s="277"/>
      <c r="Q457" s="278"/>
      <c r="R457" s="449" t="str">
        <f t="array" ref="R457">IFERROR(IFS(OR(P457="A1-Mewtwo", P457="A1-Pikachu", P457="A1-Charizard", P457="A1"), XLOOKUP(N457, 'Genetic Apex'!$C$2:$C889, 'Genetic Apex'!$B$2:$B889)-$B$4, P457="A1a", XLOOKUP(N457, 'Mythical Island'!$C$2:$C889, 'Mythical Island'!$B$2:$B889)-$B$4, OR(P457="A2-Dialga", P457="A2-Palkia", P457="A2"), XLOOKUP(N457, 'Space-Time Smackdown'!$C$2:$C889, 'Space-Time Smackdown'!$B$2:$B889)-$B$4))</f>
        <v/>
      </c>
      <c r="S457" s="277"/>
      <c r="T457" s="277"/>
      <c r="U457" s="277"/>
      <c r="V457" s="278"/>
      <c r="W457" s="443" t="str">
        <f t="array" ref="W457">IFERROR(IFS(OR(U457="A1-Mewtwo", U457="A1-Pikachu", U457="A1-Charizard", U457="A1"), $B$5-XLOOKUP(S457, 'Genetic Apex'!$C$2:$C889, 'Genetic Apex'!$B$2:$B889), U457="A1a", $B$5-XLOOKUP(S457, 'Mythical Island'!$C$2:$C889, 'Mythical Island'!$B$2:$B889), OR(U457="A2-Dialga", U457="A2-Palkia", U457="A2"), $B$5-XLOOKUP(S457, 'Space-Time Smackdown'!$C$2:$C889, 'Space-Time Smackdown'!$B$2:$B889)))</f>
        <v/>
      </c>
      <c r="X457" s="444" t="str">
        <f t="shared" si="3"/>
        <v/>
      </c>
      <c r="Y457" s="445" t="str">
        <f t="shared" si="4"/>
        <v/>
      </c>
      <c r="Z457" s="278"/>
      <c r="AA457" s="466"/>
      <c r="AB457" s="278"/>
      <c r="AC457" s="278"/>
      <c r="AD457" s="278"/>
      <c r="AE457" s="278"/>
      <c r="AF457" s="278"/>
      <c r="AG457" s="278" t="b">
        <f t="shared" si="5"/>
        <v>0</v>
      </c>
      <c r="AH457" s="454"/>
      <c r="AI457" s="278"/>
      <c r="AJ457" s="278"/>
      <c r="AK457" s="278"/>
      <c r="AL457" s="444" t="str">
        <f t="array" ref="AL457">IFERROR(IFS(OR(AJ457="A1-Mewtwo", AJ457="A1-Pikachu", AJ457="A1-Charizard", AJ457="A1"), XLOOKUP(AH457, 'Genetic Apex'!$C$2:$C889, 'Genetic Apex'!$B$2:$B889)-2, AJ457="A1a", XLOOKUP(AH457, 'Mythical Island'!$C$2:$C889, 'Mythical Island'!$B$2:$B889)-2, OR(AJ457="A2-Dialga", AJ457="A2-Palkia", AJ457="A2"), XLOOKUP(AH457, 'Space-Time Smackdown'!$C$2:$C889, 'Space-Time Smackdown'!$B$2:$B889)-2))</f>
        <v/>
      </c>
      <c r="AM457" s="444" t="str">
        <f t="shared" si="6"/>
        <v/>
      </c>
      <c r="AN457" s="448" t="str">
        <f t="shared" si="7"/>
        <v/>
      </c>
    </row>
    <row r="458">
      <c r="A458" s="277"/>
      <c r="B458" s="277"/>
      <c r="C458" s="441"/>
      <c r="D458" s="277"/>
      <c r="E458" s="277"/>
      <c r="F458" s="277"/>
      <c r="G458" s="277"/>
      <c r="H458" s="277" t="b">
        <f t="shared" si="1"/>
        <v>0</v>
      </c>
      <c r="I458" s="277" t="str">
        <f>IFERROR(__xludf.DUMMYFUNCTION("""COMPUTED_VALUE"""),"A2 081")</f>
        <v>A2 081</v>
      </c>
      <c r="J458" s="277" t="str">
        <f>IFERROR(__xludf.DUMMYFUNCTION("""COMPUTED_VALUE"""),"Rhydon")</f>
        <v>Rhydon</v>
      </c>
      <c r="K458" s="277" t="str">
        <f>IFERROR(__xludf.DUMMYFUNCTION("""COMPUTED_VALUE"""),"A2-Palkia")</f>
        <v>A2-Palkia</v>
      </c>
      <c r="L458" s="277" t="str">
        <f>IFERROR(__xludf.DUMMYFUNCTION("""COMPUTED_VALUE"""),"♢♢")</f>
        <v>♢♢</v>
      </c>
      <c r="M458" s="440" t="b">
        <f t="shared" si="2"/>
        <v>0</v>
      </c>
      <c r="N458" s="441"/>
      <c r="O458" s="277"/>
      <c r="P458" s="277"/>
      <c r="Q458" s="278"/>
      <c r="R458" s="449" t="str">
        <f t="array" ref="R458">IFERROR(IFS(OR(P458="A1-Mewtwo", P458="A1-Pikachu", P458="A1-Charizard", P458="A1"), XLOOKUP(N458, 'Genetic Apex'!$C$2:$C889, 'Genetic Apex'!$B$2:$B889)-$B$4, P458="A1a", XLOOKUP(N458, 'Mythical Island'!$C$2:$C889, 'Mythical Island'!$B$2:$B889)-$B$4, OR(P458="A2-Dialga", P458="A2-Palkia", P458="A2"), XLOOKUP(N458, 'Space-Time Smackdown'!$C$2:$C889, 'Space-Time Smackdown'!$B$2:$B889)-$B$4))</f>
        <v/>
      </c>
      <c r="S458" s="277"/>
      <c r="T458" s="277"/>
      <c r="U458" s="277"/>
      <c r="V458" s="278"/>
      <c r="W458" s="443" t="str">
        <f t="array" ref="W458">IFERROR(IFS(OR(U458="A1-Mewtwo", U458="A1-Pikachu", U458="A1-Charizard", U458="A1"), $B$5-XLOOKUP(S458, 'Genetic Apex'!$C$2:$C889, 'Genetic Apex'!$B$2:$B889), U458="A1a", $B$5-XLOOKUP(S458, 'Mythical Island'!$C$2:$C889, 'Mythical Island'!$B$2:$B889), OR(U458="A2-Dialga", U458="A2-Palkia", U458="A2"), $B$5-XLOOKUP(S458, 'Space-Time Smackdown'!$C$2:$C889, 'Space-Time Smackdown'!$B$2:$B889)))</f>
        <v/>
      </c>
      <c r="X458" s="444" t="str">
        <f t="shared" si="3"/>
        <v/>
      </c>
      <c r="Y458" s="445" t="str">
        <f t="shared" si="4"/>
        <v/>
      </c>
      <c r="Z458" s="278"/>
      <c r="AA458" s="466"/>
      <c r="AB458" s="278"/>
      <c r="AC458" s="278"/>
      <c r="AD458" s="278"/>
      <c r="AE458" s="278"/>
      <c r="AF458" s="278"/>
      <c r="AG458" s="278" t="b">
        <f t="shared" si="5"/>
        <v>0</v>
      </c>
      <c r="AH458" s="454"/>
      <c r="AI458" s="278"/>
      <c r="AJ458" s="278"/>
      <c r="AK458" s="278"/>
      <c r="AL458" s="444" t="str">
        <f t="array" ref="AL458">IFERROR(IFS(OR(AJ458="A1-Mewtwo", AJ458="A1-Pikachu", AJ458="A1-Charizard", AJ458="A1"), XLOOKUP(AH458, 'Genetic Apex'!$C$2:$C889, 'Genetic Apex'!$B$2:$B889)-2, AJ458="A1a", XLOOKUP(AH458, 'Mythical Island'!$C$2:$C889, 'Mythical Island'!$B$2:$B889)-2, OR(AJ458="A2-Dialga", AJ458="A2-Palkia", AJ458="A2"), XLOOKUP(AH458, 'Space-Time Smackdown'!$C$2:$C889, 'Space-Time Smackdown'!$B$2:$B889)-2))</f>
        <v/>
      </c>
      <c r="AM458" s="444" t="str">
        <f t="shared" si="6"/>
        <v/>
      </c>
      <c r="AN458" s="448" t="str">
        <f t="shared" si="7"/>
        <v/>
      </c>
    </row>
    <row r="459">
      <c r="A459" s="277"/>
      <c r="B459" s="277"/>
      <c r="C459" s="441"/>
      <c r="D459" s="277"/>
      <c r="E459" s="277"/>
      <c r="F459" s="277"/>
      <c r="G459" s="277"/>
      <c r="H459" s="277" t="b">
        <f t="shared" si="1"/>
        <v>0</v>
      </c>
      <c r="I459" s="277" t="str">
        <f>IFERROR(__xludf.DUMMYFUNCTION("""COMPUTED_VALUE"""),"A2 082")</f>
        <v>A2 082</v>
      </c>
      <c r="J459" s="277" t="str">
        <f>IFERROR(__xludf.DUMMYFUNCTION("""COMPUTED_VALUE"""),"Rhyperior")</f>
        <v>Rhyperior</v>
      </c>
      <c r="K459" s="277" t="str">
        <f>IFERROR(__xludf.DUMMYFUNCTION("""COMPUTED_VALUE"""),"A2-Palkia")</f>
        <v>A2-Palkia</v>
      </c>
      <c r="L459" s="277" t="str">
        <f>IFERROR(__xludf.DUMMYFUNCTION("""COMPUTED_VALUE"""),"♢♢♢")</f>
        <v>♢♢♢</v>
      </c>
      <c r="M459" s="440" t="b">
        <f t="shared" si="2"/>
        <v>0</v>
      </c>
      <c r="N459" s="441"/>
      <c r="O459" s="277"/>
      <c r="P459" s="277"/>
      <c r="Q459" s="278"/>
      <c r="R459" s="449" t="str">
        <f t="array" ref="R459">IFERROR(IFS(OR(P459="A1-Mewtwo", P459="A1-Pikachu", P459="A1-Charizard", P459="A1"), XLOOKUP(N459, 'Genetic Apex'!$C$2:$C889, 'Genetic Apex'!$B$2:$B889)-$B$4, P459="A1a", XLOOKUP(N459, 'Mythical Island'!$C$2:$C889, 'Mythical Island'!$B$2:$B889)-$B$4, OR(P459="A2-Dialga", P459="A2-Palkia", P459="A2"), XLOOKUP(N459, 'Space-Time Smackdown'!$C$2:$C889, 'Space-Time Smackdown'!$B$2:$B889)-$B$4))</f>
        <v/>
      </c>
      <c r="S459" s="277"/>
      <c r="T459" s="277"/>
      <c r="U459" s="277"/>
      <c r="V459" s="278"/>
      <c r="W459" s="443" t="str">
        <f t="array" ref="W459">IFERROR(IFS(OR(U459="A1-Mewtwo", U459="A1-Pikachu", U459="A1-Charizard", U459="A1"), $B$5-XLOOKUP(S459, 'Genetic Apex'!$C$2:$C889, 'Genetic Apex'!$B$2:$B889), U459="A1a", $B$5-XLOOKUP(S459, 'Mythical Island'!$C$2:$C889, 'Mythical Island'!$B$2:$B889), OR(U459="A2-Dialga", U459="A2-Palkia", U459="A2"), $B$5-XLOOKUP(S459, 'Space-Time Smackdown'!$C$2:$C889, 'Space-Time Smackdown'!$B$2:$B889)))</f>
        <v/>
      </c>
      <c r="X459" s="444" t="str">
        <f t="shared" si="3"/>
        <v/>
      </c>
      <c r="Y459" s="445" t="str">
        <f t="shared" si="4"/>
        <v/>
      </c>
      <c r="Z459" s="278"/>
      <c r="AA459" s="466"/>
      <c r="AB459" s="278"/>
      <c r="AC459" s="278"/>
      <c r="AD459" s="278"/>
      <c r="AE459" s="278"/>
      <c r="AF459" s="278"/>
      <c r="AG459" s="278" t="b">
        <f t="shared" si="5"/>
        <v>0</v>
      </c>
      <c r="AH459" s="454"/>
      <c r="AI459" s="278"/>
      <c r="AJ459" s="278"/>
      <c r="AK459" s="278"/>
      <c r="AL459" s="444" t="str">
        <f t="array" ref="AL459">IFERROR(IFS(OR(AJ459="A1-Mewtwo", AJ459="A1-Pikachu", AJ459="A1-Charizard", AJ459="A1"), XLOOKUP(AH459, 'Genetic Apex'!$C$2:$C889, 'Genetic Apex'!$B$2:$B889)-2, AJ459="A1a", XLOOKUP(AH459, 'Mythical Island'!$C$2:$C889, 'Mythical Island'!$B$2:$B889)-2, OR(AJ459="A2-Dialga", AJ459="A2-Palkia", AJ459="A2"), XLOOKUP(AH459, 'Space-Time Smackdown'!$C$2:$C889, 'Space-Time Smackdown'!$B$2:$B889)-2))</f>
        <v/>
      </c>
      <c r="AM459" s="444" t="str">
        <f t="shared" si="6"/>
        <v/>
      </c>
      <c r="AN459" s="448" t="str">
        <f t="shared" si="7"/>
        <v/>
      </c>
    </row>
    <row r="460">
      <c r="A460" s="277"/>
      <c r="B460" s="277"/>
      <c r="C460" s="441"/>
      <c r="D460" s="277"/>
      <c r="E460" s="277"/>
      <c r="F460" s="277"/>
      <c r="G460" s="277"/>
      <c r="H460" s="277" t="b">
        <f t="shared" si="1"/>
        <v>0</v>
      </c>
      <c r="I460" s="277" t="str">
        <f>IFERROR(__xludf.DUMMYFUNCTION("""COMPUTED_VALUE"""),"A2 083")</f>
        <v>A2 083</v>
      </c>
      <c r="J460" s="277" t="str">
        <f>IFERROR(__xludf.DUMMYFUNCTION("""COMPUTED_VALUE"""),"Gligar")</f>
        <v>Gligar</v>
      </c>
      <c r="K460" s="277" t="str">
        <f>IFERROR(__xludf.DUMMYFUNCTION("""COMPUTED_VALUE"""),"A2-Dialga")</f>
        <v>A2-Dialga</v>
      </c>
      <c r="L460" s="277" t="str">
        <f>IFERROR(__xludf.DUMMYFUNCTION("""COMPUTED_VALUE"""),"♢")</f>
        <v>♢</v>
      </c>
      <c r="M460" s="440" t="b">
        <f t="shared" si="2"/>
        <v>0</v>
      </c>
      <c r="N460" s="441"/>
      <c r="O460" s="277"/>
      <c r="P460" s="277"/>
      <c r="Q460" s="278"/>
      <c r="R460" s="449" t="str">
        <f t="array" ref="R460">IFERROR(IFS(OR(P460="A1-Mewtwo", P460="A1-Pikachu", P460="A1-Charizard", P460="A1"), XLOOKUP(N460, 'Genetic Apex'!$C$2:$C889, 'Genetic Apex'!$B$2:$B889)-$B$4, P460="A1a", XLOOKUP(N460, 'Mythical Island'!$C$2:$C889, 'Mythical Island'!$B$2:$B889)-$B$4, OR(P460="A2-Dialga", P460="A2-Palkia", P460="A2"), XLOOKUP(N460, 'Space-Time Smackdown'!$C$2:$C889, 'Space-Time Smackdown'!$B$2:$B889)-$B$4))</f>
        <v/>
      </c>
      <c r="S460" s="277"/>
      <c r="T460" s="277"/>
      <c r="U460" s="277"/>
      <c r="V460" s="278"/>
      <c r="W460" s="443" t="str">
        <f t="array" ref="W460">IFERROR(IFS(OR(U460="A1-Mewtwo", U460="A1-Pikachu", U460="A1-Charizard", U460="A1"), $B$5-XLOOKUP(S460, 'Genetic Apex'!$C$2:$C889, 'Genetic Apex'!$B$2:$B889), U460="A1a", $B$5-XLOOKUP(S460, 'Mythical Island'!$C$2:$C889, 'Mythical Island'!$B$2:$B889), OR(U460="A2-Dialga", U460="A2-Palkia", U460="A2"), $B$5-XLOOKUP(S460, 'Space-Time Smackdown'!$C$2:$C889, 'Space-Time Smackdown'!$B$2:$B889)))</f>
        <v/>
      </c>
      <c r="X460" s="444" t="str">
        <f t="shared" si="3"/>
        <v/>
      </c>
      <c r="Y460" s="445" t="str">
        <f t="shared" si="4"/>
        <v/>
      </c>
      <c r="Z460" s="278"/>
      <c r="AA460" s="466"/>
      <c r="AB460" s="278"/>
      <c r="AC460" s="278"/>
      <c r="AD460" s="278"/>
      <c r="AE460" s="278"/>
      <c r="AF460" s="278"/>
      <c r="AG460" s="278" t="b">
        <f t="shared" si="5"/>
        <v>0</v>
      </c>
      <c r="AH460" s="454"/>
      <c r="AI460" s="278"/>
      <c r="AJ460" s="278"/>
      <c r="AK460" s="278"/>
      <c r="AL460" s="444" t="str">
        <f t="array" ref="AL460">IFERROR(IFS(OR(AJ460="A1-Mewtwo", AJ460="A1-Pikachu", AJ460="A1-Charizard", AJ460="A1"), XLOOKUP(AH460, 'Genetic Apex'!$C$2:$C889, 'Genetic Apex'!$B$2:$B889)-2, AJ460="A1a", XLOOKUP(AH460, 'Mythical Island'!$C$2:$C889, 'Mythical Island'!$B$2:$B889)-2, OR(AJ460="A2-Dialga", AJ460="A2-Palkia", AJ460="A2"), XLOOKUP(AH460, 'Space-Time Smackdown'!$C$2:$C889, 'Space-Time Smackdown'!$B$2:$B889)-2))</f>
        <v/>
      </c>
      <c r="AM460" s="444" t="str">
        <f t="shared" si="6"/>
        <v/>
      </c>
      <c r="AN460" s="448" t="str">
        <f t="shared" si="7"/>
        <v/>
      </c>
    </row>
    <row r="461">
      <c r="A461" s="277"/>
      <c r="B461" s="277"/>
      <c r="C461" s="441"/>
      <c r="D461" s="277"/>
      <c r="E461" s="277"/>
      <c r="F461" s="277"/>
      <c r="G461" s="277"/>
      <c r="H461" s="277" t="b">
        <f t="shared" si="1"/>
        <v>0</v>
      </c>
      <c r="I461" s="277" t="str">
        <f>IFERROR(__xludf.DUMMYFUNCTION("""COMPUTED_VALUE"""),"A2 084")</f>
        <v>A2 084</v>
      </c>
      <c r="J461" s="277" t="str">
        <f>IFERROR(__xludf.DUMMYFUNCTION("""COMPUTED_VALUE"""),"Gliscor")</f>
        <v>Gliscor</v>
      </c>
      <c r="K461" s="277" t="str">
        <f>IFERROR(__xludf.DUMMYFUNCTION("""COMPUTED_VALUE"""),"A2-Dialga")</f>
        <v>A2-Dialga</v>
      </c>
      <c r="L461" s="277" t="str">
        <f>IFERROR(__xludf.DUMMYFUNCTION("""COMPUTED_VALUE"""),"♢♢")</f>
        <v>♢♢</v>
      </c>
      <c r="M461" s="440" t="b">
        <f t="shared" si="2"/>
        <v>0</v>
      </c>
      <c r="N461" s="441"/>
      <c r="O461" s="277"/>
      <c r="P461" s="277"/>
      <c r="Q461" s="278"/>
      <c r="R461" s="449" t="str">
        <f t="array" ref="R461">IFERROR(IFS(OR(P461="A1-Mewtwo", P461="A1-Pikachu", P461="A1-Charizard", P461="A1"), XLOOKUP(N461, 'Genetic Apex'!$C$2:$C889, 'Genetic Apex'!$B$2:$B889)-$B$4, P461="A1a", XLOOKUP(N461, 'Mythical Island'!$C$2:$C889, 'Mythical Island'!$B$2:$B889)-$B$4, OR(P461="A2-Dialga", P461="A2-Palkia", P461="A2"), XLOOKUP(N461, 'Space-Time Smackdown'!$C$2:$C889, 'Space-Time Smackdown'!$B$2:$B889)-$B$4))</f>
        <v/>
      </c>
      <c r="S461" s="277"/>
      <c r="T461" s="277"/>
      <c r="U461" s="277"/>
      <c r="V461" s="278"/>
      <c r="W461" s="443" t="str">
        <f t="array" ref="W461">IFERROR(IFS(OR(U461="A1-Mewtwo", U461="A1-Pikachu", U461="A1-Charizard", U461="A1"), $B$5-XLOOKUP(S461, 'Genetic Apex'!$C$2:$C889, 'Genetic Apex'!$B$2:$B889), U461="A1a", $B$5-XLOOKUP(S461, 'Mythical Island'!$C$2:$C889, 'Mythical Island'!$B$2:$B889), OR(U461="A2-Dialga", U461="A2-Palkia", U461="A2"), $B$5-XLOOKUP(S461, 'Space-Time Smackdown'!$C$2:$C889, 'Space-Time Smackdown'!$B$2:$B889)))</f>
        <v/>
      </c>
      <c r="X461" s="444" t="str">
        <f t="shared" si="3"/>
        <v/>
      </c>
      <c r="Y461" s="445" t="str">
        <f t="shared" si="4"/>
        <v/>
      </c>
      <c r="Z461" s="278"/>
      <c r="AA461" s="466"/>
      <c r="AB461" s="278"/>
      <c r="AC461" s="278"/>
      <c r="AD461" s="278"/>
      <c r="AE461" s="278"/>
      <c r="AF461" s="278"/>
      <c r="AG461" s="278" t="b">
        <f t="shared" si="5"/>
        <v>0</v>
      </c>
      <c r="AH461" s="454"/>
      <c r="AI461" s="278"/>
      <c r="AJ461" s="278"/>
      <c r="AK461" s="278"/>
      <c r="AL461" s="444" t="str">
        <f t="array" ref="AL461">IFERROR(IFS(OR(AJ461="A1-Mewtwo", AJ461="A1-Pikachu", AJ461="A1-Charizard", AJ461="A1"), XLOOKUP(AH461, 'Genetic Apex'!$C$2:$C889, 'Genetic Apex'!$B$2:$B889)-2, AJ461="A1a", XLOOKUP(AH461, 'Mythical Island'!$C$2:$C889, 'Mythical Island'!$B$2:$B889)-2, OR(AJ461="A2-Dialga", AJ461="A2-Palkia", AJ461="A2"), XLOOKUP(AH461, 'Space-Time Smackdown'!$C$2:$C889, 'Space-Time Smackdown'!$B$2:$B889)-2))</f>
        <v/>
      </c>
      <c r="AM461" s="444" t="str">
        <f t="shared" si="6"/>
        <v/>
      </c>
      <c r="AN461" s="448" t="str">
        <f t="shared" si="7"/>
        <v/>
      </c>
    </row>
    <row r="462">
      <c r="A462" s="277"/>
      <c r="B462" s="277"/>
      <c r="C462" s="441"/>
      <c r="D462" s="277"/>
      <c r="E462" s="277"/>
      <c r="F462" s="277"/>
      <c r="G462" s="277"/>
      <c r="H462" s="277" t="b">
        <f t="shared" si="1"/>
        <v>0</v>
      </c>
      <c r="I462" s="277" t="str">
        <f>IFERROR(__xludf.DUMMYFUNCTION("""COMPUTED_VALUE"""),"A2 085")</f>
        <v>A2 085</v>
      </c>
      <c r="J462" s="277" t="str">
        <f>IFERROR(__xludf.DUMMYFUNCTION("""COMPUTED_VALUE"""),"Hitmontop")</f>
        <v>Hitmontop</v>
      </c>
      <c r="K462" s="277" t="str">
        <f>IFERROR(__xludf.DUMMYFUNCTION("""COMPUTED_VALUE"""),"A2-Dialga")</f>
        <v>A2-Dialga</v>
      </c>
      <c r="L462" s="277" t="str">
        <f>IFERROR(__xludf.DUMMYFUNCTION("""COMPUTED_VALUE"""),"♢")</f>
        <v>♢</v>
      </c>
      <c r="M462" s="440" t="b">
        <f t="shared" si="2"/>
        <v>0</v>
      </c>
      <c r="N462" s="441"/>
      <c r="O462" s="277"/>
      <c r="P462" s="277"/>
      <c r="Q462" s="278"/>
      <c r="R462" s="449" t="str">
        <f t="array" ref="R462">IFERROR(IFS(OR(P462="A1-Mewtwo", P462="A1-Pikachu", P462="A1-Charizard", P462="A1"), XLOOKUP(N462, 'Genetic Apex'!$C$2:$C889, 'Genetic Apex'!$B$2:$B889)-$B$4, P462="A1a", XLOOKUP(N462, 'Mythical Island'!$C$2:$C889, 'Mythical Island'!$B$2:$B889)-$B$4, OR(P462="A2-Dialga", P462="A2-Palkia", P462="A2"), XLOOKUP(N462, 'Space-Time Smackdown'!$C$2:$C889, 'Space-Time Smackdown'!$B$2:$B889)-$B$4))</f>
        <v/>
      </c>
      <c r="S462" s="277"/>
      <c r="T462" s="277"/>
      <c r="U462" s="277"/>
      <c r="V462" s="278"/>
      <c r="W462" s="443" t="str">
        <f t="array" ref="W462">IFERROR(IFS(OR(U462="A1-Mewtwo", U462="A1-Pikachu", U462="A1-Charizard", U462="A1"), $B$5-XLOOKUP(S462, 'Genetic Apex'!$C$2:$C889, 'Genetic Apex'!$B$2:$B889), U462="A1a", $B$5-XLOOKUP(S462, 'Mythical Island'!$C$2:$C889, 'Mythical Island'!$B$2:$B889), OR(U462="A2-Dialga", U462="A2-Palkia", U462="A2"), $B$5-XLOOKUP(S462, 'Space-Time Smackdown'!$C$2:$C889, 'Space-Time Smackdown'!$B$2:$B889)))</f>
        <v/>
      </c>
      <c r="X462" s="444" t="str">
        <f t="shared" si="3"/>
        <v/>
      </c>
      <c r="Y462" s="445" t="str">
        <f t="shared" si="4"/>
        <v/>
      </c>
      <c r="Z462" s="278"/>
      <c r="AA462" s="466"/>
      <c r="AB462" s="278"/>
      <c r="AC462" s="278"/>
      <c r="AD462" s="278"/>
      <c r="AE462" s="278"/>
      <c r="AF462" s="278"/>
      <c r="AG462" s="278" t="b">
        <f t="shared" si="5"/>
        <v>0</v>
      </c>
      <c r="AH462" s="454"/>
      <c r="AI462" s="278"/>
      <c r="AJ462" s="278"/>
      <c r="AK462" s="278"/>
      <c r="AL462" s="444" t="str">
        <f t="array" ref="AL462">IFERROR(IFS(OR(AJ462="A1-Mewtwo", AJ462="A1-Pikachu", AJ462="A1-Charizard", AJ462="A1"), XLOOKUP(AH462, 'Genetic Apex'!$C$2:$C889, 'Genetic Apex'!$B$2:$B889)-2, AJ462="A1a", XLOOKUP(AH462, 'Mythical Island'!$C$2:$C889, 'Mythical Island'!$B$2:$B889)-2, OR(AJ462="A2-Dialga", AJ462="A2-Palkia", AJ462="A2"), XLOOKUP(AH462, 'Space-Time Smackdown'!$C$2:$C889, 'Space-Time Smackdown'!$B$2:$B889)-2))</f>
        <v/>
      </c>
      <c r="AM462" s="444" t="str">
        <f t="shared" si="6"/>
        <v/>
      </c>
      <c r="AN462" s="448" t="str">
        <f t="shared" si="7"/>
        <v/>
      </c>
    </row>
    <row r="463">
      <c r="A463" s="277"/>
      <c r="B463" s="277"/>
      <c r="C463" s="441"/>
      <c r="D463" s="277"/>
      <c r="E463" s="277"/>
      <c r="F463" s="277"/>
      <c r="G463" s="277"/>
      <c r="H463" s="277" t="b">
        <f t="shared" si="1"/>
        <v>0</v>
      </c>
      <c r="I463" s="277" t="str">
        <f>IFERROR(__xludf.DUMMYFUNCTION("""COMPUTED_VALUE"""),"A2 086")</f>
        <v>A2 086</v>
      </c>
      <c r="J463" s="277" t="str">
        <f>IFERROR(__xludf.DUMMYFUNCTION("""COMPUTED_VALUE"""),"Nosepass")</f>
        <v>Nosepass</v>
      </c>
      <c r="K463" s="277" t="str">
        <f>IFERROR(__xludf.DUMMYFUNCTION("""COMPUTED_VALUE"""),"A2")</f>
        <v>A2</v>
      </c>
      <c r="L463" s="277" t="str">
        <f>IFERROR(__xludf.DUMMYFUNCTION("""COMPUTED_VALUE"""),"♢")</f>
        <v>♢</v>
      </c>
      <c r="M463" s="440" t="b">
        <f t="shared" si="2"/>
        <v>0</v>
      </c>
      <c r="N463" s="441"/>
      <c r="O463" s="277"/>
      <c r="P463" s="277"/>
      <c r="Q463" s="278"/>
      <c r="R463" s="449" t="str">
        <f t="array" ref="R463">IFERROR(IFS(OR(P463="A1-Mewtwo", P463="A1-Pikachu", P463="A1-Charizard", P463="A1"), XLOOKUP(N463, 'Genetic Apex'!$C$2:$C889, 'Genetic Apex'!$B$2:$B889)-$B$4, P463="A1a", XLOOKUP(N463, 'Mythical Island'!$C$2:$C889, 'Mythical Island'!$B$2:$B889)-$B$4, OR(P463="A2-Dialga", P463="A2-Palkia", P463="A2"), XLOOKUP(N463, 'Space-Time Smackdown'!$C$2:$C889, 'Space-Time Smackdown'!$B$2:$B889)-$B$4))</f>
        <v/>
      </c>
      <c r="S463" s="277"/>
      <c r="T463" s="277"/>
      <c r="U463" s="277"/>
      <c r="V463" s="278"/>
      <c r="W463" s="443" t="str">
        <f t="array" ref="W463">IFERROR(IFS(OR(U463="A1-Mewtwo", U463="A1-Pikachu", U463="A1-Charizard", U463="A1"), $B$5-XLOOKUP(S463, 'Genetic Apex'!$C$2:$C889, 'Genetic Apex'!$B$2:$B889), U463="A1a", $B$5-XLOOKUP(S463, 'Mythical Island'!$C$2:$C889, 'Mythical Island'!$B$2:$B889), OR(U463="A2-Dialga", U463="A2-Palkia", U463="A2"), $B$5-XLOOKUP(S463, 'Space-Time Smackdown'!$C$2:$C889, 'Space-Time Smackdown'!$B$2:$B889)))</f>
        <v/>
      </c>
      <c r="X463" s="444" t="str">
        <f t="shared" si="3"/>
        <v/>
      </c>
      <c r="Y463" s="445" t="str">
        <f t="shared" si="4"/>
        <v/>
      </c>
      <c r="Z463" s="278"/>
      <c r="AA463" s="466"/>
      <c r="AB463" s="278"/>
      <c r="AC463" s="278"/>
      <c r="AD463" s="278"/>
      <c r="AE463" s="278"/>
      <c r="AF463" s="278"/>
      <c r="AG463" s="278" t="b">
        <f t="shared" si="5"/>
        <v>0</v>
      </c>
      <c r="AH463" s="454"/>
      <c r="AI463" s="278"/>
      <c r="AJ463" s="278"/>
      <c r="AK463" s="278"/>
      <c r="AL463" s="444" t="str">
        <f t="array" ref="AL463">IFERROR(IFS(OR(AJ463="A1-Mewtwo", AJ463="A1-Pikachu", AJ463="A1-Charizard", AJ463="A1"), XLOOKUP(AH463, 'Genetic Apex'!$C$2:$C889, 'Genetic Apex'!$B$2:$B889)-2, AJ463="A1a", XLOOKUP(AH463, 'Mythical Island'!$C$2:$C889, 'Mythical Island'!$B$2:$B889)-2, OR(AJ463="A2-Dialga", AJ463="A2-Palkia", AJ463="A2"), XLOOKUP(AH463, 'Space-Time Smackdown'!$C$2:$C889, 'Space-Time Smackdown'!$B$2:$B889)-2))</f>
        <v/>
      </c>
      <c r="AM463" s="444" t="str">
        <f t="shared" si="6"/>
        <v/>
      </c>
      <c r="AN463" s="448" t="str">
        <f t="shared" si="7"/>
        <v/>
      </c>
    </row>
    <row r="464">
      <c r="A464" s="277"/>
      <c r="B464" s="277"/>
      <c r="C464" s="441"/>
      <c r="D464" s="277"/>
      <c r="E464" s="277"/>
      <c r="F464" s="277"/>
      <c r="G464" s="277"/>
      <c r="H464" s="277" t="b">
        <f t="shared" si="1"/>
        <v>0</v>
      </c>
      <c r="I464" s="277" t="str">
        <f>IFERROR(__xludf.DUMMYFUNCTION("""COMPUTED_VALUE"""),"A2 087")</f>
        <v>A2 087</v>
      </c>
      <c r="J464" s="277" t="str">
        <f>IFERROR(__xludf.DUMMYFUNCTION("""COMPUTED_VALUE"""),"Regirock")</f>
        <v>Regirock</v>
      </c>
      <c r="K464" s="277" t="str">
        <f>IFERROR(__xludf.DUMMYFUNCTION("""COMPUTED_VALUE"""),"A2")</f>
        <v>A2</v>
      </c>
      <c r="L464" s="277" t="str">
        <f>IFERROR(__xludf.DUMMYFUNCTION("""COMPUTED_VALUE"""),"♢♢")</f>
        <v>♢♢</v>
      </c>
      <c r="M464" s="440" t="b">
        <f t="shared" si="2"/>
        <v>0</v>
      </c>
      <c r="N464" s="441"/>
      <c r="O464" s="277"/>
      <c r="P464" s="277"/>
      <c r="Q464" s="278"/>
      <c r="R464" s="449" t="str">
        <f t="array" ref="R464">IFERROR(IFS(OR(P464="A1-Mewtwo", P464="A1-Pikachu", P464="A1-Charizard", P464="A1"), XLOOKUP(N464, 'Genetic Apex'!$C$2:$C889, 'Genetic Apex'!$B$2:$B889)-$B$4, P464="A1a", XLOOKUP(N464, 'Mythical Island'!$C$2:$C889, 'Mythical Island'!$B$2:$B889)-$B$4, OR(P464="A2-Dialga", P464="A2-Palkia", P464="A2"), XLOOKUP(N464, 'Space-Time Smackdown'!$C$2:$C889, 'Space-Time Smackdown'!$B$2:$B889)-$B$4))</f>
        <v/>
      </c>
      <c r="S464" s="277"/>
      <c r="T464" s="277"/>
      <c r="U464" s="277"/>
      <c r="V464" s="278"/>
      <c r="W464" s="443" t="str">
        <f t="array" ref="W464">IFERROR(IFS(OR(U464="A1-Mewtwo", U464="A1-Pikachu", U464="A1-Charizard", U464="A1"), $B$5-XLOOKUP(S464, 'Genetic Apex'!$C$2:$C889, 'Genetic Apex'!$B$2:$B889), U464="A1a", $B$5-XLOOKUP(S464, 'Mythical Island'!$C$2:$C889, 'Mythical Island'!$B$2:$B889), OR(U464="A2-Dialga", U464="A2-Palkia", U464="A2"), $B$5-XLOOKUP(S464, 'Space-Time Smackdown'!$C$2:$C889, 'Space-Time Smackdown'!$B$2:$B889)))</f>
        <v/>
      </c>
      <c r="X464" s="444" t="str">
        <f t="shared" si="3"/>
        <v/>
      </c>
      <c r="Y464" s="445" t="str">
        <f t="shared" si="4"/>
        <v/>
      </c>
      <c r="Z464" s="278"/>
      <c r="AA464" s="466"/>
      <c r="AB464" s="278"/>
      <c r="AC464" s="278"/>
      <c r="AD464" s="278"/>
      <c r="AE464" s="278"/>
      <c r="AF464" s="278"/>
      <c r="AG464" s="278" t="b">
        <f t="shared" si="5"/>
        <v>0</v>
      </c>
      <c r="AH464" s="454"/>
      <c r="AI464" s="278"/>
      <c r="AJ464" s="278"/>
      <c r="AK464" s="278"/>
      <c r="AL464" s="444" t="str">
        <f t="array" ref="AL464">IFERROR(IFS(OR(AJ464="A1-Mewtwo", AJ464="A1-Pikachu", AJ464="A1-Charizard", AJ464="A1"), XLOOKUP(AH464, 'Genetic Apex'!$C$2:$C889, 'Genetic Apex'!$B$2:$B889)-2, AJ464="A1a", XLOOKUP(AH464, 'Mythical Island'!$C$2:$C889, 'Mythical Island'!$B$2:$B889)-2, OR(AJ464="A2-Dialga", AJ464="A2-Palkia", AJ464="A2"), XLOOKUP(AH464, 'Space-Time Smackdown'!$C$2:$C889, 'Space-Time Smackdown'!$B$2:$B889)-2))</f>
        <v/>
      </c>
      <c r="AM464" s="444" t="str">
        <f t="shared" si="6"/>
        <v/>
      </c>
      <c r="AN464" s="448" t="str">
        <f t="shared" si="7"/>
        <v/>
      </c>
    </row>
    <row r="465">
      <c r="A465" s="277"/>
      <c r="B465" s="277"/>
      <c r="C465" s="441"/>
      <c r="D465" s="277"/>
      <c r="E465" s="277"/>
      <c r="F465" s="277"/>
      <c r="G465" s="277"/>
      <c r="H465" s="277" t="b">
        <f t="shared" si="1"/>
        <v>0</v>
      </c>
      <c r="I465" s="277" t="str">
        <f>IFERROR(__xludf.DUMMYFUNCTION("""COMPUTED_VALUE"""),"A2 088")</f>
        <v>A2 088</v>
      </c>
      <c r="J465" s="277" t="str">
        <f>IFERROR(__xludf.DUMMYFUNCTION("""COMPUTED_VALUE"""),"Cranidos")</f>
        <v>Cranidos</v>
      </c>
      <c r="K465" s="277" t="str">
        <f>IFERROR(__xludf.DUMMYFUNCTION("""COMPUTED_VALUE"""),"A2-Dialga")</f>
        <v>A2-Dialga</v>
      </c>
      <c r="L465" s="277" t="str">
        <f>IFERROR(__xludf.DUMMYFUNCTION("""COMPUTED_VALUE"""),"♢♢")</f>
        <v>♢♢</v>
      </c>
      <c r="M465" s="440" t="b">
        <f t="shared" si="2"/>
        <v>0</v>
      </c>
      <c r="N465" s="441"/>
      <c r="O465" s="277"/>
      <c r="P465" s="277"/>
      <c r="Q465" s="278"/>
      <c r="R465" s="449" t="str">
        <f t="array" ref="R465">IFERROR(IFS(OR(P465="A1-Mewtwo", P465="A1-Pikachu", P465="A1-Charizard", P465="A1"), XLOOKUP(N465, 'Genetic Apex'!$C$2:$C889, 'Genetic Apex'!$B$2:$B889)-$B$4, P465="A1a", XLOOKUP(N465, 'Mythical Island'!$C$2:$C889, 'Mythical Island'!$B$2:$B889)-$B$4, OR(P465="A2-Dialga", P465="A2-Palkia", P465="A2"), XLOOKUP(N465, 'Space-Time Smackdown'!$C$2:$C889, 'Space-Time Smackdown'!$B$2:$B889)-$B$4))</f>
        <v/>
      </c>
      <c r="S465" s="277"/>
      <c r="T465" s="277"/>
      <c r="U465" s="277"/>
      <c r="V465" s="278"/>
      <c r="W465" s="443" t="str">
        <f t="array" ref="W465">IFERROR(IFS(OR(U465="A1-Mewtwo", U465="A1-Pikachu", U465="A1-Charizard", U465="A1"), $B$5-XLOOKUP(S465, 'Genetic Apex'!$C$2:$C889, 'Genetic Apex'!$B$2:$B889), U465="A1a", $B$5-XLOOKUP(S465, 'Mythical Island'!$C$2:$C889, 'Mythical Island'!$B$2:$B889), OR(U465="A2-Dialga", U465="A2-Palkia", U465="A2"), $B$5-XLOOKUP(S465, 'Space-Time Smackdown'!$C$2:$C889, 'Space-Time Smackdown'!$B$2:$B889)))</f>
        <v/>
      </c>
      <c r="X465" s="444" t="str">
        <f t="shared" si="3"/>
        <v/>
      </c>
      <c r="Y465" s="445" t="str">
        <f t="shared" si="4"/>
        <v/>
      </c>
      <c r="Z465" s="278"/>
      <c r="AA465" s="466"/>
      <c r="AB465" s="278"/>
      <c r="AC465" s="278"/>
      <c r="AD465" s="278"/>
      <c r="AE465" s="278"/>
      <c r="AF465" s="278"/>
      <c r="AG465" s="278" t="b">
        <f t="shared" si="5"/>
        <v>0</v>
      </c>
      <c r="AH465" s="454"/>
      <c r="AI465" s="278"/>
      <c r="AJ465" s="278"/>
      <c r="AK465" s="278"/>
      <c r="AL465" s="444" t="str">
        <f t="array" ref="AL465">IFERROR(IFS(OR(AJ465="A1-Mewtwo", AJ465="A1-Pikachu", AJ465="A1-Charizard", AJ465="A1"), XLOOKUP(AH465, 'Genetic Apex'!$C$2:$C889, 'Genetic Apex'!$B$2:$B889)-2, AJ465="A1a", XLOOKUP(AH465, 'Mythical Island'!$C$2:$C889, 'Mythical Island'!$B$2:$B889)-2, OR(AJ465="A2-Dialga", AJ465="A2-Palkia", AJ465="A2"), XLOOKUP(AH465, 'Space-Time Smackdown'!$C$2:$C889, 'Space-Time Smackdown'!$B$2:$B889)-2))</f>
        <v/>
      </c>
      <c r="AM465" s="444" t="str">
        <f t="shared" si="6"/>
        <v/>
      </c>
      <c r="AN465" s="448" t="str">
        <f t="shared" si="7"/>
        <v/>
      </c>
    </row>
    <row r="466">
      <c r="A466" s="277"/>
      <c r="B466" s="277"/>
      <c r="C466" s="441"/>
      <c r="D466" s="277"/>
      <c r="E466" s="277"/>
      <c r="F466" s="277"/>
      <c r="G466" s="277"/>
      <c r="H466" s="277" t="b">
        <f t="shared" si="1"/>
        <v>0</v>
      </c>
      <c r="I466" s="277" t="str">
        <f>IFERROR(__xludf.DUMMYFUNCTION("""COMPUTED_VALUE"""),"A2 089")</f>
        <v>A2 089</v>
      </c>
      <c r="J466" s="277" t="str">
        <f>IFERROR(__xludf.DUMMYFUNCTION("""COMPUTED_VALUE"""),"Rampardos")</f>
        <v>Rampardos</v>
      </c>
      <c r="K466" s="277" t="str">
        <f>IFERROR(__xludf.DUMMYFUNCTION("""COMPUTED_VALUE"""),"A2-Dialga")</f>
        <v>A2-Dialga</v>
      </c>
      <c r="L466" s="277" t="str">
        <f>IFERROR(__xludf.DUMMYFUNCTION("""COMPUTED_VALUE"""),"♢♢♢")</f>
        <v>♢♢♢</v>
      </c>
      <c r="M466" s="440" t="b">
        <f t="shared" si="2"/>
        <v>0</v>
      </c>
      <c r="N466" s="441"/>
      <c r="O466" s="277"/>
      <c r="P466" s="277"/>
      <c r="Q466" s="278"/>
      <c r="R466" s="449" t="str">
        <f t="array" ref="R466">IFERROR(IFS(OR(P466="A1-Mewtwo", P466="A1-Pikachu", P466="A1-Charizard", P466="A1"), XLOOKUP(N466, 'Genetic Apex'!$C$2:$C889, 'Genetic Apex'!$B$2:$B889)-$B$4, P466="A1a", XLOOKUP(N466, 'Mythical Island'!$C$2:$C889, 'Mythical Island'!$B$2:$B889)-$B$4, OR(P466="A2-Dialga", P466="A2-Palkia", P466="A2"), XLOOKUP(N466, 'Space-Time Smackdown'!$C$2:$C889, 'Space-Time Smackdown'!$B$2:$B889)-$B$4))</f>
        <v/>
      </c>
      <c r="S466" s="277"/>
      <c r="T466" s="277"/>
      <c r="U466" s="277"/>
      <c r="V466" s="278"/>
      <c r="W466" s="443" t="str">
        <f t="array" ref="W466">IFERROR(IFS(OR(U466="A1-Mewtwo", U466="A1-Pikachu", U466="A1-Charizard", U466="A1"), $B$5-XLOOKUP(S466, 'Genetic Apex'!$C$2:$C889, 'Genetic Apex'!$B$2:$B889), U466="A1a", $B$5-XLOOKUP(S466, 'Mythical Island'!$C$2:$C889, 'Mythical Island'!$B$2:$B889), OR(U466="A2-Dialga", U466="A2-Palkia", U466="A2"), $B$5-XLOOKUP(S466, 'Space-Time Smackdown'!$C$2:$C889, 'Space-Time Smackdown'!$B$2:$B889)))</f>
        <v/>
      </c>
      <c r="X466" s="444" t="str">
        <f t="shared" si="3"/>
        <v/>
      </c>
      <c r="Y466" s="445" t="str">
        <f t="shared" si="4"/>
        <v/>
      </c>
      <c r="Z466" s="278"/>
      <c r="AA466" s="466"/>
      <c r="AB466" s="278"/>
      <c r="AC466" s="278"/>
      <c r="AD466" s="278"/>
      <c r="AE466" s="278"/>
      <c r="AF466" s="278"/>
      <c r="AG466" s="278" t="b">
        <f t="shared" si="5"/>
        <v>0</v>
      </c>
      <c r="AH466" s="454"/>
      <c r="AI466" s="278"/>
      <c r="AJ466" s="278"/>
      <c r="AK466" s="278"/>
      <c r="AL466" s="444" t="str">
        <f t="array" ref="AL466">IFERROR(IFS(OR(AJ466="A1-Mewtwo", AJ466="A1-Pikachu", AJ466="A1-Charizard", AJ466="A1"), XLOOKUP(AH466, 'Genetic Apex'!$C$2:$C889, 'Genetic Apex'!$B$2:$B889)-2, AJ466="A1a", XLOOKUP(AH466, 'Mythical Island'!$C$2:$C889, 'Mythical Island'!$B$2:$B889)-2, OR(AJ466="A2-Dialga", AJ466="A2-Palkia", AJ466="A2"), XLOOKUP(AH466, 'Space-Time Smackdown'!$C$2:$C889, 'Space-Time Smackdown'!$B$2:$B889)-2))</f>
        <v/>
      </c>
      <c r="AM466" s="444" t="str">
        <f t="shared" si="6"/>
        <v/>
      </c>
      <c r="AN466" s="448" t="str">
        <f t="shared" si="7"/>
        <v/>
      </c>
    </row>
    <row r="467">
      <c r="A467" s="277"/>
      <c r="B467" s="277"/>
      <c r="C467" s="441"/>
      <c r="D467" s="277"/>
      <c r="E467" s="277"/>
      <c r="F467" s="277"/>
      <c r="G467" s="277"/>
      <c r="H467" s="277" t="b">
        <f t="shared" si="1"/>
        <v>0</v>
      </c>
      <c r="I467" s="277" t="str">
        <f>IFERROR(__xludf.DUMMYFUNCTION("""COMPUTED_VALUE"""),"A2 090")</f>
        <v>A2 090</v>
      </c>
      <c r="J467" s="277" t="str">
        <f>IFERROR(__xludf.DUMMYFUNCTION("""COMPUTED_VALUE"""),"Wormadam")</f>
        <v>Wormadam</v>
      </c>
      <c r="K467" s="277" t="str">
        <f>IFERROR(__xludf.DUMMYFUNCTION("""COMPUTED_VALUE"""),"A2-Dialga")</f>
        <v>A2-Dialga</v>
      </c>
      <c r="L467" s="277" t="str">
        <f>IFERROR(__xludf.DUMMYFUNCTION("""COMPUTED_VALUE"""),"♢")</f>
        <v>♢</v>
      </c>
      <c r="M467" s="440" t="b">
        <f t="shared" si="2"/>
        <v>0</v>
      </c>
      <c r="N467" s="441"/>
      <c r="O467" s="277"/>
      <c r="P467" s="277"/>
      <c r="Q467" s="278"/>
      <c r="R467" s="449" t="str">
        <f t="array" ref="R467">IFERROR(IFS(OR(P467="A1-Mewtwo", P467="A1-Pikachu", P467="A1-Charizard", P467="A1"), XLOOKUP(N467, 'Genetic Apex'!$C$2:$C889, 'Genetic Apex'!$B$2:$B889)-$B$4, P467="A1a", XLOOKUP(N467, 'Mythical Island'!$C$2:$C889, 'Mythical Island'!$B$2:$B889)-$B$4, OR(P467="A2-Dialga", P467="A2-Palkia", P467="A2"), XLOOKUP(N467, 'Space-Time Smackdown'!$C$2:$C889, 'Space-Time Smackdown'!$B$2:$B889)-$B$4))</f>
        <v/>
      </c>
      <c r="S467" s="277"/>
      <c r="T467" s="277"/>
      <c r="U467" s="277"/>
      <c r="V467" s="278"/>
      <c r="W467" s="443" t="str">
        <f t="array" ref="W467">IFERROR(IFS(OR(U467="A1-Mewtwo", U467="A1-Pikachu", U467="A1-Charizard", U467="A1"), $B$5-XLOOKUP(S467, 'Genetic Apex'!$C$2:$C889, 'Genetic Apex'!$B$2:$B889), U467="A1a", $B$5-XLOOKUP(S467, 'Mythical Island'!$C$2:$C889, 'Mythical Island'!$B$2:$B889), OR(U467="A2-Dialga", U467="A2-Palkia", U467="A2"), $B$5-XLOOKUP(S467, 'Space-Time Smackdown'!$C$2:$C889, 'Space-Time Smackdown'!$B$2:$B889)))</f>
        <v/>
      </c>
      <c r="X467" s="444" t="str">
        <f t="shared" si="3"/>
        <v/>
      </c>
      <c r="Y467" s="445" t="str">
        <f t="shared" si="4"/>
        <v/>
      </c>
      <c r="Z467" s="278"/>
      <c r="AA467" s="466"/>
      <c r="AB467" s="278"/>
      <c r="AC467" s="278"/>
      <c r="AD467" s="278"/>
      <c r="AE467" s="278"/>
      <c r="AF467" s="278"/>
      <c r="AG467" s="278" t="b">
        <f t="shared" si="5"/>
        <v>0</v>
      </c>
      <c r="AH467" s="454"/>
      <c r="AI467" s="278"/>
      <c r="AJ467" s="278"/>
      <c r="AK467" s="278"/>
      <c r="AL467" s="444" t="str">
        <f t="array" ref="AL467">IFERROR(IFS(OR(AJ467="A1-Mewtwo", AJ467="A1-Pikachu", AJ467="A1-Charizard", AJ467="A1"), XLOOKUP(AH467, 'Genetic Apex'!$C$2:$C889, 'Genetic Apex'!$B$2:$B889)-2, AJ467="A1a", XLOOKUP(AH467, 'Mythical Island'!$C$2:$C889, 'Mythical Island'!$B$2:$B889)-2, OR(AJ467="A2-Dialga", AJ467="A2-Palkia", AJ467="A2"), XLOOKUP(AH467, 'Space-Time Smackdown'!$C$2:$C889, 'Space-Time Smackdown'!$B$2:$B889)-2))</f>
        <v/>
      </c>
      <c r="AM467" s="444" t="str">
        <f t="shared" si="6"/>
        <v/>
      </c>
      <c r="AN467" s="448" t="str">
        <f t="shared" si="7"/>
        <v/>
      </c>
    </row>
    <row r="468">
      <c r="A468" s="277"/>
      <c r="B468" s="277"/>
      <c r="C468" s="441"/>
      <c r="D468" s="277"/>
      <c r="E468" s="277"/>
      <c r="F468" s="277"/>
      <c r="G468" s="277"/>
      <c r="H468" s="277" t="b">
        <f t="shared" si="1"/>
        <v>0</v>
      </c>
      <c r="I468" s="277" t="str">
        <f>IFERROR(__xludf.DUMMYFUNCTION("""COMPUTED_VALUE"""),"A2 091")</f>
        <v>A2 091</v>
      </c>
      <c r="J468" s="277" t="str">
        <f>IFERROR(__xludf.DUMMYFUNCTION("""COMPUTED_VALUE"""),"Riolu")</f>
        <v>Riolu</v>
      </c>
      <c r="K468" s="277" t="str">
        <f>IFERROR(__xludf.DUMMYFUNCTION("""COMPUTED_VALUE"""),"A2-Dialga")</f>
        <v>A2-Dialga</v>
      </c>
      <c r="L468" s="277" t="str">
        <f>IFERROR(__xludf.DUMMYFUNCTION("""COMPUTED_VALUE"""),"♢")</f>
        <v>♢</v>
      </c>
      <c r="M468" s="440" t="b">
        <f t="shared" si="2"/>
        <v>0</v>
      </c>
      <c r="N468" s="441"/>
      <c r="O468" s="277"/>
      <c r="P468" s="277"/>
      <c r="Q468" s="278"/>
      <c r="R468" s="449" t="str">
        <f t="array" ref="R468">IFERROR(IFS(OR(P468="A1-Mewtwo", P468="A1-Pikachu", P468="A1-Charizard", P468="A1"), XLOOKUP(N468, 'Genetic Apex'!$C$2:$C889, 'Genetic Apex'!$B$2:$B889)-$B$4, P468="A1a", XLOOKUP(N468, 'Mythical Island'!$C$2:$C889, 'Mythical Island'!$B$2:$B889)-$B$4, OR(P468="A2-Dialga", P468="A2-Palkia", P468="A2"), XLOOKUP(N468, 'Space-Time Smackdown'!$C$2:$C889, 'Space-Time Smackdown'!$B$2:$B889)-$B$4))</f>
        <v/>
      </c>
      <c r="S468" s="277"/>
      <c r="T468" s="277"/>
      <c r="U468" s="277"/>
      <c r="V468" s="278"/>
      <c r="W468" s="443" t="str">
        <f t="array" ref="W468">IFERROR(IFS(OR(U468="A1-Mewtwo", U468="A1-Pikachu", U468="A1-Charizard", U468="A1"), $B$5-XLOOKUP(S468, 'Genetic Apex'!$C$2:$C889, 'Genetic Apex'!$B$2:$B889), U468="A1a", $B$5-XLOOKUP(S468, 'Mythical Island'!$C$2:$C889, 'Mythical Island'!$B$2:$B889), OR(U468="A2-Dialga", U468="A2-Palkia", U468="A2"), $B$5-XLOOKUP(S468, 'Space-Time Smackdown'!$C$2:$C889, 'Space-Time Smackdown'!$B$2:$B889)))</f>
        <v/>
      </c>
      <c r="X468" s="444" t="str">
        <f t="shared" si="3"/>
        <v/>
      </c>
      <c r="Y468" s="445" t="str">
        <f t="shared" si="4"/>
        <v/>
      </c>
      <c r="Z468" s="278"/>
      <c r="AA468" s="466"/>
      <c r="AB468" s="278"/>
      <c r="AC468" s="278"/>
      <c r="AD468" s="278"/>
      <c r="AE468" s="278"/>
      <c r="AF468" s="278"/>
      <c r="AG468" s="278" t="b">
        <f t="shared" si="5"/>
        <v>0</v>
      </c>
      <c r="AH468" s="454"/>
      <c r="AI468" s="278"/>
      <c r="AJ468" s="278"/>
      <c r="AK468" s="278"/>
      <c r="AL468" s="444" t="str">
        <f t="array" ref="AL468">IFERROR(IFS(OR(AJ468="A1-Mewtwo", AJ468="A1-Pikachu", AJ468="A1-Charizard", AJ468="A1"), XLOOKUP(AH468, 'Genetic Apex'!$C$2:$C889, 'Genetic Apex'!$B$2:$B889)-2, AJ468="A1a", XLOOKUP(AH468, 'Mythical Island'!$C$2:$C889, 'Mythical Island'!$B$2:$B889)-2, OR(AJ468="A2-Dialga", AJ468="A2-Palkia", AJ468="A2"), XLOOKUP(AH468, 'Space-Time Smackdown'!$C$2:$C889, 'Space-Time Smackdown'!$B$2:$B889)-2))</f>
        <v/>
      </c>
      <c r="AM468" s="444" t="str">
        <f t="shared" si="6"/>
        <v/>
      </c>
      <c r="AN468" s="448" t="str">
        <f t="shared" si="7"/>
        <v/>
      </c>
    </row>
    <row r="469">
      <c r="A469" s="277"/>
      <c r="B469" s="277"/>
      <c r="C469" s="441"/>
      <c r="D469" s="277"/>
      <c r="E469" s="277"/>
      <c r="F469" s="277"/>
      <c r="G469" s="277"/>
      <c r="H469" s="277" t="b">
        <f t="shared" si="1"/>
        <v>0</v>
      </c>
      <c r="I469" s="277" t="str">
        <f>IFERROR(__xludf.DUMMYFUNCTION("""COMPUTED_VALUE"""),"A2 092")</f>
        <v>A2 092</v>
      </c>
      <c r="J469" s="277" t="str">
        <f>IFERROR(__xludf.DUMMYFUNCTION("""COMPUTED_VALUE"""),"Lucario")</f>
        <v>Lucario</v>
      </c>
      <c r="K469" s="277" t="str">
        <f>IFERROR(__xludf.DUMMYFUNCTION("""COMPUTED_VALUE"""),"A2-Dialga")</f>
        <v>A2-Dialga</v>
      </c>
      <c r="L469" s="277" t="str">
        <f>IFERROR(__xludf.DUMMYFUNCTION("""COMPUTED_VALUE"""),"♢♢♢")</f>
        <v>♢♢♢</v>
      </c>
      <c r="M469" s="440" t="b">
        <f t="shared" si="2"/>
        <v>0</v>
      </c>
      <c r="N469" s="441"/>
      <c r="O469" s="277"/>
      <c r="P469" s="277"/>
      <c r="Q469" s="278"/>
      <c r="R469" s="449" t="str">
        <f t="array" ref="R469">IFERROR(IFS(OR(P469="A1-Mewtwo", P469="A1-Pikachu", P469="A1-Charizard", P469="A1"), XLOOKUP(N469, 'Genetic Apex'!$C$2:$C889, 'Genetic Apex'!$B$2:$B889)-$B$4, P469="A1a", XLOOKUP(N469, 'Mythical Island'!$C$2:$C889, 'Mythical Island'!$B$2:$B889)-$B$4, OR(P469="A2-Dialga", P469="A2-Palkia", P469="A2"), XLOOKUP(N469, 'Space-Time Smackdown'!$C$2:$C889, 'Space-Time Smackdown'!$B$2:$B889)-$B$4))</f>
        <v/>
      </c>
      <c r="S469" s="277"/>
      <c r="T469" s="277"/>
      <c r="U469" s="277"/>
      <c r="V469" s="278"/>
      <c r="W469" s="443" t="str">
        <f t="array" ref="W469">IFERROR(IFS(OR(U469="A1-Mewtwo", U469="A1-Pikachu", U469="A1-Charizard", U469="A1"), $B$5-XLOOKUP(S469, 'Genetic Apex'!$C$2:$C889, 'Genetic Apex'!$B$2:$B889), U469="A1a", $B$5-XLOOKUP(S469, 'Mythical Island'!$C$2:$C889, 'Mythical Island'!$B$2:$B889), OR(U469="A2-Dialga", U469="A2-Palkia", U469="A2"), $B$5-XLOOKUP(S469, 'Space-Time Smackdown'!$C$2:$C889, 'Space-Time Smackdown'!$B$2:$B889)))</f>
        <v/>
      </c>
      <c r="X469" s="444" t="str">
        <f t="shared" si="3"/>
        <v/>
      </c>
      <c r="Y469" s="445" t="str">
        <f t="shared" si="4"/>
        <v/>
      </c>
      <c r="Z469" s="278"/>
      <c r="AA469" s="466"/>
      <c r="AB469" s="278"/>
      <c r="AC469" s="278"/>
      <c r="AD469" s="278"/>
      <c r="AE469" s="278"/>
      <c r="AF469" s="278"/>
      <c r="AG469" s="278" t="b">
        <f t="shared" si="5"/>
        <v>0</v>
      </c>
      <c r="AH469" s="454"/>
      <c r="AI469" s="278"/>
      <c r="AJ469" s="278"/>
      <c r="AK469" s="278"/>
      <c r="AL469" s="444" t="str">
        <f t="array" ref="AL469">IFERROR(IFS(OR(AJ469="A1-Mewtwo", AJ469="A1-Pikachu", AJ469="A1-Charizard", AJ469="A1"), XLOOKUP(AH469, 'Genetic Apex'!$C$2:$C889, 'Genetic Apex'!$B$2:$B889)-2, AJ469="A1a", XLOOKUP(AH469, 'Mythical Island'!$C$2:$C889, 'Mythical Island'!$B$2:$B889)-2, OR(AJ469="A2-Dialga", AJ469="A2-Palkia", AJ469="A2"), XLOOKUP(AH469, 'Space-Time Smackdown'!$C$2:$C889, 'Space-Time Smackdown'!$B$2:$B889)-2))</f>
        <v/>
      </c>
      <c r="AM469" s="444" t="str">
        <f t="shared" si="6"/>
        <v/>
      </c>
      <c r="AN469" s="448" t="str">
        <f t="shared" si="7"/>
        <v/>
      </c>
    </row>
    <row r="470">
      <c r="A470" s="277"/>
      <c r="B470" s="277"/>
      <c r="C470" s="441"/>
      <c r="D470" s="277"/>
      <c r="E470" s="277"/>
      <c r="F470" s="277"/>
      <c r="G470" s="277"/>
      <c r="H470" s="277" t="b">
        <f t="shared" si="1"/>
        <v>0</v>
      </c>
      <c r="I470" s="277" t="str">
        <f>IFERROR(__xludf.DUMMYFUNCTION("""COMPUTED_VALUE"""),"A2 093")</f>
        <v>A2 093</v>
      </c>
      <c r="J470" s="277" t="str">
        <f>IFERROR(__xludf.DUMMYFUNCTION("""COMPUTED_VALUE"""),"Hippopotas")</f>
        <v>Hippopotas</v>
      </c>
      <c r="K470" s="277" t="str">
        <f>IFERROR(__xludf.DUMMYFUNCTION("""COMPUTED_VALUE"""),"A2-Palkia")</f>
        <v>A2-Palkia</v>
      </c>
      <c r="L470" s="277" t="str">
        <f>IFERROR(__xludf.DUMMYFUNCTION("""COMPUTED_VALUE"""),"♢")</f>
        <v>♢</v>
      </c>
      <c r="M470" s="440" t="b">
        <f t="shared" si="2"/>
        <v>0</v>
      </c>
      <c r="N470" s="441"/>
      <c r="O470" s="277"/>
      <c r="P470" s="277"/>
      <c r="Q470" s="278"/>
      <c r="R470" s="449" t="str">
        <f t="array" ref="R470">IFERROR(IFS(OR(P470="A1-Mewtwo", P470="A1-Pikachu", P470="A1-Charizard", P470="A1"), XLOOKUP(N470, 'Genetic Apex'!$C$2:$C889, 'Genetic Apex'!$B$2:$B889)-$B$4, P470="A1a", XLOOKUP(N470, 'Mythical Island'!$C$2:$C889, 'Mythical Island'!$B$2:$B889)-$B$4, OR(P470="A2-Dialga", P470="A2-Palkia", P470="A2"), XLOOKUP(N470, 'Space-Time Smackdown'!$C$2:$C889, 'Space-Time Smackdown'!$B$2:$B889)-$B$4))</f>
        <v/>
      </c>
      <c r="S470" s="277"/>
      <c r="T470" s="277"/>
      <c r="U470" s="277"/>
      <c r="V470" s="278"/>
      <c r="W470" s="443" t="str">
        <f t="array" ref="W470">IFERROR(IFS(OR(U470="A1-Mewtwo", U470="A1-Pikachu", U470="A1-Charizard", U470="A1"), $B$5-XLOOKUP(S470, 'Genetic Apex'!$C$2:$C889, 'Genetic Apex'!$B$2:$B889), U470="A1a", $B$5-XLOOKUP(S470, 'Mythical Island'!$C$2:$C889, 'Mythical Island'!$B$2:$B889), OR(U470="A2-Dialga", U470="A2-Palkia", U470="A2"), $B$5-XLOOKUP(S470, 'Space-Time Smackdown'!$C$2:$C889, 'Space-Time Smackdown'!$B$2:$B889)))</f>
        <v/>
      </c>
      <c r="X470" s="444" t="str">
        <f t="shared" si="3"/>
        <v/>
      </c>
      <c r="Y470" s="445" t="str">
        <f t="shared" si="4"/>
        <v/>
      </c>
      <c r="Z470" s="278"/>
      <c r="AA470" s="466"/>
      <c r="AB470" s="278"/>
      <c r="AC470" s="278"/>
      <c r="AD470" s="278"/>
      <c r="AE470" s="278"/>
      <c r="AF470" s="278"/>
      <c r="AG470" s="278" t="b">
        <f t="shared" si="5"/>
        <v>0</v>
      </c>
      <c r="AH470" s="454"/>
      <c r="AI470" s="278"/>
      <c r="AJ470" s="278"/>
      <c r="AK470" s="278"/>
      <c r="AL470" s="444" t="str">
        <f t="array" ref="AL470">IFERROR(IFS(OR(AJ470="A1-Mewtwo", AJ470="A1-Pikachu", AJ470="A1-Charizard", AJ470="A1"), XLOOKUP(AH470, 'Genetic Apex'!$C$2:$C889, 'Genetic Apex'!$B$2:$B889)-2, AJ470="A1a", XLOOKUP(AH470, 'Mythical Island'!$C$2:$C889, 'Mythical Island'!$B$2:$B889)-2, OR(AJ470="A2-Dialga", AJ470="A2-Palkia", AJ470="A2"), XLOOKUP(AH470, 'Space-Time Smackdown'!$C$2:$C889, 'Space-Time Smackdown'!$B$2:$B889)-2))</f>
        <v/>
      </c>
      <c r="AM470" s="444" t="str">
        <f t="shared" si="6"/>
        <v/>
      </c>
      <c r="AN470" s="448" t="str">
        <f t="shared" si="7"/>
        <v/>
      </c>
    </row>
    <row r="471">
      <c r="A471" s="277"/>
      <c r="B471" s="277"/>
      <c r="C471" s="441"/>
      <c r="D471" s="277"/>
      <c r="E471" s="277"/>
      <c r="F471" s="277"/>
      <c r="G471" s="277"/>
      <c r="H471" s="277" t="b">
        <f t="shared" si="1"/>
        <v>0</v>
      </c>
      <c r="I471" s="277" t="str">
        <f>IFERROR(__xludf.DUMMYFUNCTION("""COMPUTED_VALUE"""),"A2 094")</f>
        <v>A2 094</v>
      </c>
      <c r="J471" s="277" t="str">
        <f>IFERROR(__xludf.DUMMYFUNCTION("""COMPUTED_VALUE"""),"Hippowdon")</f>
        <v>Hippowdon</v>
      </c>
      <c r="K471" s="277" t="str">
        <f>IFERROR(__xludf.DUMMYFUNCTION("""COMPUTED_VALUE"""),"A2-Palkia")</f>
        <v>A2-Palkia</v>
      </c>
      <c r="L471" s="277" t="str">
        <f>IFERROR(__xludf.DUMMYFUNCTION("""COMPUTED_VALUE"""),"♢♢")</f>
        <v>♢♢</v>
      </c>
      <c r="M471" s="440" t="b">
        <f t="shared" si="2"/>
        <v>0</v>
      </c>
      <c r="N471" s="441"/>
      <c r="O471" s="277"/>
      <c r="P471" s="277"/>
      <c r="Q471" s="278"/>
      <c r="R471" s="449" t="str">
        <f t="array" ref="R471">IFERROR(IFS(OR(P471="A1-Mewtwo", P471="A1-Pikachu", P471="A1-Charizard", P471="A1"), XLOOKUP(N471, 'Genetic Apex'!$C$2:$C889, 'Genetic Apex'!$B$2:$B889)-$B$4, P471="A1a", XLOOKUP(N471, 'Mythical Island'!$C$2:$C889, 'Mythical Island'!$B$2:$B889)-$B$4, OR(P471="A2-Dialga", P471="A2-Palkia", P471="A2"), XLOOKUP(N471, 'Space-Time Smackdown'!$C$2:$C889, 'Space-Time Smackdown'!$B$2:$B889)-$B$4))</f>
        <v/>
      </c>
      <c r="S471" s="277"/>
      <c r="T471" s="277"/>
      <c r="U471" s="277"/>
      <c r="V471" s="278"/>
      <c r="W471" s="443" t="str">
        <f t="array" ref="W471">IFERROR(IFS(OR(U471="A1-Mewtwo", U471="A1-Pikachu", U471="A1-Charizard", U471="A1"), $B$5-XLOOKUP(S471, 'Genetic Apex'!$C$2:$C889, 'Genetic Apex'!$B$2:$B889), U471="A1a", $B$5-XLOOKUP(S471, 'Mythical Island'!$C$2:$C889, 'Mythical Island'!$B$2:$B889), OR(U471="A2-Dialga", U471="A2-Palkia", U471="A2"), $B$5-XLOOKUP(S471, 'Space-Time Smackdown'!$C$2:$C889, 'Space-Time Smackdown'!$B$2:$B889)))</f>
        <v/>
      </c>
      <c r="X471" s="444" t="str">
        <f t="shared" si="3"/>
        <v/>
      </c>
      <c r="Y471" s="445" t="str">
        <f t="shared" si="4"/>
        <v/>
      </c>
      <c r="Z471" s="278"/>
      <c r="AA471" s="466"/>
      <c r="AB471" s="278"/>
      <c r="AC471" s="278"/>
      <c r="AD471" s="278"/>
      <c r="AE471" s="278"/>
      <c r="AF471" s="278"/>
      <c r="AG471" s="278" t="b">
        <f t="shared" si="5"/>
        <v>0</v>
      </c>
      <c r="AH471" s="454"/>
      <c r="AI471" s="278"/>
      <c r="AJ471" s="278"/>
      <c r="AK471" s="278"/>
      <c r="AL471" s="444" t="str">
        <f t="array" ref="AL471">IFERROR(IFS(OR(AJ471="A1-Mewtwo", AJ471="A1-Pikachu", AJ471="A1-Charizard", AJ471="A1"), XLOOKUP(AH471, 'Genetic Apex'!$C$2:$C889, 'Genetic Apex'!$B$2:$B889)-2, AJ471="A1a", XLOOKUP(AH471, 'Mythical Island'!$C$2:$C889, 'Mythical Island'!$B$2:$B889)-2, OR(AJ471="A2-Dialga", AJ471="A2-Palkia", AJ471="A2"), XLOOKUP(AH471, 'Space-Time Smackdown'!$C$2:$C889, 'Space-Time Smackdown'!$B$2:$B889)-2))</f>
        <v/>
      </c>
      <c r="AM471" s="444" t="str">
        <f t="shared" si="6"/>
        <v/>
      </c>
      <c r="AN471" s="448" t="str">
        <f t="shared" si="7"/>
        <v/>
      </c>
    </row>
    <row r="472">
      <c r="A472" s="277"/>
      <c r="B472" s="277"/>
      <c r="C472" s="441"/>
      <c r="D472" s="277"/>
      <c r="E472" s="277"/>
      <c r="F472" s="277"/>
      <c r="G472" s="277"/>
      <c r="H472" s="277" t="b">
        <f t="shared" si="1"/>
        <v>0</v>
      </c>
      <c r="I472" s="277" t="str">
        <f>IFERROR(__xludf.DUMMYFUNCTION("""COMPUTED_VALUE"""),"A2 095")</f>
        <v>A2 095</v>
      </c>
      <c r="J472" s="277" t="str">
        <f>IFERROR(__xludf.DUMMYFUNCTION("""COMPUTED_VALUE"""),"Gallade ex")</f>
        <v>Gallade ex</v>
      </c>
      <c r="K472" s="277" t="str">
        <f>IFERROR(__xludf.DUMMYFUNCTION("""COMPUTED_VALUE"""),"A2-Dialga")</f>
        <v>A2-Dialga</v>
      </c>
      <c r="L472" s="277" t="str">
        <f>IFERROR(__xludf.DUMMYFUNCTION("""COMPUTED_VALUE"""),"♢♢♢♢")</f>
        <v>♢♢♢♢</v>
      </c>
      <c r="M472" s="440" t="b">
        <f t="shared" si="2"/>
        <v>0</v>
      </c>
      <c r="N472" s="441"/>
      <c r="O472" s="277"/>
      <c r="P472" s="277"/>
      <c r="Q472" s="278"/>
      <c r="R472" s="449" t="str">
        <f t="array" ref="R472">IFERROR(IFS(OR(P472="A1-Mewtwo", P472="A1-Pikachu", P472="A1-Charizard", P472="A1"), XLOOKUP(N472, 'Genetic Apex'!$C$2:$C889, 'Genetic Apex'!$B$2:$B889)-$B$4, P472="A1a", XLOOKUP(N472, 'Mythical Island'!$C$2:$C889, 'Mythical Island'!$B$2:$B889)-$B$4, OR(P472="A2-Dialga", P472="A2-Palkia", P472="A2"), XLOOKUP(N472, 'Space-Time Smackdown'!$C$2:$C889, 'Space-Time Smackdown'!$B$2:$B889)-$B$4))</f>
        <v/>
      </c>
      <c r="S472" s="277"/>
      <c r="T472" s="277"/>
      <c r="U472" s="277"/>
      <c r="V472" s="278"/>
      <c r="W472" s="443" t="str">
        <f t="array" ref="W472">IFERROR(IFS(OR(U472="A1-Mewtwo", U472="A1-Pikachu", U472="A1-Charizard", U472="A1"), $B$5-XLOOKUP(S472, 'Genetic Apex'!$C$2:$C889, 'Genetic Apex'!$B$2:$B889), U472="A1a", $B$5-XLOOKUP(S472, 'Mythical Island'!$C$2:$C889, 'Mythical Island'!$B$2:$B889), OR(U472="A2-Dialga", U472="A2-Palkia", U472="A2"), $B$5-XLOOKUP(S472, 'Space-Time Smackdown'!$C$2:$C889, 'Space-Time Smackdown'!$B$2:$B889)))</f>
        <v/>
      </c>
      <c r="X472" s="444" t="str">
        <f t="shared" si="3"/>
        <v/>
      </c>
      <c r="Y472" s="445" t="str">
        <f t="shared" si="4"/>
        <v/>
      </c>
      <c r="Z472" s="278"/>
      <c r="AA472" s="466"/>
      <c r="AB472" s="278"/>
      <c r="AC472" s="278"/>
      <c r="AD472" s="278"/>
      <c r="AE472" s="278"/>
      <c r="AF472" s="278"/>
      <c r="AG472" s="278" t="b">
        <f t="shared" si="5"/>
        <v>0</v>
      </c>
      <c r="AH472" s="454"/>
      <c r="AI472" s="278"/>
      <c r="AJ472" s="278"/>
      <c r="AK472" s="278"/>
      <c r="AL472" s="444" t="str">
        <f t="array" ref="AL472">IFERROR(IFS(OR(AJ472="A1-Mewtwo", AJ472="A1-Pikachu", AJ472="A1-Charizard", AJ472="A1"), XLOOKUP(AH472, 'Genetic Apex'!$C$2:$C889, 'Genetic Apex'!$B$2:$B889)-2, AJ472="A1a", XLOOKUP(AH472, 'Mythical Island'!$C$2:$C889, 'Mythical Island'!$B$2:$B889)-2, OR(AJ472="A2-Dialga", AJ472="A2-Palkia", AJ472="A2"), XLOOKUP(AH472, 'Space-Time Smackdown'!$C$2:$C889, 'Space-Time Smackdown'!$B$2:$B889)-2))</f>
        <v/>
      </c>
      <c r="AM472" s="444" t="str">
        <f t="shared" si="6"/>
        <v/>
      </c>
      <c r="AN472" s="448" t="str">
        <f t="shared" si="7"/>
        <v/>
      </c>
    </row>
    <row r="473">
      <c r="A473" s="277"/>
      <c r="B473" s="277"/>
      <c r="C473" s="441"/>
      <c r="D473" s="277"/>
      <c r="E473" s="277"/>
      <c r="F473" s="277"/>
      <c r="G473" s="277"/>
      <c r="H473" s="277" t="b">
        <f t="shared" si="1"/>
        <v>0</v>
      </c>
      <c r="I473" s="277" t="str">
        <f>IFERROR(__xludf.DUMMYFUNCTION("""COMPUTED_VALUE"""),"A2 096")</f>
        <v>A2 096</v>
      </c>
      <c r="J473" s="277" t="str">
        <f>IFERROR(__xludf.DUMMYFUNCTION("""COMPUTED_VALUE"""),"Murkrow")</f>
        <v>Murkrow</v>
      </c>
      <c r="K473" s="277" t="str">
        <f>IFERROR(__xludf.DUMMYFUNCTION("""COMPUTED_VALUE"""),"A2-Dialga")</f>
        <v>A2-Dialga</v>
      </c>
      <c r="L473" s="277" t="str">
        <f>IFERROR(__xludf.DUMMYFUNCTION("""COMPUTED_VALUE"""),"♢")</f>
        <v>♢</v>
      </c>
      <c r="M473" s="440" t="b">
        <f t="shared" si="2"/>
        <v>0</v>
      </c>
      <c r="N473" s="441"/>
      <c r="O473" s="277"/>
      <c r="P473" s="277"/>
      <c r="Q473" s="278"/>
      <c r="R473" s="449" t="str">
        <f t="array" ref="R473">IFERROR(IFS(OR(P473="A1-Mewtwo", P473="A1-Pikachu", P473="A1-Charizard", P473="A1"), XLOOKUP(N473, 'Genetic Apex'!$C$2:$C889, 'Genetic Apex'!$B$2:$B889)-$B$4, P473="A1a", XLOOKUP(N473, 'Mythical Island'!$C$2:$C889, 'Mythical Island'!$B$2:$B889)-$B$4, OR(P473="A2-Dialga", P473="A2-Palkia", P473="A2"), XLOOKUP(N473, 'Space-Time Smackdown'!$C$2:$C889, 'Space-Time Smackdown'!$B$2:$B889)-$B$4))</f>
        <v/>
      </c>
      <c r="S473" s="277"/>
      <c r="T473" s="277"/>
      <c r="U473" s="277"/>
      <c r="V473" s="278"/>
      <c r="W473" s="443" t="str">
        <f t="array" ref="W473">IFERROR(IFS(OR(U473="A1-Mewtwo", U473="A1-Pikachu", U473="A1-Charizard", U473="A1"), $B$5-XLOOKUP(S473, 'Genetic Apex'!$C$2:$C889, 'Genetic Apex'!$B$2:$B889), U473="A1a", $B$5-XLOOKUP(S473, 'Mythical Island'!$C$2:$C889, 'Mythical Island'!$B$2:$B889), OR(U473="A2-Dialga", U473="A2-Palkia", U473="A2"), $B$5-XLOOKUP(S473, 'Space-Time Smackdown'!$C$2:$C889, 'Space-Time Smackdown'!$B$2:$B889)))</f>
        <v/>
      </c>
      <c r="X473" s="444" t="str">
        <f t="shared" si="3"/>
        <v/>
      </c>
      <c r="Y473" s="445" t="str">
        <f t="shared" si="4"/>
        <v/>
      </c>
      <c r="Z473" s="278"/>
      <c r="AA473" s="466"/>
      <c r="AB473" s="278"/>
      <c r="AC473" s="278"/>
      <c r="AD473" s="278"/>
      <c r="AE473" s="278"/>
      <c r="AF473" s="278"/>
      <c r="AG473" s="278" t="b">
        <f t="shared" si="5"/>
        <v>0</v>
      </c>
      <c r="AH473" s="454"/>
      <c r="AI473" s="278"/>
      <c r="AJ473" s="278"/>
      <c r="AK473" s="278"/>
      <c r="AL473" s="444" t="str">
        <f t="array" ref="AL473">IFERROR(IFS(OR(AJ473="A1-Mewtwo", AJ473="A1-Pikachu", AJ473="A1-Charizard", AJ473="A1"), XLOOKUP(AH473, 'Genetic Apex'!$C$2:$C889, 'Genetic Apex'!$B$2:$B889)-2, AJ473="A1a", XLOOKUP(AH473, 'Mythical Island'!$C$2:$C889, 'Mythical Island'!$B$2:$B889)-2, OR(AJ473="A2-Dialga", AJ473="A2-Palkia", AJ473="A2"), XLOOKUP(AH473, 'Space-Time Smackdown'!$C$2:$C889, 'Space-Time Smackdown'!$B$2:$B889)-2))</f>
        <v/>
      </c>
      <c r="AM473" s="444" t="str">
        <f t="shared" si="6"/>
        <v/>
      </c>
      <c r="AN473" s="448" t="str">
        <f t="shared" si="7"/>
        <v/>
      </c>
    </row>
    <row r="474">
      <c r="A474" s="277"/>
      <c r="B474" s="277"/>
      <c r="C474" s="441"/>
      <c r="D474" s="277"/>
      <c r="E474" s="277"/>
      <c r="F474" s="277"/>
      <c r="G474" s="277"/>
      <c r="H474" s="277" t="b">
        <f t="shared" si="1"/>
        <v>0</v>
      </c>
      <c r="I474" s="277" t="str">
        <f>IFERROR(__xludf.DUMMYFUNCTION("""COMPUTED_VALUE"""),"A2 097")</f>
        <v>A2 097</v>
      </c>
      <c r="J474" s="277" t="str">
        <f>IFERROR(__xludf.DUMMYFUNCTION("""COMPUTED_VALUE"""),"Honchkrow")</f>
        <v>Honchkrow</v>
      </c>
      <c r="K474" s="277" t="str">
        <f>IFERROR(__xludf.DUMMYFUNCTION("""COMPUTED_VALUE"""),"A2-Dialga")</f>
        <v>A2-Dialga</v>
      </c>
      <c r="L474" s="277" t="str">
        <f>IFERROR(__xludf.DUMMYFUNCTION("""COMPUTED_VALUE"""),"♢♢")</f>
        <v>♢♢</v>
      </c>
      <c r="M474" s="440" t="b">
        <f t="shared" si="2"/>
        <v>0</v>
      </c>
      <c r="N474" s="441"/>
      <c r="O474" s="277"/>
      <c r="P474" s="277"/>
      <c r="Q474" s="278"/>
      <c r="R474" s="449" t="str">
        <f t="array" ref="R474">IFERROR(IFS(OR(P474="A1-Mewtwo", P474="A1-Pikachu", P474="A1-Charizard", P474="A1"), XLOOKUP(N474, 'Genetic Apex'!$C$2:$C889, 'Genetic Apex'!$B$2:$B889)-$B$4, P474="A1a", XLOOKUP(N474, 'Mythical Island'!$C$2:$C889, 'Mythical Island'!$B$2:$B889)-$B$4, OR(P474="A2-Dialga", P474="A2-Palkia", P474="A2"), XLOOKUP(N474, 'Space-Time Smackdown'!$C$2:$C889, 'Space-Time Smackdown'!$B$2:$B889)-$B$4))</f>
        <v/>
      </c>
      <c r="S474" s="277"/>
      <c r="T474" s="277"/>
      <c r="U474" s="277"/>
      <c r="V474" s="278"/>
      <c r="W474" s="443" t="str">
        <f t="array" ref="W474">IFERROR(IFS(OR(U474="A1-Mewtwo", U474="A1-Pikachu", U474="A1-Charizard", U474="A1"), $B$5-XLOOKUP(S474, 'Genetic Apex'!$C$2:$C889, 'Genetic Apex'!$B$2:$B889), U474="A1a", $B$5-XLOOKUP(S474, 'Mythical Island'!$C$2:$C889, 'Mythical Island'!$B$2:$B889), OR(U474="A2-Dialga", U474="A2-Palkia", U474="A2"), $B$5-XLOOKUP(S474, 'Space-Time Smackdown'!$C$2:$C889, 'Space-Time Smackdown'!$B$2:$B889)))</f>
        <v/>
      </c>
      <c r="X474" s="444" t="str">
        <f t="shared" si="3"/>
        <v/>
      </c>
      <c r="Y474" s="445" t="str">
        <f t="shared" si="4"/>
        <v/>
      </c>
      <c r="Z474" s="278"/>
      <c r="AA474" s="466"/>
      <c r="AB474" s="278"/>
      <c r="AC474" s="278"/>
      <c r="AD474" s="278"/>
      <c r="AE474" s="278"/>
      <c r="AF474" s="278"/>
      <c r="AG474" s="278" t="b">
        <f t="shared" si="5"/>
        <v>0</v>
      </c>
      <c r="AH474" s="454"/>
      <c r="AI474" s="278"/>
      <c r="AJ474" s="278"/>
      <c r="AK474" s="278"/>
      <c r="AL474" s="444" t="str">
        <f t="array" ref="AL474">IFERROR(IFS(OR(AJ474="A1-Mewtwo", AJ474="A1-Pikachu", AJ474="A1-Charizard", AJ474="A1"), XLOOKUP(AH474, 'Genetic Apex'!$C$2:$C889, 'Genetic Apex'!$B$2:$B889)-2, AJ474="A1a", XLOOKUP(AH474, 'Mythical Island'!$C$2:$C889, 'Mythical Island'!$B$2:$B889)-2, OR(AJ474="A2-Dialga", AJ474="A2-Palkia", AJ474="A2"), XLOOKUP(AH474, 'Space-Time Smackdown'!$C$2:$C889, 'Space-Time Smackdown'!$B$2:$B889)-2))</f>
        <v/>
      </c>
      <c r="AM474" s="444" t="str">
        <f t="shared" si="6"/>
        <v/>
      </c>
      <c r="AN474" s="448" t="str">
        <f t="shared" si="7"/>
        <v/>
      </c>
    </row>
    <row r="475">
      <c r="A475" s="277"/>
      <c r="B475" s="277"/>
      <c r="C475" s="441"/>
      <c r="D475" s="277"/>
      <c r="E475" s="277"/>
      <c r="F475" s="277"/>
      <c r="G475" s="277"/>
      <c r="H475" s="277" t="b">
        <f t="shared" si="1"/>
        <v>0</v>
      </c>
      <c r="I475" s="277" t="str">
        <f>IFERROR(__xludf.DUMMYFUNCTION("""COMPUTED_VALUE"""),"A2 098")</f>
        <v>A2 098</v>
      </c>
      <c r="J475" s="277" t="str">
        <f>IFERROR(__xludf.DUMMYFUNCTION("""COMPUTED_VALUE"""),"Sneasel")</f>
        <v>Sneasel</v>
      </c>
      <c r="K475" s="277" t="str">
        <f>IFERROR(__xludf.DUMMYFUNCTION("""COMPUTED_VALUE"""),"A2-Palkia")</f>
        <v>A2-Palkia</v>
      </c>
      <c r="L475" s="277" t="str">
        <f>IFERROR(__xludf.DUMMYFUNCTION("""COMPUTED_VALUE"""),"♢")</f>
        <v>♢</v>
      </c>
      <c r="M475" s="440" t="b">
        <f t="shared" si="2"/>
        <v>0</v>
      </c>
      <c r="N475" s="441"/>
      <c r="O475" s="277"/>
      <c r="P475" s="277"/>
      <c r="Q475" s="278"/>
      <c r="R475" s="449" t="str">
        <f t="array" ref="R475">IFERROR(IFS(OR(P475="A1-Mewtwo", P475="A1-Pikachu", P475="A1-Charizard", P475="A1"), XLOOKUP(N475, 'Genetic Apex'!$C$2:$C889, 'Genetic Apex'!$B$2:$B889)-$B$4, P475="A1a", XLOOKUP(N475, 'Mythical Island'!$C$2:$C889, 'Mythical Island'!$B$2:$B889)-$B$4, OR(P475="A2-Dialga", P475="A2-Palkia", P475="A2"), XLOOKUP(N475, 'Space-Time Smackdown'!$C$2:$C889, 'Space-Time Smackdown'!$B$2:$B889)-$B$4))</f>
        <v/>
      </c>
      <c r="S475" s="277"/>
      <c r="T475" s="277"/>
      <c r="U475" s="277"/>
      <c r="V475" s="278"/>
      <c r="W475" s="443" t="str">
        <f t="array" ref="W475">IFERROR(IFS(OR(U475="A1-Mewtwo", U475="A1-Pikachu", U475="A1-Charizard", U475="A1"), $B$5-XLOOKUP(S475, 'Genetic Apex'!$C$2:$C889, 'Genetic Apex'!$B$2:$B889), U475="A1a", $B$5-XLOOKUP(S475, 'Mythical Island'!$C$2:$C889, 'Mythical Island'!$B$2:$B889), OR(U475="A2-Dialga", U475="A2-Palkia", U475="A2"), $B$5-XLOOKUP(S475, 'Space-Time Smackdown'!$C$2:$C889, 'Space-Time Smackdown'!$B$2:$B889)))</f>
        <v/>
      </c>
      <c r="X475" s="444" t="str">
        <f t="shared" si="3"/>
        <v/>
      </c>
      <c r="Y475" s="445" t="str">
        <f t="shared" si="4"/>
        <v/>
      </c>
      <c r="Z475" s="278"/>
      <c r="AA475" s="466"/>
      <c r="AB475" s="278"/>
      <c r="AC475" s="278"/>
      <c r="AD475" s="278"/>
      <c r="AE475" s="278"/>
      <c r="AF475" s="278"/>
      <c r="AG475" s="278" t="b">
        <f t="shared" si="5"/>
        <v>0</v>
      </c>
      <c r="AH475" s="454"/>
      <c r="AI475" s="278"/>
      <c r="AJ475" s="278"/>
      <c r="AK475" s="278"/>
      <c r="AL475" s="444" t="str">
        <f t="array" ref="AL475">IFERROR(IFS(OR(AJ475="A1-Mewtwo", AJ475="A1-Pikachu", AJ475="A1-Charizard", AJ475="A1"), XLOOKUP(AH475, 'Genetic Apex'!$C$2:$C889, 'Genetic Apex'!$B$2:$B889)-2, AJ475="A1a", XLOOKUP(AH475, 'Mythical Island'!$C$2:$C889, 'Mythical Island'!$B$2:$B889)-2, OR(AJ475="A2-Dialga", AJ475="A2-Palkia", AJ475="A2"), XLOOKUP(AH475, 'Space-Time Smackdown'!$C$2:$C889, 'Space-Time Smackdown'!$B$2:$B889)-2))</f>
        <v/>
      </c>
      <c r="AM475" s="444" t="str">
        <f t="shared" si="6"/>
        <v/>
      </c>
      <c r="AN475" s="448" t="str">
        <f t="shared" si="7"/>
        <v/>
      </c>
    </row>
    <row r="476">
      <c r="A476" s="277"/>
      <c r="B476" s="277"/>
      <c r="C476" s="441"/>
      <c r="D476" s="277"/>
      <c r="E476" s="277"/>
      <c r="F476" s="277"/>
      <c r="G476" s="277"/>
      <c r="H476" s="277" t="b">
        <f t="shared" si="1"/>
        <v>0</v>
      </c>
      <c r="I476" s="277" t="str">
        <f>IFERROR(__xludf.DUMMYFUNCTION("""COMPUTED_VALUE"""),"A2 099")</f>
        <v>A2 099</v>
      </c>
      <c r="J476" s="277" t="str">
        <f>IFERROR(__xludf.DUMMYFUNCTION("""COMPUTED_VALUE"""),"Weavile ex")</f>
        <v>Weavile ex</v>
      </c>
      <c r="K476" s="277" t="str">
        <f>IFERROR(__xludf.DUMMYFUNCTION("""COMPUTED_VALUE"""),"A2-Palkia")</f>
        <v>A2-Palkia</v>
      </c>
      <c r="L476" s="277" t="str">
        <f>IFERROR(__xludf.DUMMYFUNCTION("""COMPUTED_VALUE"""),"♢♢♢♢")</f>
        <v>♢♢♢♢</v>
      </c>
      <c r="M476" s="440" t="b">
        <f t="shared" si="2"/>
        <v>0</v>
      </c>
      <c r="N476" s="441"/>
      <c r="O476" s="277"/>
      <c r="P476" s="277"/>
      <c r="Q476" s="278"/>
      <c r="R476" s="449" t="str">
        <f t="array" ref="R476">IFERROR(IFS(OR(P476="A1-Mewtwo", P476="A1-Pikachu", P476="A1-Charizard", P476="A1"), XLOOKUP(N476, 'Genetic Apex'!$C$2:$C889, 'Genetic Apex'!$B$2:$B889)-$B$4, P476="A1a", XLOOKUP(N476, 'Mythical Island'!$C$2:$C889, 'Mythical Island'!$B$2:$B889)-$B$4, OR(P476="A2-Dialga", P476="A2-Palkia", P476="A2"), XLOOKUP(N476, 'Space-Time Smackdown'!$C$2:$C889, 'Space-Time Smackdown'!$B$2:$B889)-$B$4))</f>
        <v/>
      </c>
      <c r="S476" s="277"/>
      <c r="T476" s="277"/>
      <c r="U476" s="277"/>
      <c r="V476" s="278"/>
      <c r="W476" s="443" t="str">
        <f t="array" ref="W476">IFERROR(IFS(OR(U476="A1-Mewtwo", U476="A1-Pikachu", U476="A1-Charizard", U476="A1"), $B$5-XLOOKUP(S476, 'Genetic Apex'!$C$2:$C889, 'Genetic Apex'!$B$2:$B889), U476="A1a", $B$5-XLOOKUP(S476, 'Mythical Island'!$C$2:$C889, 'Mythical Island'!$B$2:$B889), OR(U476="A2-Dialga", U476="A2-Palkia", U476="A2"), $B$5-XLOOKUP(S476, 'Space-Time Smackdown'!$C$2:$C889, 'Space-Time Smackdown'!$B$2:$B889)))</f>
        <v/>
      </c>
      <c r="X476" s="444" t="str">
        <f t="shared" si="3"/>
        <v/>
      </c>
      <c r="Y476" s="445" t="str">
        <f t="shared" si="4"/>
        <v/>
      </c>
      <c r="Z476" s="278"/>
      <c r="AA476" s="466"/>
      <c r="AB476" s="278"/>
      <c r="AC476" s="278"/>
      <c r="AD476" s="278"/>
      <c r="AE476" s="278"/>
      <c r="AF476" s="278"/>
      <c r="AG476" s="278" t="b">
        <f t="shared" si="5"/>
        <v>0</v>
      </c>
      <c r="AH476" s="454"/>
      <c r="AI476" s="278"/>
      <c r="AJ476" s="278"/>
      <c r="AK476" s="278"/>
      <c r="AL476" s="444" t="str">
        <f t="array" ref="AL476">IFERROR(IFS(OR(AJ476="A1-Mewtwo", AJ476="A1-Pikachu", AJ476="A1-Charizard", AJ476="A1"), XLOOKUP(AH476, 'Genetic Apex'!$C$2:$C889, 'Genetic Apex'!$B$2:$B889)-2, AJ476="A1a", XLOOKUP(AH476, 'Mythical Island'!$C$2:$C889, 'Mythical Island'!$B$2:$B889)-2, OR(AJ476="A2-Dialga", AJ476="A2-Palkia", AJ476="A2"), XLOOKUP(AH476, 'Space-Time Smackdown'!$C$2:$C889, 'Space-Time Smackdown'!$B$2:$B889)-2))</f>
        <v/>
      </c>
      <c r="AM476" s="444" t="str">
        <f t="shared" si="6"/>
        <v/>
      </c>
      <c r="AN476" s="448" t="str">
        <f t="shared" si="7"/>
        <v/>
      </c>
    </row>
    <row r="477">
      <c r="A477" s="277"/>
      <c r="B477" s="277"/>
      <c r="C477" s="441"/>
      <c r="D477" s="277"/>
      <c r="E477" s="277"/>
      <c r="F477" s="277"/>
      <c r="G477" s="277"/>
      <c r="H477" s="277" t="b">
        <f t="shared" si="1"/>
        <v>0</v>
      </c>
      <c r="I477" s="277" t="str">
        <f>IFERROR(__xludf.DUMMYFUNCTION("""COMPUTED_VALUE"""),"A2 100")</f>
        <v>A2 100</v>
      </c>
      <c r="J477" s="277" t="str">
        <f>IFERROR(__xludf.DUMMYFUNCTION("""COMPUTED_VALUE"""),"Poochyena")</f>
        <v>Poochyena</v>
      </c>
      <c r="K477" s="277" t="str">
        <f>IFERROR(__xludf.DUMMYFUNCTION("""COMPUTED_VALUE"""),"A2")</f>
        <v>A2</v>
      </c>
      <c r="L477" s="277" t="str">
        <f>IFERROR(__xludf.DUMMYFUNCTION("""COMPUTED_VALUE"""),"♢")</f>
        <v>♢</v>
      </c>
      <c r="M477" s="440" t="b">
        <f t="shared" si="2"/>
        <v>0</v>
      </c>
      <c r="N477" s="441"/>
      <c r="O477" s="277"/>
      <c r="P477" s="277"/>
      <c r="Q477" s="278"/>
      <c r="R477" s="449" t="str">
        <f t="array" ref="R477">IFERROR(IFS(OR(P477="A1-Mewtwo", P477="A1-Pikachu", P477="A1-Charizard", P477="A1"), XLOOKUP(N477, 'Genetic Apex'!$C$2:$C889, 'Genetic Apex'!$B$2:$B889)-$B$4, P477="A1a", XLOOKUP(N477, 'Mythical Island'!$C$2:$C889, 'Mythical Island'!$B$2:$B889)-$B$4, OR(P477="A2-Dialga", P477="A2-Palkia", P477="A2"), XLOOKUP(N477, 'Space-Time Smackdown'!$C$2:$C889, 'Space-Time Smackdown'!$B$2:$B889)-$B$4))</f>
        <v/>
      </c>
      <c r="S477" s="277"/>
      <c r="T477" s="277"/>
      <c r="U477" s="277"/>
      <c r="V477" s="278"/>
      <c r="W477" s="443" t="str">
        <f t="array" ref="W477">IFERROR(IFS(OR(U477="A1-Mewtwo", U477="A1-Pikachu", U477="A1-Charizard", U477="A1"), $B$5-XLOOKUP(S477, 'Genetic Apex'!$C$2:$C889, 'Genetic Apex'!$B$2:$B889), U477="A1a", $B$5-XLOOKUP(S477, 'Mythical Island'!$C$2:$C889, 'Mythical Island'!$B$2:$B889), OR(U477="A2-Dialga", U477="A2-Palkia", U477="A2"), $B$5-XLOOKUP(S477, 'Space-Time Smackdown'!$C$2:$C889, 'Space-Time Smackdown'!$B$2:$B889)))</f>
        <v/>
      </c>
      <c r="X477" s="444" t="str">
        <f t="shared" si="3"/>
        <v/>
      </c>
      <c r="Y477" s="445" t="str">
        <f t="shared" si="4"/>
        <v/>
      </c>
      <c r="Z477" s="278"/>
      <c r="AA477" s="466"/>
      <c r="AB477" s="278"/>
      <c r="AC477" s="278"/>
      <c r="AD477" s="278"/>
      <c r="AE477" s="278"/>
      <c r="AF477" s="278"/>
      <c r="AG477" s="278" t="b">
        <f t="shared" si="5"/>
        <v>0</v>
      </c>
      <c r="AH477" s="454"/>
      <c r="AI477" s="278"/>
      <c r="AJ477" s="278"/>
      <c r="AK477" s="278"/>
      <c r="AL477" s="444" t="str">
        <f t="array" ref="AL477">IFERROR(IFS(OR(AJ477="A1-Mewtwo", AJ477="A1-Pikachu", AJ477="A1-Charizard", AJ477="A1"), XLOOKUP(AH477, 'Genetic Apex'!$C$2:$C889, 'Genetic Apex'!$B$2:$B889)-2, AJ477="A1a", XLOOKUP(AH477, 'Mythical Island'!$C$2:$C889, 'Mythical Island'!$B$2:$B889)-2, OR(AJ477="A2-Dialga", AJ477="A2-Palkia", AJ477="A2"), XLOOKUP(AH477, 'Space-Time Smackdown'!$C$2:$C889, 'Space-Time Smackdown'!$B$2:$B889)-2))</f>
        <v/>
      </c>
      <c r="AM477" s="444" t="str">
        <f t="shared" si="6"/>
        <v/>
      </c>
      <c r="AN477" s="448" t="str">
        <f t="shared" si="7"/>
        <v/>
      </c>
    </row>
    <row r="478">
      <c r="A478" s="277"/>
      <c r="B478" s="277"/>
      <c r="C478" s="441"/>
      <c r="D478" s="277"/>
      <c r="E478" s="277"/>
      <c r="F478" s="277"/>
      <c r="G478" s="277"/>
      <c r="H478" s="277" t="b">
        <f t="shared" si="1"/>
        <v>0</v>
      </c>
      <c r="I478" s="277" t="str">
        <f>IFERROR(__xludf.DUMMYFUNCTION("""COMPUTED_VALUE"""),"A2 101")</f>
        <v>A2 101</v>
      </c>
      <c r="J478" s="277" t="str">
        <f>IFERROR(__xludf.DUMMYFUNCTION("""COMPUTED_VALUE"""),"Mightyena")</f>
        <v>Mightyena</v>
      </c>
      <c r="K478" s="277" t="str">
        <f>IFERROR(__xludf.DUMMYFUNCTION("""COMPUTED_VALUE"""),"A2")</f>
        <v>A2</v>
      </c>
      <c r="L478" s="277" t="str">
        <f>IFERROR(__xludf.DUMMYFUNCTION("""COMPUTED_VALUE"""),"♢♢")</f>
        <v>♢♢</v>
      </c>
      <c r="M478" s="440" t="b">
        <f t="shared" si="2"/>
        <v>0</v>
      </c>
      <c r="N478" s="441"/>
      <c r="O478" s="277"/>
      <c r="P478" s="277"/>
      <c r="Q478" s="278"/>
      <c r="R478" s="449" t="str">
        <f t="array" ref="R478">IFERROR(IFS(OR(P478="A1-Mewtwo", P478="A1-Pikachu", P478="A1-Charizard", P478="A1"), XLOOKUP(N478, 'Genetic Apex'!$C$2:$C889, 'Genetic Apex'!$B$2:$B889)-$B$4, P478="A1a", XLOOKUP(N478, 'Mythical Island'!$C$2:$C889, 'Mythical Island'!$B$2:$B889)-$B$4, OR(P478="A2-Dialga", P478="A2-Palkia", P478="A2"), XLOOKUP(N478, 'Space-Time Smackdown'!$C$2:$C889, 'Space-Time Smackdown'!$B$2:$B889)-$B$4))</f>
        <v/>
      </c>
      <c r="S478" s="277"/>
      <c r="T478" s="277"/>
      <c r="U478" s="277"/>
      <c r="V478" s="278"/>
      <c r="W478" s="443" t="str">
        <f t="array" ref="W478">IFERROR(IFS(OR(U478="A1-Mewtwo", U478="A1-Pikachu", U478="A1-Charizard", U478="A1"), $B$5-XLOOKUP(S478, 'Genetic Apex'!$C$2:$C889, 'Genetic Apex'!$B$2:$B889), U478="A1a", $B$5-XLOOKUP(S478, 'Mythical Island'!$C$2:$C889, 'Mythical Island'!$B$2:$B889), OR(U478="A2-Dialga", U478="A2-Palkia", U478="A2"), $B$5-XLOOKUP(S478, 'Space-Time Smackdown'!$C$2:$C889, 'Space-Time Smackdown'!$B$2:$B889)))</f>
        <v/>
      </c>
      <c r="X478" s="444" t="str">
        <f t="shared" si="3"/>
        <v/>
      </c>
      <c r="Y478" s="445" t="str">
        <f t="shared" si="4"/>
        <v/>
      </c>
      <c r="Z478" s="278"/>
      <c r="AA478" s="466"/>
      <c r="AB478" s="278"/>
      <c r="AC478" s="278"/>
      <c r="AD478" s="278"/>
      <c r="AE478" s="278"/>
      <c r="AF478" s="278"/>
      <c r="AG478" s="278" t="b">
        <f t="shared" si="5"/>
        <v>0</v>
      </c>
      <c r="AH478" s="454"/>
      <c r="AI478" s="278"/>
      <c r="AJ478" s="278"/>
      <c r="AK478" s="278"/>
      <c r="AL478" s="444" t="str">
        <f t="array" ref="AL478">IFERROR(IFS(OR(AJ478="A1-Mewtwo", AJ478="A1-Pikachu", AJ478="A1-Charizard", AJ478="A1"), XLOOKUP(AH478, 'Genetic Apex'!$C$2:$C889, 'Genetic Apex'!$B$2:$B889)-2, AJ478="A1a", XLOOKUP(AH478, 'Mythical Island'!$C$2:$C889, 'Mythical Island'!$B$2:$B889)-2, OR(AJ478="A2-Dialga", AJ478="A2-Palkia", AJ478="A2"), XLOOKUP(AH478, 'Space-Time Smackdown'!$C$2:$C889, 'Space-Time Smackdown'!$B$2:$B889)-2))</f>
        <v/>
      </c>
      <c r="AM478" s="444" t="str">
        <f t="shared" si="6"/>
        <v/>
      </c>
      <c r="AN478" s="448" t="str">
        <f t="shared" si="7"/>
        <v/>
      </c>
    </row>
    <row r="479">
      <c r="A479" s="277"/>
      <c r="B479" s="277"/>
      <c r="C479" s="441"/>
      <c r="D479" s="277"/>
      <c r="E479" s="277"/>
      <c r="F479" s="277"/>
      <c r="G479" s="277"/>
      <c r="H479" s="277" t="b">
        <f t="shared" si="1"/>
        <v>0</v>
      </c>
      <c r="I479" s="277" t="str">
        <f>IFERROR(__xludf.DUMMYFUNCTION("""COMPUTED_VALUE"""),"A2 102")</f>
        <v>A2 102</v>
      </c>
      <c r="J479" s="277" t="str">
        <f>IFERROR(__xludf.DUMMYFUNCTION("""COMPUTED_VALUE"""),"Stunky")</f>
        <v>Stunky</v>
      </c>
      <c r="K479" s="277" t="str">
        <f>IFERROR(__xludf.DUMMYFUNCTION("""COMPUTED_VALUE"""),"A2-Dialga")</f>
        <v>A2-Dialga</v>
      </c>
      <c r="L479" s="277" t="str">
        <f>IFERROR(__xludf.DUMMYFUNCTION("""COMPUTED_VALUE"""),"♢")</f>
        <v>♢</v>
      </c>
      <c r="M479" s="440" t="b">
        <f t="shared" si="2"/>
        <v>0</v>
      </c>
      <c r="N479" s="441"/>
      <c r="O479" s="277"/>
      <c r="P479" s="277"/>
      <c r="Q479" s="278"/>
      <c r="R479" s="449" t="str">
        <f t="array" ref="R479">IFERROR(IFS(OR(P479="A1-Mewtwo", P479="A1-Pikachu", P479="A1-Charizard", P479="A1"), XLOOKUP(N479, 'Genetic Apex'!$C$2:$C889, 'Genetic Apex'!$B$2:$B889)-$B$4, P479="A1a", XLOOKUP(N479, 'Mythical Island'!$C$2:$C889, 'Mythical Island'!$B$2:$B889)-$B$4, OR(P479="A2-Dialga", P479="A2-Palkia", P479="A2"), XLOOKUP(N479, 'Space-Time Smackdown'!$C$2:$C889, 'Space-Time Smackdown'!$B$2:$B889)-$B$4))</f>
        <v/>
      </c>
      <c r="S479" s="277"/>
      <c r="T479" s="277"/>
      <c r="U479" s="277"/>
      <c r="V479" s="278"/>
      <c r="W479" s="443" t="str">
        <f t="array" ref="W479">IFERROR(IFS(OR(U479="A1-Mewtwo", U479="A1-Pikachu", U479="A1-Charizard", U479="A1"), $B$5-XLOOKUP(S479, 'Genetic Apex'!$C$2:$C889, 'Genetic Apex'!$B$2:$B889), U479="A1a", $B$5-XLOOKUP(S479, 'Mythical Island'!$C$2:$C889, 'Mythical Island'!$B$2:$B889), OR(U479="A2-Dialga", U479="A2-Palkia", U479="A2"), $B$5-XLOOKUP(S479, 'Space-Time Smackdown'!$C$2:$C889, 'Space-Time Smackdown'!$B$2:$B889)))</f>
        <v/>
      </c>
      <c r="X479" s="444" t="str">
        <f t="shared" si="3"/>
        <v/>
      </c>
      <c r="Y479" s="445" t="str">
        <f t="shared" si="4"/>
        <v/>
      </c>
      <c r="Z479" s="278"/>
      <c r="AA479" s="466"/>
      <c r="AB479" s="278"/>
      <c r="AC479" s="278"/>
      <c r="AD479" s="278"/>
      <c r="AE479" s="278"/>
      <c r="AF479" s="278"/>
      <c r="AG479" s="278" t="b">
        <f t="shared" si="5"/>
        <v>0</v>
      </c>
      <c r="AH479" s="454"/>
      <c r="AI479" s="278"/>
      <c r="AJ479" s="278"/>
      <c r="AK479" s="278"/>
      <c r="AL479" s="444" t="str">
        <f t="array" ref="AL479">IFERROR(IFS(OR(AJ479="A1-Mewtwo", AJ479="A1-Pikachu", AJ479="A1-Charizard", AJ479="A1"), XLOOKUP(AH479, 'Genetic Apex'!$C$2:$C889, 'Genetic Apex'!$B$2:$B889)-2, AJ479="A1a", XLOOKUP(AH479, 'Mythical Island'!$C$2:$C889, 'Mythical Island'!$B$2:$B889)-2, OR(AJ479="A2-Dialga", AJ479="A2-Palkia", AJ479="A2"), XLOOKUP(AH479, 'Space-Time Smackdown'!$C$2:$C889, 'Space-Time Smackdown'!$B$2:$B889)-2))</f>
        <v/>
      </c>
      <c r="AM479" s="444" t="str">
        <f t="shared" si="6"/>
        <v/>
      </c>
      <c r="AN479" s="448" t="str">
        <f t="shared" si="7"/>
        <v/>
      </c>
    </row>
    <row r="480">
      <c r="A480" s="277"/>
      <c r="B480" s="277"/>
      <c r="C480" s="441"/>
      <c r="D480" s="277"/>
      <c r="E480" s="277"/>
      <c r="F480" s="277"/>
      <c r="G480" s="277"/>
      <c r="H480" s="277" t="b">
        <f t="shared" si="1"/>
        <v>0</v>
      </c>
      <c r="I480" s="277" t="str">
        <f>IFERROR(__xludf.DUMMYFUNCTION("""COMPUTED_VALUE"""),"A2 103")</f>
        <v>A2 103</v>
      </c>
      <c r="J480" s="277" t="str">
        <f>IFERROR(__xludf.DUMMYFUNCTION("""COMPUTED_VALUE"""),"Skuntank")</f>
        <v>Skuntank</v>
      </c>
      <c r="K480" s="277" t="str">
        <f>IFERROR(__xludf.DUMMYFUNCTION("""COMPUTED_VALUE"""),"A2-Dialga")</f>
        <v>A2-Dialga</v>
      </c>
      <c r="L480" s="277" t="str">
        <f>IFERROR(__xludf.DUMMYFUNCTION("""COMPUTED_VALUE"""),"♢♢")</f>
        <v>♢♢</v>
      </c>
      <c r="M480" s="440" t="b">
        <f t="shared" si="2"/>
        <v>0</v>
      </c>
      <c r="N480" s="441"/>
      <c r="O480" s="277"/>
      <c r="P480" s="277"/>
      <c r="Q480" s="278"/>
      <c r="R480" s="449" t="str">
        <f t="array" ref="R480">IFERROR(IFS(OR(P480="A1-Mewtwo", P480="A1-Pikachu", P480="A1-Charizard", P480="A1"), XLOOKUP(N480, 'Genetic Apex'!$C$2:$C889, 'Genetic Apex'!$B$2:$B889)-$B$4, P480="A1a", XLOOKUP(N480, 'Mythical Island'!$C$2:$C889, 'Mythical Island'!$B$2:$B889)-$B$4, OR(P480="A2-Dialga", P480="A2-Palkia", P480="A2"), XLOOKUP(N480, 'Space-Time Smackdown'!$C$2:$C889, 'Space-Time Smackdown'!$B$2:$B889)-$B$4))</f>
        <v/>
      </c>
      <c r="S480" s="277"/>
      <c r="T480" s="277"/>
      <c r="U480" s="277"/>
      <c r="V480" s="278"/>
      <c r="W480" s="443" t="str">
        <f t="array" ref="W480">IFERROR(IFS(OR(U480="A1-Mewtwo", U480="A1-Pikachu", U480="A1-Charizard", U480="A1"), $B$5-XLOOKUP(S480, 'Genetic Apex'!$C$2:$C889, 'Genetic Apex'!$B$2:$B889), U480="A1a", $B$5-XLOOKUP(S480, 'Mythical Island'!$C$2:$C889, 'Mythical Island'!$B$2:$B889), OR(U480="A2-Dialga", U480="A2-Palkia", U480="A2"), $B$5-XLOOKUP(S480, 'Space-Time Smackdown'!$C$2:$C889, 'Space-Time Smackdown'!$B$2:$B889)))</f>
        <v/>
      </c>
      <c r="X480" s="444" t="str">
        <f t="shared" si="3"/>
        <v/>
      </c>
      <c r="Y480" s="445" t="str">
        <f t="shared" si="4"/>
        <v/>
      </c>
      <c r="Z480" s="278"/>
      <c r="AA480" s="466"/>
      <c r="AB480" s="278"/>
      <c r="AC480" s="278"/>
      <c r="AD480" s="278"/>
      <c r="AE480" s="278"/>
      <c r="AF480" s="278"/>
      <c r="AG480" s="278" t="b">
        <f t="shared" si="5"/>
        <v>0</v>
      </c>
      <c r="AH480" s="454"/>
      <c r="AI480" s="278"/>
      <c r="AJ480" s="278"/>
      <c r="AK480" s="278"/>
      <c r="AL480" s="444" t="str">
        <f t="array" ref="AL480">IFERROR(IFS(OR(AJ480="A1-Mewtwo", AJ480="A1-Pikachu", AJ480="A1-Charizard", AJ480="A1"), XLOOKUP(AH480, 'Genetic Apex'!$C$2:$C889, 'Genetic Apex'!$B$2:$B889)-2, AJ480="A1a", XLOOKUP(AH480, 'Mythical Island'!$C$2:$C889, 'Mythical Island'!$B$2:$B889)-2, OR(AJ480="A2-Dialga", AJ480="A2-Palkia", AJ480="A2"), XLOOKUP(AH480, 'Space-Time Smackdown'!$C$2:$C889, 'Space-Time Smackdown'!$B$2:$B889)-2))</f>
        <v/>
      </c>
      <c r="AM480" s="444" t="str">
        <f t="shared" si="6"/>
        <v/>
      </c>
      <c r="AN480" s="448" t="str">
        <f t="shared" si="7"/>
        <v/>
      </c>
    </row>
    <row r="481">
      <c r="A481" s="277"/>
      <c r="B481" s="277"/>
      <c r="C481" s="441"/>
      <c r="D481" s="277"/>
      <c r="E481" s="277"/>
      <c r="F481" s="277"/>
      <c r="G481" s="277"/>
      <c r="H481" s="277" t="b">
        <f t="shared" si="1"/>
        <v>0</v>
      </c>
      <c r="I481" s="277" t="str">
        <f>IFERROR(__xludf.DUMMYFUNCTION("""COMPUTED_VALUE"""),"A2 104")</f>
        <v>A2 104</v>
      </c>
      <c r="J481" s="277" t="str">
        <f>IFERROR(__xludf.DUMMYFUNCTION("""COMPUTED_VALUE"""),"Spiritomb")</f>
        <v>Spiritomb</v>
      </c>
      <c r="K481" s="277" t="str">
        <f>IFERROR(__xludf.DUMMYFUNCTION("""COMPUTED_VALUE"""),"A2-Palkia")</f>
        <v>A2-Palkia</v>
      </c>
      <c r="L481" s="277" t="str">
        <f>IFERROR(__xludf.DUMMYFUNCTION("""COMPUTED_VALUE"""),"♢♢")</f>
        <v>♢♢</v>
      </c>
      <c r="M481" s="440" t="b">
        <f t="shared" si="2"/>
        <v>0</v>
      </c>
      <c r="N481" s="441"/>
      <c r="O481" s="277"/>
      <c r="P481" s="277"/>
      <c r="Q481" s="278"/>
      <c r="R481" s="449" t="str">
        <f t="array" ref="R481">IFERROR(IFS(OR(P481="A1-Mewtwo", P481="A1-Pikachu", P481="A1-Charizard", P481="A1"), XLOOKUP(N481, 'Genetic Apex'!$C$2:$C889, 'Genetic Apex'!$B$2:$B889)-$B$4, P481="A1a", XLOOKUP(N481, 'Mythical Island'!$C$2:$C889, 'Mythical Island'!$B$2:$B889)-$B$4, OR(P481="A2-Dialga", P481="A2-Palkia", P481="A2"), XLOOKUP(N481, 'Space-Time Smackdown'!$C$2:$C889, 'Space-Time Smackdown'!$B$2:$B889)-$B$4))</f>
        <v/>
      </c>
      <c r="S481" s="277"/>
      <c r="T481" s="277"/>
      <c r="U481" s="277"/>
      <c r="V481" s="278"/>
      <c r="W481" s="443" t="str">
        <f t="array" ref="W481">IFERROR(IFS(OR(U481="A1-Mewtwo", U481="A1-Pikachu", U481="A1-Charizard", U481="A1"), $B$5-XLOOKUP(S481, 'Genetic Apex'!$C$2:$C889, 'Genetic Apex'!$B$2:$B889), U481="A1a", $B$5-XLOOKUP(S481, 'Mythical Island'!$C$2:$C889, 'Mythical Island'!$B$2:$B889), OR(U481="A2-Dialga", U481="A2-Palkia", U481="A2"), $B$5-XLOOKUP(S481, 'Space-Time Smackdown'!$C$2:$C889, 'Space-Time Smackdown'!$B$2:$B889)))</f>
        <v/>
      </c>
      <c r="X481" s="444" t="str">
        <f t="shared" si="3"/>
        <v/>
      </c>
      <c r="Y481" s="445" t="str">
        <f t="shared" si="4"/>
        <v/>
      </c>
      <c r="Z481" s="278"/>
      <c r="AA481" s="466"/>
      <c r="AB481" s="278"/>
      <c r="AC481" s="278"/>
      <c r="AD481" s="278"/>
      <c r="AE481" s="278"/>
      <c r="AF481" s="278"/>
      <c r="AG481" s="278" t="b">
        <f t="shared" si="5"/>
        <v>0</v>
      </c>
      <c r="AH481" s="454"/>
      <c r="AI481" s="278"/>
      <c r="AJ481" s="278"/>
      <c r="AK481" s="278"/>
      <c r="AL481" s="444" t="str">
        <f t="array" ref="AL481">IFERROR(IFS(OR(AJ481="A1-Mewtwo", AJ481="A1-Pikachu", AJ481="A1-Charizard", AJ481="A1"), XLOOKUP(AH481, 'Genetic Apex'!$C$2:$C889, 'Genetic Apex'!$B$2:$B889)-2, AJ481="A1a", XLOOKUP(AH481, 'Mythical Island'!$C$2:$C889, 'Mythical Island'!$B$2:$B889)-2, OR(AJ481="A2-Dialga", AJ481="A2-Palkia", AJ481="A2"), XLOOKUP(AH481, 'Space-Time Smackdown'!$C$2:$C889, 'Space-Time Smackdown'!$B$2:$B889)-2))</f>
        <v/>
      </c>
      <c r="AM481" s="444" t="str">
        <f t="shared" si="6"/>
        <v/>
      </c>
      <c r="AN481" s="448" t="str">
        <f t="shared" si="7"/>
        <v/>
      </c>
    </row>
    <row r="482">
      <c r="A482" s="277"/>
      <c r="B482" s="277"/>
      <c r="C482" s="441"/>
      <c r="D482" s="277"/>
      <c r="E482" s="277"/>
      <c r="F482" s="277"/>
      <c r="G482" s="277"/>
      <c r="H482" s="277" t="b">
        <f t="shared" si="1"/>
        <v>0</v>
      </c>
      <c r="I482" s="277" t="str">
        <f>IFERROR(__xludf.DUMMYFUNCTION("""COMPUTED_VALUE"""),"A2 105")</f>
        <v>A2 105</v>
      </c>
      <c r="J482" s="277" t="str">
        <f>IFERROR(__xludf.DUMMYFUNCTION("""COMPUTED_VALUE"""),"Skorupi")</f>
        <v>Skorupi</v>
      </c>
      <c r="K482" s="277" t="str">
        <f>IFERROR(__xludf.DUMMYFUNCTION("""COMPUTED_VALUE"""),"A2")</f>
        <v>A2</v>
      </c>
      <c r="L482" s="277" t="str">
        <f>IFERROR(__xludf.DUMMYFUNCTION("""COMPUTED_VALUE"""),"♢")</f>
        <v>♢</v>
      </c>
      <c r="M482" s="440" t="b">
        <f t="shared" si="2"/>
        <v>0</v>
      </c>
      <c r="N482" s="441"/>
      <c r="O482" s="277"/>
      <c r="P482" s="277"/>
      <c r="Q482" s="278"/>
      <c r="R482" s="449" t="str">
        <f t="array" ref="R482">IFERROR(IFS(OR(P482="A1-Mewtwo", P482="A1-Pikachu", P482="A1-Charizard", P482="A1"), XLOOKUP(N482, 'Genetic Apex'!$C$2:$C889, 'Genetic Apex'!$B$2:$B889)-$B$4, P482="A1a", XLOOKUP(N482, 'Mythical Island'!$C$2:$C889, 'Mythical Island'!$B$2:$B889)-$B$4, OR(P482="A2-Dialga", P482="A2-Palkia", P482="A2"), XLOOKUP(N482, 'Space-Time Smackdown'!$C$2:$C889, 'Space-Time Smackdown'!$B$2:$B889)-$B$4))</f>
        <v/>
      </c>
      <c r="S482" s="277"/>
      <c r="T482" s="277"/>
      <c r="U482" s="277"/>
      <c r="V482" s="278"/>
      <c r="W482" s="443" t="str">
        <f t="array" ref="W482">IFERROR(IFS(OR(U482="A1-Mewtwo", U482="A1-Pikachu", U482="A1-Charizard", U482="A1"), $B$5-XLOOKUP(S482, 'Genetic Apex'!$C$2:$C889, 'Genetic Apex'!$B$2:$B889), U482="A1a", $B$5-XLOOKUP(S482, 'Mythical Island'!$C$2:$C889, 'Mythical Island'!$B$2:$B889), OR(U482="A2-Dialga", U482="A2-Palkia", U482="A2"), $B$5-XLOOKUP(S482, 'Space-Time Smackdown'!$C$2:$C889, 'Space-Time Smackdown'!$B$2:$B889)))</f>
        <v/>
      </c>
      <c r="X482" s="444" t="str">
        <f t="shared" si="3"/>
        <v/>
      </c>
      <c r="Y482" s="445" t="str">
        <f t="shared" si="4"/>
        <v/>
      </c>
      <c r="Z482" s="278"/>
      <c r="AA482" s="466"/>
      <c r="AB482" s="278"/>
      <c r="AC482" s="278"/>
      <c r="AD482" s="278"/>
      <c r="AE482" s="278"/>
      <c r="AF482" s="278"/>
      <c r="AG482" s="278" t="b">
        <f t="shared" si="5"/>
        <v>0</v>
      </c>
      <c r="AH482" s="454"/>
      <c r="AI482" s="278"/>
      <c r="AJ482" s="278"/>
      <c r="AK482" s="278"/>
      <c r="AL482" s="444" t="str">
        <f t="array" ref="AL482">IFERROR(IFS(OR(AJ482="A1-Mewtwo", AJ482="A1-Pikachu", AJ482="A1-Charizard", AJ482="A1"), XLOOKUP(AH482, 'Genetic Apex'!$C$2:$C889, 'Genetic Apex'!$B$2:$B889)-2, AJ482="A1a", XLOOKUP(AH482, 'Mythical Island'!$C$2:$C889, 'Mythical Island'!$B$2:$B889)-2, OR(AJ482="A2-Dialga", AJ482="A2-Palkia", AJ482="A2"), XLOOKUP(AH482, 'Space-Time Smackdown'!$C$2:$C889, 'Space-Time Smackdown'!$B$2:$B889)-2))</f>
        <v/>
      </c>
      <c r="AM482" s="444" t="str">
        <f t="shared" si="6"/>
        <v/>
      </c>
      <c r="AN482" s="448" t="str">
        <f t="shared" si="7"/>
        <v/>
      </c>
    </row>
    <row r="483">
      <c r="A483" s="277"/>
      <c r="B483" s="277"/>
      <c r="C483" s="441"/>
      <c r="D483" s="277"/>
      <c r="E483" s="277"/>
      <c r="F483" s="277"/>
      <c r="G483" s="277"/>
      <c r="H483" s="277" t="b">
        <f t="shared" si="1"/>
        <v>0</v>
      </c>
      <c r="I483" s="277" t="str">
        <f>IFERROR(__xludf.DUMMYFUNCTION("""COMPUTED_VALUE"""),"A2 106")</f>
        <v>A2 106</v>
      </c>
      <c r="J483" s="277" t="str">
        <f>IFERROR(__xludf.DUMMYFUNCTION("""COMPUTED_VALUE"""),"Drapion")</f>
        <v>Drapion</v>
      </c>
      <c r="K483" s="277" t="str">
        <f>IFERROR(__xludf.DUMMYFUNCTION("""COMPUTED_VALUE"""),"A2")</f>
        <v>A2</v>
      </c>
      <c r="L483" s="277" t="str">
        <f>IFERROR(__xludf.DUMMYFUNCTION("""COMPUTED_VALUE"""),"♢♢")</f>
        <v>♢♢</v>
      </c>
      <c r="M483" s="440" t="b">
        <f t="shared" si="2"/>
        <v>0</v>
      </c>
      <c r="N483" s="441"/>
      <c r="O483" s="277"/>
      <c r="P483" s="277"/>
      <c r="Q483" s="278"/>
      <c r="R483" s="449" t="str">
        <f t="array" ref="R483">IFERROR(IFS(OR(P483="A1-Mewtwo", P483="A1-Pikachu", P483="A1-Charizard", P483="A1"), XLOOKUP(N483, 'Genetic Apex'!$C$2:$C889, 'Genetic Apex'!$B$2:$B889)-$B$4, P483="A1a", XLOOKUP(N483, 'Mythical Island'!$C$2:$C889, 'Mythical Island'!$B$2:$B889)-$B$4, OR(P483="A2-Dialga", P483="A2-Palkia", P483="A2"), XLOOKUP(N483, 'Space-Time Smackdown'!$C$2:$C889, 'Space-Time Smackdown'!$B$2:$B889)-$B$4))</f>
        <v/>
      </c>
      <c r="S483" s="277"/>
      <c r="T483" s="277"/>
      <c r="U483" s="277"/>
      <c r="V483" s="278"/>
      <c r="W483" s="443" t="str">
        <f t="array" ref="W483">IFERROR(IFS(OR(U483="A1-Mewtwo", U483="A1-Pikachu", U483="A1-Charizard", U483="A1"), $B$5-XLOOKUP(S483, 'Genetic Apex'!$C$2:$C889, 'Genetic Apex'!$B$2:$B889), U483="A1a", $B$5-XLOOKUP(S483, 'Mythical Island'!$C$2:$C889, 'Mythical Island'!$B$2:$B889), OR(U483="A2-Dialga", U483="A2-Palkia", U483="A2"), $B$5-XLOOKUP(S483, 'Space-Time Smackdown'!$C$2:$C889, 'Space-Time Smackdown'!$B$2:$B889)))</f>
        <v/>
      </c>
      <c r="X483" s="444" t="str">
        <f t="shared" si="3"/>
        <v/>
      </c>
      <c r="Y483" s="445" t="str">
        <f t="shared" si="4"/>
        <v/>
      </c>
      <c r="Z483" s="278"/>
      <c r="AA483" s="466"/>
      <c r="AB483" s="278"/>
      <c r="AC483" s="278"/>
      <c r="AD483" s="278"/>
      <c r="AE483" s="278"/>
      <c r="AF483" s="278"/>
      <c r="AG483" s="278" t="b">
        <f t="shared" si="5"/>
        <v>0</v>
      </c>
      <c r="AH483" s="454"/>
      <c r="AI483" s="278"/>
      <c r="AJ483" s="278"/>
      <c r="AK483" s="278"/>
      <c r="AL483" s="444" t="str">
        <f t="array" ref="AL483">IFERROR(IFS(OR(AJ483="A1-Mewtwo", AJ483="A1-Pikachu", AJ483="A1-Charizard", AJ483="A1"), XLOOKUP(AH483, 'Genetic Apex'!$C$2:$C889, 'Genetic Apex'!$B$2:$B889)-2, AJ483="A1a", XLOOKUP(AH483, 'Mythical Island'!$C$2:$C889, 'Mythical Island'!$B$2:$B889)-2, OR(AJ483="A2-Dialga", AJ483="A2-Palkia", AJ483="A2"), XLOOKUP(AH483, 'Space-Time Smackdown'!$C$2:$C889, 'Space-Time Smackdown'!$B$2:$B889)-2))</f>
        <v/>
      </c>
      <c r="AM483" s="444" t="str">
        <f t="shared" si="6"/>
        <v/>
      </c>
      <c r="AN483" s="448" t="str">
        <f t="shared" si="7"/>
        <v/>
      </c>
    </row>
    <row r="484">
      <c r="A484" s="277"/>
      <c r="B484" s="277"/>
      <c r="C484" s="441"/>
      <c r="D484" s="277"/>
      <c r="E484" s="277"/>
      <c r="F484" s="277"/>
      <c r="G484" s="277"/>
      <c r="H484" s="277" t="b">
        <f t="shared" si="1"/>
        <v>0</v>
      </c>
      <c r="I484" s="277" t="str">
        <f>IFERROR(__xludf.DUMMYFUNCTION("""COMPUTED_VALUE"""),"A2 107")</f>
        <v>A2 107</v>
      </c>
      <c r="J484" s="277" t="str">
        <f>IFERROR(__xludf.DUMMYFUNCTION("""COMPUTED_VALUE"""),"Croagunk")</f>
        <v>Croagunk</v>
      </c>
      <c r="K484" s="277" t="str">
        <f>IFERROR(__xludf.DUMMYFUNCTION("""COMPUTED_VALUE"""),"A2-Dialga")</f>
        <v>A2-Dialga</v>
      </c>
      <c r="L484" s="277" t="str">
        <f>IFERROR(__xludf.DUMMYFUNCTION("""COMPUTED_VALUE"""),"♢")</f>
        <v>♢</v>
      </c>
      <c r="M484" s="440" t="b">
        <f t="shared" si="2"/>
        <v>0</v>
      </c>
      <c r="N484" s="441"/>
      <c r="O484" s="277"/>
      <c r="P484" s="277"/>
      <c r="Q484" s="278"/>
      <c r="R484" s="449" t="str">
        <f t="array" ref="R484">IFERROR(IFS(OR(P484="A1-Mewtwo", P484="A1-Pikachu", P484="A1-Charizard", P484="A1"), XLOOKUP(N484, 'Genetic Apex'!$C$2:$C889, 'Genetic Apex'!$B$2:$B889)-$B$4, P484="A1a", XLOOKUP(N484, 'Mythical Island'!$C$2:$C889, 'Mythical Island'!$B$2:$B889)-$B$4, OR(P484="A2-Dialga", P484="A2-Palkia", P484="A2"), XLOOKUP(N484, 'Space-Time Smackdown'!$C$2:$C889, 'Space-Time Smackdown'!$B$2:$B889)-$B$4))</f>
        <v/>
      </c>
      <c r="S484" s="277"/>
      <c r="T484" s="277"/>
      <c r="U484" s="277"/>
      <c r="V484" s="278"/>
      <c r="W484" s="443" t="str">
        <f t="array" ref="W484">IFERROR(IFS(OR(U484="A1-Mewtwo", U484="A1-Pikachu", U484="A1-Charizard", U484="A1"), $B$5-XLOOKUP(S484, 'Genetic Apex'!$C$2:$C889, 'Genetic Apex'!$B$2:$B889), U484="A1a", $B$5-XLOOKUP(S484, 'Mythical Island'!$C$2:$C889, 'Mythical Island'!$B$2:$B889), OR(U484="A2-Dialga", U484="A2-Palkia", U484="A2"), $B$5-XLOOKUP(S484, 'Space-Time Smackdown'!$C$2:$C889, 'Space-Time Smackdown'!$B$2:$B889)))</f>
        <v/>
      </c>
      <c r="X484" s="444" t="str">
        <f t="shared" si="3"/>
        <v/>
      </c>
      <c r="Y484" s="445" t="str">
        <f t="shared" si="4"/>
        <v/>
      </c>
      <c r="Z484" s="278"/>
      <c r="AA484" s="466"/>
      <c r="AB484" s="278"/>
      <c r="AC484" s="278"/>
      <c r="AD484" s="278"/>
      <c r="AE484" s="278"/>
      <c r="AF484" s="278"/>
      <c r="AG484" s="278" t="b">
        <f t="shared" si="5"/>
        <v>0</v>
      </c>
      <c r="AH484" s="454"/>
      <c r="AI484" s="278"/>
      <c r="AJ484" s="278"/>
      <c r="AK484" s="278"/>
      <c r="AL484" s="444" t="str">
        <f t="array" ref="AL484">IFERROR(IFS(OR(AJ484="A1-Mewtwo", AJ484="A1-Pikachu", AJ484="A1-Charizard", AJ484="A1"), XLOOKUP(AH484, 'Genetic Apex'!$C$2:$C889, 'Genetic Apex'!$B$2:$B889)-2, AJ484="A1a", XLOOKUP(AH484, 'Mythical Island'!$C$2:$C889, 'Mythical Island'!$B$2:$B889)-2, OR(AJ484="A2-Dialga", AJ484="A2-Palkia", AJ484="A2"), XLOOKUP(AH484, 'Space-Time Smackdown'!$C$2:$C889, 'Space-Time Smackdown'!$B$2:$B889)-2))</f>
        <v/>
      </c>
      <c r="AM484" s="444" t="str">
        <f t="shared" si="6"/>
        <v/>
      </c>
      <c r="AN484" s="448" t="str">
        <f t="shared" si="7"/>
        <v/>
      </c>
    </row>
    <row r="485">
      <c r="A485" s="277"/>
      <c r="B485" s="277"/>
      <c r="C485" s="441"/>
      <c r="D485" s="277"/>
      <c r="E485" s="277"/>
      <c r="F485" s="277"/>
      <c r="G485" s="277"/>
      <c r="H485" s="277" t="b">
        <f t="shared" si="1"/>
        <v>0</v>
      </c>
      <c r="I485" s="277" t="str">
        <f>IFERROR(__xludf.DUMMYFUNCTION("""COMPUTED_VALUE"""),"A2 108")</f>
        <v>A2 108</v>
      </c>
      <c r="J485" s="277" t="str">
        <f>IFERROR(__xludf.DUMMYFUNCTION("""COMPUTED_VALUE"""),"Toxicroak")</f>
        <v>Toxicroak</v>
      </c>
      <c r="K485" s="277" t="str">
        <f>IFERROR(__xludf.DUMMYFUNCTION("""COMPUTED_VALUE"""),"A2-Dialga")</f>
        <v>A2-Dialga</v>
      </c>
      <c r="L485" s="277" t="str">
        <f>IFERROR(__xludf.DUMMYFUNCTION("""COMPUTED_VALUE"""),"♢♢")</f>
        <v>♢♢</v>
      </c>
      <c r="M485" s="440" t="b">
        <f t="shared" si="2"/>
        <v>0</v>
      </c>
      <c r="N485" s="441"/>
      <c r="O485" s="277"/>
      <c r="P485" s="277"/>
      <c r="Q485" s="278"/>
      <c r="R485" s="449" t="str">
        <f t="array" ref="R485">IFERROR(IFS(OR(P485="A1-Mewtwo", P485="A1-Pikachu", P485="A1-Charizard", P485="A1"), XLOOKUP(N485, 'Genetic Apex'!$C$2:$C889, 'Genetic Apex'!$B$2:$B889)-$B$4, P485="A1a", XLOOKUP(N485, 'Mythical Island'!$C$2:$C889, 'Mythical Island'!$B$2:$B889)-$B$4, OR(P485="A2-Dialga", P485="A2-Palkia", P485="A2"), XLOOKUP(N485, 'Space-Time Smackdown'!$C$2:$C889, 'Space-Time Smackdown'!$B$2:$B889)-$B$4))</f>
        <v/>
      </c>
      <c r="S485" s="277"/>
      <c r="T485" s="277"/>
      <c r="U485" s="277"/>
      <c r="V485" s="278"/>
      <c r="W485" s="443" t="str">
        <f t="array" ref="W485">IFERROR(IFS(OR(U485="A1-Mewtwo", U485="A1-Pikachu", U485="A1-Charizard", U485="A1"), $B$5-XLOOKUP(S485, 'Genetic Apex'!$C$2:$C889, 'Genetic Apex'!$B$2:$B889), U485="A1a", $B$5-XLOOKUP(S485, 'Mythical Island'!$C$2:$C889, 'Mythical Island'!$B$2:$B889), OR(U485="A2-Dialga", U485="A2-Palkia", U485="A2"), $B$5-XLOOKUP(S485, 'Space-Time Smackdown'!$C$2:$C889, 'Space-Time Smackdown'!$B$2:$B889)))</f>
        <v/>
      </c>
      <c r="X485" s="444" t="str">
        <f t="shared" si="3"/>
        <v/>
      </c>
      <c r="Y485" s="445" t="str">
        <f t="shared" si="4"/>
        <v/>
      </c>
      <c r="Z485" s="278"/>
      <c r="AA485" s="466"/>
      <c r="AB485" s="278"/>
      <c r="AC485" s="278"/>
      <c r="AD485" s="278"/>
      <c r="AE485" s="278"/>
      <c r="AF485" s="278"/>
      <c r="AG485" s="278" t="b">
        <f t="shared" si="5"/>
        <v>0</v>
      </c>
      <c r="AH485" s="454"/>
      <c r="AI485" s="278"/>
      <c r="AJ485" s="278"/>
      <c r="AK485" s="278"/>
      <c r="AL485" s="444" t="str">
        <f t="array" ref="AL485">IFERROR(IFS(OR(AJ485="A1-Mewtwo", AJ485="A1-Pikachu", AJ485="A1-Charizard", AJ485="A1"), XLOOKUP(AH485, 'Genetic Apex'!$C$2:$C889, 'Genetic Apex'!$B$2:$B889)-2, AJ485="A1a", XLOOKUP(AH485, 'Mythical Island'!$C$2:$C889, 'Mythical Island'!$B$2:$B889)-2, OR(AJ485="A2-Dialga", AJ485="A2-Palkia", AJ485="A2"), XLOOKUP(AH485, 'Space-Time Smackdown'!$C$2:$C889, 'Space-Time Smackdown'!$B$2:$B889)-2))</f>
        <v/>
      </c>
      <c r="AM485" s="444" t="str">
        <f t="shared" si="6"/>
        <v/>
      </c>
      <c r="AN485" s="448" t="str">
        <f t="shared" si="7"/>
        <v/>
      </c>
    </row>
    <row r="486">
      <c r="A486" s="277"/>
      <c r="B486" s="277"/>
      <c r="C486" s="441"/>
      <c r="D486" s="277"/>
      <c r="E486" s="277"/>
      <c r="F486" s="277"/>
      <c r="G486" s="277"/>
      <c r="H486" s="277" t="b">
        <f t="shared" si="1"/>
        <v>0</v>
      </c>
      <c r="I486" s="277" t="str">
        <f>IFERROR(__xludf.DUMMYFUNCTION("""COMPUTED_VALUE"""),"A2 109")</f>
        <v>A2 109</v>
      </c>
      <c r="J486" s="277" t="str">
        <f>IFERROR(__xludf.DUMMYFUNCTION("""COMPUTED_VALUE"""),"Darkrai")</f>
        <v>Darkrai</v>
      </c>
      <c r="K486" s="277" t="str">
        <f>IFERROR(__xludf.DUMMYFUNCTION("""COMPUTED_VALUE"""),"A2-Dialga")</f>
        <v>A2-Dialga</v>
      </c>
      <c r="L486" s="277" t="str">
        <f>IFERROR(__xludf.DUMMYFUNCTION("""COMPUTED_VALUE"""),"♢♢♢")</f>
        <v>♢♢♢</v>
      </c>
      <c r="M486" s="440" t="b">
        <f t="shared" si="2"/>
        <v>0</v>
      </c>
      <c r="N486" s="441"/>
      <c r="O486" s="277"/>
      <c r="P486" s="277"/>
      <c r="Q486" s="278"/>
      <c r="R486" s="449" t="str">
        <f t="array" ref="R486">IFERROR(IFS(OR(P486="A1-Mewtwo", P486="A1-Pikachu", P486="A1-Charizard", P486="A1"), XLOOKUP(N486, 'Genetic Apex'!$C$2:$C889, 'Genetic Apex'!$B$2:$B889)-$B$4, P486="A1a", XLOOKUP(N486, 'Mythical Island'!$C$2:$C889, 'Mythical Island'!$B$2:$B889)-$B$4, OR(P486="A2-Dialga", P486="A2-Palkia", P486="A2"), XLOOKUP(N486, 'Space-Time Smackdown'!$C$2:$C889, 'Space-Time Smackdown'!$B$2:$B889)-$B$4))</f>
        <v/>
      </c>
      <c r="S486" s="277"/>
      <c r="T486" s="277"/>
      <c r="U486" s="277"/>
      <c r="V486" s="278"/>
      <c r="W486" s="443" t="str">
        <f t="array" ref="W486">IFERROR(IFS(OR(U486="A1-Mewtwo", U486="A1-Pikachu", U486="A1-Charizard", U486="A1"), $B$5-XLOOKUP(S486, 'Genetic Apex'!$C$2:$C889, 'Genetic Apex'!$B$2:$B889), U486="A1a", $B$5-XLOOKUP(S486, 'Mythical Island'!$C$2:$C889, 'Mythical Island'!$B$2:$B889), OR(U486="A2-Dialga", U486="A2-Palkia", U486="A2"), $B$5-XLOOKUP(S486, 'Space-Time Smackdown'!$C$2:$C889, 'Space-Time Smackdown'!$B$2:$B889)))</f>
        <v/>
      </c>
      <c r="X486" s="444" t="str">
        <f t="shared" si="3"/>
        <v/>
      </c>
      <c r="Y486" s="445" t="str">
        <f t="shared" si="4"/>
        <v/>
      </c>
      <c r="Z486" s="278"/>
      <c r="AA486" s="466"/>
      <c r="AB486" s="278"/>
      <c r="AC486" s="278"/>
      <c r="AD486" s="278"/>
      <c r="AE486" s="278"/>
      <c r="AF486" s="278"/>
      <c r="AG486" s="278" t="b">
        <f t="shared" si="5"/>
        <v>0</v>
      </c>
      <c r="AH486" s="454"/>
      <c r="AI486" s="278"/>
      <c r="AJ486" s="278"/>
      <c r="AK486" s="278"/>
      <c r="AL486" s="444" t="str">
        <f t="array" ref="AL486">IFERROR(IFS(OR(AJ486="A1-Mewtwo", AJ486="A1-Pikachu", AJ486="A1-Charizard", AJ486="A1"), XLOOKUP(AH486, 'Genetic Apex'!$C$2:$C889, 'Genetic Apex'!$B$2:$B889)-2, AJ486="A1a", XLOOKUP(AH486, 'Mythical Island'!$C$2:$C889, 'Mythical Island'!$B$2:$B889)-2, OR(AJ486="A2-Dialga", AJ486="A2-Palkia", AJ486="A2"), XLOOKUP(AH486, 'Space-Time Smackdown'!$C$2:$C889, 'Space-Time Smackdown'!$B$2:$B889)-2))</f>
        <v/>
      </c>
      <c r="AM486" s="444" t="str">
        <f t="shared" si="6"/>
        <v/>
      </c>
      <c r="AN486" s="448" t="str">
        <f t="shared" si="7"/>
        <v/>
      </c>
    </row>
    <row r="487">
      <c r="A487" s="277"/>
      <c r="B487" s="277"/>
      <c r="C487" s="441"/>
      <c r="D487" s="277"/>
      <c r="E487" s="277"/>
      <c r="F487" s="277"/>
      <c r="G487" s="277"/>
      <c r="H487" s="277" t="b">
        <f t="shared" si="1"/>
        <v>0</v>
      </c>
      <c r="I487" s="277" t="str">
        <f>IFERROR(__xludf.DUMMYFUNCTION("""COMPUTED_VALUE"""),"A2 110")</f>
        <v>A2 110</v>
      </c>
      <c r="J487" s="277" t="str">
        <f>IFERROR(__xludf.DUMMYFUNCTION("""COMPUTED_VALUE"""),"Darkrai ex")</f>
        <v>Darkrai ex</v>
      </c>
      <c r="K487" s="277" t="str">
        <f>IFERROR(__xludf.DUMMYFUNCTION("""COMPUTED_VALUE"""),"A2-Dialga")</f>
        <v>A2-Dialga</v>
      </c>
      <c r="L487" s="277" t="str">
        <f>IFERROR(__xludf.DUMMYFUNCTION("""COMPUTED_VALUE"""),"♢♢♢♢")</f>
        <v>♢♢♢♢</v>
      </c>
      <c r="M487" s="440" t="b">
        <f t="shared" si="2"/>
        <v>0</v>
      </c>
      <c r="N487" s="441"/>
      <c r="O487" s="277"/>
      <c r="P487" s="277"/>
      <c r="Q487" s="278"/>
      <c r="R487" s="449" t="str">
        <f t="array" ref="R487">IFERROR(IFS(OR(P487="A1-Mewtwo", P487="A1-Pikachu", P487="A1-Charizard", P487="A1"), XLOOKUP(N487, 'Genetic Apex'!$C$2:$C889, 'Genetic Apex'!$B$2:$B889)-$B$4, P487="A1a", XLOOKUP(N487, 'Mythical Island'!$C$2:$C889, 'Mythical Island'!$B$2:$B889)-$B$4, OR(P487="A2-Dialga", P487="A2-Palkia", P487="A2"), XLOOKUP(N487, 'Space-Time Smackdown'!$C$2:$C889, 'Space-Time Smackdown'!$B$2:$B889)-$B$4))</f>
        <v/>
      </c>
      <c r="S487" s="277"/>
      <c r="T487" s="277"/>
      <c r="U487" s="277"/>
      <c r="V487" s="278"/>
      <c r="W487" s="443" t="str">
        <f t="array" ref="W487">IFERROR(IFS(OR(U487="A1-Mewtwo", U487="A1-Pikachu", U487="A1-Charizard", U487="A1"), $B$5-XLOOKUP(S487, 'Genetic Apex'!$C$2:$C889, 'Genetic Apex'!$B$2:$B889), U487="A1a", $B$5-XLOOKUP(S487, 'Mythical Island'!$C$2:$C889, 'Mythical Island'!$B$2:$B889), OR(U487="A2-Dialga", U487="A2-Palkia", U487="A2"), $B$5-XLOOKUP(S487, 'Space-Time Smackdown'!$C$2:$C889, 'Space-Time Smackdown'!$B$2:$B889)))</f>
        <v/>
      </c>
      <c r="X487" s="444" t="str">
        <f t="shared" si="3"/>
        <v/>
      </c>
      <c r="Y487" s="445" t="str">
        <f t="shared" si="4"/>
        <v/>
      </c>
      <c r="Z487" s="278"/>
      <c r="AA487" s="466"/>
      <c r="AB487" s="278"/>
      <c r="AC487" s="278"/>
      <c r="AD487" s="278"/>
      <c r="AE487" s="278"/>
      <c r="AF487" s="278"/>
      <c r="AG487" s="278" t="b">
        <f t="shared" si="5"/>
        <v>0</v>
      </c>
      <c r="AH487" s="454"/>
      <c r="AI487" s="278"/>
      <c r="AJ487" s="278"/>
      <c r="AK487" s="278"/>
      <c r="AL487" s="444" t="str">
        <f t="array" ref="AL487">IFERROR(IFS(OR(AJ487="A1-Mewtwo", AJ487="A1-Pikachu", AJ487="A1-Charizard", AJ487="A1"), XLOOKUP(AH487, 'Genetic Apex'!$C$2:$C889, 'Genetic Apex'!$B$2:$B889)-2, AJ487="A1a", XLOOKUP(AH487, 'Mythical Island'!$C$2:$C889, 'Mythical Island'!$B$2:$B889)-2, OR(AJ487="A2-Dialga", AJ487="A2-Palkia", AJ487="A2"), XLOOKUP(AH487, 'Space-Time Smackdown'!$C$2:$C889, 'Space-Time Smackdown'!$B$2:$B889)-2))</f>
        <v/>
      </c>
      <c r="AM487" s="444" t="str">
        <f t="shared" si="6"/>
        <v/>
      </c>
      <c r="AN487" s="448" t="str">
        <f t="shared" si="7"/>
        <v/>
      </c>
    </row>
    <row r="488">
      <c r="A488" s="277"/>
      <c r="B488" s="277"/>
      <c r="C488" s="441"/>
      <c r="D488" s="277"/>
      <c r="E488" s="277"/>
      <c r="F488" s="277"/>
      <c r="G488" s="277"/>
      <c r="H488" s="277" t="b">
        <f t="shared" si="1"/>
        <v>0</v>
      </c>
      <c r="I488" s="277" t="str">
        <f>IFERROR(__xludf.DUMMYFUNCTION("""COMPUTED_VALUE"""),"A2 111")</f>
        <v>A2 111</v>
      </c>
      <c r="J488" s="277" t="str">
        <f>IFERROR(__xludf.DUMMYFUNCTION("""COMPUTED_VALUE"""),"Skarmory")</f>
        <v>Skarmory</v>
      </c>
      <c r="K488" s="277" t="str">
        <f>IFERROR(__xludf.DUMMYFUNCTION("""COMPUTED_VALUE"""),"A2")</f>
        <v>A2</v>
      </c>
      <c r="L488" s="277" t="str">
        <f>IFERROR(__xludf.DUMMYFUNCTION("""COMPUTED_VALUE"""),"♢♢")</f>
        <v>♢♢</v>
      </c>
      <c r="M488" s="440" t="b">
        <f t="shared" si="2"/>
        <v>0</v>
      </c>
      <c r="N488" s="441"/>
      <c r="O488" s="277"/>
      <c r="P488" s="277"/>
      <c r="Q488" s="278"/>
      <c r="R488" s="449" t="str">
        <f t="array" ref="R488">IFERROR(IFS(OR(P488="A1-Mewtwo", P488="A1-Pikachu", P488="A1-Charizard", P488="A1"), XLOOKUP(N488, 'Genetic Apex'!$C$2:$C889, 'Genetic Apex'!$B$2:$B889)-$B$4, P488="A1a", XLOOKUP(N488, 'Mythical Island'!$C$2:$C889, 'Mythical Island'!$B$2:$B889)-$B$4, OR(P488="A2-Dialga", P488="A2-Palkia", P488="A2"), XLOOKUP(N488, 'Space-Time Smackdown'!$C$2:$C889, 'Space-Time Smackdown'!$B$2:$B889)-$B$4))</f>
        <v/>
      </c>
      <c r="S488" s="277"/>
      <c r="T488" s="277"/>
      <c r="U488" s="277"/>
      <c r="V488" s="278"/>
      <c r="W488" s="443" t="str">
        <f t="array" ref="W488">IFERROR(IFS(OR(U488="A1-Mewtwo", U488="A1-Pikachu", U488="A1-Charizard", U488="A1"), $B$5-XLOOKUP(S488, 'Genetic Apex'!$C$2:$C889, 'Genetic Apex'!$B$2:$B889), U488="A1a", $B$5-XLOOKUP(S488, 'Mythical Island'!$C$2:$C889, 'Mythical Island'!$B$2:$B889), OR(U488="A2-Dialga", U488="A2-Palkia", U488="A2"), $B$5-XLOOKUP(S488, 'Space-Time Smackdown'!$C$2:$C889, 'Space-Time Smackdown'!$B$2:$B889)))</f>
        <v/>
      </c>
      <c r="X488" s="444" t="str">
        <f t="shared" si="3"/>
        <v/>
      </c>
      <c r="Y488" s="445" t="str">
        <f t="shared" si="4"/>
        <v/>
      </c>
      <c r="Z488" s="278"/>
      <c r="AA488" s="466"/>
      <c r="AB488" s="278"/>
      <c r="AC488" s="278"/>
      <c r="AD488" s="278"/>
      <c r="AE488" s="278"/>
      <c r="AF488" s="278"/>
      <c r="AG488" s="278" t="b">
        <f t="shared" si="5"/>
        <v>0</v>
      </c>
      <c r="AH488" s="454"/>
      <c r="AI488" s="278"/>
      <c r="AJ488" s="278"/>
      <c r="AK488" s="278"/>
      <c r="AL488" s="444" t="str">
        <f t="array" ref="AL488">IFERROR(IFS(OR(AJ488="A1-Mewtwo", AJ488="A1-Pikachu", AJ488="A1-Charizard", AJ488="A1"), XLOOKUP(AH488, 'Genetic Apex'!$C$2:$C889, 'Genetic Apex'!$B$2:$B889)-2, AJ488="A1a", XLOOKUP(AH488, 'Mythical Island'!$C$2:$C889, 'Mythical Island'!$B$2:$B889)-2, OR(AJ488="A2-Dialga", AJ488="A2-Palkia", AJ488="A2"), XLOOKUP(AH488, 'Space-Time Smackdown'!$C$2:$C889, 'Space-Time Smackdown'!$B$2:$B889)-2))</f>
        <v/>
      </c>
      <c r="AM488" s="444" t="str">
        <f t="shared" si="6"/>
        <v/>
      </c>
      <c r="AN488" s="448" t="str">
        <f t="shared" si="7"/>
        <v/>
      </c>
    </row>
    <row r="489">
      <c r="A489" s="277"/>
      <c r="B489" s="277"/>
      <c r="C489" s="441"/>
      <c r="D489" s="277"/>
      <c r="E489" s="277"/>
      <c r="F489" s="277"/>
      <c r="G489" s="277"/>
      <c r="H489" s="277" t="b">
        <f t="shared" si="1"/>
        <v>0</v>
      </c>
      <c r="I489" s="277" t="str">
        <f>IFERROR(__xludf.DUMMYFUNCTION("""COMPUTED_VALUE"""),"A2 112")</f>
        <v>A2 112</v>
      </c>
      <c r="J489" s="277" t="str">
        <f>IFERROR(__xludf.DUMMYFUNCTION("""COMPUTED_VALUE"""),"Registeel")</f>
        <v>Registeel</v>
      </c>
      <c r="K489" s="277" t="str">
        <f>IFERROR(__xludf.DUMMYFUNCTION("""COMPUTED_VALUE"""),"A2-Dialga")</f>
        <v>A2-Dialga</v>
      </c>
      <c r="L489" s="277" t="str">
        <f>IFERROR(__xludf.DUMMYFUNCTION("""COMPUTED_VALUE"""),"♢♢")</f>
        <v>♢♢</v>
      </c>
      <c r="M489" s="440" t="b">
        <f t="shared" si="2"/>
        <v>0</v>
      </c>
      <c r="N489" s="441"/>
      <c r="O489" s="277"/>
      <c r="P489" s="277"/>
      <c r="Q489" s="278"/>
      <c r="R489" s="449" t="str">
        <f t="array" ref="R489">IFERROR(IFS(OR(P489="A1-Mewtwo", P489="A1-Pikachu", P489="A1-Charizard", P489="A1"), XLOOKUP(N489, 'Genetic Apex'!$C$2:$C889, 'Genetic Apex'!$B$2:$B889)-$B$4, P489="A1a", XLOOKUP(N489, 'Mythical Island'!$C$2:$C889, 'Mythical Island'!$B$2:$B889)-$B$4, OR(P489="A2-Dialga", P489="A2-Palkia", P489="A2"), XLOOKUP(N489, 'Space-Time Smackdown'!$C$2:$C889, 'Space-Time Smackdown'!$B$2:$B889)-$B$4))</f>
        <v/>
      </c>
      <c r="S489" s="277"/>
      <c r="T489" s="277"/>
      <c r="U489" s="277"/>
      <c r="V489" s="278"/>
      <c r="W489" s="443" t="str">
        <f t="array" ref="W489">IFERROR(IFS(OR(U489="A1-Mewtwo", U489="A1-Pikachu", U489="A1-Charizard", U489="A1"), $B$5-XLOOKUP(S489, 'Genetic Apex'!$C$2:$C889, 'Genetic Apex'!$B$2:$B889), U489="A1a", $B$5-XLOOKUP(S489, 'Mythical Island'!$C$2:$C889, 'Mythical Island'!$B$2:$B889), OR(U489="A2-Dialga", U489="A2-Palkia", U489="A2"), $B$5-XLOOKUP(S489, 'Space-Time Smackdown'!$C$2:$C889, 'Space-Time Smackdown'!$B$2:$B889)))</f>
        <v/>
      </c>
      <c r="X489" s="444" t="str">
        <f t="shared" si="3"/>
        <v/>
      </c>
      <c r="Y489" s="445" t="str">
        <f t="shared" si="4"/>
        <v/>
      </c>
      <c r="Z489" s="278"/>
      <c r="AA489" s="466"/>
      <c r="AB489" s="278"/>
      <c r="AC489" s="278"/>
      <c r="AD489" s="278"/>
      <c r="AE489" s="278"/>
      <c r="AF489" s="278"/>
      <c r="AG489" s="278" t="b">
        <f t="shared" si="5"/>
        <v>0</v>
      </c>
      <c r="AH489" s="454"/>
      <c r="AI489" s="278"/>
      <c r="AJ489" s="278"/>
      <c r="AK489" s="278"/>
      <c r="AL489" s="444" t="str">
        <f t="array" ref="AL489">IFERROR(IFS(OR(AJ489="A1-Mewtwo", AJ489="A1-Pikachu", AJ489="A1-Charizard", AJ489="A1"), XLOOKUP(AH489, 'Genetic Apex'!$C$2:$C889, 'Genetic Apex'!$B$2:$B889)-2, AJ489="A1a", XLOOKUP(AH489, 'Mythical Island'!$C$2:$C889, 'Mythical Island'!$B$2:$B889)-2, OR(AJ489="A2-Dialga", AJ489="A2-Palkia", AJ489="A2"), XLOOKUP(AH489, 'Space-Time Smackdown'!$C$2:$C889, 'Space-Time Smackdown'!$B$2:$B889)-2))</f>
        <v/>
      </c>
      <c r="AM489" s="444" t="str">
        <f t="shared" si="6"/>
        <v/>
      </c>
      <c r="AN489" s="448" t="str">
        <f t="shared" si="7"/>
        <v/>
      </c>
    </row>
    <row r="490">
      <c r="A490" s="277"/>
      <c r="B490" s="277"/>
      <c r="C490" s="441"/>
      <c r="D490" s="277"/>
      <c r="E490" s="277"/>
      <c r="F490" s="277"/>
      <c r="G490" s="277"/>
      <c r="H490" s="277" t="b">
        <f t="shared" si="1"/>
        <v>0</v>
      </c>
      <c r="I490" s="277" t="str">
        <f>IFERROR(__xludf.DUMMYFUNCTION("""COMPUTED_VALUE"""),"A2 113")</f>
        <v>A2 113</v>
      </c>
      <c r="J490" s="277" t="str">
        <f>IFERROR(__xludf.DUMMYFUNCTION("""COMPUTED_VALUE"""),"Shieldon")</f>
        <v>Shieldon</v>
      </c>
      <c r="K490" s="277" t="str">
        <f>IFERROR(__xludf.DUMMYFUNCTION("""COMPUTED_VALUE"""),"A2-Palkia")</f>
        <v>A2-Palkia</v>
      </c>
      <c r="L490" s="277" t="str">
        <f>IFERROR(__xludf.DUMMYFUNCTION("""COMPUTED_VALUE"""),"♢♢")</f>
        <v>♢♢</v>
      </c>
      <c r="M490" s="440" t="b">
        <f t="shared" si="2"/>
        <v>0</v>
      </c>
      <c r="N490" s="441"/>
      <c r="O490" s="277"/>
      <c r="P490" s="277"/>
      <c r="Q490" s="278"/>
      <c r="R490" s="449" t="str">
        <f t="array" ref="R490">IFERROR(IFS(OR(P490="A1-Mewtwo", P490="A1-Pikachu", P490="A1-Charizard", P490="A1"), XLOOKUP(N490, 'Genetic Apex'!$C$2:$C889, 'Genetic Apex'!$B$2:$B889)-$B$4, P490="A1a", XLOOKUP(N490, 'Mythical Island'!$C$2:$C889, 'Mythical Island'!$B$2:$B889)-$B$4, OR(P490="A2-Dialga", P490="A2-Palkia", P490="A2"), XLOOKUP(N490, 'Space-Time Smackdown'!$C$2:$C889, 'Space-Time Smackdown'!$B$2:$B889)-$B$4))</f>
        <v/>
      </c>
      <c r="S490" s="277"/>
      <c r="T490" s="277"/>
      <c r="U490" s="277"/>
      <c r="V490" s="278"/>
      <c r="W490" s="443" t="str">
        <f t="array" ref="W490">IFERROR(IFS(OR(U490="A1-Mewtwo", U490="A1-Pikachu", U490="A1-Charizard", U490="A1"), $B$5-XLOOKUP(S490, 'Genetic Apex'!$C$2:$C889, 'Genetic Apex'!$B$2:$B889), U490="A1a", $B$5-XLOOKUP(S490, 'Mythical Island'!$C$2:$C889, 'Mythical Island'!$B$2:$B889), OR(U490="A2-Dialga", U490="A2-Palkia", U490="A2"), $B$5-XLOOKUP(S490, 'Space-Time Smackdown'!$C$2:$C889, 'Space-Time Smackdown'!$B$2:$B889)))</f>
        <v/>
      </c>
      <c r="X490" s="444" t="str">
        <f t="shared" si="3"/>
        <v/>
      </c>
      <c r="Y490" s="445" t="str">
        <f t="shared" si="4"/>
        <v/>
      </c>
      <c r="Z490" s="278"/>
      <c r="AA490" s="466"/>
      <c r="AB490" s="278"/>
      <c r="AC490" s="278"/>
      <c r="AD490" s="278"/>
      <c r="AE490" s="278"/>
      <c r="AF490" s="278"/>
      <c r="AG490" s="278" t="b">
        <f t="shared" si="5"/>
        <v>0</v>
      </c>
      <c r="AH490" s="454"/>
      <c r="AI490" s="278"/>
      <c r="AJ490" s="278"/>
      <c r="AK490" s="278"/>
      <c r="AL490" s="444" t="str">
        <f t="array" ref="AL490">IFERROR(IFS(OR(AJ490="A1-Mewtwo", AJ490="A1-Pikachu", AJ490="A1-Charizard", AJ490="A1"), XLOOKUP(AH490, 'Genetic Apex'!$C$2:$C889, 'Genetic Apex'!$B$2:$B889)-2, AJ490="A1a", XLOOKUP(AH490, 'Mythical Island'!$C$2:$C889, 'Mythical Island'!$B$2:$B889)-2, OR(AJ490="A2-Dialga", AJ490="A2-Palkia", AJ490="A2"), XLOOKUP(AH490, 'Space-Time Smackdown'!$C$2:$C889, 'Space-Time Smackdown'!$B$2:$B889)-2))</f>
        <v/>
      </c>
      <c r="AM490" s="444" t="str">
        <f t="shared" si="6"/>
        <v/>
      </c>
      <c r="AN490" s="448" t="str">
        <f t="shared" si="7"/>
        <v/>
      </c>
    </row>
    <row r="491">
      <c r="A491" s="277"/>
      <c r="B491" s="277"/>
      <c r="C491" s="441"/>
      <c r="D491" s="277"/>
      <c r="E491" s="277"/>
      <c r="F491" s="277"/>
      <c r="G491" s="277"/>
      <c r="H491" s="277" t="b">
        <f t="shared" si="1"/>
        <v>0</v>
      </c>
      <c r="I491" s="277" t="str">
        <f>IFERROR(__xludf.DUMMYFUNCTION("""COMPUTED_VALUE"""),"A2 114")</f>
        <v>A2 114</v>
      </c>
      <c r="J491" s="277" t="str">
        <f>IFERROR(__xludf.DUMMYFUNCTION("""COMPUTED_VALUE"""),"Bastiodon")</f>
        <v>Bastiodon</v>
      </c>
      <c r="K491" s="277" t="str">
        <f>IFERROR(__xludf.DUMMYFUNCTION("""COMPUTED_VALUE"""),"A2-Palkia")</f>
        <v>A2-Palkia</v>
      </c>
      <c r="L491" s="277" t="str">
        <f>IFERROR(__xludf.DUMMYFUNCTION("""COMPUTED_VALUE"""),"♢♢♢")</f>
        <v>♢♢♢</v>
      </c>
      <c r="M491" s="440" t="b">
        <f t="shared" si="2"/>
        <v>0</v>
      </c>
      <c r="N491" s="441"/>
      <c r="O491" s="277"/>
      <c r="P491" s="277"/>
      <c r="Q491" s="278"/>
      <c r="R491" s="449" t="str">
        <f t="array" ref="R491">IFERROR(IFS(OR(P491="A1-Mewtwo", P491="A1-Pikachu", P491="A1-Charizard", P491="A1"), XLOOKUP(N491, 'Genetic Apex'!$C$2:$C889, 'Genetic Apex'!$B$2:$B889)-$B$4, P491="A1a", XLOOKUP(N491, 'Mythical Island'!$C$2:$C889, 'Mythical Island'!$B$2:$B889)-$B$4, OR(P491="A2-Dialga", P491="A2-Palkia", P491="A2"), XLOOKUP(N491, 'Space-Time Smackdown'!$C$2:$C889, 'Space-Time Smackdown'!$B$2:$B889)-$B$4))</f>
        <v/>
      </c>
      <c r="S491" s="277"/>
      <c r="T491" s="277"/>
      <c r="U491" s="277"/>
      <c r="V491" s="278"/>
      <c r="W491" s="443" t="str">
        <f t="array" ref="W491">IFERROR(IFS(OR(U491="A1-Mewtwo", U491="A1-Pikachu", U491="A1-Charizard", U491="A1"), $B$5-XLOOKUP(S491, 'Genetic Apex'!$C$2:$C889, 'Genetic Apex'!$B$2:$B889), U491="A1a", $B$5-XLOOKUP(S491, 'Mythical Island'!$C$2:$C889, 'Mythical Island'!$B$2:$B889), OR(U491="A2-Dialga", U491="A2-Palkia", U491="A2"), $B$5-XLOOKUP(S491, 'Space-Time Smackdown'!$C$2:$C889, 'Space-Time Smackdown'!$B$2:$B889)))</f>
        <v/>
      </c>
      <c r="X491" s="444" t="str">
        <f t="shared" si="3"/>
        <v/>
      </c>
      <c r="Y491" s="445" t="str">
        <f t="shared" si="4"/>
        <v/>
      </c>
      <c r="Z491" s="278"/>
      <c r="AA491" s="466"/>
      <c r="AB491" s="278"/>
      <c r="AC491" s="278"/>
      <c r="AD491" s="278"/>
      <c r="AE491" s="278"/>
      <c r="AF491" s="278"/>
      <c r="AG491" s="278" t="b">
        <f t="shared" si="5"/>
        <v>0</v>
      </c>
      <c r="AH491" s="454"/>
      <c r="AI491" s="278"/>
      <c r="AJ491" s="278"/>
      <c r="AK491" s="278"/>
      <c r="AL491" s="444" t="str">
        <f t="array" ref="AL491">IFERROR(IFS(OR(AJ491="A1-Mewtwo", AJ491="A1-Pikachu", AJ491="A1-Charizard", AJ491="A1"), XLOOKUP(AH491, 'Genetic Apex'!$C$2:$C889, 'Genetic Apex'!$B$2:$B889)-2, AJ491="A1a", XLOOKUP(AH491, 'Mythical Island'!$C$2:$C889, 'Mythical Island'!$B$2:$B889)-2, OR(AJ491="A2-Dialga", AJ491="A2-Palkia", AJ491="A2"), XLOOKUP(AH491, 'Space-Time Smackdown'!$C$2:$C889, 'Space-Time Smackdown'!$B$2:$B889)-2))</f>
        <v/>
      </c>
      <c r="AM491" s="444" t="str">
        <f t="shared" si="6"/>
        <v/>
      </c>
      <c r="AN491" s="448" t="str">
        <f t="shared" si="7"/>
        <v/>
      </c>
    </row>
    <row r="492">
      <c r="A492" s="277"/>
      <c r="B492" s="277"/>
      <c r="C492" s="441"/>
      <c r="D492" s="277"/>
      <c r="E492" s="277"/>
      <c r="F492" s="277"/>
      <c r="G492" s="277"/>
      <c r="H492" s="277" t="b">
        <f t="shared" si="1"/>
        <v>0</v>
      </c>
      <c r="I492" s="277" t="str">
        <f>IFERROR(__xludf.DUMMYFUNCTION("""COMPUTED_VALUE"""),"A2 115")</f>
        <v>A2 115</v>
      </c>
      <c r="J492" s="277" t="str">
        <f>IFERROR(__xludf.DUMMYFUNCTION("""COMPUTED_VALUE"""),"Wormadam")</f>
        <v>Wormadam</v>
      </c>
      <c r="K492" s="277" t="str">
        <f>IFERROR(__xludf.DUMMYFUNCTION("""COMPUTED_VALUE"""),"A2-Palkia")</f>
        <v>A2-Palkia</v>
      </c>
      <c r="L492" s="277" t="str">
        <f>IFERROR(__xludf.DUMMYFUNCTION("""COMPUTED_VALUE"""),"♢")</f>
        <v>♢</v>
      </c>
      <c r="M492" s="440" t="b">
        <f t="shared" si="2"/>
        <v>0</v>
      </c>
      <c r="N492" s="441"/>
      <c r="O492" s="277"/>
      <c r="P492" s="277"/>
      <c r="Q492" s="278"/>
      <c r="R492" s="449" t="str">
        <f t="array" ref="R492">IFERROR(IFS(OR(P492="A1-Mewtwo", P492="A1-Pikachu", P492="A1-Charizard", P492="A1"), XLOOKUP(N492, 'Genetic Apex'!$C$2:$C889, 'Genetic Apex'!$B$2:$B889)-$B$4, P492="A1a", XLOOKUP(N492, 'Mythical Island'!$C$2:$C889, 'Mythical Island'!$B$2:$B889)-$B$4, OR(P492="A2-Dialga", P492="A2-Palkia", P492="A2"), XLOOKUP(N492, 'Space-Time Smackdown'!$C$2:$C889, 'Space-Time Smackdown'!$B$2:$B889)-$B$4))</f>
        <v/>
      </c>
      <c r="S492" s="277"/>
      <c r="T492" s="277"/>
      <c r="U492" s="277"/>
      <c r="V492" s="278"/>
      <c r="W492" s="443" t="str">
        <f t="array" ref="W492">IFERROR(IFS(OR(U492="A1-Mewtwo", U492="A1-Pikachu", U492="A1-Charizard", U492="A1"), $B$5-XLOOKUP(S492, 'Genetic Apex'!$C$2:$C889, 'Genetic Apex'!$B$2:$B889), U492="A1a", $B$5-XLOOKUP(S492, 'Mythical Island'!$C$2:$C889, 'Mythical Island'!$B$2:$B889), OR(U492="A2-Dialga", U492="A2-Palkia", U492="A2"), $B$5-XLOOKUP(S492, 'Space-Time Smackdown'!$C$2:$C889, 'Space-Time Smackdown'!$B$2:$B889)))</f>
        <v/>
      </c>
      <c r="X492" s="444" t="str">
        <f t="shared" si="3"/>
        <v/>
      </c>
      <c r="Y492" s="445" t="str">
        <f t="shared" si="4"/>
        <v/>
      </c>
      <c r="Z492" s="278"/>
      <c r="AA492" s="466"/>
      <c r="AB492" s="278"/>
      <c r="AC492" s="278"/>
      <c r="AD492" s="278"/>
      <c r="AE492" s="278"/>
      <c r="AF492" s="278"/>
      <c r="AG492" s="278" t="b">
        <f t="shared" si="5"/>
        <v>0</v>
      </c>
      <c r="AH492" s="454"/>
      <c r="AI492" s="278"/>
      <c r="AJ492" s="278"/>
      <c r="AK492" s="278"/>
      <c r="AL492" s="444" t="str">
        <f t="array" ref="AL492">IFERROR(IFS(OR(AJ492="A1-Mewtwo", AJ492="A1-Pikachu", AJ492="A1-Charizard", AJ492="A1"), XLOOKUP(AH492, 'Genetic Apex'!$C$2:$C889, 'Genetic Apex'!$B$2:$B889)-2, AJ492="A1a", XLOOKUP(AH492, 'Mythical Island'!$C$2:$C889, 'Mythical Island'!$B$2:$B889)-2, OR(AJ492="A2-Dialga", AJ492="A2-Palkia", AJ492="A2"), XLOOKUP(AH492, 'Space-Time Smackdown'!$C$2:$C889, 'Space-Time Smackdown'!$B$2:$B889)-2))</f>
        <v/>
      </c>
      <c r="AM492" s="444" t="str">
        <f t="shared" si="6"/>
        <v/>
      </c>
      <c r="AN492" s="448" t="str">
        <f t="shared" si="7"/>
        <v/>
      </c>
    </row>
    <row r="493">
      <c r="A493" s="277"/>
      <c r="B493" s="277"/>
      <c r="C493" s="441"/>
      <c r="D493" s="277"/>
      <c r="E493" s="277"/>
      <c r="F493" s="277"/>
      <c r="G493" s="277"/>
      <c r="H493" s="277" t="b">
        <f t="shared" si="1"/>
        <v>0</v>
      </c>
      <c r="I493" s="277" t="str">
        <f>IFERROR(__xludf.DUMMYFUNCTION("""COMPUTED_VALUE"""),"A2 116")</f>
        <v>A2 116</v>
      </c>
      <c r="J493" s="277" t="str">
        <f>IFERROR(__xludf.DUMMYFUNCTION("""COMPUTED_VALUE"""),"Bronzor")</f>
        <v>Bronzor</v>
      </c>
      <c r="K493" s="277" t="str">
        <f>IFERROR(__xludf.DUMMYFUNCTION("""COMPUTED_VALUE"""),"A2-Dialga")</f>
        <v>A2-Dialga</v>
      </c>
      <c r="L493" s="277" t="str">
        <f>IFERROR(__xludf.DUMMYFUNCTION("""COMPUTED_VALUE"""),"♢")</f>
        <v>♢</v>
      </c>
      <c r="M493" s="440" t="b">
        <f t="shared" si="2"/>
        <v>0</v>
      </c>
      <c r="N493" s="441"/>
      <c r="O493" s="277"/>
      <c r="P493" s="277"/>
      <c r="Q493" s="278"/>
      <c r="R493" s="449" t="str">
        <f t="array" ref="R493">IFERROR(IFS(OR(P493="A1-Mewtwo", P493="A1-Pikachu", P493="A1-Charizard", P493="A1"), XLOOKUP(N493, 'Genetic Apex'!$C$2:$C889, 'Genetic Apex'!$B$2:$B889)-$B$4, P493="A1a", XLOOKUP(N493, 'Mythical Island'!$C$2:$C889, 'Mythical Island'!$B$2:$B889)-$B$4, OR(P493="A2-Dialga", P493="A2-Palkia", P493="A2"), XLOOKUP(N493, 'Space-Time Smackdown'!$C$2:$C889, 'Space-Time Smackdown'!$B$2:$B889)-$B$4))</f>
        <v/>
      </c>
      <c r="S493" s="277"/>
      <c r="T493" s="277"/>
      <c r="U493" s="277"/>
      <c r="V493" s="278"/>
      <c r="W493" s="443" t="str">
        <f t="array" ref="W493">IFERROR(IFS(OR(U493="A1-Mewtwo", U493="A1-Pikachu", U493="A1-Charizard", U493="A1"), $B$5-XLOOKUP(S493, 'Genetic Apex'!$C$2:$C889, 'Genetic Apex'!$B$2:$B889), U493="A1a", $B$5-XLOOKUP(S493, 'Mythical Island'!$C$2:$C889, 'Mythical Island'!$B$2:$B889), OR(U493="A2-Dialga", U493="A2-Palkia", U493="A2"), $B$5-XLOOKUP(S493, 'Space-Time Smackdown'!$C$2:$C889, 'Space-Time Smackdown'!$B$2:$B889)))</f>
        <v/>
      </c>
      <c r="X493" s="444" t="str">
        <f t="shared" si="3"/>
        <v/>
      </c>
      <c r="Y493" s="445" t="str">
        <f t="shared" si="4"/>
        <v/>
      </c>
      <c r="Z493" s="278"/>
      <c r="AA493" s="466"/>
      <c r="AB493" s="278"/>
      <c r="AC493" s="278"/>
      <c r="AD493" s="278"/>
      <c r="AE493" s="278"/>
      <c r="AF493" s="278"/>
      <c r="AG493" s="278" t="b">
        <f t="shared" si="5"/>
        <v>0</v>
      </c>
      <c r="AH493" s="454"/>
      <c r="AI493" s="278"/>
      <c r="AJ493" s="278"/>
      <c r="AK493" s="278"/>
      <c r="AL493" s="444" t="str">
        <f t="array" ref="AL493">IFERROR(IFS(OR(AJ493="A1-Mewtwo", AJ493="A1-Pikachu", AJ493="A1-Charizard", AJ493="A1"), XLOOKUP(AH493, 'Genetic Apex'!$C$2:$C889, 'Genetic Apex'!$B$2:$B889)-2, AJ493="A1a", XLOOKUP(AH493, 'Mythical Island'!$C$2:$C889, 'Mythical Island'!$B$2:$B889)-2, OR(AJ493="A2-Dialga", AJ493="A2-Palkia", AJ493="A2"), XLOOKUP(AH493, 'Space-Time Smackdown'!$C$2:$C889, 'Space-Time Smackdown'!$B$2:$B889)-2))</f>
        <v/>
      </c>
      <c r="AM493" s="444" t="str">
        <f t="shared" si="6"/>
        <v/>
      </c>
      <c r="AN493" s="448" t="str">
        <f t="shared" si="7"/>
        <v/>
      </c>
    </row>
    <row r="494">
      <c r="A494" s="277"/>
      <c r="B494" s="277"/>
      <c r="C494" s="441"/>
      <c r="D494" s="277"/>
      <c r="E494" s="277"/>
      <c r="F494" s="277"/>
      <c r="G494" s="277"/>
      <c r="H494" s="277" t="b">
        <f t="shared" si="1"/>
        <v>0</v>
      </c>
      <c r="I494" s="277" t="str">
        <f>IFERROR(__xludf.DUMMYFUNCTION("""COMPUTED_VALUE"""),"A2 117")</f>
        <v>A2 117</v>
      </c>
      <c r="J494" s="277" t="str">
        <f>IFERROR(__xludf.DUMMYFUNCTION("""COMPUTED_VALUE"""),"Bronzong")</f>
        <v>Bronzong</v>
      </c>
      <c r="K494" s="277" t="str">
        <f>IFERROR(__xludf.DUMMYFUNCTION("""COMPUTED_VALUE"""),"A2-Dialga")</f>
        <v>A2-Dialga</v>
      </c>
      <c r="L494" s="277" t="str">
        <f>IFERROR(__xludf.DUMMYFUNCTION("""COMPUTED_VALUE"""),"♢♢")</f>
        <v>♢♢</v>
      </c>
      <c r="M494" s="440" t="b">
        <f t="shared" si="2"/>
        <v>0</v>
      </c>
      <c r="N494" s="441"/>
      <c r="O494" s="277"/>
      <c r="P494" s="277"/>
      <c r="Q494" s="278"/>
      <c r="R494" s="449" t="str">
        <f t="array" ref="R494">IFERROR(IFS(OR(P494="A1-Mewtwo", P494="A1-Pikachu", P494="A1-Charizard", P494="A1"), XLOOKUP(N494, 'Genetic Apex'!$C$2:$C889, 'Genetic Apex'!$B$2:$B889)-$B$4, P494="A1a", XLOOKUP(N494, 'Mythical Island'!$C$2:$C889, 'Mythical Island'!$B$2:$B889)-$B$4, OR(P494="A2-Dialga", P494="A2-Palkia", P494="A2"), XLOOKUP(N494, 'Space-Time Smackdown'!$C$2:$C889, 'Space-Time Smackdown'!$B$2:$B889)-$B$4))</f>
        <v/>
      </c>
      <c r="S494" s="277"/>
      <c r="T494" s="277"/>
      <c r="U494" s="277"/>
      <c r="V494" s="278"/>
      <c r="W494" s="443" t="str">
        <f t="array" ref="W494">IFERROR(IFS(OR(U494="A1-Mewtwo", U494="A1-Pikachu", U494="A1-Charizard", U494="A1"), $B$5-XLOOKUP(S494, 'Genetic Apex'!$C$2:$C889, 'Genetic Apex'!$B$2:$B889), U494="A1a", $B$5-XLOOKUP(S494, 'Mythical Island'!$C$2:$C889, 'Mythical Island'!$B$2:$B889), OR(U494="A2-Dialga", U494="A2-Palkia", U494="A2"), $B$5-XLOOKUP(S494, 'Space-Time Smackdown'!$C$2:$C889, 'Space-Time Smackdown'!$B$2:$B889)))</f>
        <v/>
      </c>
      <c r="X494" s="444" t="str">
        <f t="shared" si="3"/>
        <v/>
      </c>
      <c r="Y494" s="445" t="str">
        <f t="shared" si="4"/>
        <v/>
      </c>
      <c r="Z494" s="278"/>
      <c r="AA494" s="466"/>
      <c r="AB494" s="278"/>
      <c r="AC494" s="278"/>
      <c r="AD494" s="278"/>
      <c r="AE494" s="278"/>
      <c r="AF494" s="278"/>
      <c r="AG494" s="278" t="b">
        <f t="shared" si="5"/>
        <v>0</v>
      </c>
      <c r="AH494" s="454"/>
      <c r="AI494" s="278"/>
      <c r="AJ494" s="278"/>
      <c r="AK494" s="278"/>
      <c r="AL494" s="444" t="str">
        <f t="array" ref="AL494">IFERROR(IFS(OR(AJ494="A1-Mewtwo", AJ494="A1-Pikachu", AJ494="A1-Charizard", AJ494="A1"), XLOOKUP(AH494, 'Genetic Apex'!$C$2:$C889, 'Genetic Apex'!$B$2:$B889)-2, AJ494="A1a", XLOOKUP(AH494, 'Mythical Island'!$C$2:$C889, 'Mythical Island'!$B$2:$B889)-2, OR(AJ494="A2-Dialga", AJ494="A2-Palkia", AJ494="A2"), XLOOKUP(AH494, 'Space-Time Smackdown'!$C$2:$C889, 'Space-Time Smackdown'!$B$2:$B889)-2))</f>
        <v/>
      </c>
      <c r="AM494" s="444" t="str">
        <f t="shared" si="6"/>
        <v/>
      </c>
      <c r="AN494" s="448" t="str">
        <f t="shared" si="7"/>
        <v/>
      </c>
    </row>
    <row r="495">
      <c r="A495" s="277"/>
      <c r="B495" s="277"/>
      <c r="C495" s="441"/>
      <c r="D495" s="277"/>
      <c r="E495" s="277"/>
      <c r="F495" s="277"/>
      <c r="G495" s="277"/>
      <c r="H495" s="277" t="b">
        <f t="shared" si="1"/>
        <v>0</v>
      </c>
      <c r="I495" s="277" t="str">
        <f>IFERROR(__xludf.DUMMYFUNCTION("""COMPUTED_VALUE"""),"A2 118")</f>
        <v>A2 118</v>
      </c>
      <c r="J495" s="277" t="str">
        <f>IFERROR(__xludf.DUMMYFUNCTION("""COMPUTED_VALUE"""),"Probopass")</f>
        <v>Probopass</v>
      </c>
      <c r="K495" s="277" t="str">
        <f>IFERROR(__xludf.DUMMYFUNCTION("""COMPUTED_VALUE"""),"A2")</f>
        <v>A2</v>
      </c>
      <c r="L495" s="277" t="str">
        <f>IFERROR(__xludf.DUMMYFUNCTION("""COMPUTED_VALUE"""),"♢♢")</f>
        <v>♢♢</v>
      </c>
      <c r="M495" s="440" t="b">
        <f t="shared" si="2"/>
        <v>0</v>
      </c>
      <c r="N495" s="441"/>
      <c r="O495" s="277"/>
      <c r="P495" s="277"/>
      <c r="Q495" s="278"/>
      <c r="R495" s="449" t="str">
        <f t="array" ref="R495">IFERROR(IFS(OR(P495="A1-Mewtwo", P495="A1-Pikachu", P495="A1-Charizard", P495="A1"), XLOOKUP(N495, 'Genetic Apex'!$C$2:$C889, 'Genetic Apex'!$B$2:$B889)-$B$4, P495="A1a", XLOOKUP(N495, 'Mythical Island'!$C$2:$C889, 'Mythical Island'!$B$2:$B889)-$B$4, OR(P495="A2-Dialga", P495="A2-Palkia", P495="A2"), XLOOKUP(N495, 'Space-Time Smackdown'!$C$2:$C889, 'Space-Time Smackdown'!$B$2:$B889)-$B$4))</f>
        <v/>
      </c>
      <c r="S495" s="277"/>
      <c r="T495" s="277"/>
      <c r="U495" s="277"/>
      <c r="V495" s="278"/>
      <c r="W495" s="443" t="str">
        <f t="array" ref="W495">IFERROR(IFS(OR(U495="A1-Mewtwo", U495="A1-Pikachu", U495="A1-Charizard", U495="A1"), $B$5-XLOOKUP(S495, 'Genetic Apex'!$C$2:$C889, 'Genetic Apex'!$B$2:$B889), U495="A1a", $B$5-XLOOKUP(S495, 'Mythical Island'!$C$2:$C889, 'Mythical Island'!$B$2:$B889), OR(U495="A2-Dialga", U495="A2-Palkia", U495="A2"), $B$5-XLOOKUP(S495, 'Space-Time Smackdown'!$C$2:$C889, 'Space-Time Smackdown'!$B$2:$B889)))</f>
        <v/>
      </c>
      <c r="X495" s="444" t="str">
        <f t="shared" si="3"/>
        <v/>
      </c>
      <c r="Y495" s="445" t="str">
        <f t="shared" si="4"/>
        <v/>
      </c>
      <c r="Z495" s="278"/>
      <c r="AA495" s="466"/>
      <c r="AB495" s="278"/>
      <c r="AC495" s="278"/>
      <c r="AD495" s="278"/>
      <c r="AE495" s="278"/>
      <c r="AF495" s="278"/>
      <c r="AG495" s="278" t="b">
        <f t="shared" si="5"/>
        <v>0</v>
      </c>
      <c r="AH495" s="454"/>
      <c r="AI495" s="278"/>
      <c r="AJ495" s="278"/>
      <c r="AK495" s="278"/>
      <c r="AL495" s="444" t="str">
        <f t="array" ref="AL495">IFERROR(IFS(OR(AJ495="A1-Mewtwo", AJ495="A1-Pikachu", AJ495="A1-Charizard", AJ495="A1"), XLOOKUP(AH495, 'Genetic Apex'!$C$2:$C889, 'Genetic Apex'!$B$2:$B889)-2, AJ495="A1a", XLOOKUP(AH495, 'Mythical Island'!$C$2:$C889, 'Mythical Island'!$B$2:$B889)-2, OR(AJ495="A2-Dialga", AJ495="A2-Palkia", AJ495="A2"), XLOOKUP(AH495, 'Space-Time Smackdown'!$C$2:$C889, 'Space-Time Smackdown'!$B$2:$B889)-2))</f>
        <v/>
      </c>
      <c r="AM495" s="444" t="str">
        <f t="shared" si="6"/>
        <v/>
      </c>
      <c r="AN495" s="448" t="str">
        <f t="shared" si="7"/>
        <v/>
      </c>
    </row>
    <row r="496">
      <c r="A496" s="277"/>
      <c r="B496" s="277"/>
      <c r="C496" s="441"/>
      <c r="D496" s="277"/>
      <c r="E496" s="277"/>
      <c r="F496" s="277"/>
      <c r="G496" s="277"/>
      <c r="H496" s="277" t="b">
        <f t="shared" si="1"/>
        <v>0</v>
      </c>
      <c r="I496" s="277" t="str">
        <f>IFERROR(__xludf.DUMMYFUNCTION("""COMPUTED_VALUE"""),"A2 119")</f>
        <v>A2 119</v>
      </c>
      <c r="J496" s="277" t="str">
        <f>IFERROR(__xludf.DUMMYFUNCTION("""COMPUTED_VALUE"""),"Dialga ex")</f>
        <v>Dialga ex</v>
      </c>
      <c r="K496" s="277" t="str">
        <f>IFERROR(__xludf.DUMMYFUNCTION("""COMPUTED_VALUE"""),"A2-Dialga")</f>
        <v>A2-Dialga</v>
      </c>
      <c r="L496" s="277" t="str">
        <f>IFERROR(__xludf.DUMMYFUNCTION("""COMPUTED_VALUE"""),"♢♢♢♢")</f>
        <v>♢♢♢♢</v>
      </c>
      <c r="M496" s="440" t="b">
        <f t="shared" si="2"/>
        <v>0</v>
      </c>
      <c r="N496" s="441"/>
      <c r="O496" s="277"/>
      <c r="P496" s="277"/>
      <c r="Q496" s="278"/>
      <c r="R496" s="449" t="str">
        <f t="array" ref="R496">IFERROR(IFS(OR(P496="A1-Mewtwo", P496="A1-Pikachu", P496="A1-Charizard", P496="A1"), XLOOKUP(N496, 'Genetic Apex'!$C$2:$C889, 'Genetic Apex'!$B$2:$B889)-$B$4, P496="A1a", XLOOKUP(N496, 'Mythical Island'!$C$2:$C889, 'Mythical Island'!$B$2:$B889)-$B$4, OR(P496="A2-Dialga", P496="A2-Palkia", P496="A2"), XLOOKUP(N496, 'Space-Time Smackdown'!$C$2:$C889, 'Space-Time Smackdown'!$B$2:$B889)-$B$4))</f>
        <v/>
      </c>
      <c r="S496" s="277"/>
      <c r="T496" s="277"/>
      <c r="U496" s="277"/>
      <c r="V496" s="278"/>
      <c r="W496" s="443" t="str">
        <f t="array" ref="W496">IFERROR(IFS(OR(U496="A1-Mewtwo", U496="A1-Pikachu", U496="A1-Charizard", U496="A1"), $B$5-XLOOKUP(S496, 'Genetic Apex'!$C$2:$C889, 'Genetic Apex'!$B$2:$B889), U496="A1a", $B$5-XLOOKUP(S496, 'Mythical Island'!$C$2:$C889, 'Mythical Island'!$B$2:$B889), OR(U496="A2-Dialga", U496="A2-Palkia", U496="A2"), $B$5-XLOOKUP(S496, 'Space-Time Smackdown'!$C$2:$C889, 'Space-Time Smackdown'!$B$2:$B889)))</f>
        <v/>
      </c>
      <c r="X496" s="444" t="str">
        <f t="shared" si="3"/>
        <v/>
      </c>
      <c r="Y496" s="445" t="str">
        <f t="shared" si="4"/>
        <v/>
      </c>
      <c r="Z496" s="278"/>
      <c r="AA496" s="466"/>
      <c r="AB496" s="278"/>
      <c r="AC496" s="278"/>
      <c r="AD496" s="278"/>
      <c r="AE496" s="278"/>
      <c r="AF496" s="278"/>
      <c r="AG496" s="278" t="b">
        <f t="shared" si="5"/>
        <v>0</v>
      </c>
      <c r="AH496" s="454"/>
      <c r="AI496" s="278"/>
      <c r="AJ496" s="278"/>
      <c r="AK496" s="278"/>
      <c r="AL496" s="444" t="str">
        <f t="array" ref="AL496">IFERROR(IFS(OR(AJ496="A1-Mewtwo", AJ496="A1-Pikachu", AJ496="A1-Charizard", AJ496="A1"), XLOOKUP(AH496, 'Genetic Apex'!$C$2:$C889, 'Genetic Apex'!$B$2:$B889)-2, AJ496="A1a", XLOOKUP(AH496, 'Mythical Island'!$C$2:$C889, 'Mythical Island'!$B$2:$B889)-2, OR(AJ496="A2-Dialga", AJ496="A2-Palkia", AJ496="A2"), XLOOKUP(AH496, 'Space-Time Smackdown'!$C$2:$C889, 'Space-Time Smackdown'!$B$2:$B889)-2))</f>
        <v/>
      </c>
      <c r="AM496" s="444" t="str">
        <f t="shared" si="6"/>
        <v/>
      </c>
      <c r="AN496" s="448" t="str">
        <f t="shared" si="7"/>
        <v/>
      </c>
    </row>
    <row r="497">
      <c r="A497" s="277"/>
      <c r="B497" s="277"/>
      <c r="C497" s="441"/>
      <c r="D497" s="277"/>
      <c r="E497" s="277"/>
      <c r="F497" s="277"/>
      <c r="G497" s="277"/>
      <c r="H497" s="277" t="b">
        <f t="shared" si="1"/>
        <v>0</v>
      </c>
      <c r="I497" s="277" t="str">
        <f>IFERROR(__xludf.DUMMYFUNCTION("""COMPUTED_VALUE"""),"A2 120")</f>
        <v>A2 120</v>
      </c>
      <c r="J497" s="277" t="str">
        <f>IFERROR(__xludf.DUMMYFUNCTION("""COMPUTED_VALUE"""),"Heatran")</f>
        <v>Heatran</v>
      </c>
      <c r="K497" s="277" t="str">
        <f>IFERROR(__xludf.DUMMYFUNCTION("""COMPUTED_VALUE"""),"A2-Dialga")</f>
        <v>A2-Dialga</v>
      </c>
      <c r="L497" s="277" t="str">
        <f>IFERROR(__xludf.DUMMYFUNCTION("""COMPUTED_VALUE"""),"♢♢♢")</f>
        <v>♢♢♢</v>
      </c>
      <c r="M497" s="440" t="b">
        <f t="shared" si="2"/>
        <v>0</v>
      </c>
      <c r="N497" s="441"/>
      <c r="O497" s="277"/>
      <c r="P497" s="277"/>
      <c r="Q497" s="278"/>
      <c r="R497" s="449" t="str">
        <f t="array" ref="R497">IFERROR(IFS(OR(P497="A1-Mewtwo", P497="A1-Pikachu", P497="A1-Charizard", P497="A1"), XLOOKUP(N497, 'Genetic Apex'!$C$2:$C889, 'Genetic Apex'!$B$2:$B889)-$B$4, P497="A1a", XLOOKUP(N497, 'Mythical Island'!$C$2:$C889, 'Mythical Island'!$B$2:$B889)-$B$4, OR(P497="A2-Dialga", P497="A2-Palkia", P497="A2"), XLOOKUP(N497, 'Space-Time Smackdown'!$C$2:$C889, 'Space-Time Smackdown'!$B$2:$B889)-$B$4))</f>
        <v/>
      </c>
      <c r="S497" s="277"/>
      <c r="T497" s="277"/>
      <c r="U497" s="277"/>
      <c r="V497" s="278"/>
      <c r="W497" s="443" t="str">
        <f t="array" ref="W497">IFERROR(IFS(OR(U497="A1-Mewtwo", U497="A1-Pikachu", U497="A1-Charizard", U497="A1"), $B$5-XLOOKUP(S497, 'Genetic Apex'!$C$2:$C889, 'Genetic Apex'!$B$2:$B889), U497="A1a", $B$5-XLOOKUP(S497, 'Mythical Island'!$C$2:$C889, 'Mythical Island'!$B$2:$B889), OR(U497="A2-Dialga", U497="A2-Palkia", U497="A2"), $B$5-XLOOKUP(S497, 'Space-Time Smackdown'!$C$2:$C889, 'Space-Time Smackdown'!$B$2:$B889)))</f>
        <v/>
      </c>
      <c r="X497" s="444" t="str">
        <f t="shared" si="3"/>
        <v/>
      </c>
      <c r="Y497" s="445" t="str">
        <f t="shared" si="4"/>
        <v/>
      </c>
      <c r="Z497" s="278"/>
      <c r="AA497" s="466"/>
      <c r="AB497" s="278"/>
      <c r="AC497" s="278"/>
      <c r="AD497" s="278"/>
      <c r="AE497" s="278"/>
      <c r="AF497" s="278"/>
      <c r="AG497" s="278" t="b">
        <f t="shared" si="5"/>
        <v>0</v>
      </c>
      <c r="AH497" s="454"/>
      <c r="AI497" s="278"/>
      <c r="AJ497" s="278"/>
      <c r="AK497" s="278"/>
      <c r="AL497" s="444" t="str">
        <f t="array" ref="AL497">IFERROR(IFS(OR(AJ497="A1-Mewtwo", AJ497="A1-Pikachu", AJ497="A1-Charizard", AJ497="A1"), XLOOKUP(AH497, 'Genetic Apex'!$C$2:$C889, 'Genetic Apex'!$B$2:$B889)-2, AJ497="A1a", XLOOKUP(AH497, 'Mythical Island'!$C$2:$C889, 'Mythical Island'!$B$2:$B889)-2, OR(AJ497="A2-Dialga", AJ497="A2-Palkia", AJ497="A2"), XLOOKUP(AH497, 'Space-Time Smackdown'!$C$2:$C889, 'Space-Time Smackdown'!$B$2:$B889)-2))</f>
        <v/>
      </c>
      <c r="AM497" s="444" t="str">
        <f t="shared" si="6"/>
        <v/>
      </c>
      <c r="AN497" s="448" t="str">
        <f t="shared" si="7"/>
        <v/>
      </c>
    </row>
    <row r="498">
      <c r="A498" s="277"/>
      <c r="B498" s="277"/>
      <c r="C498" s="441"/>
      <c r="D498" s="277"/>
      <c r="E498" s="277"/>
      <c r="F498" s="277"/>
      <c r="G498" s="277"/>
      <c r="H498" s="277" t="b">
        <f t="shared" si="1"/>
        <v>0</v>
      </c>
      <c r="I498" s="277" t="str">
        <f>IFERROR(__xludf.DUMMYFUNCTION("""COMPUTED_VALUE"""),"A2 121")</f>
        <v>A2 121</v>
      </c>
      <c r="J498" s="277" t="str">
        <f>IFERROR(__xludf.DUMMYFUNCTION("""COMPUTED_VALUE"""),"Gible")</f>
        <v>Gible</v>
      </c>
      <c r="K498" s="277" t="str">
        <f>IFERROR(__xludf.DUMMYFUNCTION("""COMPUTED_VALUE"""),"A2-Palkia")</f>
        <v>A2-Palkia</v>
      </c>
      <c r="L498" s="277" t="str">
        <f>IFERROR(__xludf.DUMMYFUNCTION("""COMPUTED_VALUE"""),"♢")</f>
        <v>♢</v>
      </c>
      <c r="M498" s="440" t="b">
        <f t="shared" si="2"/>
        <v>0</v>
      </c>
      <c r="N498" s="441"/>
      <c r="O498" s="277"/>
      <c r="P498" s="277"/>
      <c r="Q498" s="278"/>
      <c r="R498" s="449" t="str">
        <f t="array" ref="R498">IFERROR(IFS(OR(P498="A1-Mewtwo", P498="A1-Pikachu", P498="A1-Charizard", P498="A1"), XLOOKUP(N498, 'Genetic Apex'!$C$2:$C889, 'Genetic Apex'!$B$2:$B889)-$B$4, P498="A1a", XLOOKUP(N498, 'Mythical Island'!$C$2:$C889, 'Mythical Island'!$B$2:$B889)-$B$4, OR(P498="A2-Dialga", P498="A2-Palkia", P498="A2"), XLOOKUP(N498, 'Space-Time Smackdown'!$C$2:$C889, 'Space-Time Smackdown'!$B$2:$B889)-$B$4))</f>
        <v/>
      </c>
      <c r="S498" s="277"/>
      <c r="T498" s="277"/>
      <c r="U498" s="277"/>
      <c r="V498" s="278"/>
      <c r="W498" s="443" t="str">
        <f t="array" ref="W498">IFERROR(IFS(OR(U498="A1-Mewtwo", U498="A1-Pikachu", U498="A1-Charizard", U498="A1"), $B$5-XLOOKUP(S498, 'Genetic Apex'!$C$2:$C889, 'Genetic Apex'!$B$2:$B889), U498="A1a", $B$5-XLOOKUP(S498, 'Mythical Island'!$C$2:$C889, 'Mythical Island'!$B$2:$B889), OR(U498="A2-Dialga", U498="A2-Palkia", U498="A2"), $B$5-XLOOKUP(S498, 'Space-Time Smackdown'!$C$2:$C889, 'Space-Time Smackdown'!$B$2:$B889)))</f>
        <v/>
      </c>
      <c r="X498" s="444" t="str">
        <f t="shared" si="3"/>
        <v/>
      </c>
      <c r="Y498" s="445" t="str">
        <f t="shared" si="4"/>
        <v/>
      </c>
      <c r="Z498" s="278"/>
      <c r="AA498" s="466"/>
      <c r="AB498" s="278"/>
      <c r="AC498" s="278"/>
      <c r="AD498" s="278"/>
      <c r="AE498" s="278"/>
      <c r="AF498" s="278"/>
      <c r="AG498" s="278" t="b">
        <f t="shared" si="5"/>
        <v>0</v>
      </c>
      <c r="AH498" s="454"/>
      <c r="AI498" s="278"/>
      <c r="AJ498" s="278"/>
      <c r="AK498" s="278"/>
      <c r="AL498" s="444" t="str">
        <f t="array" ref="AL498">IFERROR(IFS(OR(AJ498="A1-Mewtwo", AJ498="A1-Pikachu", AJ498="A1-Charizard", AJ498="A1"), XLOOKUP(AH498, 'Genetic Apex'!$C$2:$C889, 'Genetic Apex'!$B$2:$B889)-2, AJ498="A1a", XLOOKUP(AH498, 'Mythical Island'!$C$2:$C889, 'Mythical Island'!$B$2:$B889)-2, OR(AJ498="A2-Dialga", AJ498="A2-Palkia", AJ498="A2"), XLOOKUP(AH498, 'Space-Time Smackdown'!$C$2:$C889, 'Space-Time Smackdown'!$B$2:$B889)-2))</f>
        <v/>
      </c>
      <c r="AM498" s="444" t="str">
        <f t="shared" si="6"/>
        <v/>
      </c>
      <c r="AN498" s="448" t="str">
        <f t="shared" si="7"/>
        <v/>
      </c>
    </row>
    <row r="499">
      <c r="A499" s="277"/>
      <c r="B499" s="277"/>
      <c r="C499" s="441"/>
      <c r="D499" s="277"/>
      <c r="E499" s="277"/>
      <c r="F499" s="277"/>
      <c r="G499" s="277"/>
      <c r="H499" s="277" t="b">
        <f t="shared" si="1"/>
        <v>0</v>
      </c>
      <c r="I499" s="277" t="str">
        <f>IFERROR(__xludf.DUMMYFUNCTION("""COMPUTED_VALUE"""),"A2 122")</f>
        <v>A2 122</v>
      </c>
      <c r="J499" s="277" t="str">
        <f>IFERROR(__xludf.DUMMYFUNCTION("""COMPUTED_VALUE"""),"Gabite")</f>
        <v>Gabite</v>
      </c>
      <c r="K499" s="277" t="str">
        <f>IFERROR(__xludf.DUMMYFUNCTION("""COMPUTED_VALUE"""),"A2-Palkia")</f>
        <v>A2-Palkia</v>
      </c>
      <c r="L499" s="277" t="str">
        <f>IFERROR(__xludf.DUMMYFUNCTION("""COMPUTED_VALUE"""),"♢♢")</f>
        <v>♢♢</v>
      </c>
      <c r="M499" s="440" t="b">
        <f t="shared" si="2"/>
        <v>0</v>
      </c>
      <c r="N499" s="441"/>
      <c r="O499" s="277"/>
      <c r="P499" s="277"/>
      <c r="Q499" s="278"/>
      <c r="R499" s="449" t="str">
        <f t="array" ref="R499">IFERROR(IFS(OR(P499="A1-Mewtwo", P499="A1-Pikachu", P499="A1-Charizard", P499="A1"), XLOOKUP(N499, 'Genetic Apex'!$C$2:$C889, 'Genetic Apex'!$B$2:$B889)-$B$4, P499="A1a", XLOOKUP(N499, 'Mythical Island'!$C$2:$C889, 'Mythical Island'!$B$2:$B889)-$B$4, OR(P499="A2-Dialga", P499="A2-Palkia", P499="A2"), XLOOKUP(N499, 'Space-Time Smackdown'!$C$2:$C889, 'Space-Time Smackdown'!$B$2:$B889)-$B$4))</f>
        <v/>
      </c>
      <c r="S499" s="277"/>
      <c r="T499" s="277"/>
      <c r="U499" s="277"/>
      <c r="V499" s="278"/>
      <c r="W499" s="443" t="str">
        <f t="array" ref="W499">IFERROR(IFS(OR(U499="A1-Mewtwo", U499="A1-Pikachu", U499="A1-Charizard", U499="A1"), $B$5-XLOOKUP(S499, 'Genetic Apex'!$C$2:$C889, 'Genetic Apex'!$B$2:$B889), U499="A1a", $B$5-XLOOKUP(S499, 'Mythical Island'!$C$2:$C889, 'Mythical Island'!$B$2:$B889), OR(U499="A2-Dialga", U499="A2-Palkia", U499="A2"), $B$5-XLOOKUP(S499, 'Space-Time Smackdown'!$C$2:$C889, 'Space-Time Smackdown'!$B$2:$B889)))</f>
        <v/>
      </c>
      <c r="X499" s="444" t="str">
        <f t="shared" si="3"/>
        <v/>
      </c>
      <c r="Y499" s="445" t="str">
        <f t="shared" si="4"/>
        <v/>
      </c>
      <c r="Z499" s="278"/>
      <c r="AA499" s="466"/>
      <c r="AB499" s="278"/>
      <c r="AC499" s="278"/>
      <c r="AD499" s="278"/>
      <c r="AE499" s="278"/>
      <c r="AF499" s="278"/>
      <c r="AG499" s="278" t="b">
        <f t="shared" si="5"/>
        <v>0</v>
      </c>
      <c r="AH499" s="454"/>
      <c r="AI499" s="278"/>
      <c r="AJ499" s="278"/>
      <c r="AK499" s="278"/>
      <c r="AL499" s="444" t="str">
        <f t="array" ref="AL499">IFERROR(IFS(OR(AJ499="A1-Mewtwo", AJ499="A1-Pikachu", AJ499="A1-Charizard", AJ499="A1"), XLOOKUP(AH499, 'Genetic Apex'!$C$2:$C889, 'Genetic Apex'!$B$2:$B889)-2, AJ499="A1a", XLOOKUP(AH499, 'Mythical Island'!$C$2:$C889, 'Mythical Island'!$B$2:$B889)-2, OR(AJ499="A2-Dialga", AJ499="A2-Palkia", AJ499="A2"), XLOOKUP(AH499, 'Space-Time Smackdown'!$C$2:$C889, 'Space-Time Smackdown'!$B$2:$B889)-2))</f>
        <v/>
      </c>
      <c r="AM499" s="444" t="str">
        <f t="shared" si="6"/>
        <v/>
      </c>
      <c r="AN499" s="448" t="str">
        <f t="shared" si="7"/>
        <v/>
      </c>
    </row>
    <row r="500">
      <c r="A500" s="277"/>
      <c r="B500" s="277"/>
      <c r="C500" s="441"/>
      <c r="D500" s="277"/>
      <c r="E500" s="277"/>
      <c r="F500" s="277"/>
      <c r="G500" s="277"/>
      <c r="H500" s="277" t="b">
        <f t="shared" si="1"/>
        <v>0</v>
      </c>
      <c r="I500" s="277" t="str">
        <f>IFERROR(__xludf.DUMMYFUNCTION("""COMPUTED_VALUE"""),"A2 123")</f>
        <v>A2 123</v>
      </c>
      <c r="J500" s="277" t="str">
        <f>IFERROR(__xludf.DUMMYFUNCTION("""COMPUTED_VALUE"""),"Garchomp")</f>
        <v>Garchomp</v>
      </c>
      <c r="K500" s="277" t="str">
        <f>IFERROR(__xludf.DUMMYFUNCTION("""COMPUTED_VALUE"""),"A2-Palkia")</f>
        <v>A2-Palkia</v>
      </c>
      <c r="L500" s="277" t="str">
        <f>IFERROR(__xludf.DUMMYFUNCTION("""COMPUTED_VALUE"""),"♢♢♢")</f>
        <v>♢♢♢</v>
      </c>
      <c r="M500" s="440" t="b">
        <f t="shared" si="2"/>
        <v>0</v>
      </c>
      <c r="N500" s="441"/>
      <c r="O500" s="277"/>
      <c r="P500" s="277"/>
      <c r="Q500" s="278"/>
      <c r="R500" s="449" t="str">
        <f t="array" ref="R500">IFERROR(IFS(OR(P500="A1-Mewtwo", P500="A1-Pikachu", P500="A1-Charizard", P500="A1"), XLOOKUP(N500, 'Genetic Apex'!$C$2:$C889, 'Genetic Apex'!$B$2:$B889)-$B$4, P500="A1a", XLOOKUP(N500, 'Mythical Island'!$C$2:$C889, 'Mythical Island'!$B$2:$B889)-$B$4, OR(P500="A2-Dialga", P500="A2-Palkia", P500="A2"), XLOOKUP(N500, 'Space-Time Smackdown'!$C$2:$C889, 'Space-Time Smackdown'!$B$2:$B889)-$B$4))</f>
        <v/>
      </c>
      <c r="S500" s="277"/>
      <c r="T500" s="277"/>
      <c r="U500" s="277"/>
      <c r="V500" s="278"/>
      <c r="W500" s="443" t="str">
        <f t="array" ref="W500">IFERROR(IFS(OR(U500="A1-Mewtwo", U500="A1-Pikachu", U500="A1-Charizard", U500="A1"), $B$5-XLOOKUP(S500, 'Genetic Apex'!$C$2:$C889, 'Genetic Apex'!$B$2:$B889), U500="A1a", $B$5-XLOOKUP(S500, 'Mythical Island'!$C$2:$C889, 'Mythical Island'!$B$2:$B889), OR(U500="A2-Dialga", U500="A2-Palkia", U500="A2"), $B$5-XLOOKUP(S500, 'Space-Time Smackdown'!$C$2:$C889, 'Space-Time Smackdown'!$B$2:$B889)))</f>
        <v/>
      </c>
      <c r="X500" s="444" t="str">
        <f t="shared" si="3"/>
        <v/>
      </c>
      <c r="Y500" s="445" t="str">
        <f t="shared" si="4"/>
        <v/>
      </c>
      <c r="Z500" s="278"/>
      <c r="AA500" s="466"/>
      <c r="AB500" s="278"/>
      <c r="AC500" s="278"/>
      <c r="AD500" s="278"/>
      <c r="AE500" s="278"/>
      <c r="AF500" s="278"/>
      <c r="AG500" s="278" t="b">
        <f t="shared" si="5"/>
        <v>0</v>
      </c>
      <c r="AH500" s="454"/>
      <c r="AI500" s="278"/>
      <c r="AJ500" s="278"/>
      <c r="AK500" s="278"/>
      <c r="AL500" s="444" t="str">
        <f t="array" ref="AL500">IFERROR(IFS(OR(AJ500="A1-Mewtwo", AJ500="A1-Pikachu", AJ500="A1-Charizard", AJ500="A1"), XLOOKUP(AH500, 'Genetic Apex'!$C$2:$C889, 'Genetic Apex'!$B$2:$B889)-2, AJ500="A1a", XLOOKUP(AH500, 'Mythical Island'!$C$2:$C889, 'Mythical Island'!$B$2:$B889)-2, OR(AJ500="A2-Dialga", AJ500="A2-Palkia", AJ500="A2"), XLOOKUP(AH500, 'Space-Time Smackdown'!$C$2:$C889, 'Space-Time Smackdown'!$B$2:$B889)-2))</f>
        <v/>
      </c>
      <c r="AM500" s="444" t="str">
        <f t="shared" si="6"/>
        <v/>
      </c>
      <c r="AN500" s="448" t="str">
        <f t="shared" si="7"/>
        <v/>
      </c>
    </row>
    <row r="501">
      <c r="A501" s="277"/>
      <c r="B501" s="277"/>
      <c r="C501" s="441"/>
      <c r="D501" s="277"/>
      <c r="E501" s="277"/>
      <c r="F501" s="277"/>
      <c r="G501" s="277"/>
      <c r="H501" s="277" t="b">
        <f t="shared" si="1"/>
        <v>0</v>
      </c>
      <c r="I501" s="277" t="str">
        <f>IFERROR(__xludf.DUMMYFUNCTION("""COMPUTED_VALUE"""),"A2 124")</f>
        <v>A2 124</v>
      </c>
      <c r="J501" s="277" t="str">
        <f>IFERROR(__xludf.DUMMYFUNCTION("""COMPUTED_VALUE"""),"Lickitung")</f>
        <v>Lickitung</v>
      </c>
      <c r="K501" s="277" t="str">
        <f>IFERROR(__xludf.DUMMYFUNCTION("""COMPUTED_VALUE"""),"A2-Palkia")</f>
        <v>A2-Palkia</v>
      </c>
      <c r="L501" s="277" t="str">
        <f>IFERROR(__xludf.DUMMYFUNCTION("""COMPUTED_VALUE"""),"♢")</f>
        <v>♢</v>
      </c>
      <c r="M501" s="440" t="b">
        <f t="shared" si="2"/>
        <v>0</v>
      </c>
      <c r="N501" s="441"/>
      <c r="O501" s="277"/>
      <c r="P501" s="277"/>
      <c r="Q501" s="278"/>
      <c r="R501" s="449" t="str">
        <f t="array" ref="R501">IFERROR(IFS(OR(P501="A1-Mewtwo", P501="A1-Pikachu", P501="A1-Charizard", P501="A1"), XLOOKUP(N501, 'Genetic Apex'!$C$2:$C889, 'Genetic Apex'!$B$2:$B889)-$B$4, P501="A1a", XLOOKUP(N501, 'Mythical Island'!$C$2:$C889, 'Mythical Island'!$B$2:$B889)-$B$4, OR(P501="A2-Dialga", P501="A2-Palkia", P501="A2"), XLOOKUP(N501, 'Space-Time Smackdown'!$C$2:$C889, 'Space-Time Smackdown'!$B$2:$B889)-$B$4))</f>
        <v/>
      </c>
      <c r="S501" s="277"/>
      <c r="T501" s="277"/>
      <c r="U501" s="277"/>
      <c r="V501" s="278"/>
      <c r="W501" s="443" t="str">
        <f t="array" ref="W501">IFERROR(IFS(OR(U501="A1-Mewtwo", U501="A1-Pikachu", U501="A1-Charizard", U501="A1"), $B$5-XLOOKUP(S501, 'Genetic Apex'!$C$2:$C889, 'Genetic Apex'!$B$2:$B889), U501="A1a", $B$5-XLOOKUP(S501, 'Mythical Island'!$C$2:$C889, 'Mythical Island'!$B$2:$B889), OR(U501="A2-Dialga", U501="A2-Palkia", U501="A2"), $B$5-XLOOKUP(S501, 'Space-Time Smackdown'!$C$2:$C889, 'Space-Time Smackdown'!$B$2:$B889)))</f>
        <v/>
      </c>
      <c r="X501" s="444" t="str">
        <f t="shared" si="3"/>
        <v/>
      </c>
      <c r="Y501" s="445" t="str">
        <f t="shared" si="4"/>
        <v/>
      </c>
      <c r="Z501" s="278"/>
      <c r="AA501" s="466"/>
      <c r="AB501" s="278"/>
      <c r="AC501" s="278"/>
      <c r="AD501" s="278"/>
      <c r="AE501" s="278"/>
      <c r="AF501" s="278"/>
      <c r="AG501" s="278" t="b">
        <f t="shared" si="5"/>
        <v>0</v>
      </c>
      <c r="AH501" s="454"/>
      <c r="AI501" s="278"/>
      <c r="AJ501" s="278"/>
      <c r="AK501" s="278"/>
      <c r="AL501" s="444" t="str">
        <f t="array" ref="AL501">IFERROR(IFS(OR(AJ501="A1-Mewtwo", AJ501="A1-Pikachu", AJ501="A1-Charizard", AJ501="A1"), XLOOKUP(AH501, 'Genetic Apex'!$C$2:$C889, 'Genetic Apex'!$B$2:$B889)-2, AJ501="A1a", XLOOKUP(AH501, 'Mythical Island'!$C$2:$C889, 'Mythical Island'!$B$2:$B889)-2, OR(AJ501="A2-Dialga", AJ501="A2-Palkia", AJ501="A2"), XLOOKUP(AH501, 'Space-Time Smackdown'!$C$2:$C889, 'Space-Time Smackdown'!$B$2:$B889)-2))</f>
        <v/>
      </c>
      <c r="AM501" s="444" t="str">
        <f t="shared" si="6"/>
        <v/>
      </c>
      <c r="AN501" s="448" t="str">
        <f t="shared" si="7"/>
        <v/>
      </c>
    </row>
    <row r="502">
      <c r="A502" s="277"/>
      <c r="B502" s="277"/>
      <c r="C502" s="441"/>
      <c r="D502" s="277"/>
      <c r="E502" s="277"/>
      <c r="F502" s="277"/>
      <c r="G502" s="277"/>
      <c r="H502" s="277" t="b">
        <f t="shared" si="1"/>
        <v>0</v>
      </c>
      <c r="I502" s="277" t="str">
        <f>IFERROR(__xludf.DUMMYFUNCTION("""COMPUTED_VALUE"""),"A2 125")</f>
        <v>A2 125</v>
      </c>
      <c r="J502" s="277" t="str">
        <f>IFERROR(__xludf.DUMMYFUNCTION("""COMPUTED_VALUE"""),"Lickilicky ex")</f>
        <v>Lickilicky ex</v>
      </c>
      <c r="K502" s="277" t="str">
        <f>IFERROR(__xludf.DUMMYFUNCTION("""COMPUTED_VALUE"""),"A2-Palkia")</f>
        <v>A2-Palkia</v>
      </c>
      <c r="L502" s="277" t="str">
        <f>IFERROR(__xludf.DUMMYFUNCTION("""COMPUTED_VALUE"""),"♢♢♢♢")</f>
        <v>♢♢♢♢</v>
      </c>
      <c r="M502" s="440" t="b">
        <f t="shared" si="2"/>
        <v>0</v>
      </c>
      <c r="N502" s="441"/>
      <c r="O502" s="277"/>
      <c r="P502" s="277"/>
      <c r="Q502" s="278"/>
      <c r="R502" s="449" t="str">
        <f t="array" ref="R502">IFERROR(IFS(OR(P502="A1-Mewtwo", P502="A1-Pikachu", P502="A1-Charizard", P502="A1"), XLOOKUP(N502, 'Genetic Apex'!$C$2:$C889, 'Genetic Apex'!$B$2:$B889)-$B$4, P502="A1a", XLOOKUP(N502, 'Mythical Island'!$C$2:$C889, 'Mythical Island'!$B$2:$B889)-$B$4, OR(P502="A2-Dialga", P502="A2-Palkia", P502="A2"), XLOOKUP(N502, 'Space-Time Smackdown'!$C$2:$C889, 'Space-Time Smackdown'!$B$2:$B889)-$B$4))</f>
        <v/>
      </c>
      <c r="S502" s="277"/>
      <c r="T502" s="277"/>
      <c r="U502" s="277"/>
      <c r="V502" s="278"/>
      <c r="W502" s="443" t="str">
        <f t="array" ref="W502">IFERROR(IFS(OR(U502="A1-Mewtwo", U502="A1-Pikachu", U502="A1-Charizard", U502="A1"), $B$5-XLOOKUP(S502, 'Genetic Apex'!$C$2:$C889, 'Genetic Apex'!$B$2:$B889), U502="A1a", $B$5-XLOOKUP(S502, 'Mythical Island'!$C$2:$C889, 'Mythical Island'!$B$2:$B889), OR(U502="A2-Dialga", U502="A2-Palkia", U502="A2"), $B$5-XLOOKUP(S502, 'Space-Time Smackdown'!$C$2:$C889, 'Space-Time Smackdown'!$B$2:$B889)))</f>
        <v/>
      </c>
      <c r="X502" s="444" t="str">
        <f t="shared" si="3"/>
        <v/>
      </c>
      <c r="Y502" s="445" t="str">
        <f t="shared" si="4"/>
        <v/>
      </c>
      <c r="Z502" s="278"/>
      <c r="AA502" s="466"/>
      <c r="AB502" s="278"/>
      <c r="AC502" s="278"/>
      <c r="AD502" s="278"/>
      <c r="AE502" s="278"/>
      <c r="AF502" s="278"/>
      <c r="AG502" s="278" t="b">
        <f t="shared" si="5"/>
        <v>0</v>
      </c>
      <c r="AH502" s="454"/>
      <c r="AI502" s="278"/>
      <c r="AJ502" s="278"/>
      <c r="AK502" s="278"/>
      <c r="AL502" s="444" t="str">
        <f t="array" ref="AL502">IFERROR(IFS(OR(AJ502="A1-Mewtwo", AJ502="A1-Pikachu", AJ502="A1-Charizard", AJ502="A1"), XLOOKUP(AH502, 'Genetic Apex'!$C$2:$C889, 'Genetic Apex'!$B$2:$B889)-2, AJ502="A1a", XLOOKUP(AH502, 'Mythical Island'!$C$2:$C889, 'Mythical Island'!$B$2:$B889)-2, OR(AJ502="A2-Dialga", AJ502="A2-Palkia", AJ502="A2"), XLOOKUP(AH502, 'Space-Time Smackdown'!$C$2:$C889, 'Space-Time Smackdown'!$B$2:$B889)-2))</f>
        <v/>
      </c>
      <c r="AM502" s="444" t="str">
        <f t="shared" si="6"/>
        <v/>
      </c>
      <c r="AN502" s="448" t="str">
        <f t="shared" si="7"/>
        <v/>
      </c>
    </row>
    <row r="503">
      <c r="A503" s="277"/>
      <c r="B503" s="277"/>
      <c r="C503" s="441"/>
      <c r="D503" s="277"/>
      <c r="E503" s="277"/>
      <c r="F503" s="277"/>
      <c r="G503" s="277"/>
      <c r="H503" s="277" t="b">
        <f t="shared" si="1"/>
        <v>0</v>
      </c>
      <c r="I503" s="277" t="str">
        <f>IFERROR(__xludf.DUMMYFUNCTION("""COMPUTED_VALUE"""),"A2 126")</f>
        <v>A2 126</v>
      </c>
      <c r="J503" s="277" t="str">
        <f>IFERROR(__xludf.DUMMYFUNCTION("""COMPUTED_VALUE"""),"Eevee")</f>
        <v>Eevee</v>
      </c>
      <c r="K503" s="277" t="str">
        <f>IFERROR(__xludf.DUMMYFUNCTION("""COMPUTED_VALUE"""),"A2")</f>
        <v>A2</v>
      </c>
      <c r="L503" s="277" t="str">
        <f>IFERROR(__xludf.DUMMYFUNCTION("""COMPUTED_VALUE"""),"♢")</f>
        <v>♢</v>
      </c>
      <c r="M503" s="440" t="b">
        <f t="shared" si="2"/>
        <v>0</v>
      </c>
      <c r="N503" s="441"/>
      <c r="O503" s="277"/>
      <c r="P503" s="277"/>
      <c r="Q503" s="278"/>
      <c r="R503" s="449" t="str">
        <f t="array" ref="R503">IFERROR(IFS(OR(P503="A1-Mewtwo", P503="A1-Pikachu", P503="A1-Charizard", P503="A1"), XLOOKUP(N503, 'Genetic Apex'!$C$2:$C889, 'Genetic Apex'!$B$2:$B889)-$B$4, P503="A1a", XLOOKUP(N503, 'Mythical Island'!$C$2:$C889, 'Mythical Island'!$B$2:$B889)-$B$4, OR(P503="A2-Dialga", P503="A2-Palkia", P503="A2"), XLOOKUP(N503, 'Space-Time Smackdown'!$C$2:$C889, 'Space-Time Smackdown'!$B$2:$B889)-$B$4))</f>
        <v/>
      </c>
      <c r="S503" s="277"/>
      <c r="T503" s="277"/>
      <c r="U503" s="277"/>
      <c r="V503" s="278"/>
      <c r="W503" s="443" t="str">
        <f t="array" ref="W503">IFERROR(IFS(OR(U503="A1-Mewtwo", U503="A1-Pikachu", U503="A1-Charizard", U503="A1"), $B$5-XLOOKUP(S503, 'Genetic Apex'!$C$2:$C889, 'Genetic Apex'!$B$2:$B889), U503="A1a", $B$5-XLOOKUP(S503, 'Mythical Island'!$C$2:$C889, 'Mythical Island'!$B$2:$B889), OR(U503="A2-Dialga", U503="A2-Palkia", U503="A2"), $B$5-XLOOKUP(S503, 'Space-Time Smackdown'!$C$2:$C889, 'Space-Time Smackdown'!$B$2:$B889)))</f>
        <v/>
      </c>
      <c r="X503" s="444" t="str">
        <f t="shared" si="3"/>
        <v/>
      </c>
      <c r="Y503" s="445" t="str">
        <f t="shared" si="4"/>
        <v/>
      </c>
      <c r="Z503" s="278"/>
      <c r="AA503" s="466"/>
      <c r="AB503" s="278"/>
      <c r="AC503" s="278"/>
      <c r="AD503" s="278"/>
      <c r="AE503" s="278"/>
      <c r="AF503" s="278"/>
      <c r="AG503" s="278" t="b">
        <f t="shared" si="5"/>
        <v>0</v>
      </c>
      <c r="AH503" s="454"/>
      <c r="AI503" s="278"/>
      <c r="AJ503" s="278"/>
      <c r="AK503" s="278"/>
      <c r="AL503" s="444" t="str">
        <f t="array" ref="AL503">IFERROR(IFS(OR(AJ503="A1-Mewtwo", AJ503="A1-Pikachu", AJ503="A1-Charizard", AJ503="A1"), XLOOKUP(AH503, 'Genetic Apex'!$C$2:$C889, 'Genetic Apex'!$B$2:$B889)-2, AJ503="A1a", XLOOKUP(AH503, 'Mythical Island'!$C$2:$C889, 'Mythical Island'!$B$2:$B889)-2, OR(AJ503="A2-Dialga", AJ503="A2-Palkia", AJ503="A2"), XLOOKUP(AH503, 'Space-Time Smackdown'!$C$2:$C889, 'Space-Time Smackdown'!$B$2:$B889)-2))</f>
        <v/>
      </c>
      <c r="AM503" s="444" t="str">
        <f t="shared" si="6"/>
        <v/>
      </c>
      <c r="AN503" s="448" t="str">
        <f t="shared" si="7"/>
        <v/>
      </c>
    </row>
    <row r="504">
      <c r="A504" s="277"/>
      <c r="B504" s="277"/>
      <c r="C504" s="441"/>
      <c r="D504" s="277"/>
      <c r="E504" s="277"/>
      <c r="F504" s="277"/>
      <c r="G504" s="277"/>
      <c r="H504" s="277" t="b">
        <f t="shared" si="1"/>
        <v>0</v>
      </c>
      <c r="I504" s="277" t="str">
        <f>IFERROR(__xludf.DUMMYFUNCTION("""COMPUTED_VALUE"""),"A2 127")</f>
        <v>A2 127</v>
      </c>
      <c r="J504" s="277" t="str">
        <f>IFERROR(__xludf.DUMMYFUNCTION("""COMPUTED_VALUE"""),"Porygon")</f>
        <v>Porygon</v>
      </c>
      <c r="K504" s="277" t="str">
        <f>IFERROR(__xludf.DUMMYFUNCTION("""COMPUTED_VALUE"""),"A2-Palkia")</f>
        <v>A2-Palkia</v>
      </c>
      <c r="L504" s="277" t="str">
        <f>IFERROR(__xludf.DUMMYFUNCTION("""COMPUTED_VALUE"""),"♢")</f>
        <v>♢</v>
      </c>
      <c r="M504" s="440" t="b">
        <f t="shared" si="2"/>
        <v>0</v>
      </c>
      <c r="N504" s="441"/>
      <c r="O504" s="277"/>
      <c r="P504" s="277"/>
      <c r="Q504" s="278"/>
      <c r="R504" s="449" t="str">
        <f t="array" ref="R504">IFERROR(IFS(OR(P504="A1-Mewtwo", P504="A1-Pikachu", P504="A1-Charizard", P504="A1"), XLOOKUP(N504, 'Genetic Apex'!$C$2:$C889, 'Genetic Apex'!$B$2:$B889)-$B$4, P504="A1a", XLOOKUP(N504, 'Mythical Island'!$C$2:$C889, 'Mythical Island'!$B$2:$B889)-$B$4, OR(P504="A2-Dialga", P504="A2-Palkia", P504="A2"), XLOOKUP(N504, 'Space-Time Smackdown'!$C$2:$C889, 'Space-Time Smackdown'!$B$2:$B889)-$B$4))</f>
        <v/>
      </c>
      <c r="S504" s="277"/>
      <c r="T504" s="277"/>
      <c r="U504" s="277"/>
      <c r="V504" s="278"/>
      <c r="W504" s="443" t="str">
        <f t="array" ref="W504">IFERROR(IFS(OR(U504="A1-Mewtwo", U504="A1-Pikachu", U504="A1-Charizard", U504="A1"), $B$5-XLOOKUP(S504, 'Genetic Apex'!$C$2:$C889, 'Genetic Apex'!$B$2:$B889), U504="A1a", $B$5-XLOOKUP(S504, 'Mythical Island'!$C$2:$C889, 'Mythical Island'!$B$2:$B889), OR(U504="A2-Dialga", U504="A2-Palkia", U504="A2"), $B$5-XLOOKUP(S504, 'Space-Time Smackdown'!$C$2:$C889, 'Space-Time Smackdown'!$B$2:$B889)))</f>
        <v/>
      </c>
      <c r="X504" s="444" t="str">
        <f t="shared" si="3"/>
        <v/>
      </c>
      <c r="Y504" s="445" t="str">
        <f t="shared" si="4"/>
        <v/>
      </c>
      <c r="Z504" s="278"/>
      <c r="AA504" s="466"/>
      <c r="AB504" s="278"/>
      <c r="AC504" s="278"/>
      <c r="AD504" s="278"/>
      <c r="AE504" s="278"/>
      <c r="AF504" s="278"/>
      <c r="AG504" s="278" t="b">
        <f t="shared" si="5"/>
        <v>0</v>
      </c>
      <c r="AH504" s="454"/>
      <c r="AI504" s="278"/>
      <c r="AJ504" s="278"/>
      <c r="AK504" s="278"/>
      <c r="AL504" s="444" t="str">
        <f t="array" ref="AL504">IFERROR(IFS(OR(AJ504="A1-Mewtwo", AJ504="A1-Pikachu", AJ504="A1-Charizard", AJ504="A1"), XLOOKUP(AH504, 'Genetic Apex'!$C$2:$C889, 'Genetic Apex'!$B$2:$B889)-2, AJ504="A1a", XLOOKUP(AH504, 'Mythical Island'!$C$2:$C889, 'Mythical Island'!$B$2:$B889)-2, OR(AJ504="A2-Dialga", AJ504="A2-Palkia", AJ504="A2"), XLOOKUP(AH504, 'Space-Time Smackdown'!$C$2:$C889, 'Space-Time Smackdown'!$B$2:$B889)-2))</f>
        <v/>
      </c>
      <c r="AM504" s="444" t="str">
        <f t="shared" si="6"/>
        <v/>
      </c>
      <c r="AN504" s="448" t="str">
        <f t="shared" si="7"/>
        <v/>
      </c>
    </row>
    <row r="505">
      <c r="A505" s="277"/>
      <c r="B505" s="277"/>
      <c r="C505" s="441"/>
      <c r="D505" s="277"/>
      <c r="E505" s="277"/>
      <c r="F505" s="277"/>
      <c r="G505" s="277"/>
      <c r="H505" s="277" t="b">
        <f t="shared" si="1"/>
        <v>0</v>
      </c>
      <c r="I505" s="277" t="str">
        <f>IFERROR(__xludf.DUMMYFUNCTION("""COMPUTED_VALUE"""),"A2 128")</f>
        <v>A2 128</v>
      </c>
      <c r="J505" s="277" t="str">
        <f>IFERROR(__xludf.DUMMYFUNCTION("""COMPUTED_VALUE"""),"Porygon2")</f>
        <v>Porygon2</v>
      </c>
      <c r="K505" s="277" t="str">
        <f>IFERROR(__xludf.DUMMYFUNCTION("""COMPUTED_VALUE"""),"A2-Palkia")</f>
        <v>A2-Palkia</v>
      </c>
      <c r="L505" s="277" t="str">
        <f>IFERROR(__xludf.DUMMYFUNCTION("""COMPUTED_VALUE"""),"♢♢")</f>
        <v>♢♢</v>
      </c>
      <c r="M505" s="440" t="b">
        <f t="shared" si="2"/>
        <v>0</v>
      </c>
      <c r="N505" s="441"/>
      <c r="O505" s="277"/>
      <c r="P505" s="277"/>
      <c r="Q505" s="278"/>
      <c r="R505" s="449" t="str">
        <f t="array" ref="R505">IFERROR(IFS(OR(P505="A1-Mewtwo", P505="A1-Pikachu", P505="A1-Charizard", P505="A1"), XLOOKUP(N505, 'Genetic Apex'!$C$2:$C889, 'Genetic Apex'!$B$2:$B889)-$B$4, P505="A1a", XLOOKUP(N505, 'Mythical Island'!$C$2:$C889, 'Mythical Island'!$B$2:$B889)-$B$4, OR(P505="A2-Dialga", P505="A2-Palkia", P505="A2"), XLOOKUP(N505, 'Space-Time Smackdown'!$C$2:$C889, 'Space-Time Smackdown'!$B$2:$B889)-$B$4))</f>
        <v/>
      </c>
      <c r="S505" s="277"/>
      <c r="T505" s="277"/>
      <c r="U505" s="277"/>
      <c r="V505" s="278"/>
      <c r="W505" s="443" t="str">
        <f t="array" ref="W505">IFERROR(IFS(OR(U505="A1-Mewtwo", U505="A1-Pikachu", U505="A1-Charizard", U505="A1"), $B$5-XLOOKUP(S505, 'Genetic Apex'!$C$2:$C889, 'Genetic Apex'!$B$2:$B889), U505="A1a", $B$5-XLOOKUP(S505, 'Mythical Island'!$C$2:$C889, 'Mythical Island'!$B$2:$B889), OR(U505="A2-Dialga", U505="A2-Palkia", U505="A2"), $B$5-XLOOKUP(S505, 'Space-Time Smackdown'!$C$2:$C889, 'Space-Time Smackdown'!$B$2:$B889)))</f>
        <v/>
      </c>
      <c r="X505" s="444" t="str">
        <f t="shared" si="3"/>
        <v/>
      </c>
      <c r="Y505" s="445" t="str">
        <f t="shared" si="4"/>
        <v/>
      </c>
      <c r="Z505" s="278"/>
      <c r="AA505" s="466"/>
      <c r="AB505" s="278"/>
      <c r="AC505" s="278"/>
      <c r="AD505" s="278"/>
      <c r="AE505" s="278"/>
      <c r="AF505" s="278"/>
      <c r="AG505" s="278" t="b">
        <f t="shared" si="5"/>
        <v>0</v>
      </c>
      <c r="AH505" s="454"/>
      <c r="AI505" s="278"/>
      <c r="AJ505" s="278"/>
      <c r="AK505" s="278"/>
      <c r="AL505" s="444" t="str">
        <f t="array" ref="AL505">IFERROR(IFS(OR(AJ505="A1-Mewtwo", AJ505="A1-Pikachu", AJ505="A1-Charizard", AJ505="A1"), XLOOKUP(AH505, 'Genetic Apex'!$C$2:$C889, 'Genetic Apex'!$B$2:$B889)-2, AJ505="A1a", XLOOKUP(AH505, 'Mythical Island'!$C$2:$C889, 'Mythical Island'!$B$2:$B889)-2, OR(AJ505="A2-Dialga", AJ505="A2-Palkia", AJ505="A2"), XLOOKUP(AH505, 'Space-Time Smackdown'!$C$2:$C889, 'Space-Time Smackdown'!$B$2:$B889)-2))</f>
        <v/>
      </c>
      <c r="AM505" s="444" t="str">
        <f t="shared" si="6"/>
        <v/>
      </c>
      <c r="AN505" s="448" t="str">
        <f t="shared" si="7"/>
        <v/>
      </c>
    </row>
    <row r="506">
      <c r="A506" s="277"/>
      <c r="B506" s="277"/>
      <c r="C506" s="441"/>
      <c r="D506" s="277"/>
      <c r="E506" s="277"/>
      <c r="F506" s="277"/>
      <c r="G506" s="277"/>
      <c r="H506" s="277" t="b">
        <f t="shared" si="1"/>
        <v>0</v>
      </c>
      <c r="I506" s="277" t="str">
        <f>IFERROR(__xludf.DUMMYFUNCTION("""COMPUTED_VALUE"""),"A2 129")</f>
        <v>A2 129</v>
      </c>
      <c r="J506" s="277" t="str">
        <f>IFERROR(__xludf.DUMMYFUNCTION("""COMPUTED_VALUE"""),"Porygon-Z")</f>
        <v>Porygon-Z</v>
      </c>
      <c r="K506" s="277" t="str">
        <f>IFERROR(__xludf.DUMMYFUNCTION("""COMPUTED_VALUE"""),"A2-Palkia")</f>
        <v>A2-Palkia</v>
      </c>
      <c r="L506" s="277" t="str">
        <f>IFERROR(__xludf.DUMMYFUNCTION("""COMPUTED_VALUE"""),"♢♢♢")</f>
        <v>♢♢♢</v>
      </c>
      <c r="M506" s="440" t="b">
        <f t="shared" si="2"/>
        <v>0</v>
      </c>
      <c r="N506" s="441"/>
      <c r="O506" s="277"/>
      <c r="P506" s="277"/>
      <c r="Q506" s="278"/>
      <c r="R506" s="449" t="str">
        <f t="array" ref="R506">IFERROR(IFS(OR(P506="A1-Mewtwo", P506="A1-Pikachu", P506="A1-Charizard", P506="A1"), XLOOKUP(N506, 'Genetic Apex'!$C$2:$C889, 'Genetic Apex'!$B$2:$B889)-$B$4, P506="A1a", XLOOKUP(N506, 'Mythical Island'!$C$2:$C889, 'Mythical Island'!$B$2:$B889)-$B$4, OR(P506="A2-Dialga", P506="A2-Palkia", P506="A2"), XLOOKUP(N506, 'Space-Time Smackdown'!$C$2:$C889, 'Space-Time Smackdown'!$B$2:$B889)-$B$4))</f>
        <v/>
      </c>
      <c r="S506" s="277"/>
      <c r="T506" s="277"/>
      <c r="U506" s="277"/>
      <c r="V506" s="278"/>
      <c r="W506" s="443" t="str">
        <f t="array" ref="W506">IFERROR(IFS(OR(U506="A1-Mewtwo", U506="A1-Pikachu", U506="A1-Charizard", U506="A1"), $B$5-XLOOKUP(S506, 'Genetic Apex'!$C$2:$C889, 'Genetic Apex'!$B$2:$B889), U506="A1a", $B$5-XLOOKUP(S506, 'Mythical Island'!$C$2:$C889, 'Mythical Island'!$B$2:$B889), OR(U506="A2-Dialga", U506="A2-Palkia", U506="A2"), $B$5-XLOOKUP(S506, 'Space-Time Smackdown'!$C$2:$C889, 'Space-Time Smackdown'!$B$2:$B889)))</f>
        <v/>
      </c>
      <c r="X506" s="444" t="str">
        <f t="shared" si="3"/>
        <v/>
      </c>
      <c r="Y506" s="445" t="str">
        <f t="shared" si="4"/>
        <v/>
      </c>
      <c r="Z506" s="278"/>
      <c r="AA506" s="466"/>
      <c r="AB506" s="278"/>
      <c r="AC506" s="278"/>
      <c r="AD506" s="278"/>
      <c r="AE506" s="278"/>
      <c r="AF506" s="278"/>
      <c r="AG506" s="278" t="b">
        <f t="shared" si="5"/>
        <v>0</v>
      </c>
      <c r="AH506" s="454"/>
      <c r="AI506" s="278"/>
      <c r="AJ506" s="278"/>
      <c r="AK506" s="278"/>
      <c r="AL506" s="444" t="str">
        <f t="array" ref="AL506">IFERROR(IFS(OR(AJ506="A1-Mewtwo", AJ506="A1-Pikachu", AJ506="A1-Charizard", AJ506="A1"), XLOOKUP(AH506, 'Genetic Apex'!$C$2:$C889, 'Genetic Apex'!$B$2:$B889)-2, AJ506="A1a", XLOOKUP(AH506, 'Mythical Island'!$C$2:$C889, 'Mythical Island'!$B$2:$B889)-2, OR(AJ506="A2-Dialga", AJ506="A2-Palkia", AJ506="A2"), XLOOKUP(AH506, 'Space-Time Smackdown'!$C$2:$C889, 'Space-Time Smackdown'!$B$2:$B889)-2))</f>
        <v/>
      </c>
      <c r="AM506" s="444" t="str">
        <f t="shared" si="6"/>
        <v/>
      </c>
      <c r="AN506" s="448" t="str">
        <f t="shared" si="7"/>
        <v/>
      </c>
    </row>
    <row r="507">
      <c r="A507" s="277"/>
      <c r="B507" s="277"/>
      <c r="C507" s="441"/>
      <c r="D507" s="277"/>
      <c r="E507" s="277"/>
      <c r="F507" s="277"/>
      <c r="G507" s="277"/>
      <c r="H507" s="277" t="b">
        <f t="shared" si="1"/>
        <v>0</v>
      </c>
      <c r="I507" s="277" t="str">
        <f>IFERROR(__xludf.DUMMYFUNCTION("""COMPUTED_VALUE"""),"A2 130")</f>
        <v>A2 130</v>
      </c>
      <c r="J507" s="277" t="str">
        <f>IFERROR(__xludf.DUMMYFUNCTION("""COMPUTED_VALUE"""),"Aipom")</f>
        <v>Aipom</v>
      </c>
      <c r="K507" s="277" t="str">
        <f>IFERROR(__xludf.DUMMYFUNCTION("""COMPUTED_VALUE"""),"A2")</f>
        <v>A2</v>
      </c>
      <c r="L507" s="277" t="str">
        <f>IFERROR(__xludf.DUMMYFUNCTION("""COMPUTED_VALUE"""),"♢")</f>
        <v>♢</v>
      </c>
      <c r="M507" s="440" t="b">
        <f t="shared" si="2"/>
        <v>0</v>
      </c>
      <c r="N507" s="441"/>
      <c r="O507" s="277"/>
      <c r="P507" s="277"/>
      <c r="Q507" s="278"/>
      <c r="R507" s="449" t="str">
        <f t="array" ref="R507">IFERROR(IFS(OR(P507="A1-Mewtwo", P507="A1-Pikachu", P507="A1-Charizard", P507="A1"), XLOOKUP(N507, 'Genetic Apex'!$C$2:$C889, 'Genetic Apex'!$B$2:$B889)-$B$4, P507="A1a", XLOOKUP(N507, 'Mythical Island'!$C$2:$C889, 'Mythical Island'!$B$2:$B889)-$B$4, OR(P507="A2-Dialga", P507="A2-Palkia", P507="A2"), XLOOKUP(N507, 'Space-Time Smackdown'!$C$2:$C889, 'Space-Time Smackdown'!$B$2:$B889)-$B$4))</f>
        <v/>
      </c>
      <c r="S507" s="277"/>
      <c r="T507" s="277"/>
      <c r="U507" s="277"/>
      <c r="V507" s="278"/>
      <c r="W507" s="443" t="str">
        <f t="array" ref="W507">IFERROR(IFS(OR(U507="A1-Mewtwo", U507="A1-Pikachu", U507="A1-Charizard", U507="A1"), $B$5-XLOOKUP(S507, 'Genetic Apex'!$C$2:$C889, 'Genetic Apex'!$B$2:$B889), U507="A1a", $B$5-XLOOKUP(S507, 'Mythical Island'!$C$2:$C889, 'Mythical Island'!$B$2:$B889), OR(U507="A2-Dialga", U507="A2-Palkia", U507="A2"), $B$5-XLOOKUP(S507, 'Space-Time Smackdown'!$C$2:$C889, 'Space-Time Smackdown'!$B$2:$B889)))</f>
        <v/>
      </c>
      <c r="X507" s="444" t="str">
        <f t="shared" si="3"/>
        <v/>
      </c>
      <c r="Y507" s="445" t="str">
        <f t="shared" si="4"/>
        <v/>
      </c>
      <c r="Z507" s="278"/>
      <c r="AA507" s="466"/>
      <c r="AB507" s="278"/>
      <c r="AC507" s="278"/>
      <c r="AD507" s="278"/>
      <c r="AE507" s="278"/>
      <c r="AF507" s="278"/>
      <c r="AG507" s="278" t="b">
        <f t="shared" si="5"/>
        <v>0</v>
      </c>
      <c r="AH507" s="454"/>
      <c r="AI507" s="278"/>
      <c r="AJ507" s="278"/>
      <c r="AK507" s="278"/>
      <c r="AL507" s="444" t="str">
        <f t="array" ref="AL507">IFERROR(IFS(OR(AJ507="A1-Mewtwo", AJ507="A1-Pikachu", AJ507="A1-Charizard", AJ507="A1"), XLOOKUP(AH507, 'Genetic Apex'!$C$2:$C889, 'Genetic Apex'!$B$2:$B889)-2, AJ507="A1a", XLOOKUP(AH507, 'Mythical Island'!$C$2:$C889, 'Mythical Island'!$B$2:$B889)-2, OR(AJ507="A2-Dialga", AJ507="A2-Palkia", AJ507="A2"), XLOOKUP(AH507, 'Space-Time Smackdown'!$C$2:$C889, 'Space-Time Smackdown'!$B$2:$B889)-2))</f>
        <v/>
      </c>
      <c r="AM507" s="444" t="str">
        <f t="shared" si="6"/>
        <v/>
      </c>
      <c r="AN507" s="448" t="str">
        <f t="shared" si="7"/>
        <v/>
      </c>
    </row>
    <row r="508">
      <c r="A508" s="277"/>
      <c r="B508" s="277"/>
      <c r="C508" s="441"/>
      <c r="D508" s="277"/>
      <c r="E508" s="277"/>
      <c r="F508" s="277"/>
      <c r="G508" s="277"/>
      <c r="H508" s="277" t="b">
        <f t="shared" si="1"/>
        <v>0</v>
      </c>
      <c r="I508" s="277" t="str">
        <f>IFERROR(__xludf.DUMMYFUNCTION("""COMPUTED_VALUE"""),"A2 131")</f>
        <v>A2 131</v>
      </c>
      <c r="J508" s="277" t="str">
        <f>IFERROR(__xludf.DUMMYFUNCTION("""COMPUTED_VALUE"""),"Ambipom")</f>
        <v>Ambipom</v>
      </c>
      <c r="K508" s="277" t="str">
        <f>IFERROR(__xludf.DUMMYFUNCTION("""COMPUTED_VALUE"""),"A2")</f>
        <v>A2</v>
      </c>
      <c r="L508" s="277" t="str">
        <f>IFERROR(__xludf.DUMMYFUNCTION("""COMPUTED_VALUE"""),"♢")</f>
        <v>♢</v>
      </c>
      <c r="M508" s="440" t="b">
        <f t="shared" si="2"/>
        <v>0</v>
      </c>
      <c r="N508" s="441"/>
      <c r="O508" s="277"/>
      <c r="P508" s="277"/>
      <c r="Q508" s="278"/>
      <c r="R508" s="449" t="str">
        <f t="array" ref="R508">IFERROR(IFS(OR(P508="A1-Mewtwo", P508="A1-Pikachu", P508="A1-Charizard", P508="A1"), XLOOKUP(N508, 'Genetic Apex'!$C$2:$C889, 'Genetic Apex'!$B$2:$B889)-$B$4, P508="A1a", XLOOKUP(N508, 'Mythical Island'!$C$2:$C889, 'Mythical Island'!$B$2:$B889)-$B$4, OR(P508="A2-Dialga", P508="A2-Palkia", P508="A2"), XLOOKUP(N508, 'Space-Time Smackdown'!$C$2:$C889, 'Space-Time Smackdown'!$B$2:$B889)-$B$4))</f>
        <v/>
      </c>
      <c r="S508" s="277"/>
      <c r="T508" s="277"/>
      <c r="U508" s="277"/>
      <c r="V508" s="278"/>
      <c r="W508" s="443" t="str">
        <f t="array" ref="W508">IFERROR(IFS(OR(U508="A1-Mewtwo", U508="A1-Pikachu", U508="A1-Charizard", U508="A1"), $B$5-XLOOKUP(S508, 'Genetic Apex'!$C$2:$C889, 'Genetic Apex'!$B$2:$B889), U508="A1a", $B$5-XLOOKUP(S508, 'Mythical Island'!$C$2:$C889, 'Mythical Island'!$B$2:$B889), OR(U508="A2-Dialga", U508="A2-Palkia", U508="A2"), $B$5-XLOOKUP(S508, 'Space-Time Smackdown'!$C$2:$C889, 'Space-Time Smackdown'!$B$2:$B889)))</f>
        <v/>
      </c>
      <c r="X508" s="444" t="str">
        <f t="shared" si="3"/>
        <v/>
      </c>
      <c r="Y508" s="445" t="str">
        <f t="shared" si="4"/>
        <v/>
      </c>
      <c r="Z508" s="278"/>
      <c r="AA508" s="466"/>
      <c r="AB508" s="278"/>
      <c r="AC508" s="278"/>
      <c r="AD508" s="278"/>
      <c r="AE508" s="278"/>
      <c r="AF508" s="278"/>
      <c r="AG508" s="278" t="b">
        <f t="shared" si="5"/>
        <v>0</v>
      </c>
      <c r="AH508" s="454"/>
      <c r="AI508" s="278"/>
      <c r="AJ508" s="278"/>
      <c r="AK508" s="278"/>
      <c r="AL508" s="444" t="str">
        <f t="array" ref="AL508">IFERROR(IFS(OR(AJ508="A1-Mewtwo", AJ508="A1-Pikachu", AJ508="A1-Charizard", AJ508="A1"), XLOOKUP(AH508, 'Genetic Apex'!$C$2:$C889, 'Genetic Apex'!$B$2:$B889)-2, AJ508="A1a", XLOOKUP(AH508, 'Mythical Island'!$C$2:$C889, 'Mythical Island'!$B$2:$B889)-2, OR(AJ508="A2-Dialga", AJ508="A2-Palkia", AJ508="A2"), XLOOKUP(AH508, 'Space-Time Smackdown'!$C$2:$C889, 'Space-Time Smackdown'!$B$2:$B889)-2))</f>
        <v/>
      </c>
      <c r="AM508" s="444" t="str">
        <f t="shared" si="6"/>
        <v/>
      </c>
      <c r="AN508" s="448" t="str">
        <f t="shared" si="7"/>
        <v/>
      </c>
    </row>
    <row r="509">
      <c r="A509" s="277"/>
      <c r="B509" s="277"/>
      <c r="C509" s="441"/>
      <c r="D509" s="277"/>
      <c r="E509" s="277"/>
      <c r="F509" s="277"/>
      <c r="G509" s="277"/>
      <c r="H509" s="277" t="b">
        <f t="shared" si="1"/>
        <v>0</v>
      </c>
      <c r="I509" s="277" t="str">
        <f>IFERROR(__xludf.DUMMYFUNCTION("""COMPUTED_VALUE"""),"A2 132")</f>
        <v>A2 132</v>
      </c>
      <c r="J509" s="277" t="str">
        <f>IFERROR(__xludf.DUMMYFUNCTION("""COMPUTED_VALUE"""),"Starly")</f>
        <v>Starly</v>
      </c>
      <c r="K509" s="277" t="str">
        <f>IFERROR(__xludf.DUMMYFUNCTION("""COMPUTED_VALUE"""),"A2-Palkia")</f>
        <v>A2-Palkia</v>
      </c>
      <c r="L509" s="277" t="str">
        <f>IFERROR(__xludf.DUMMYFUNCTION("""COMPUTED_VALUE"""),"♢")</f>
        <v>♢</v>
      </c>
      <c r="M509" s="440" t="b">
        <f t="shared" si="2"/>
        <v>0</v>
      </c>
      <c r="N509" s="441"/>
      <c r="O509" s="277"/>
      <c r="P509" s="277"/>
      <c r="Q509" s="278"/>
      <c r="R509" s="449" t="str">
        <f t="array" ref="R509">IFERROR(IFS(OR(P509="A1-Mewtwo", P509="A1-Pikachu", P509="A1-Charizard", P509="A1"), XLOOKUP(N509, 'Genetic Apex'!$C$2:$C889, 'Genetic Apex'!$B$2:$B889)-$B$4, P509="A1a", XLOOKUP(N509, 'Mythical Island'!$C$2:$C889, 'Mythical Island'!$B$2:$B889)-$B$4, OR(P509="A2-Dialga", P509="A2-Palkia", P509="A2"), XLOOKUP(N509, 'Space-Time Smackdown'!$C$2:$C889, 'Space-Time Smackdown'!$B$2:$B889)-$B$4))</f>
        <v/>
      </c>
      <c r="S509" s="277"/>
      <c r="T509" s="277"/>
      <c r="U509" s="277"/>
      <c r="V509" s="278"/>
      <c r="W509" s="443" t="str">
        <f t="array" ref="W509">IFERROR(IFS(OR(U509="A1-Mewtwo", U509="A1-Pikachu", U509="A1-Charizard", U509="A1"), $B$5-XLOOKUP(S509, 'Genetic Apex'!$C$2:$C889, 'Genetic Apex'!$B$2:$B889), U509="A1a", $B$5-XLOOKUP(S509, 'Mythical Island'!$C$2:$C889, 'Mythical Island'!$B$2:$B889), OR(U509="A2-Dialga", U509="A2-Palkia", U509="A2"), $B$5-XLOOKUP(S509, 'Space-Time Smackdown'!$C$2:$C889, 'Space-Time Smackdown'!$B$2:$B889)))</f>
        <v/>
      </c>
      <c r="X509" s="444" t="str">
        <f t="shared" si="3"/>
        <v/>
      </c>
      <c r="Y509" s="445" t="str">
        <f t="shared" si="4"/>
        <v/>
      </c>
      <c r="Z509" s="278"/>
      <c r="AA509" s="466"/>
      <c r="AB509" s="278"/>
      <c r="AC509" s="278"/>
      <c r="AD509" s="278"/>
      <c r="AE509" s="278"/>
      <c r="AF509" s="278"/>
      <c r="AG509" s="278" t="b">
        <f t="shared" si="5"/>
        <v>0</v>
      </c>
      <c r="AH509" s="454"/>
      <c r="AI509" s="278"/>
      <c r="AJ509" s="278"/>
      <c r="AK509" s="278"/>
      <c r="AL509" s="444" t="str">
        <f t="array" ref="AL509">IFERROR(IFS(OR(AJ509="A1-Mewtwo", AJ509="A1-Pikachu", AJ509="A1-Charizard", AJ509="A1"), XLOOKUP(AH509, 'Genetic Apex'!$C$2:$C889, 'Genetic Apex'!$B$2:$B889)-2, AJ509="A1a", XLOOKUP(AH509, 'Mythical Island'!$C$2:$C889, 'Mythical Island'!$B$2:$B889)-2, OR(AJ509="A2-Dialga", AJ509="A2-Palkia", AJ509="A2"), XLOOKUP(AH509, 'Space-Time Smackdown'!$C$2:$C889, 'Space-Time Smackdown'!$B$2:$B889)-2))</f>
        <v/>
      </c>
      <c r="AM509" s="444" t="str">
        <f t="shared" si="6"/>
        <v/>
      </c>
      <c r="AN509" s="448" t="str">
        <f t="shared" si="7"/>
        <v/>
      </c>
    </row>
    <row r="510">
      <c r="A510" s="277"/>
      <c r="B510" s="277"/>
      <c r="C510" s="441"/>
      <c r="D510" s="277"/>
      <c r="E510" s="277"/>
      <c r="F510" s="277"/>
      <c r="G510" s="277"/>
      <c r="H510" s="277" t="b">
        <f t="shared" si="1"/>
        <v>0</v>
      </c>
      <c r="I510" s="277" t="str">
        <f>IFERROR(__xludf.DUMMYFUNCTION("""COMPUTED_VALUE"""),"A2 133")</f>
        <v>A2 133</v>
      </c>
      <c r="J510" s="277" t="str">
        <f>IFERROR(__xludf.DUMMYFUNCTION("""COMPUTED_VALUE"""),"Staravia")</f>
        <v>Staravia</v>
      </c>
      <c r="K510" s="277" t="str">
        <f>IFERROR(__xludf.DUMMYFUNCTION("""COMPUTED_VALUE"""),"A2-Palkia")</f>
        <v>A2-Palkia</v>
      </c>
      <c r="L510" s="277" t="str">
        <f>IFERROR(__xludf.DUMMYFUNCTION("""COMPUTED_VALUE"""),"♢")</f>
        <v>♢</v>
      </c>
      <c r="M510" s="440" t="b">
        <f t="shared" si="2"/>
        <v>0</v>
      </c>
      <c r="N510" s="441"/>
      <c r="O510" s="277"/>
      <c r="P510" s="277"/>
      <c r="Q510" s="278"/>
      <c r="R510" s="449" t="str">
        <f t="array" ref="R510">IFERROR(IFS(OR(P510="A1-Mewtwo", P510="A1-Pikachu", P510="A1-Charizard", P510="A1"), XLOOKUP(N510, 'Genetic Apex'!$C$2:$C889, 'Genetic Apex'!$B$2:$B889)-$B$4, P510="A1a", XLOOKUP(N510, 'Mythical Island'!$C$2:$C889, 'Mythical Island'!$B$2:$B889)-$B$4, OR(P510="A2-Dialga", P510="A2-Palkia", P510="A2"), XLOOKUP(N510, 'Space-Time Smackdown'!$C$2:$C889, 'Space-Time Smackdown'!$B$2:$B889)-$B$4))</f>
        <v/>
      </c>
      <c r="S510" s="277"/>
      <c r="T510" s="277"/>
      <c r="U510" s="277"/>
      <c r="V510" s="278"/>
      <c r="W510" s="443" t="str">
        <f t="array" ref="W510">IFERROR(IFS(OR(U510="A1-Mewtwo", U510="A1-Pikachu", U510="A1-Charizard", U510="A1"), $B$5-XLOOKUP(S510, 'Genetic Apex'!$C$2:$C889, 'Genetic Apex'!$B$2:$B889), U510="A1a", $B$5-XLOOKUP(S510, 'Mythical Island'!$C$2:$C889, 'Mythical Island'!$B$2:$B889), OR(U510="A2-Dialga", U510="A2-Palkia", U510="A2"), $B$5-XLOOKUP(S510, 'Space-Time Smackdown'!$C$2:$C889, 'Space-Time Smackdown'!$B$2:$B889)))</f>
        <v/>
      </c>
      <c r="X510" s="444" t="str">
        <f t="shared" si="3"/>
        <v/>
      </c>
      <c r="Y510" s="445" t="str">
        <f t="shared" si="4"/>
        <v/>
      </c>
      <c r="Z510" s="278"/>
      <c r="AA510" s="466"/>
      <c r="AB510" s="278"/>
      <c r="AC510" s="278"/>
      <c r="AD510" s="278"/>
      <c r="AE510" s="278"/>
      <c r="AF510" s="278"/>
      <c r="AG510" s="278" t="b">
        <f t="shared" si="5"/>
        <v>0</v>
      </c>
      <c r="AH510" s="454"/>
      <c r="AI510" s="278"/>
      <c r="AJ510" s="278"/>
      <c r="AK510" s="278"/>
      <c r="AL510" s="444" t="str">
        <f t="array" ref="AL510">IFERROR(IFS(OR(AJ510="A1-Mewtwo", AJ510="A1-Pikachu", AJ510="A1-Charizard", AJ510="A1"), XLOOKUP(AH510, 'Genetic Apex'!$C$2:$C889, 'Genetic Apex'!$B$2:$B889)-2, AJ510="A1a", XLOOKUP(AH510, 'Mythical Island'!$C$2:$C889, 'Mythical Island'!$B$2:$B889)-2, OR(AJ510="A2-Dialga", AJ510="A2-Palkia", AJ510="A2"), XLOOKUP(AH510, 'Space-Time Smackdown'!$C$2:$C889, 'Space-Time Smackdown'!$B$2:$B889)-2))</f>
        <v/>
      </c>
      <c r="AM510" s="444" t="str">
        <f t="shared" si="6"/>
        <v/>
      </c>
      <c r="AN510" s="448" t="str">
        <f t="shared" si="7"/>
        <v/>
      </c>
    </row>
    <row r="511">
      <c r="A511" s="277"/>
      <c r="B511" s="277"/>
      <c r="C511" s="441"/>
      <c r="D511" s="277"/>
      <c r="E511" s="277"/>
      <c r="F511" s="277"/>
      <c r="G511" s="277"/>
      <c r="H511" s="277" t="b">
        <f t="shared" si="1"/>
        <v>0</v>
      </c>
      <c r="I511" s="277" t="str">
        <f>IFERROR(__xludf.DUMMYFUNCTION("""COMPUTED_VALUE"""),"A2 134")</f>
        <v>A2 134</v>
      </c>
      <c r="J511" s="277" t="str">
        <f>IFERROR(__xludf.DUMMYFUNCTION("""COMPUTED_VALUE"""),"Staraptor")</f>
        <v>Staraptor</v>
      </c>
      <c r="K511" s="277" t="str">
        <f>IFERROR(__xludf.DUMMYFUNCTION("""COMPUTED_VALUE"""),"A2-Palkia")</f>
        <v>A2-Palkia</v>
      </c>
      <c r="L511" s="277" t="str">
        <f>IFERROR(__xludf.DUMMYFUNCTION("""COMPUTED_VALUE"""),"♢♢")</f>
        <v>♢♢</v>
      </c>
      <c r="M511" s="440" t="b">
        <f t="shared" si="2"/>
        <v>0</v>
      </c>
      <c r="N511" s="441"/>
      <c r="O511" s="277"/>
      <c r="P511" s="277"/>
      <c r="Q511" s="278"/>
      <c r="R511" s="449" t="str">
        <f t="array" ref="R511">IFERROR(IFS(OR(P511="A1-Mewtwo", P511="A1-Pikachu", P511="A1-Charizard", P511="A1"), XLOOKUP(N511, 'Genetic Apex'!$C$2:$C889, 'Genetic Apex'!$B$2:$B889)-$B$4, P511="A1a", XLOOKUP(N511, 'Mythical Island'!$C$2:$C889, 'Mythical Island'!$B$2:$B889)-$B$4, OR(P511="A2-Dialga", P511="A2-Palkia", P511="A2"), XLOOKUP(N511, 'Space-Time Smackdown'!$C$2:$C889, 'Space-Time Smackdown'!$B$2:$B889)-$B$4))</f>
        <v/>
      </c>
      <c r="S511" s="277"/>
      <c r="T511" s="277"/>
      <c r="U511" s="277"/>
      <c r="V511" s="278"/>
      <c r="W511" s="443" t="str">
        <f t="array" ref="W511">IFERROR(IFS(OR(U511="A1-Mewtwo", U511="A1-Pikachu", U511="A1-Charizard", U511="A1"), $B$5-XLOOKUP(S511, 'Genetic Apex'!$C$2:$C889, 'Genetic Apex'!$B$2:$B889), U511="A1a", $B$5-XLOOKUP(S511, 'Mythical Island'!$C$2:$C889, 'Mythical Island'!$B$2:$B889), OR(U511="A2-Dialga", U511="A2-Palkia", U511="A2"), $B$5-XLOOKUP(S511, 'Space-Time Smackdown'!$C$2:$C889, 'Space-Time Smackdown'!$B$2:$B889)))</f>
        <v/>
      </c>
      <c r="X511" s="444" t="str">
        <f t="shared" si="3"/>
        <v/>
      </c>
      <c r="Y511" s="445" t="str">
        <f t="shared" si="4"/>
        <v/>
      </c>
      <c r="Z511" s="278"/>
      <c r="AA511" s="466"/>
      <c r="AB511" s="278"/>
      <c r="AC511" s="278"/>
      <c r="AD511" s="278"/>
      <c r="AE511" s="278"/>
      <c r="AF511" s="278"/>
      <c r="AG511" s="278" t="b">
        <f t="shared" si="5"/>
        <v>0</v>
      </c>
      <c r="AH511" s="454"/>
      <c r="AI511" s="278"/>
      <c r="AJ511" s="278"/>
      <c r="AK511" s="278"/>
      <c r="AL511" s="444" t="str">
        <f t="array" ref="AL511">IFERROR(IFS(OR(AJ511="A1-Mewtwo", AJ511="A1-Pikachu", AJ511="A1-Charizard", AJ511="A1"), XLOOKUP(AH511, 'Genetic Apex'!$C$2:$C889, 'Genetic Apex'!$B$2:$B889)-2, AJ511="A1a", XLOOKUP(AH511, 'Mythical Island'!$C$2:$C889, 'Mythical Island'!$B$2:$B889)-2, OR(AJ511="A2-Dialga", AJ511="A2-Palkia", AJ511="A2"), XLOOKUP(AH511, 'Space-Time Smackdown'!$C$2:$C889, 'Space-Time Smackdown'!$B$2:$B889)-2))</f>
        <v/>
      </c>
      <c r="AM511" s="444" t="str">
        <f t="shared" si="6"/>
        <v/>
      </c>
      <c r="AN511" s="448" t="str">
        <f t="shared" si="7"/>
        <v/>
      </c>
    </row>
    <row r="512">
      <c r="A512" s="277"/>
      <c r="B512" s="277"/>
      <c r="C512" s="441"/>
      <c r="D512" s="277"/>
      <c r="E512" s="277"/>
      <c r="F512" s="277"/>
      <c r="G512" s="277"/>
      <c r="H512" s="277" t="b">
        <f t="shared" si="1"/>
        <v>0</v>
      </c>
      <c r="I512" s="277" t="str">
        <f>IFERROR(__xludf.DUMMYFUNCTION("""COMPUTED_VALUE"""),"A2 135")</f>
        <v>A2 135</v>
      </c>
      <c r="J512" s="277" t="str">
        <f>IFERROR(__xludf.DUMMYFUNCTION("""COMPUTED_VALUE"""),"Bidoof")</f>
        <v>Bidoof</v>
      </c>
      <c r="K512" s="277" t="str">
        <f>IFERROR(__xludf.DUMMYFUNCTION("""COMPUTED_VALUE"""),"A2-Dialga")</f>
        <v>A2-Dialga</v>
      </c>
      <c r="L512" s="277" t="str">
        <f>IFERROR(__xludf.DUMMYFUNCTION("""COMPUTED_VALUE"""),"♢")</f>
        <v>♢</v>
      </c>
      <c r="M512" s="440" t="b">
        <f t="shared" si="2"/>
        <v>0</v>
      </c>
      <c r="N512" s="441"/>
      <c r="O512" s="277"/>
      <c r="P512" s="277"/>
      <c r="Q512" s="278"/>
      <c r="R512" s="449" t="str">
        <f t="array" ref="R512">IFERROR(IFS(OR(P512="A1-Mewtwo", P512="A1-Pikachu", P512="A1-Charizard", P512="A1"), XLOOKUP(N512, 'Genetic Apex'!$C$2:$C889, 'Genetic Apex'!$B$2:$B889)-$B$4, P512="A1a", XLOOKUP(N512, 'Mythical Island'!$C$2:$C889, 'Mythical Island'!$B$2:$B889)-$B$4, OR(P512="A2-Dialga", P512="A2-Palkia", P512="A2"), XLOOKUP(N512, 'Space-Time Smackdown'!$C$2:$C889, 'Space-Time Smackdown'!$B$2:$B889)-$B$4))</f>
        <v/>
      </c>
      <c r="S512" s="277"/>
      <c r="T512" s="277"/>
      <c r="U512" s="277"/>
      <c r="V512" s="278"/>
      <c r="W512" s="443" t="str">
        <f t="array" ref="W512">IFERROR(IFS(OR(U512="A1-Mewtwo", U512="A1-Pikachu", U512="A1-Charizard", U512="A1"), $B$5-XLOOKUP(S512, 'Genetic Apex'!$C$2:$C889, 'Genetic Apex'!$B$2:$B889), U512="A1a", $B$5-XLOOKUP(S512, 'Mythical Island'!$C$2:$C889, 'Mythical Island'!$B$2:$B889), OR(U512="A2-Dialga", U512="A2-Palkia", U512="A2"), $B$5-XLOOKUP(S512, 'Space-Time Smackdown'!$C$2:$C889, 'Space-Time Smackdown'!$B$2:$B889)))</f>
        <v/>
      </c>
      <c r="X512" s="444" t="str">
        <f t="shared" si="3"/>
        <v/>
      </c>
      <c r="Y512" s="445" t="str">
        <f t="shared" si="4"/>
        <v/>
      </c>
      <c r="Z512" s="278"/>
      <c r="AA512" s="466"/>
      <c r="AB512" s="278"/>
      <c r="AC512" s="278"/>
      <c r="AD512" s="278"/>
      <c r="AE512" s="278"/>
      <c r="AF512" s="278"/>
      <c r="AG512" s="278" t="b">
        <f t="shared" si="5"/>
        <v>0</v>
      </c>
      <c r="AH512" s="454"/>
      <c r="AI512" s="278"/>
      <c r="AJ512" s="278"/>
      <c r="AK512" s="278"/>
      <c r="AL512" s="444" t="str">
        <f t="array" ref="AL512">IFERROR(IFS(OR(AJ512="A1-Mewtwo", AJ512="A1-Pikachu", AJ512="A1-Charizard", AJ512="A1"), XLOOKUP(AH512, 'Genetic Apex'!$C$2:$C889, 'Genetic Apex'!$B$2:$B889)-2, AJ512="A1a", XLOOKUP(AH512, 'Mythical Island'!$C$2:$C889, 'Mythical Island'!$B$2:$B889)-2, OR(AJ512="A2-Dialga", AJ512="A2-Palkia", AJ512="A2"), XLOOKUP(AH512, 'Space-Time Smackdown'!$C$2:$C889, 'Space-Time Smackdown'!$B$2:$B889)-2))</f>
        <v/>
      </c>
      <c r="AM512" s="444" t="str">
        <f t="shared" si="6"/>
        <v/>
      </c>
      <c r="AN512" s="448" t="str">
        <f t="shared" si="7"/>
        <v/>
      </c>
    </row>
    <row r="513">
      <c r="A513" s="277"/>
      <c r="B513" s="277"/>
      <c r="C513" s="441"/>
      <c r="D513" s="277"/>
      <c r="E513" s="277"/>
      <c r="F513" s="277"/>
      <c r="G513" s="277"/>
      <c r="H513" s="277" t="b">
        <f t="shared" si="1"/>
        <v>0</v>
      </c>
      <c r="I513" s="277" t="str">
        <f>IFERROR(__xludf.DUMMYFUNCTION("""COMPUTED_VALUE"""),"A2 136")</f>
        <v>A2 136</v>
      </c>
      <c r="J513" s="277" t="str">
        <f>IFERROR(__xludf.DUMMYFUNCTION("""COMPUTED_VALUE"""),"Bibarel")</f>
        <v>Bibarel</v>
      </c>
      <c r="K513" s="277" t="str">
        <f>IFERROR(__xludf.DUMMYFUNCTION("""COMPUTED_VALUE"""),"A2-Dialga")</f>
        <v>A2-Dialga</v>
      </c>
      <c r="L513" s="277" t="str">
        <f>IFERROR(__xludf.DUMMYFUNCTION("""COMPUTED_VALUE"""),"♢")</f>
        <v>♢</v>
      </c>
      <c r="M513" s="440" t="b">
        <f t="shared" si="2"/>
        <v>0</v>
      </c>
      <c r="N513" s="441"/>
      <c r="O513" s="277"/>
      <c r="P513" s="277"/>
      <c r="Q513" s="278"/>
      <c r="R513" s="449" t="str">
        <f t="array" ref="R513">IFERROR(IFS(OR(P513="A1-Mewtwo", P513="A1-Pikachu", P513="A1-Charizard", P513="A1"), XLOOKUP(N513, 'Genetic Apex'!$C$2:$C889, 'Genetic Apex'!$B$2:$B889)-$B$4, P513="A1a", XLOOKUP(N513, 'Mythical Island'!$C$2:$C889, 'Mythical Island'!$B$2:$B889)-$B$4, OR(P513="A2-Dialga", P513="A2-Palkia", P513="A2"), XLOOKUP(N513, 'Space-Time Smackdown'!$C$2:$C889, 'Space-Time Smackdown'!$B$2:$B889)-$B$4))</f>
        <v/>
      </c>
      <c r="S513" s="277"/>
      <c r="T513" s="277"/>
      <c r="U513" s="277"/>
      <c r="V513" s="278"/>
      <c r="W513" s="443" t="str">
        <f t="array" ref="W513">IFERROR(IFS(OR(U513="A1-Mewtwo", U513="A1-Pikachu", U513="A1-Charizard", U513="A1"), $B$5-XLOOKUP(S513, 'Genetic Apex'!$C$2:$C889, 'Genetic Apex'!$B$2:$B889), U513="A1a", $B$5-XLOOKUP(S513, 'Mythical Island'!$C$2:$C889, 'Mythical Island'!$B$2:$B889), OR(U513="A2-Dialga", U513="A2-Palkia", U513="A2"), $B$5-XLOOKUP(S513, 'Space-Time Smackdown'!$C$2:$C889, 'Space-Time Smackdown'!$B$2:$B889)))</f>
        <v/>
      </c>
      <c r="X513" s="444" t="str">
        <f t="shared" si="3"/>
        <v/>
      </c>
      <c r="Y513" s="445" t="str">
        <f t="shared" si="4"/>
        <v/>
      </c>
      <c r="Z513" s="278"/>
      <c r="AA513" s="466"/>
      <c r="AB513" s="278"/>
      <c r="AC513" s="278"/>
      <c r="AD513" s="278"/>
      <c r="AE513" s="278"/>
      <c r="AF513" s="278"/>
      <c r="AG513" s="278" t="b">
        <f t="shared" si="5"/>
        <v>0</v>
      </c>
      <c r="AH513" s="454"/>
      <c r="AI513" s="278"/>
      <c r="AJ513" s="278"/>
      <c r="AK513" s="278"/>
      <c r="AL513" s="444" t="str">
        <f t="array" ref="AL513">IFERROR(IFS(OR(AJ513="A1-Mewtwo", AJ513="A1-Pikachu", AJ513="A1-Charizard", AJ513="A1"), XLOOKUP(AH513, 'Genetic Apex'!$C$2:$C889, 'Genetic Apex'!$B$2:$B889)-2, AJ513="A1a", XLOOKUP(AH513, 'Mythical Island'!$C$2:$C889, 'Mythical Island'!$B$2:$B889)-2, OR(AJ513="A2-Dialga", AJ513="A2-Palkia", AJ513="A2"), XLOOKUP(AH513, 'Space-Time Smackdown'!$C$2:$C889, 'Space-Time Smackdown'!$B$2:$B889)-2))</f>
        <v/>
      </c>
      <c r="AM513" s="444" t="str">
        <f t="shared" si="6"/>
        <v/>
      </c>
      <c r="AN513" s="448" t="str">
        <f t="shared" si="7"/>
        <v/>
      </c>
    </row>
    <row r="514">
      <c r="A514" s="277"/>
      <c r="B514" s="277"/>
      <c r="C514" s="441"/>
      <c r="D514" s="277"/>
      <c r="E514" s="277"/>
      <c r="F514" s="277"/>
      <c r="G514" s="277"/>
      <c r="H514" s="277" t="b">
        <f t="shared" si="1"/>
        <v>0</v>
      </c>
      <c r="I514" s="277" t="str">
        <f>IFERROR(__xludf.DUMMYFUNCTION("""COMPUTED_VALUE"""),"A2 137")</f>
        <v>A2 137</v>
      </c>
      <c r="J514" s="277" t="str">
        <f>IFERROR(__xludf.DUMMYFUNCTION("""COMPUTED_VALUE"""),"Buneary")</f>
        <v>Buneary</v>
      </c>
      <c r="K514" s="277" t="str">
        <f>IFERROR(__xludf.DUMMYFUNCTION("""COMPUTED_VALUE"""),"A2-Dialga")</f>
        <v>A2-Dialga</v>
      </c>
      <c r="L514" s="277" t="str">
        <f>IFERROR(__xludf.DUMMYFUNCTION("""COMPUTED_VALUE"""),"♢")</f>
        <v>♢</v>
      </c>
      <c r="M514" s="440" t="b">
        <f t="shared" si="2"/>
        <v>0</v>
      </c>
      <c r="N514" s="441"/>
      <c r="O514" s="277"/>
      <c r="P514" s="277"/>
      <c r="Q514" s="278"/>
      <c r="R514" s="449" t="str">
        <f t="array" ref="R514">IFERROR(IFS(OR(P514="A1-Mewtwo", P514="A1-Pikachu", P514="A1-Charizard", P514="A1"), XLOOKUP(N514, 'Genetic Apex'!$C$2:$C889, 'Genetic Apex'!$B$2:$B889)-$B$4, P514="A1a", XLOOKUP(N514, 'Mythical Island'!$C$2:$C889, 'Mythical Island'!$B$2:$B889)-$B$4, OR(P514="A2-Dialga", P514="A2-Palkia", P514="A2"), XLOOKUP(N514, 'Space-Time Smackdown'!$C$2:$C889, 'Space-Time Smackdown'!$B$2:$B889)-$B$4))</f>
        <v/>
      </c>
      <c r="S514" s="277"/>
      <c r="T514" s="277"/>
      <c r="U514" s="277"/>
      <c r="V514" s="278"/>
      <c r="W514" s="443" t="str">
        <f t="array" ref="W514">IFERROR(IFS(OR(U514="A1-Mewtwo", U514="A1-Pikachu", U514="A1-Charizard", U514="A1"), $B$5-XLOOKUP(S514, 'Genetic Apex'!$C$2:$C889, 'Genetic Apex'!$B$2:$B889), U514="A1a", $B$5-XLOOKUP(S514, 'Mythical Island'!$C$2:$C889, 'Mythical Island'!$B$2:$B889), OR(U514="A2-Dialga", U514="A2-Palkia", U514="A2"), $B$5-XLOOKUP(S514, 'Space-Time Smackdown'!$C$2:$C889, 'Space-Time Smackdown'!$B$2:$B889)))</f>
        <v/>
      </c>
      <c r="X514" s="444" t="str">
        <f t="shared" si="3"/>
        <v/>
      </c>
      <c r="Y514" s="445" t="str">
        <f t="shared" si="4"/>
        <v/>
      </c>
      <c r="Z514" s="278"/>
      <c r="AA514" s="466"/>
      <c r="AB514" s="278"/>
      <c r="AC514" s="278"/>
      <c r="AD514" s="278"/>
      <c r="AE514" s="278"/>
      <c r="AF514" s="278"/>
      <c r="AG514" s="278" t="b">
        <f t="shared" si="5"/>
        <v>0</v>
      </c>
      <c r="AH514" s="454"/>
      <c r="AI514" s="278"/>
      <c r="AJ514" s="278"/>
      <c r="AK514" s="278"/>
      <c r="AL514" s="444" t="str">
        <f t="array" ref="AL514">IFERROR(IFS(OR(AJ514="A1-Mewtwo", AJ514="A1-Pikachu", AJ514="A1-Charizard", AJ514="A1"), XLOOKUP(AH514, 'Genetic Apex'!$C$2:$C889, 'Genetic Apex'!$B$2:$B889)-2, AJ514="A1a", XLOOKUP(AH514, 'Mythical Island'!$C$2:$C889, 'Mythical Island'!$B$2:$B889)-2, OR(AJ514="A2-Dialga", AJ514="A2-Palkia", AJ514="A2"), XLOOKUP(AH514, 'Space-Time Smackdown'!$C$2:$C889, 'Space-Time Smackdown'!$B$2:$B889)-2))</f>
        <v/>
      </c>
      <c r="AM514" s="444" t="str">
        <f t="shared" si="6"/>
        <v/>
      </c>
      <c r="AN514" s="448" t="str">
        <f t="shared" si="7"/>
        <v/>
      </c>
    </row>
    <row r="515">
      <c r="A515" s="277"/>
      <c r="B515" s="277"/>
      <c r="C515" s="441"/>
      <c r="D515" s="277"/>
      <c r="E515" s="277"/>
      <c r="F515" s="277"/>
      <c r="G515" s="277"/>
      <c r="H515" s="277" t="b">
        <f t="shared" si="1"/>
        <v>0</v>
      </c>
      <c r="I515" s="277" t="str">
        <f>IFERROR(__xludf.DUMMYFUNCTION("""COMPUTED_VALUE"""),"A2 138")</f>
        <v>A2 138</v>
      </c>
      <c r="J515" s="277" t="str">
        <f>IFERROR(__xludf.DUMMYFUNCTION("""COMPUTED_VALUE"""),"Lopunny")</f>
        <v>Lopunny</v>
      </c>
      <c r="K515" s="277" t="str">
        <f>IFERROR(__xludf.DUMMYFUNCTION("""COMPUTED_VALUE"""),"A2-Dialga")</f>
        <v>A2-Dialga</v>
      </c>
      <c r="L515" s="277" t="str">
        <f>IFERROR(__xludf.DUMMYFUNCTION("""COMPUTED_VALUE"""),"♢")</f>
        <v>♢</v>
      </c>
      <c r="M515" s="440" t="b">
        <f t="shared" si="2"/>
        <v>0</v>
      </c>
      <c r="N515" s="441"/>
      <c r="O515" s="277"/>
      <c r="P515" s="277"/>
      <c r="Q515" s="278"/>
      <c r="R515" s="449" t="str">
        <f t="array" ref="R515">IFERROR(IFS(OR(P515="A1-Mewtwo", P515="A1-Pikachu", P515="A1-Charizard", P515="A1"), XLOOKUP(N515, 'Genetic Apex'!$C$2:$C889, 'Genetic Apex'!$B$2:$B889)-$B$4, P515="A1a", XLOOKUP(N515, 'Mythical Island'!$C$2:$C889, 'Mythical Island'!$B$2:$B889)-$B$4, OR(P515="A2-Dialga", P515="A2-Palkia", P515="A2"), XLOOKUP(N515, 'Space-Time Smackdown'!$C$2:$C889, 'Space-Time Smackdown'!$B$2:$B889)-$B$4))</f>
        <v/>
      </c>
      <c r="S515" s="277"/>
      <c r="T515" s="277"/>
      <c r="U515" s="277"/>
      <c r="V515" s="278"/>
      <c r="W515" s="443" t="str">
        <f t="array" ref="W515">IFERROR(IFS(OR(U515="A1-Mewtwo", U515="A1-Pikachu", U515="A1-Charizard", U515="A1"), $B$5-XLOOKUP(S515, 'Genetic Apex'!$C$2:$C889, 'Genetic Apex'!$B$2:$B889), U515="A1a", $B$5-XLOOKUP(S515, 'Mythical Island'!$C$2:$C889, 'Mythical Island'!$B$2:$B889), OR(U515="A2-Dialga", U515="A2-Palkia", U515="A2"), $B$5-XLOOKUP(S515, 'Space-Time Smackdown'!$C$2:$C889, 'Space-Time Smackdown'!$B$2:$B889)))</f>
        <v/>
      </c>
      <c r="X515" s="444" t="str">
        <f t="shared" si="3"/>
        <v/>
      </c>
      <c r="Y515" s="445" t="str">
        <f t="shared" si="4"/>
        <v/>
      </c>
      <c r="Z515" s="278"/>
      <c r="AA515" s="466"/>
      <c r="AB515" s="278"/>
      <c r="AC515" s="278"/>
      <c r="AD515" s="278"/>
      <c r="AE515" s="278"/>
      <c r="AF515" s="278"/>
      <c r="AG515" s="278" t="b">
        <f t="shared" si="5"/>
        <v>0</v>
      </c>
      <c r="AH515" s="454"/>
      <c r="AI515" s="278"/>
      <c r="AJ515" s="278"/>
      <c r="AK515" s="278"/>
      <c r="AL515" s="444" t="str">
        <f t="array" ref="AL515">IFERROR(IFS(OR(AJ515="A1-Mewtwo", AJ515="A1-Pikachu", AJ515="A1-Charizard", AJ515="A1"), XLOOKUP(AH515, 'Genetic Apex'!$C$2:$C889, 'Genetic Apex'!$B$2:$B889)-2, AJ515="A1a", XLOOKUP(AH515, 'Mythical Island'!$C$2:$C889, 'Mythical Island'!$B$2:$B889)-2, OR(AJ515="A2-Dialga", AJ515="A2-Palkia", AJ515="A2"), XLOOKUP(AH515, 'Space-Time Smackdown'!$C$2:$C889, 'Space-Time Smackdown'!$B$2:$B889)-2))</f>
        <v/>
      </c>
      <c r="AM515" s="444" t="str">
        <f t="shared" si="6"/>
        <v/>
      </c>
      <c r="AN515" s="448" t="str">
        <f t="shared" si="7"/>
        <v/>
      </c>
    </row>
    <row r="516">
      <c r="A516" s="277"/>
      <c r="B516" s="277"/>
      <c r="C516" s="441"/>
      <c r="D516" s="277"/>
      <c r="E516" s="277"/>
      <c r="F516" s="277"/>
      <c r="G516" s="277"/>
      <c r="H516" s="277" t="b">
        <f t="shared" si="1"/>
        <v>0</v>
      </c>
      <c r="I516" s="277" t="str">
        <f>IFERROR(__xludf.DUMMYFUNCTION("""COMPUTED_VALUE"""),"A2 139")</f>
        <v>A2 139</v>
      </c>
      <c r="J516" s="277" t="str">
        <f>IFERROR(__xludf.DUMMYFUNCTION("""COMPUTED_VALUE"""),"Glameow")</f>
        <v>Glameow</v>
      </c>
      <c r="K516" s="277" t="str">
        <f>IFERROR(__xludf.DUMMYFUNCTION("""COMPUTED_VALUE"""),"A2-Palkia")</f>
        <v>A2-Palkia</v>
      </c>
      <c r="L516" s="277" t="str">
        <f>IFERROR(__xludf.DUMMYFUNCTION("""COMPUTED_VALUE"""),"♢")</f>
        <v>♢</v>
      </c>
      <c r="M516" s="440" t="b">
        <f t="shared" si="2"/>
        <v>0</v>
      </c>
      <c r="N516" s="441"/>
      <c r="O516" s="277"/>
      <c r="P516" s="277"/>
      <c r="Q516" s="278"/>
      <c r="R516" s="449" t="str">
        <f t="array" ref="R516">IFERROR(IFS(OR(P516="A1-Mewtwo", P516="A1-Pikachu", P516="A1-Charizard", P516="A1"), XLOOKUP(N516, 'Genetic Apex'!$C$2:$C889, 'Genetic Apex'!$B$2:$B889)-$B$4, P516="A1a", XLOOKUP(N516, 'Mythical Island'!$C$2:$C889, 'Mythical Island'!$B$2:$B889)-$B$4, OR(P516="A2-Dialga", P516="A2-Palkia", P516="A2"), XLOOKUP(N516, 'Space-Time Smackdown'!$C$2:$C889, 'Space-Time Smackdown'!$B$2:$B889)-$B$4))</f>
        <v/>
      </c>
      <c r="S516" s="277"/>
      <c r="T516" s="277"/>
      <c r="U516" s="277"/>
      <c r="V516" s="278"/>
      <c r="W516" s="443" t="str">
        <f t="array" ref="W516">IFERROR(IFS(OR(U516="A1-Mewtwo", U516="A1-Pikachu", U516="A1-Charizard", U516="A1"), $B$5-XLOOKUP(S516, 'Genetic Apex'!$C$2:$C889, 'Genetic Apex'!$B$2:$B889), U516="A1a", $B$5-XLOOKUP(S516, 'Mythical Island'!$C$2:$C889, 'Mythical Island'!$B$2:$B889), OR(U516="A2-Dialga", U516="A2-Palkia", U516="A2"), $B$5-XLOOKUP(S516, 'Space-Time Smackdown'!$C$2:$C889, 'Space-Time Smackdown'!$B$2:$B889)))</f>
        <v/>
      </c>
      <c r="X516" s="444" t="str">
        <f t="shared" si="3"/>
        <v/>
      </c>
      <c r="Y516" s="445" t="str">
        <f t="shared" si="4"/>
        <v/>
      </c>
      <c r="Z516" s="278"/>
      <c r="AA516" s="466"/>
      <c r="AB516" s="278"/>
      <c r="AC516" s="278"/>
      <c r="AD516" s="278"/>
      <c r="AE516" s="278"/>
      <c r="AF516" s="278"/>
      <c r="AG516" s="278" t="b">
        <f t="shared" si="5"/>
        <v>0</v>
      </c>
      <c r="AH516" s="454"/>
      <c r="AI516" s="278"/>
      <c r="AJ516" s="278"/>
      <c r="AK516" s="278"/>
      <c r="AL516" s="444" t="str">
        <f t="array" ref="AL516">IFERROR(IFS(OR(AJ516="A1-Mewtwo", AJ516="A1-Pikachu", AJ516="A1-Charizard", AJ516="A1"), XLOOKUP(AH516, 'Genetic Apex'!$C$2:$C889, 'Genetic Apex'!$B$2:$B889)-2, AJ516="A1a", XLOOKUP(AH516, 'Mythical Island'!$C$2:$C889, 'Mythical Island'!$B$2:$B889)-2, OR(AJ516="A2-Dialga", AJ516="A2-Palkia", AJ516="A2"), XLOOKUP(AH516, 'Space-Time Smackdown'!$C$2:$C889, 'Space-Time Smackdown'!$B$2:$B889)-2))</f>
        <v/>
      </c>
      <c r="AM516" s="444" t="str">
        <f t="shared" si="6"/>
        <v/>
      </c>
      <c r="AN516" s="448" t="str">
        <f t="shared" si="7"/>
        <v/>
      </c>
    </row>
    <row r="517">
      <c r="A517" s="277"/>
      <c r="B517" s="277"/>
      <c r="C517" s="441"/>
      <c r="D517" s="277"/>
      <c r="E517" s="277"/>
      <c r="F517" s="277"/>
      <c r="G517" s="277"/>
      <c r="H517" s="277" t="b">
        <f t="shared" si="1"/>
        <v>0</v>
      </c>
      <c r="I517" s="277" t="str">
        <f>IFERROR(__xludf.DUMMYFUNCTION("""COMPUTED_VALUE"""),"A2 140")</f>
        <v>A2 140</v>
      </c>
      <c r="J517" s="277" t="str">
        <f>IFERROR(__xludf.DUMMYFUNCTION("""COMPUTED_VALUE"""),"Purugly")</f>
        <v>Purugly</v>
      </c>
      <c r="K517" s="277" t="str">
        <f>IFERROR(__xludf.DUMMYFUNCTION("""COMPUTED_VALUE"""),"A2-Palkia")</f>
        <v>A2-Palkia</v>
      </c>
      <c r="L517" s="277" t="str">
        <f>IFERROR(__xludf.DUMMYFUNCTION("""COMPUTED_VALUE"""),"♢♢")</f>
        <v>♢♢</v>
      </c>
      <c r="M517" s="440" t="b">
        <f t="shared" si="2"/>
        <v>0</v>
      </c>
      <c r="N517" s="441"/>
      <c r="O517" s="277"/>
      <c r="P517" s="277"/>
      <c r="Q517" s="278"/>
      <c r="R517" s="449" t="str">
        <f t="array" ref="R517">IFERROR(IFS(OR(P517="A1-Mewtwo", P517="A1-Pikachu", P517="A1-Charizard", P517="A1"), XLOOKUP(N517, 'Genetic Apex'!$C$2:$C889, 'Genetic Apex'!$B$2:$B889)-$B$4, P517="A1a", XLOOKUP(N517, 'Mythical Island'!$C$2:$C889, 'Mythical Island'!$B$2:$B889)-$B$4, OR(P517="A2-Dialga", P517="A2-Palkia", P517="A2"), XLOOKUP(N517, 'Space-Time Smackdown'!$C$2:$C889, 'Space-Time Smackdown'!$B$2:$B889)-$B$4))</f>
        <v/>
      </c>
      <c r="S517" s="277"/>
      <c r="T517" s="277"/>
      <c r="U517" s="277"/>
      <c r="V517" s="278"/>
      <c r="W517" s="443" t="str">
        <f t="array" ref="W517">IFERROR(IFS(OR(U517="A1-Mewtwo", U517="A1-Pikachu", U517="A1-Charizard", U517="A1"), $B$5-XLOOKUP(S517, 'Genetic Apex'!$C$2:$C889, 'Genetic Apex'!$B$2:$B889), U517="A1a", $B$5-XLOOKUP(S517, 'Mythical Island'!$C$2:$C889, 'Mythical Island'!$B$2:$B889), OR(U517="A2-Dialga", U517="A2-Palkia", U517="A2"), $B$5-XLOOKUP(S517, 'Space-Time Smackdown'!$C$2:$C889, 'Space-Time Smackdown'!$B$2:$B889)))</f>
        <v/>
      </c>
      <c r="X517" s="444" t="str">
        <f t="shared" si="3"/>
        <v/>
      </c>
      <c r="Y517" s="445" t="str">
        <f t="shared" si="4"/>
        <v/>
      </c>
      <c r="Z517" s="278"/>
      <c r="AA517" s="466"/>
      <c r="AB517" s="278"/>
      <c r="AC517" s="278"/>
      <c r="AD517" s="278"/>
      <c r="AE517" s="278"/>
      <c r="AF517" s="278"/>
      <c r="AG517" s="278" t="b">
        <f t="shared" si="5"/>
        <v>0</v>
      </c>
      <c r="AH517" s="454"/>
      <c r="AI517" s="278"/>
      <c r="AJ517" s="278"/>
      <c r="AK517" s="278"/>
      <c r="AL517" s="444" t="str">
        <f t="array" ref="AL517">IFERROR(IFS(OR(AJ517="A1-Mewtwo", AJ517="A1-Pikachu", AJ517="A1-Charizard", AJ517="A1"), XLOOKUP(AH517, 'Genetic Apex'!$C$2:$C889, 'Genetic Apex'!$B$2:$B889)-2, AJ517="A1a", XLOOKUP(AH517, 'Mythical Island'!$C$2:$C889, 'Mythical Island'!$B$2:$B889)-2, OR(AJ517="A2-Dialga", AJ517="A2-Palkia", AJ517="A2"), XLOOKUP(AH517, 'Space-Time Smackdown'!$C$2:$C889, 'Space-Time Smackdown'!$B$2:$B889)-2))</f>
        <v/>
      </c>
      <c r="AM517" s="444" t="str">
        <f t="shared" si="6"/>
        <v/>
      </c>
      <c r="AN517" s="448" t="str">
        <f t="shared" si="7"/>
        <v/>
      </c>
    </row>
    <row r="518">
      <c r="A518" s="277"/>
      <c r="B518" s="277"/>
      <c r="C518" s="441"/>
      <c r="D518" s="277"/>
      <c r="E518" s="277"/>
      <c r="F518" s="277"/>
      <c r="G518" s="277"/>
      <c r="H518" s="277" t="b">
        <f t="shared" si="1"/>
        <v>0</v>
      </c>
      <c r="I518" s="277" t="str">
        <f>IFERROR(__xludf.DUMMYFUNCTION("""COMPUTED_VALUE"""),"A2 141")</f>
        <v>A2 141</v>
      </c>
      <c r="J518" s="277" t="str">
        <f>IFERROR(__xludf.DUMMYFUNCTION("""COMPUTED_VALUE"""),"Chatot")</f>
        <v>Chatot</v>
      </c>
      <c r="K518" s="277" t="str">
        <f>IFERROR(__xludf.DUMMYFUNCTION("""COMPUTED_VALUE"""),"A2-Palkia")</f>
        <v>A2-Palkia</v>
      </c>
      <c r="L518" s="277" t="str">
        <f>IFERROR(__xludf.DUMMYFUNCTION("""COMPUTED_VALUE"""),"♢")</f>
        <v>♢</v>
      </c>
      <c r="M518" s="440" t="b">
        <f t="shared" si="2"/>
        <v>0</v>
      </c>
      <c r="N518" s="441"/>
      <c r="O518" s="277"/>
      <c r="P518" s="277"/>
      <c r="Q518" s="278"/>
      <c r="R518" s="449" t="str">
        <f t="array" ref="R518">IFERROR(IFS(OR(P518="A1-Mewtwo", P518="A1-Pikachu", P518="A1-Charizard", P518="A1"), XLOOKUP(N518, 'Genetic Apex'!$C$2:$C889, 'Genetic Apex'!$B$2:$B889)-$B$4, P518="A1a", XLOOKUP(N518, 'Mythical Island'!$C$2:$C889, 'Mythical Island'!$B$2:$B889)-$B$4, OR(P518="A2-Dialga", P518="A2-Palkia", P518="A2"), XLOOKUP(N518, 'Space-Time Smackdown'!$C$2:$C889, 'Space-Time Smackdown'!$B$2:$B889)-$B$4))</f>
        <v/>
      </c>
      <c r="S518" s="277"/>
      <c r="T518" s="277"/>
      <c r="U518" s="277"/>
      <c r="V518" s="278"/>
      <c r="W518" s="443" t="str">
        <f t="array" ref="W518">IFERROR(IFS(OR(U518="A1-Mewtwo", U518="A1-Pikachu", U518="A1-Charizard", U518="A1"), $B$5-XLOOKUP(S518, 'Genetic Apex'!$C$2:$C889, 'Genetic Apex'!$B$2:$B889), U518="A1a", $B$5-XLOOKUP(S518, 'Mythical Island'!$C$2:$C889, 'Mythical Island'!$B$2:$B889), OR(U518="A2-Dialga", U518="A2-Palkia", U518="A2"), $B$5-XLOOKUP(S518, 'Space-Time Smackdown'!$C$2:$C889, 'Space-Time Smackdown'!$B$2:$B889)))</f>
        <v/>
      </c>
      <c r="X518" s="444" t="str">
        <f t="shared" si="3"/>
        <v/>
      </c>
      <c r="Y518" s="445" t="str">
        <f t="shared" si="4"/>
        <v/>
      </c>
      <c r="Z518" s="278"/>
      <c r="AA518" s="466"/>
      <c r="AB518" s="278"/>
      <c r="AC518" s="278"/>
      <c r="AD518" s="278"/>
      <c r="AE518" s="278"/>
      <c r="AF518" s="278"/>
      <c r="AG518" s="278" t="b">
        <f t="shared" si="5"/>
        <v>0</v>
      </c>
      <c r="AH518" s="454"/>
      <c r="AI518" s="278"/>
      <c r="AJ518" s="278"/>
      <c r="AK518" s="278"/>
      <c r="AL518" s="444" t="str">
        <f t="array" ref="AL518">IFERROR(IFS(OR(AJ518="A1-Mewtwo", AJ518="A1-Pikachu", AJ518="A1-Charizard", AJ518="A1"), XLOOKUP(AH518, 'Genetic Apex'!$C$2:$C889, 'Genetic Apex'!$B$2:$B889)-2, AJ518="A1a", XLOOKUP(AH518, 'Mythical Island'!$C$2:$C889, 'Mythical Island'!$B$2:$B889)-2, OR(AJ518="A2-Dialga", AJ518="A2-Palkia", AJ518="A2"), XLOOKUP(AH518, 'Space-Time Smackdown'!$C$2:$C889, 'Space-Time Smackdown'!$B$2:$B889)-2))</f>
        <v/>
      </c>
      <c r="AM518" s="444" t="str">
        <f t="shared" si="6"/>
        <v/>
      </c>
      <c r="AN518" s="448" t="str">
        <f t="shared" si="7"/>
        <v/>
      </c>
    </row>
    <row r="519">
      <c r="A519" s="277"/>
      <c r="B519" s="277"/>
      <c r="C519" s="441"/>
      <c r="D519" s="277"/>
      <c r="E519" s="277"/>
      <c r="F519" s="277"/>
      <c r="G519" s="277"/>
      <c r="H519" s="277" t="b">
        <f t="shared" si="1"/>
        <v>0</v>
      </c>
      <c r="I519" s="277" t="str">
        <f>IFERROR(__xludf.DUMMYFUNCTION("""COMPUTED_VALUE"""),"A2 142")</f>
        <v>A2 142</v>
      </c>
      <c r="J519" s="277" t="str">
        <f>IFERROR(__xludf.DUMMYFUNCTION("""COMPUTED_VALUE"""),"Fan Rotom")</f>
        <v>Fan Rotom</v>
      </c>
      <c r="K519" s="277" t="str">
        <f>IFERROR(__xludf.DUMMYFUNCTION("""COMPUTED_VALUE"""),"A2")</f>
        <v>A2</v>
      </c>
      <c r="L519" s="277" t="str">
        <f>IFERROR(__xludf.DUMMYFUNCTION("""COMPUTED_VALUE"""),"♢")</f>
        <v>♢</v>
      </c>
      <c r="M519" s="440" t="b">
        <f t="shared" si="2"/>
        <v>0</v>
      </c>
      <c r="N519" s="441"/>
      <c r="O519" s="277"/>
      <c r="P519" s="277"/>
      <c r="Q519" s="278"/>
      <c r="R519" s="449" t="str">
        <f t="array" ref="R519">IFERROR(IFS(OR(P519="A1-Mewtwo", P519="A1-Pikachu", P519="A1-Charizard", P519="A1"), XLOOKUP(N519, 'Genetic Apex'!$C$2:$C889, 'Genetic Apex'!$B$2:$B889)-$B$4, P519="A1a", XLOOKUP(N519, 'Mythical Island'!$C$2:$C889, 'Mythical Island'!$B$2:$B889)-$B$4, OR(P519="A2-Dialga", P519="A2-Palkia", P519="A2"), XLOOKUP(N519, 'Space-Time Smackdown'!$C$2:$C889, 'Space-Time Smackdown'!$B$2:$B889)-$B$4))</f>
        <v/>
      </c>
      <c r="S519" s="277"/>
      <c r="T519" s="277"/>
      <c r="U519" s="277"/>
      <c r="V519" s="278"/>
      <c r="W519" s="443" t="str">
        <f t="array" ref="W519">IFERROR(IFS(OR(U519="A1-Mewtwo", U519="A1-Pikachu", U519="A1-Charizard", U519="A1"), $B$5-XLOOKUP(S519, 'Genetic Apex'!$C$2:$C889, 'Genetic Apex'!$B$2:$B889), U519="A1a", $B$5-XLOOKUP(S519, 'Mythical Island'!$C$2:$C889, 'Mythical Island'!$B$2:$B889), OR(U519="A2-Dialga", U519="A2-Palkia", U519="A2"), $B$5-XLOOKUP(S519, 'Space-Time Smackdown'!$C$2:$C889, 'Space-Time Smackdown'!$B$2:$B889)))</f>
        <v/>
      </c>
      <c r="X519" s="444" t="str">
        <f t="shared" si="3"/>
        <v/>
      </c>
      <c r="Y519" s="445" t="str">
        <f t="shared" si="4"/>
        <v/>
      </c>
      <c r="Z519" s="278"/>
      <c r="AA519" s="466"/>
      <c r="AB519" s="278"/>
      <c r="AC519" s="278"/>
      <c r="AD519" s="278"/>
      <c r="AE519" s="278"/>
      <c r="AF519" s="278"/>
      <c r="AG519" s="278" t="b">
        <f t="shared" si="5"/>
        <v>0</v>
      </c>
      <c r="AH519" s="454"/>
      <c r="AI519" s="278"/>
      <c r="AJ519" s="278"/>
      <c r="AK519" s="278"/>
      <c r="AL519" s="444" t="str">
        <f t="array" ref="AL519">IFERROR(IFS(OR(AJ519="A1-Mewtwo", AJ519="A1-Pikachu", AJ519="A1-Charizard", AJ519="A1"), XLOOKUP(AH519, 'Genetic Apex'!$C$2:$C889, 'Genetic Apex'!$B$2:$B889)-2, AJ519="A1a", XLOOKUP(AH519, 'Mythical Island'!$C$2:$C889, 'Mythical Island'!$B$2:$B889)-2, OR(AJ519="A2-Dialga", AJ519="A2-Palkia", AJ519="A2"), XLOOKUP(AH519, 'Space-Time Smackdown'!$C$2:$C889, 'Space-Time Smackdown'!$B$2:$B889)-2))</f>
        <v/>
      </c>
      <c r="AM519" s="444" t="str">
        <f t="shared" si="6"/>
        <v/>
      </c>
      <c r="AN519" s="448" t="str">
        <f t="shared" si="7"/>
        <v/>
      </c>
    </row>
    <row r="520">
      <c r="A520" s="277"/>
      <c r="B520" s="277"/>
      <c r="C520" s="441"/>
      <c r="D520" s="277"/>
      <c r="E520" s="277"/>
      <c r="F520" s="277"/>
      <c r="G520" s="277"/>
      <c r="H520" s="277" t="b">
        <f t="shared" si="1"/>
        <v>0</v>
      </c>
      <c r="I520" s="277" t="str">
        <f>IFERROR(__xludf.DUMMYFUNCTION("""COMPUTED_VALUE"""),"A2 143")</f>
        <v>A2 143</v>
      </c>
      <c r="J520" s="277" t="str">
        <f>IFERROR(__xludf.DUMMYFUNCTION("""COMPUTED_VALUE"""),"Regigigas")</f>
        <v>Regigigas</v>
      </c>
      <c r="K520" s="277" t="str">
        <f>IFERROR(__xludf.DUMMYFUNCTION("""COMPUTED_VALUE"""),"A2")</f>
        <v>A2</v>
      </c>
      <c r="L520" s="277" t="str">
        <f>IFERROR(__xludf.DUMMYFUNCTION("""COMPUTED_VALUE"""),"♢♢♢")</f>
        <v>♢♢♢</v>
      </c>
      <c r="M520" s="440" t="b">
        <f t="shared" si="2"/>
        <v>0</v>
      </c>
      <c r="N520" s="441"/>
      <c r="O520" s="277"/>
      <c r="P520" s="277"/>
      <c r="Q520" s="278"/>
      <c r="R520" s="449" t="str">
        <f t="array" ref="R520">IFERROR(IFS(OR(P520="A1-Mewtwo", P520="A1-Pikachu", P520="A1-Charizard", P520="A1"), XLOOKUP(N520, 'Genetic Apex'!$C$2:$C889, 'Genetic Apex'!$B$2:$B889)-$B$4, P520="A1a", XLOOKUP(N520, 'Mythical Island'!$C$2:$C889, 'Mythical Island'!$B$2:$B889)-$B$4, OR(P520="A2-Dialga", P520="A2-Palkia", P520="A2"), XLOOKUP(N520, 'Space-Time Smackdown'!$C$2:$C889, 'Space-Time Smackdown'!$B$2:$B889)-$B$4))</f>
        <v/>
      </c>
      <c r="S520" s="277"/>
      <c r="T520" s="277"/>
      <c r="U520" s="277"/>
      <c r="V520" s="278"/>
      <c r="W520" s="443" t="str">
        <f t="array" ref="W520">IFERROR(IFS(OR(U520="A1-Mewtwo", U520="A1-Pikachu", U520="A1-Charizard", U520="A1"), $B$5-XLOOKUP(S520, 'Genetic Apex'!$C$2:$C889, 'Genetic Apex'!$B$2:$B889), U520="A1a", $B$5-XLOOKUP(S520, 'Mythical Island'!$C$2:$C889, 'Mythical Island'!$B$2:$B889), OR(U520="A2-Dialga", U520="A2-Palkia", U520="A2"), $B$5-XLOOKUP(S520, 'Space-Time Smackdown'!$C$2:$C889, 'Space-Time Smackdown'!$B$2:$B889)))</f>
        <v/>
      </c>
      <c r="X520" s="444" t="str">
        <f t="shared" si="3"/>
        <v/>
      </c>
      <c r="Y520" s="445" t="str">
        <f t="shared" si="4"/>
        <v/>
      </c>
      <c r="Z520" s="278"/>
      <c r="AA520" s="466"/>
      <c r="AB520" s="278"/>
      <c r="AC520" s="278"/>
      <c r="AD520" s="278"/>
      <c r="AE520" s="278"/>
      <c r="AF520" s="278"/>
      <c r="AG520" s="278" t="b">
        <f t="shared" si="5"/>
        <v>0</v>
      </c>
      <c r="AH520" s="454"/>
      <c r="AI520" s="278"/>
      <c r="AJ520" s="278"/>
      <c r="AK520" s="278"/>
      <c r="AL520" s="444" t="str">
        <f t="array" ref="AL520">IFERROR(IFS(OR(AJ520="A1-Mewtwo", AJ520="A1-Pikachu", AJ520="A1-Charizard", AJ520="A1"), XLOOKUP(AH520, 'Genetic Apex'!$C$2:$C889, 'Genetic Apex'!$B$2:$B889)-2, AJ520="A1a", XLOOKUP(AH520, 'Mythical Island'!$C$2:$C889, 'Mythical Island'!$B$2:$B889)-2, OR(AJ520="A2-Dialga", AJ520="A2-Palkia", AJ520="A2"), XLOOKUP(AH520, 'Space-Time Smackdown'!$C$2:$C889, 'Space-Time Smackdown'!$B$2:$B889)-2))</f>
        <v/>
      </c>
      <c r="AM520" s="444" t="str">
        <f t="shared" si="6"/>
        <v/>
      </c>
      <c r="AN520" s="448" t="str">
        <f t="shared" si="7"/>
        <v/>
      </c>
    </row>
    <row r="521">
      <c r="A521" s="277"/>
      <c r="B521" s="277"/>
      <c r="C521" s="441"/>
      <c r="D521" s="277"/>
      <c r="E521" s="277"/>
      <c r="F521" s="277"/>
      <c r="G521" s="277"/>
      <c r="H521" s="277" t="b">
        <f t="shared" si="1"/>
        <v>0</v>
      </c>
      <c r="I521" s="277" t="str">
        <f>IFERROR(__xludf.DUMMYFUNCTION("""COMPUTED_VALUE"""),"A2 144")</f>
        <v>A2 144</v>
      </c>
      <c r="J521" s="277" t="str">
        <f>IFERROR(__xludf.DUMMYFUNCTION("""COMPUTED_VALUE"""),"Skull Fossil")</f>
        <v>Skull Fossil</v>
      </c>
      <c r="K521" s="277" t="str">
        <f>IFERROR(__xludf.DUMMYFUNCTION("""COMPUTED_VALUE"""),"A2-Dialga")</f>
        <v>A2-Dialga</v>
      </c>
      <c r="L521" s="277" t="str">
        <f>IFERROR(__xludf.DUMMYFUNCTION("""COMPUTED_VALUE"""),"♢")</f>
        <v>♢</v>
      </c>
      <c r="M521" s="440" t="b">
        <f t="shared" si="2"/>
        <v>0</v>
      </c>
      <c r="N521" s="441"/>
      <c r="O521" s="277"/>
      <c r="P521" s="277"/>
      <c r="Q521" s="278"/>
      <c r="R521" s="449" t="str">
        <f t="array" ref="R521">IFERROR(IFS(OR(P521="A1-Mewtwo", P521="A1-Pikachu", P521="A1-Charizard", P521="A1"), XLOOKUP(N521, 'Genetic Apex'!$C$2:$C889, 'Genetic Apex'!$B$2:$B889)-$B$4, P521="A1a", XLOOKUP(N521, 'Mythical Island'!$C$2:$C889, 'Mythical Island'!$B$2:$B889)-$B$4, OR(P521="A2-Dialga", P521="A2-Palkia", P521="A2"), XLOOKUP(N521, 'Space-Time Smackdown'!$C$2:$C889, 'Space-Time Smackdown'!$B$2:$B889)-$B$4))</f>
        <v/>
      </c>
      <c r="S521" s="277"/>
      <c r="T521" s="277"/>
      <c r="U521" s="277"/>
      <c r="V521" s="278"/>
      <c r="W521" s="443" t="str">
        <f t="array" ref="W521">IFERROR(IFS(OR(U521="A1-Mewtwo", U521="A1-Pikachu", U521="A1-Charizard", U521="A1"), $B$5-XLOOKUP(S521, 'Genetic Apex'!$C$2:$C889, 'Genetic Apex'!$B$2:$B889), U521="A1a", $B$5-XLOOKUP(S521, 'Mythical Island'!$C$2:$C889, 'Mythical Island'!$B$2:$B889), OR(U521="A2-Dialga", U521="A2-Palkia", U521="A2"), $B$5-XLOOKUP(S521, 'Space-Time Smackdown'!$C$2:$C889, 'Space-Time Smackdown'!$B$2:$B889)))</f>
        <v/>
      </c>
      <c r="X521" s="444" t="str">
        <f t="shared" si="3"/>
        <v/>
      </c>
      <c r="Y521" s="445" t="str">
        <f t="shared" si="4"/>
        <v/>
      </c>
      <c r="Z521" s="278"/>
      <c r="AA521" s="466"/>
      <c r="AB521" s="278"/>
      <c r="AC521" s="278"/>
      <c r="AD521" s="278"/>
      <c r="AE521" s="278"/>
      <c r="AF521" s="278"/>
      <c r="AG521" s="278" t="b">
        <f t="shared" si="5"/>
        <v>0</v>
      </c>
      <c r="AH521" s="454"/>
      <c r="AI521" s="278"/>
      <c r="AJ521" s="278"/>
      <c r="AK521" s="278"/>
      <c r="AL521" s="444" t="str">
        <f t="array" ref="AL521">IFERROR(IFS(OR(AJ521="A1-Mewtwo", AJ521="A1-Pikachu", AJ521="A1-Charizard", AJ521="A1"), XLOOKUP(AH521, 'Genetic Apex'!$C$2:$C889, 'Genetic Apex'!$B$2:$B889)-2, AJ521="A1a", XLOOKUP(AH521, 'Mythical Island'!$C$2:$C889, 'Mythical Island'!$B$2:$B889)-2, OR(AJ521="A2-Dialga", AJ521="A2-Palkia", AJ521="A2"), XLOOKUP(AH521, 'Space-Time Smackdown'!$C$2:$C889, 'Space-Time Smackdown'!$B$2:$B889)-2))</f>
        <v/>
      </c>
      <c r="AM521" s="444" t="str">
        <f t="shared" si="6"/>
        <v/>
      </c>
      <c r="AN521" s="448" t="str">
        <f t="shared" si="7"/>
        <v/>
      </c>
    </row>
    <row r="522">
      <c r="A522" s="277"/>
      <c r="B522" s="277"/>
      <c r="C522" s="441"/>
      <c r="D522" s="277"/>
      <c r="E522" s="277"/>
      <c r="F522" s="277"/>
      <c r="G522" s="277"/>
      <c r="H522" s="277" t="b">
        <f t="shared" si="1"/>
        <v>0</v>
      </c>
      <c r="I522" s="277" t="str">
        <f>IFERROR(__xludf.DUMMYFUNCTION("""COMPUTED_VALUE"""),"A2 145")</f>
        <v>A2 145</v>
      </c>
      <c r="J522" s="277" t="str">
        <f>IFERROR(__xludf.DUMMYFUNCTION("""COMPUTED_VALUE"""),"Armor Fossil")</f>
        <v>Armor Fossil</v>
      </c>
      <c r="K522" s="277" t="str">
        <f>IFERROR(__xludf.DUMMYFUNCTION("""COMPUTED_VALUE"""),"A2-Palkia")</f>
        <v>A2-Palkia</v>
      </c>
      <c r="L522" s="277" t="str">
        <f>IFERROR(__xludf.DUMMYFUNCTION("""COMPUTED_VALUE"""),"♢")</f>
        <v>♢</v>
      </c>
      <c r="M522" s="440" t="b">
        <f t="shared" si="2"/>
        <v>0</v>
      </c>
      <c r="N522" s="441"/>
      <c r="O522" s="277"/>
      <c r="P522" s="277"/>
      <c r="Q522" s="278"/>
      <c r="R522" s="449" t="str">
        <f t="array" ref="R522">IFERROR(IFS(OR(P522="A1-Mewtwo", P522="A1-Pikachu", P522="A1-Charizard", P522="A1"), XLOOKUP(N522, 'Genetic Apex'!$C$2:$C889, 'Genetic Apex'!$B$2:$B889)-$B$4, P522="A1a", XLOOKUP(N522, 'Mythical Island'!$C$2:$C889, 'Mythical Island'!$B$2:$B889)-$B$4, OR(P522="A2-Dialga", P522="A2-Palkia", P522="A2"), XLOOKUP(N522, 'Space-Time Smackdown'!$C$2:$C889, 'Space-Time Smackdown'!$B$2:$B889)-$B$4))</f>
        <v/>
      </c>
      <c r="S522" s="277"/>
      <c r="T522" s="277"/>
      <c r="U522" s="277"/>
      <c r="V522" s="278"/>
      <c r="W522" s="443" t="str">
        <f t="array" ref="W522">IFERROR(IFS(OR(U522="A1-Mewtwo", U522="A1-Pikachu", U522="A1-Charizard", U522="A1"), $B$5-XLOOKUP(S522, 'Genetic Apex'!$C$2:$C889, 'Genetic Apex'!$B$2:$B889), U522="A1a", $B$5-XLOOKUP(S522, 'Mythical Island'!$C$2:$C889, 'Mythical Island'!$B$2:$B889), OR(U522="A2-Dialga", U522="A2-Palkia", U522="A2"), $B$5-XLOOKUP(S522, 'Space-Time Smackdown'!$C$2:$C889, 'Space-Time Smackdown'!$B$2:$B889)))</f>
        <v/>
      </c>
      <c r="X522" s="444" t="str">
        <f t="shared" si="3"/>
        <v/>
      </c>
      <c r="Y522" s="445" t="str">
        <f t="shared" si="4"/>
        <v/>
      </c>
      <c r="Z522" s="278"/>
      <c r="AA522" s="466"/>
      <c r="AB522" s="278"/>
      <c r="AC522" s="278"/>
      <c r="AD522" s="278"/>
      <c r="AE522" s="278"/>
      <c r="AF522" s="278"/>
      <c r="AG522" s="278" t="b">
        <f t="shared" si="5"/>
        <v>0</v>
      </c>
      <c r="AH522" s="454"/>
      <c r="AI522" s="278"/>
      <c r="AJ522" s="278"/>
      <c r="AK522" s="278"/>
      <c r="AL522" s="444" t="str">
        <f t="array" ref="AL522">IFERROR(IFS(OR(AJ522="A1-Mewtwo", AJ522="A1-Pikachu", AJ522="A1-Charizard", AJ522="A1"), XLOOKUP(AH522, 'Genetic Apex'!$C$2:$C889, 'Genetic Apex'!$B$2:$B889)-2, AJ522="A1a", XLOOKUP(AH522, 'Mythical Island'!$C$2:$C889, 'Mythical Island'!$B$2:$B889)-2, OR(AJ522="A2-Dialga", AJ522="A2-Palkia", AJ522="A2"), XLOOKUP(AH522, 'Space-Time Smackdown'!$C$2:$C889, 'Space-Time Smackdown'!$B$2:$B889)-2))</f>
        <v/>
      </c>
      <c r="AM522" s="444" t="str">
        <f t="shared" si="6"/>
        <v/>
      </c>
      <c r="AN522" s="448" t="str">
        <f t="shared" si="7"/>
        <v/>
      </c>
    </row>
    <row r="523">
      <c r="A523" s="277"/>
      <c r="B523" s="277"/>
      <c r="C523" s="441"/>
      <c r="D523" s="277"/>
      <c r="E523" s="277"/>
      <c r="F523" s="277"/>
      <c r="G523" s="277"/>
      <c r="H523" s="277" t="b">
        <f t="shared" si="1"/>
        <v>0</v>
      </c>
      <c r="I523" s="277" t="str">
        <f>IFERROR(__xludf.DUMMYFUNCTION("""COMPUTED_VALUE"""),"A2 146")</f>
        <v>A2 146</v>
      </c>
      <c r="J523" s="277" t="str">
        <f>IFERROR(__xludf.DUMMYFUNCTION("""COMPUTED_VALUE"""),"Pokemon Communication")</f>
        <v>Pokemon Communication</v>
      </c>
      <c r="K523" s="277" t="str">
        <f>IFERROR(__xludf.DUMMYFUNCTION("""COMPUTED_VALUE"""),"A2-Dialga")</f>
        <v>A2-Dialga</v>
      </c>
      <c r="L523" s="277" t="str">
        <f>IFERROR(__xludf.DUMMYFUNCTION("""COMPUTED_VALUE"""),"♢♢")</f>
        <v>♢♢</v>
      </c>
      <c r="M523" s="440" t="b">
        <f t="shared" si="2"/>
        <v>0</v>
      </c>
      <c r="N523" s="441"/>
      <c r="O523" s="277"/>
      <c r="P523" s="277"/>
      <c r="Q523" s="278"/>
      <c r="R523" s="449" t="str">
        <f t="array" ref="R523">IFERROR(IFS(OR(P523="A1-Mewtwo", P523="A1-Pikachu", P523="A1-Charizard", P523="A1"), XLOOKUP(N523, 'Genetic Apex'!$C$2:$C889, 'Genetic Apex'!$B$2:$B889)-$B$4, P523="A1a", XLOOKUP(N523, 'Mythical Island'!$C$2:$C889, 'Mythical Island'!$B$2:$B889)-$B$4, OR(P523="A2-Dialga", P523="A2-Palkia", P523="A2"), XLOOKUP(N523, 'Space-Time Smackdown'!$C$2:$C889, 'Space-Time Smackdown'!$B$2:$B889)-$B$4))</f>
        <v/>
      </c>
      <c r="S523" s="277"/>
      <c r="T523" s="277"/>
      <c r="U523" s="277"/>
      <c r="V523" s="278"/>
      <c r="W523" s="443" t="str">
        <f t="array" ref="W523">IFERROR(IFS(OR(U523="A1-Mewtwo", U523="A1-Pikachu", U523="A1-Charizard", U523="A1"), $B$5-XLOOKUP(S523, 'Genetic Apex'!$C$2:$C889, 'Genetic Apex'!$B$2:$B889), U523="A1a", $B$5-XLOOKUP(S523, 'Mythical Island'!$C$2:$C889, 'Mythical Island'!$B$2:$B889), OR(U523="A2-Dialga", U523="A2-Palkia", U523="A2"), $B$5-XLOOKUP(S523, 'Space-Time Smackdown'!$C$2:$C889, 'Space-Time Smackdown'!$B$2:$B889)))</f>
        <v/>
      </c>
      <c r="X523" s="444" t="str">
        <f t="shared" si="3"/>
        <v/>
      </c>
      <c r="Y523" s="445" t="str">
        <f t="shared" si="4"/>
        <v/>
      </c>
      <c r="Z523" s="278"/>
      <c r="AA523" s="466"/>
      <c r="AB523" s="278"/>
      <c r="AC523" s="278"/>
      <c r="AD523" s="278"/>
      <c r="AE523" s="278"/>
      <c r="AF523" s="278"/>
      <c r="AG523" s="278" t="b">
        <f t="shared" si="5"/>
        <v>0</v>
      </c>
      <c r="AH523" s="454"/>
      <c r="AI523" s="278"/>
      <c r="AJ523" s="278"/>
      <c r="AK523" s="278"/>
      <c r="AL523" s="444" t="str">
        <f t="array" ref="AL523">IFERROR(IFS(OR(AJ523="A1-Mewtwo", AJ523="A1-Pikachu", AJ523="A1-Charizard", AJ523="A1"), XLOOKUP(AH523, 'Genetic Apex'!$C$2:$C889, 'Genetic Apex'!$B$2:$B889)-2, AJ523="A1a", XLOOKUP(AH523, 'Mythical Island'!$C$2:$C889, 'Mythical Island'!$B$2:$B889)-2, OR(AJ523="A2-Dialga", AJ523="A2-Palkia", AJ523="A2"), XLOOKUP(AH523, 'Space-Time Smackdown'!$C$2:$C889, 'Space-Time Smackdown'!$B$2:$B889)-2))</f>
        <v/>
      </c>
      <c r="AM523" s="444" t="str">
        <f t="shared" si="6"/>
        <v/>
      </c>
      <c r="AN523" s="448" t="str">
        <f t="shared" si="7"/>
        <v/>
      </c>
    </row>
    <row r="524">
      <c r="A524" s="277"/>
      <c r="B524" s="277"/>
      <c r="C524" s="441"/>
      <c r="D524" s="277"/>
      <c r="E524" s="277"/>
      <c r="F524" s="277"/>
      <c r="G524" s="277"/>
      <c r="H524" s="277" t="b">
        <f t="shared" si="1"/>
        <v>0</v>
      </c>
      <c r="I524" s="277" t="str">
        <f>IFERROR(__xludf.DUMMYFUNCTION("""COMPUTED_VALUE"""),"A2 147")</f>
        <v>A2 147</v>
      </c>
      <c r="J524" s="277" t="str">
        <f>IFERROR(__xludf.DUMMYFUNCTION("""COMPUTED_VALUE"""),"Giant Cape")</f>
        <v>Giant Cape</v>
      </c>
      <c r="K524" s="277" t="str">
        <f>IFERROR(__xludf.DUMMYFUNCTION("""COMPUTED_VALUE"""),"A2-Dialga")</f>
        <v>A2-Dialga</v>
      </c>
      <c r="L524" s="277" t="str">
        <f>IFERROR(__xludf.DUMMYFUNCTION("""COMPUTED_VALUE"""),"♢♢")</f>
        <v>♢♢</v>
      </c>
      <c r="M524" s="440" t="b">
        <f t="shared" si="2"/>
        <v>0</v>
      </c>
      <c r="N524" s="441"/>
      <c r="O524" s="277"/>
      <c r="P524" s="277"/>
      <c r="Q524" s="278"/>
      <c r="R524" s="449" t="str">
        <f t="array" ref="R524">IFERROR(IFS(OR(P524="A1-Mewtwo", P524="A1-Pikachu", P524="A1-Charizard", P524="A1"), XLOOKUP(N524, 'Genetic Apex'!$C$2:$C889, 'Genetic Apex'!$B$2:$B889)-$B$4, P524="A1a", XLOOKUP(N524, 'Mythical Island'!$C$2:$C889, 'Mythical Island'!$B$2:$B889)-$B$4, OR(P524="A2-Dialga", P524="A2-Palkia", P524="A2"), XLOOKUP(N524, 'Space-Time Smackdown'!$C$2:$C889, 'Space-Time Smackdown'!$B$2:$B889)-$B$4))</f>
        <v/>
      </c>
      <c r="S524" s="277"/>
      <c r="T524" s="277"/>
      <c r="U524" s="277"/>
      <c r="V524" s="278"/>
      <c r="W524" s="443" t="str">
        <f t="array" ref="W524">IFERROR(IFS(OR(U524="A1-Mewtwo", U524="A1-Pikachu", U524="A1-Charizard", U524="A1"), $B$5-XLOOKUP(S524, 'Genetic Apex'!$C$2:$C889, 'Genetic Apex'!$B$2:$B889), U524="A1a", $B$5-XLOOKUP(S524, 'Mythical Island'!$C$2:$C889, 'Mythical Island'!$B$2:$B889), OR(U524="A2-Dialga", U524="A2-Palkia", U524="A2"), $B$5-XLOOKUP(S524, 'Space-Time Smackdown'!$C$2:$C889, 'Space-Time Smackdown'!$B$2:$B889)))</f>
        <v/>
      </c>
      <c r="X524" s="444" t="str">
        <f t="shared" si="3"/>
        <v/>
      </c>
      <c r="Y524" s="445" t="str">
        <f t="shared" si="4"/>
        <v/>
      </c>
      <c r="Z524" s="278"/>
      <c r="AA524" s="466"/>
      <c r="AB524" s="278"/>
      <c r="AC524" s="278"/>
      <c r="AD524" s="278"/>
      <c r="AE524" s="278"/>
      <c r="AF524" s="278"/>
      <c r="AG524" s="278" t="b">
        <f t="shared" si="5"/>
        <v>0</v>
      </c>
      <c r="AH524" s="454"/>
      <c r="AI524" s="278"/>
      <c r="AJ524" s="278"/>
      <c r="AK524" s="278"/>
      <c r="AL524" s="444" t="str">
        <f t="array" ref="AL524">IFERROR(IFS(OR(AJ524="A1-Mewtwo", AJ524="A1-Pikachu", AJ524="A1-Charizard", AJ524="A1"), XLOOKUP(AH524, 'Genetic Apex'!$C$2:$C889, 'Genetic Apex'!$B$2:$B889)-2, AJ524="A1a", XLOOKUP(AH524, 'Mythical Island'!$C$2:$C889, 'Mythical Island'!$B$2:$B889)-2, OR(AJ524="A2-Dialga", AJ524="A2-Palkia", AJ524="A2"), XLOOKUP(AH524, 'Space-Time Smackdown'!$C$2:$C889, 'Space-Time Smackdown'!$B$2:$B889)-2))</f>
        <v/>
      </c>
      <c r="AM524" s="444" t="str">
        <f t="shared" si="6"/>
        <v/>
      </c>
      <c r="AN524" s="448" t="str">
        <f t="shared" si="7"/>
        <v/>
      </c>
    </row>
    <row r="525">
      <c r="A525" s="277"/>
      <c r="B525" s="277"/>
      <c r="C525" s="441"/>
      <c r="D525" s="277"/>
      <c r="E525" s="277"/>
      <c r="F525" s="277"/>
      <c r="G525" s="277"/>
      <c r="H525" s="277" t="b">
        <f t="shared" si="1"/>
        <v>0</v>
      </c>
      <c r="I525" s="277" t="str">
        <f>IFERROR(__xludf.DUMMYFUNCTION("""COMPUTED_VALUE"""),"A2 148")</f>
        <v>A2 148</v>
      </c>
      <c r="J525" s="277" t="str">
        <f>IFERROR(__xludf.DUMMYFUNCTION("""COMPUTED_VALUE"""),"Rocky Helmet")</f>
        <v>Rocky Helmet</v>
      </c>
      <c r="K525" s="277" t="str">
        <f>IFERROR(__xludf.DUMMYFUNCTION("""COMPUTED_VALUE"""),"A2-Palkia")</f>
        <v>A2-Palkia</v>
      </c>
      <c r="L525" s="277" t="str">
        <f>IFERROR(__xludf.DUMMYFUNCTION("""COMPUTED_VALUE"""),"♢♢")</f>
        <v>♢♢</v>
      </c>
      <c r="M525" s="440" t="b">
        <f t="shared" si="2"/>
        <v>0</v>
      </c>
      <c r="N525" s="441"/>
      <c r="O525" s="277"/>
      <c r="P525" s="277"/>
      <c r="Q525" s="278"/>
      <c r="R525" s="449" t="str">
        <f t="array" ref="R525">IFERROR(IFS(OR(P525="A1-Mewtwo", P525="A1-Pikachu", P525="A1-Charizard", P525="A1"), XLOOKUP(N525, 'Genetic Apex'!$C$2:$C889, 'Genetic Apex'!$B$2:$B889)-$B$4, P525="A1a", XLOOKUP(N525, 'Mythical Island'!$C$2:$C889, 'Mythical Island'!$B$2:$B889)-$B$4, OR(P525="A2-Dialga", P525="A2-Palkia", P525="A2"), XLOOKUP(N525, 'Space-Time Smackdown'!$C$2:$C889, 'Space-Time Smackdown'!$B$2:$B889)-$B$4))</f>
        <v/>
      </c>
      <c r="S525" s="277"/>
      <c r="T525" s="277"/>
      <c r="U525" s="277"/>
      <c r="V525" s="278"/>
      <c r="W525" s="443" t="str">
        <f t="array" ref="W525">IFERROR(IFS(OR(U525="A1-Mewtwo", U525="A1-Pikachu", U525="A1-Charizard", U525="A1"), $B$5-XLOOKUP(S525, 'Genetic Apex'!$C$2:$C889, 'Genetic Apex'!$B$2:$B889), U525="A1a", $B$5-XLOOKUP(S525, 'Mythical Island'!$C$2:$C889, 'Mythical Island'!$B$2:$B889), OR(U525="A2-Dialga", U525="A2-Palkia", U525="A2"), $B$5-XLOOKUP(S525, 'Space-Time Smackdown'!$C$2:$C889, 'Space-Time Smackdown'!$B$2:$B889)))</f>
        <v/>
      </c>
      <c r="X525" s="444" t="str">
        <f t="shared" si="3"/>
        <v/>
      </c>
      <c r="Y525" s="445" t="str">
        <f t="shared" si="4"/>
        <v/>
      </c>
      <c r="Z525" s="278"/>
      <c r="AA525" s="466"/>
      <c r="AB525" s="278"/>
      <c r="AC525" s="278"/>
      <c r="AD525" s="278"/>
      <c r="AE525" s="278"/>
      <c r="AF525" s="278"/>
      <c r="AG525" s="278" t="b">
        <f t="shared" si="5"/>
        <v>0</v>
      </c>
      <c r="AH525" s="454"/>
      <c r="AI525" s="278"/>
      <c r="AJ525" s="278"/>
      <c r="AK525" s="278"/>
      <c r="AL525" s="444" t="str">
        <f t="array" ref="AL525">IFERROR(IFS(OR(AJ525="A1-Mewtwo", AJ525="A1-Pikachu", AJ525="A1-Charizard", AJ525="A1"), XLOOKUP(AH525, 'Genetic Apex'!$C$2:$C889, 'Genetic Apex'!$B$2:$B889)-2, AJ525="A1a", XLOOKUP(AH525, 'Mythical Island'!$C$2:$C889, 'Mythical Island'!$B$2:$B889)-2, OR(AJ525="A2-Dialga", AJ525="A2-Palkia", AJ525="A2"), XLOOKUP(AH525, 'Space-Time Smackdown'!$C$2:$C889, 'Space-Time Smackdown'!$B$2:$B889)-2))</f>
        <v/>
      </c>
      <c r="AM525" s="444" t="str">
        <f t="shared" si="6"/>
        <v/>
      </c>
      <c r="AN525" s="448" t="str">
        <f t="shared" si="7"/>
        <v/>
      </c>
    </row>
    <row r="526">
      <c r="A526" s="277"/>
      <c r="B526" s="277"/>
      <c r="C526" s="441"/>
      <c r="D526" s="277"/>
      <c r="E526" s="277"/>
      <c r="F526" s="277"/>
      <c r="G526" s="277"/>
      <c r="H526" s="277" t="b">
        <f t="shared" si="1"/>
        <v>0</v>
      </c>
      <c r="I526" s="277" t="str">
        <f>IFERROR(__xludf.DUMMYFUNCTION("""COMPUTED_VALUE"""),"A2 149")</f>
        <v>A2 149</v>
      </c>
      <c r="J526" s="277" t="str">
        <f>IFERROR(__xludf.DUMMYFUNCTION("""COMPUTED_VALUE"""),"Lum Berry")</f>
        <v>Lum Berry</v>
      </c>
      <c r="K526" s="277" t="str">
        <f>IFERROR(__xludf.DUMMYFUNCTION("""COMPUTED_VALUE"""),"A2-Palkia")</f>
        <v>A2-Palkia</v>
      </c>
      <c r="L526" s="277" t="str">
        <f>IFERROR(__xludf.DUMMYFUNCTION("""COMPUTED_VALUE"""),"♢♢")</f>
        <v>♢♢</v>
      </c>
      <c r="M526" s="440" t="b">
        <f t="shared" si="2"/>
        <v>0</v>
      </c>
      <c r="N526" s="441"/>
      <c r="O526" s="277"/>
      <c r="P526" s="277"/>
      <c r="Q526" s="278"/>
      <c r="R526" s="449" t="str">
        <f t="array" ref="R526">IFERROR(IFS(OR(P526="A1-Mewtwo", P526="A1-Pikachu", P526="A1-Charizard", P526="A1"), XLOOKUP(N526, 'Genetic Apex'!$C$2:$C889, 'Genetic Apex'!$B$2:$B889)-$B$4, P526="A1a", XLOOKUP(N526, 'Mythical Island'!$C$2:$C889, 'Mythical Island'!$B$2:$B889)-$B$4, OR(P526="A2-Dialga", P526="A2-Palkia", P526="A2"), XLOOKUP(N526, 'Space-Time Smackdown'!$C$2:$C889, 'Space-Time Smackdown'!$B$2:$B889)-$B$4))</f>
        <v/>
      </c>
      <c r="S526" s="277"/>
      <c r="T526" s="277"/>
      <c r="U526" s="277"/>
      <c r="V526" s="278"/>
      <c r="W526" s="443" t="str">
        <f t="array" ref="W526">IFERROR(IFS(OR(U526="A1-Mewtwo", U526="A1-Pikachu", U526="A1-Charizard", U526="A1"), $B$5-XLOOKUP(S526, 'Genetic Apex'!$C$2:$C889, 'Genetic Apex'!$B$2:$B889), U526="A1a", $B$5-XLOOKUP(S526, 'Mythical Island'!$C$2:$C889, 'Mythical Island'!$B$2:$B889), OR(U526="A2-Dialga", U526="A2-Palkia", U526="A2"), $B$5-XLOOKUP(S526, 'Space-Time Smackdown'!$C$2:$C889, 'Space-Time Smackdown'!$B$2:$B889)))</f>
        <v/>
      </c>
      <c r="X526" s="444" t="str">
        <f t="shared" si="3"/>
        <v/>
      </c>
      <c r="Y526" s="445" t="str">
        <f t="shared" si="4"/>
        <v/>
      </c>
      <c r="Z526" s="278"/>
      <c r="AA526" s="466"/>
      <c r="AB526" s="278"/>
      <c r="AC526" s="278"/>
      <c r="AD526" s="278"/>
      <c r="AE526" s="278"/>
      <c r="AF526" s="278"/>
      <c r="AG526" s="278" t="b">
        <f t="shared" si="5"/>
        <v>0</v>
      </c>
      <c r="AH526" s="454"/>
      <c r="AI526" s="278"/>
      <c r="AJ526" s="278"/>
      <c r="AK526" s="278"/>
      <c r="AL526" s="444" t="str">
        <f t="array" ref="AL526">IFERROR(IFS(OR(AJ526="A1-Mewtwo", AJ526="A1-Pikachu", AJ526="A1-Charizard", AJ526="A1"), XLOOKUP(AH526, 'Genetic Apex'!$C$2:$C889, 'Genetic Apex'!$B$2:$B889)-2, AJ526="A1a", XLOOKUP(AH526, 'Mythical Island'!$C$2:$C889, 'Mythical Island'!$B$2:$B889)-2, OR(AJ526="A2-Dialga", AJ526="A2-Palkia", AJ526="A2"), XLOOKUP(AH526, 'Space-Time Smackdown'!$C$2:$C889, 'Space-Time Smackdown'!$B$2:$B889)-2))</f>
        <v/>
      </c>
      <c r="AM526" s="444" t="str">
        <f t="shared" si="6"/>
        <v/>
      </c>
      <c r="AN526" s="448" t="str">
        <f t="shared" si="7"/>
        <v/>
      </c>
    </row>
    <row r="527">
      <c r="A527" s="277"/>
      <c r="B527" s="277"/>
      <c r="C527" s="441"/>
      <c r="D527" s="277"/>
      <c r="E527" s="277"/>
      <c r="F527" s="277"/>
      <c r="G527" s="277"/>
      <c r="H527" s="277" t="b">
        <f t="shared" si="1"/>
        <v>0</v>
      </c>
      <c r="I527" s="277" t="str">
        <f>IFERROR(__xludf.DUMMYFUNCTION("""COMPUTED_VALUE"""),"A2 150")</f>
        <v>A2 150</v>
      </c>
      <c r="J527" s="277" t="str">
        <f>IFERROR(__xludf.DUMMYFUNCTION("""COMPUTED_VALUE"""),"Cyrus")</f>
        <v>Cyrus</v>
      </c>
      <c r="K527" s="277" t="str">
        <f>IFERROR(__xludf.DUMMYFUNCTION("""COMPUTED_VALUE"""),"A2-Palkia")</f>
        <v>A2-Palkia</v>
      </c>
      <c r="L527" s="277" t="str">
        <f>IFERROR(__xludf.DUMMYFUNCTION("""COMPUTED_VALUE"""),"♢♢")</f>
        <v>♢♢</v>
      </c>
      <c r="M527" s="440" t="b">
        <f t="shared" si="2"/>
        <v>0</v>
      </c>
      <c r="N527" s="441"/>
      <c r="O527" s="277"/>
      <c r="P527" s="277"/>
      <c r="Q527" s="278"/>
      <c r="R527" s="449" t="str">
        <f t="array" ref="R527">IFERROR(IFS(OR(P527="A1-Mewtwo", P527="A1-Pikachu", P527="A1-Charizard", P527="A1"), XLOOKUP(N527, 'Genetic Apex'!$C$2:$C889, 'Genetic Apex'!$B$2:$B889)-$B$4, P527="A1a", XLOOKUP(N527, 'Mythical Island'!$C$2:$C889, 'Mythical Island'!$B$2:$B889)-$B$4, OR(P527="A2-Dialga", P527="A2-Palkia", P527="A2"), XLOOKUP(N527, 'Space-Time Smackdown'!$C$2:$C889, 'Space-Time Smackdown'!$B$2:$B889)-$B$4))</f>
        <v/>
      </c>
      <c r="S527" s="277"/>
      <c r="T527" s="277"/>
      <c r="U527" s="277"/>
      <c r="V527" s="278"/>
      <c r="W527" s="443" t="str">
        <f t="array" ref="W527">IFERROR(IFS(OR(U527="A1-Mewtwo", U527="A1-Pikachu", U527="A1-Charizard", U527="A1"), $B$5-XLOOKUP(S527, 'Genetic Apex'!$C$2:$C889, 'Genetic Apex'!$B$2:$B889), U527="A1a", $B$5-XLOOKUP(S527, 'Mythical Island'!$C$2:$C889, 'Mythical Island'!$B$2:$B889), OR(U527="A2-Dialga", U527="A2-Palkia", U527="A2"), $B$5-XLOOKUP(S527, 'Space-Time Smackdown'!$C$2:$C889, 'Space-Time Smackdown'!$B$2:$B889)))</f>
        <v/>
      </c>
      <c r="X527" s="444" t="str">
        <f t="shared" si="3"/>
        <v/>
      </c>
      <c r="Y527" s="445" t="str">
        <f t="shared" si="4"/>
        <v/>
      </c>
      <c r="Z527" s="278"/>
      <c r="AA527" s="466"/>
      <c r="AB527" s="278"/>
      <c r="AC527" s="278"/>
      <c r="AD527" s="278"/>
      <c r="AE527" s="278"/>
      <c r="AF527" s="278"/>
      <c r="AG527" s="278" t="b">
        <f t="shared" si="5"/>
        <v>0</v>
      </c>
      <c r="AH527" s="454"/>
      <c r="AI527" s="278"/>
      <c r="AJ527" s="278"/>
      <c r="AK527" s="278"/>
      <c r="AL527" s="444" t="str">
        <f t="array" ref="AL527">IFERROR(IFS(OR(AJ527="A1-Mewtwo", AJ527="A1-Pikachu", AJ527="A1-Charizard", AJ527="A1"), XLOOKUP(AH527, 'Genetic Apex'!$C$2:$C889, 'Genetic Apex'!$B$2:$B889)-2, AJ527="A1a", XLOOKUP(AH527, 'Mythical Island'!$C$2:$C889, 'Mythical Island'!$B$2:$B889)-2, OR(AJ527="A2-Dialga", AJ527="A2-Palkia", AJ527="A2"), XLOOKUP(AH527, 'Space-Time Smackdown'!$C$2:$C889, 'Space-Time Smackdown'!$B$2:$B889)-2))</f>
        <v/>
      </c>
      <c r="AM527" s="444" t="str">
        <f t="shared" si="6"/>
        <v/>
      </c>
      <c r="AN527" s="448" t="str">
        <f t="shared" si="7"/>
        <v/>
      </c>
    </row>
    <row r="528">
      <c r="A528" s="277"/>
      <c r="B528" s="277"/>
      <c r="C528" s="441"/>
      <c r="D528" s="277"/>
      <c r="E528" s="277"/>
      <c r="F528" s="277"/>
      <c r="G528" s="277"/>
      <c r="H528" s="277" t="b">
        <f t="shared" si="1"/>
        <v>0</v>
      </c>
      <c r="I528" s="277" t="str">
        <f>IFERROR(__xludf.DUMMYFUNCTION("""COMPUTED_VALUE"""),"A2 151")</f>
        <v>A2 151</v>
      </c>
      <c r="J528" s="277" t="str">
        <f>IFERROR(__xludf.DUMMYFUNCTION("""COMPUTED_VALUE"""),"Team Galactic Grunt")</f>
        <v>Team Galactic Grunt</v>
      </c>
      <c r="K528" s="277" t="str">
        <f>IFERROR(__xludf.DUMMYFUNCTION("""COMPUTED_VALUE"""),"A2-Dialga")</f>
        <v>A2-Dialga</v>
      </c>
      <c r="L528" s="277" t="str">
        <f>IFERROR(__xludf.DUMMYFUNCTION("""COMPUTED_VALUE"""),"♢♢")</f>
        <v>♢♢</v>
      </c>
      <c r="M528" s="440" t="b">
        <f t="shared" si="2"/>
        <v>0</v>
      </c>
      <c r="N528" s="441"/>
      <c r="O528" s="277"/>
      <c r="P528" s="277"/>
      <c r="Q528" s="278"/>
      <c r="R528" s="449" t="str">
        <f t="array" ref="R528">IFERROR(IFS(OR(P528="A1-Mewtwo", P528="A1-Pikachu", P528="A1-Charizard", P528="A1"), XLOOKUP(N528, 'Genetic Apex'!$C$2:$C889, 'Genetic Apex'!$B$2:$B889)-$B$4, P528="A1a", XLOOKUP(N528, 'Mythical Island'!$C$2:$C889, 'Mythical Island'!$B$2:$B889)-$B$4, OR(P528="A2-Dialga", P528="A2-Palkia", P528="A2"), XLOOKUP(N528, 'Space-Time Smackdown'!$C$2:$C889, 'Space-Time Smackdown'!$B$2:$B889)-$B$4))</f>
        <v/>
      </c>
      <c r="S528" s="277"/>
      <c r="T528" s="277"/>
      <c r="U528" s="277"/>
      <c r="V528" s="278"/>
      <c r="W528" s="443" t="str">
        <f t="array" ref="W528">IFERROR(IFS(OR(U528="A1-Mewtwo", U528="A1-Pikachu", U528="A1-Charizard", U528="A1"), $B$5-XLOOKUP(S528, 'Genetic Apex'!$C$2:$C889, 'Genetic Apex'!$B$2:$B889), U528="A1a", $B$5-XLOOKUP(S528, 'Mythical Island'!$C$2:$C889, 'Mythical Island'!$B$2:$B889), OR(U528="A2-Dialga", U528="A2-Palkia", U528="A2"), $B$5-XLOOKUP(S528, 'Space-Time Smackdown'!$C$2:$C889, 'Space-Time Smackdown'!$B$2:$B889)))</f>
        <v/>
      </c>
      <c r="X528" s="444" t="str">
        <f t="shared" si="3"/>
        <v/>
      </c>
      <c r="Y528" s="445" t="str">
        <f t="shared" si="4"/>
        <v/>
      </c>
      <c r="Z528" s="278"/>
      <c r="AA528" s="466"/>
      <c r="AB528" s="278"/>
      <c r="AC528" s="278"/>
      <c r="AD528" s="278"/>
      <c r="AE528" s="278"/>
      <c r="AF528" s="278"/>
      <c r="AG528" s="278" t="b">
        <f t="shared" si="5"/>
        <v>0</v>
      </c>
      <c r="AH528" s="454"/>
      <c r="AI528" s="278"/>
      <c r="AJ528" s="278"/>
      <c r="AK528" s="278"/>
      <c r="AL528" s="444" t="str">
        <f t="array" ref="AL528">IFERROR(IFS(OR(AJ528="A1-Mewtwo", AJ528="A1-Pikachu", AJ528="A1-Charizard", AJ528="A1"), XLOOKUP(AH528, 'Genetic Apex'!$C$2:$C889, 'Genetic Apex'!$B$2:$B889)-2, AJ528="A1a", XLOOKUP(AH528, 'Mythical Island'!$C$2:$C889, 'Mythical Island'!$B$2:$B889)-2, OR(AJ528="A2-Dialga", AJ528="A2-Palkia", AJ528="A2"), XLOOKUP(AH528, 'Space-Time Smackdown'!$C$2:$C889, 'Space-Time Smackdown'!$B$2:$B889)-2))</f>
        <v/>
      </c>
      <c r="AM528" s="444" t="str">
        <f t="shared" si="6"/>
        <v/>
      </c>
      <c r="AN528" s="448" t="str">
        <f t="shared" si="7"/>
        <v/>
      </c>
    </row>
    <row r="529">
      <c r="A529" s="277"/>
      <c r="B529" s="277"/>
      <c r="C529" s="441"/>
      <c r="D529" s="277"/>
      <c r="E529" s="277"/>
      <c r="F529" s="277"/>
      <c r="G529" s="277"/>
      <c r="H529" s="277" t="b">
        <f t="shared" si="1"/>
        <v>0</v>
      </c>
      <c r="I529" s="277" t="str">
        <f>IFERROR(__xludf.DUMMYFUNCTION("""COMPUTED_VALUE"""),"A2 152")</f>
        <v>A2 152</v>
      </c>
      <c r="J529" s="277" t="str">
        <f>IFERROR(__xludf.DUMMYFUNCTION("""COMPUTED_VALUE"""),"Cynthia")</f>
        <v>Cynthia</v>
      </c>
      <c r="K529" s="277" t="str">
        <f>IFERROR(__xludf.DUMMYFUNCTION("""COMPUTED_VALUE"""),"A2-Palkia")</f>
        <v>A2-Palkia</v>
      </c>
      <c r="L529" s="277" t="str">
        <f>IFERROR(__xludf.DUMMYFUNCTION("""COMPUTED_VALUE"""),"♢♢")</f>
        <v>♢♢</v>
      </c>
      <c r="M529" s="440" t="b">
        <f t="shared" si="2"/>
        <v>0</v>
      </c>
      <c r="N529" s="441"/>
      <c r="O529" s="277"/>
      <c r="P529" s="277"/>
      <c r="Q529" s="278"/>
      <c r="R529" s="449" t="str">
        <f t="array" ref="R529">IFERROR(IFS(OR(P529="A1-Mewtwo", P529="A1-Pikachu", P529="A1-Charizard", P529="A1"), XLOOKUP(N529, 'Genetic Apex'!$C$2:$C889, 'Genetic Apex'!$B$2:$B889)-$B$4, P529="A1a", XLOOKUP(N529, 'Mythical Island'!$C$2:$C889, 'Mythical Island'!$B$2:$B889)-$B$4, OR(P529="A2-Dialga", P529="A2-Palkia", P529="A2"), XLOOKUP(N529, 'Space-Time Smackdown'!$C$2:$C889, 'Space-Time Smackdown'!$B$2:$B889)-$B$4))</f>
        <v/>
      </c>
      <c r="S529" s="277"/>
      <c r="T529" s="277"/>
      <c r="U529" s="277"/>
      <c r="V529" s="278"/>
      <c r="W529" s="443" t="str">
        <f t="array" ref="W529">IFERROR(IFS(OR(U529="A1-Mewtwo", U529="A1-Pikachu", U529="A1-Charizard", U529="A1"), $B$5-XLOOKUP(S529, 'Genetic Apex'!$C$2:$C889, 'Genetic Apex'!$B$2:$B889), U529="A1a", $B$5-XLOOKUP(S529, 'Mythical Island'!$C$2:$C889, 'Mythical Island'!$B$2:$B889), OR(U529="A2-Dialga", U529="A2-Palkia", U529="A2"), $B$5-XLOOKUP(S529, 'Space-Time Smackdown'!$C$2:$C889, 'Space-Time Smackdown'!$B$2:$B889)))</f>
        <v/>
      </c>
      <c r="X529" s="444" t="str">
        <f t="shared" si="3"/>
        <v/>
      </c>
      <c r="Y529" s="445" t="str">
        <f t="shared" si="4"/>
        <v/>
      </c>
      <c r="Z529" s="278"/>
      <c r="AA529" s="466"/>
      <c r="AB529" s="278"/>
      <c r="AC529" s="278"/>
      <c r="AD529" s="278"/>
      <c r="AE529" s="278"/>
      <c r="AF529" s="278"/>
      <c r="AG529" s="278" t="b">
        <f t="shared" si="5"/>
        <v>0</v>
      </c>
      <c r="AH529" s="454"/>
      <c r="AI529" s="278"/>
      <c r="AJ529" s="278"/>
      <c r="AK529" s="278"/>
      <c r="AL529" s="444" t="str">
        <f t="array" ref="AL529">IFERROR(IFS(OR(AJ529="A1-Mewtwo", AJ529="A1-Pikachu", AJ529="A1-Charizard", AJ529="A1"), XLOOKUP(AH529, 'Genetic Apex'!$C$2:$C889, 'Genetic Apex'!$B$2:$B889)-2, AJ529="A1a", XLOOKUP(AH529, 'Mythical Island'!$C$2:$C889, 'Mythical Island'!$B$2:$B889)-2, OR(AJ529="A2-Dialga", AJ529="A2-Palkia", AJ529="A2"), XLOOKUP(AH529, 'Space-Time Smackdown'!$C$2:$C889, 'Space-Time Smackdown'!$B$2:$B889)-2))</f>
        <v/>
      </c>
      <c r="AM529" s="444" t="str">
        <f t="shared" si="6"/>
        <v/>
      </c>
      <c r="AN529" s="448" t="str">
        <f t="shared" si="7"/>
        <v/>
      </c>
    </row>
    <row r="530">
      <c r="A530" s="277"/>
      <c r="B530" s="277"/>
      <c r="C530" s="441"/>
      <c r="D530" s="277"/>
      <c r="E530" s="277"/>
      <c r="F530" s="277"/>
      <c r="G530" s="277"/>
      <c r="H530" s="277" t="b">
        <f t="shared" si="1"/>
        <v>0</v>
      </c>
      <c r="I530" s="277" t="str">
        <f>IFERROR(__xludf.DUMMYFUNCTION("""COMPUTED_VALUE"""),"A2 153")</f>
        <v>A2 153</v>
      </c>
      <c r="J530" s="277" t="str">
        <f>IFERROR(__xludf.DUMMYFUNCTION("""COMPUTED_VALUE"""),"Volkner")</f>
        <v>Volkner</v>
      </c>
      <c r="K530" s="277" t="str">
        <f>IFERROR(__xludf.DUMMYFUNCTION("""COMPUTED_VALUE"""),"A2-Dialga")</f>
        <v>A2-Dialga</v>
      </c>
      <c r="L530" s="277" t="str">
        <f>IFERROR(__xludf.DUMMYFUNCTION("""COMPUTED_VALUE"""),"♢♢")</f>
        <v>♢♢</v>
      </c>
      <c r="M530" s="440" t="b">
        <f t="shared" si="2"/>
        <v>0</v>
      </c>
      <c r="N530" s="441"/>
      <c r="O530" s="277"/>
      <c r="P530" s="277"/>
      <c r="Q530" s="278"/>
      <c r="R530" s="449" t="str">
        <f t="array" ref="R530">IFERROR(IFS(OR(P530="A1-Mewtwo", P530="A1-Pikachu", P530="A1-Charizard", P530="A1"), XLOOKUP(N530, 'Genetic Apex'!$C$2:$C889, 'Genetic Apex'!$B$2:$B889)-$B$4, P530="A1a", XLOOKUP(N530, 'Mythical Island'!$C$2:$C889, 'Mythical Island'!$B$2:$B889)-$B$4, OR(P530="A2-Dialga", P530="A2-Palkia", P530="A2"), XLOOKUP(N530, 'Space-Time Smackdown'!$C$2:$C889, 'Space-Time Smackdown'!$B$2:$B889)-$B$4))</f>
        <v/>
      </c>
      <c r="S530" s="277"/>
      <c r="T530" s="277"/>
      <c r="U530" s="277"/>
      <c r="V530" s="278"/>
      <c r="W530" s="443" t="str">
        <f t="array" ref="W530">IFERROR(IFS(OR(U530="A1-Mewtwo", U530="A1-Pikachu", U530="A1-Charizard", U530="A1"), $B$5-XLOOKUP(S530, 'Genetic Apex'!$C$2:$C889, 'Genetic Apex'!$B$2:$B889), U530="A1a", $B$5-XLOOKUP(S530, 'Mythical Island'!$C$2:$C889, 'Mythical Island'!$B$2:$B889), OR(U530="A2-Dialga", U530="A2-Palkia", U530="A2"), $B$5-XLOOKUP(S530, 'Space-Time Smackdown'!$C$2:$C889, 'Space-Time Smackdown'!$B$2:$B889)))</f>
        <v/>
      </c>
      <c r="X530" s="444" t="str">
        <f t="shared" si="3"/>
        <v/>
      </c>
      <c r="Y530" s="445" t="str">
        <f t="shared" si="4"/>
        <v/>
      </c>
      <c r="Z530" s="278"/>
      <c r="AA530" s="466"/>
      <c r="AB530" s="278"/>
      <c r="AC530" s="278"/>
      <c r="AD530" s="278"/>
      <c r="AE530" s="278"/>
      <c r="AF530" s="278"/>
      <c r="AG530" s="278" t="b">
        <f t="shared" si="5"/>
        <v>0</v>
      </c>
      <c r="AH530" s="454"/>
      <c r="AI530" s="278"/>
      <c r="AJ530" s="278"/>
      <c r="AK530" s="278"/>
      <c r="AL530" s="444" t="str">
        <f t="array" ref="AL530">IFERROR(IFS(OR(AJ530="A1-Mewtwo", AJ530="A1-Pikachu", AJ530="A1-Charizard", AJ530="A1"), XLOOKUP(AH530, 'Genetic Apex'!$C$2:$C889, 'Genetic Apex'!$B$2:$B889)-2, AJ530="A1a", XLOOKUP(AH530, 'Mythical Island'!$C$2:$C889, 'Mythical Island'!$B$2:$B889)-2, OR(AJ530="A2-Dialga", AJ530="A2-Palkia", AJ530="A2"), XLOOKUP(AH530, 'Space-Time Smackdown'!$C$2:$C889, 'Space-Time Smackdown'!$B$2:$B889)-2))</f>
        <v/>
      </c>
      <c r="AM530" s="444" t="str">
        <f t="shared" si="6"/>
        <v/>
      </c>
      <c r="AN530" s="448" t="str">
        <f t="shared" si="7"/>
        <v/>
      </c>
    </row>
    <row r="531">
      <c r="A531" s="277"/>
      <c r="B531" s="277"/>
      <c r="C531" s="441"/>
      <c r="D531" s="277"/>
      <c r="E531" s="277"/>
      <c r="F531" s="277"/>
      <c r="G531" s="277"/>
      <c r="H531" s="277" t="b">
        <f t="shared" si="1"/>
        <v>0</v>
      </c>
      <c r="I531" s="277" t="str">
        <f>IFERROR(__xludf.DUMMYFUNCTION("""COMPUTED_VALUE"""),"A2 154")</f>
        <v>A2 154</v>
      </c>
      <c r="J531" s="277" t="str">
        <f>IFERROR(__xludf.DUMMYFUNCTION("""COMPUTED_VALUE"""),"Dawn")</f>
        <v>Dawn</v>
      </c>
      <c r="K531" s="277" t="str">
        <f>IFERROR(__xludf.DUMMYFUNCTION("""COMPUTED_VALUE"""),"A2-Dialga")</f>
        <v>A2-Dialga</v>
      </c>
      <c r="L531" s="277" t="str">
        <f>IFERROR(__xludf.DUMMYFUNCTION("""COMPUTED_VALUE"""),"♢♢")</f>
        <v>♢♢</v>
      </c>
      <c r="M531" s="440" t="b">
        <f t="shared" si="2"/>
        <v>0</v>
      </c>
      <c r="N531" s="441"/>
      <c r="O531" s="277"/>
      <c r="P531" s="277"/>
      <c r="Q531" s="278"/>
      <c r="R531" s="449" t="str">
        <f t="array" ref="R531">IFERROR(IFS(OR(P531="A1-Mewtwo", P531="A1-Pikachu", P531="A1-Charizard", P531="A1"), XLOOKUP(N531, 'Genetic Apex'!$C$2:$C889, 'Genetic Apex'!$B$2:$B889)-$B$4, P531="A1a", XLOOKUP(N531, 'Mythical Island'!$C$2:$C889, 'Mythical Island'!$B$2:$B889)-$B$4, OR(P531="A2-Dialga", P531="A2-Palkia", P531="A2"), XLOOKUP(N531, 'Space-Time Smackdown'!$C$2:$C889, 'Space-Time Smackdown'!$B$2:$B889)-$B$4))</f>
        <v/>
      </c>
      <c r="S531" s="277"/>
      <c r="T531" s="277"/>
      <c r="U531" s="277"/>
      <c r="V531" s="278"/>
      <c r="W531" s="443" t="str">
        <f t="array" ref="W531">IFERROR(IFS(OR(U531="A1-Mewtwo", U531="A1-Pikachu", U531="A1-Charizard", U531="A1"), $B$5-XLOOKUP(S531, 'Genetic Apex'!$C$2:$C889, 'Genetic Apex'!$B$2:$B889), U531="A1a", $B$5-XLOOKUP(S531, 'Mythical Island'!$C$2:$C889, 'Mythical Island'!$B$2:$B889), OR(U531="A2-Dialga", U531="A2-Palkia", U531="A2"), $B$5-XLOOKUP(S531, 'Space-Time Smackdown'!$C$2:$C889, 'Space-Time Smackdown'!$B$2:$B889)))</f>
        <v/>
      </c>
      <c r="X531" s="444" t="str">
        <f t="shared" si="3"/>
        <v/>
      </c>
      <c r="Y531" s="445" t="str">
        <f t="shared" si="4"/>
        <v/>
      </c>
      <c r="Z531" s="278"/>
      <c r="AA531" s="466"/>
      <c r="AB531" s="278"/>
      <c r="AC531" s="278"/>
      <c r="AD531" s="278"/>
      <c r="AE531" s="278"/>
      <c r="AF531" s="278"/>
      <c r="AG531" s="278" t="b">
        <f t="shared" si="5"/>
        <v>0</v>
      </c>
      <c r="AH531" s="454"/>
      <c r="AI531" s="278"/>
      <c r="AJ531" s="278"/>
      <c r="AK531" s="278"/>
      <c r="AL531" s="444" t="str">
        <f t="array" ref="AL531">IFERROR(IFS(OR(AJ531="A1-Mewtwo", AJ531="A1-Pikachu", AJ531="A1-Charizard", AJ531="A1"), XLOOKUP(AH531, 'Genetic Apex'!$C$2:$C889, 'Genetic Apex'!$B$2:$B889)-2, AJ531="A1a", XLOOKUP(AH531, 'Mythical Island'!$C$2:$C889, 'Mythical Island'!$B$2:$B889)-2, OR(AJ531="A2-Dialga", AJ531="A2-Palkia", AJ531="A2"), XLOOKUP(AH531, 'Space-Time Smackdown'!$C$2:$C889, 'Space-Time Smackdown'!$B$2:$B889)-2))</f>
        <v/>
      </c>
      <c r="AM531" s="444" t="str">
        <f t="shared" si="6"/>
        <v/>
      </c>
      <c r="AN531" s="448" t="str">
        <f t="shared" si="7"/>
        <v/>
      </c>
    </row>
    <row r="532">
      <c r="A532" s="277"/>
      <c r="B532" s="277"/>
      <c r="C532" s="441"/>
      <c r="D532" s="277"/>
      <c r="E532" s="277"/>
      <c r="F532" s="277"/>
      <c r="G532" s="277"/>
      <c r="H532" s="277" t="b">
        <f t="shared" si="1"/>
        <v>0</v>
      </c>
      <c r="I532" s="277" t="str">
        <f>IFERROR(__xludf.DUMMYFUNCTION("""COMPUTED_VALUE"""),"A2 155")</f>
        <v>A2 155</v>
      </c>
      <c r="J532" s="277" t="str">
        <f>IFERROR(__xludf.DUMMYFUNCTION("""COMPUTED_VALUE"""),"Mars")</f>
        <v>Mars</v>
      </c>
      <c r="K532" s="277" t="str">
        <f>IFERROR(__xludf.DUMMYFUNCTION("""COMPUTED_VALUE"""),"A2-Palkia")</f>
        <v>A2-Palkia</v>
      </c>
      <c r="L532" s="277" t="str">
        <f>IFERROR(__xludf.DUMMYFUNCTION("""COMPUTED_VALUE"""),"♢♢")</f>
        <v>♢♢</v>
      </c>
      <c r="M532" s="440" t="b">
        <f t="shared" si="2"/>
        <v>0</v>
      </c>
      <c r="N532" s="441"/>
      <c r="O532" s="277"/>
      <c r="P532" s="277"/>
      <c r="Q532" s="278"/>
      <c r="R532" s="449" t="str">
        <f t="array" ref="R532">IFERROR(IFS(OR(P532="A1-Mewtwo", P532="A1-Pikachu", P532="A1-Charizard", P532="A1"), XLOOKUP(N532, 'Genetic Apex'!$C$2:$C889, 'Genetic Apex'!$B$2:$B889)-$B$4, P532="A1a", XLOOKUP(N532, 'Mythical Island'!$C$2:$C889, 'Mythical Island'!$B$2:$B889)-$B$4, OR(P532="A2-Dialga", P532="A2-Palkia", P532="A2"), XLOOKUP(N532, 'Space-Time Smackdown'!$C$2:$C889, 'Space-Time Smackdown'!$B$2:$B889)-$B$4))</f>
        <v/>
      </c>
      <c r="S532" s="277"/>
      <c r="T532" s="277"/>
      <c r="U532" s="277"/>
      <c r="V532" s="278"/>
      <c r="W532" s="443" t="str">
        <f t="array" ref="W532">IFERROR(IFS(OR(U532="A1-Mewtwo", U532="A1-Pikachu", U532="A1-Charizard", U532="A1"), $B$5-XLOOKUP(S532, 'Genetic Apex'!$C$2:$C889, 'Genetic Apex'!$B$2:$B889), U532="A1a", $B$5-XLOOKUP(S532, 'Mythical Island'!$C$2:$C889, 'Mythical Island'!$B$2:$B889), OR(U532="A2-Dialga", U532="A2-Palkia", U532="A2"), $B$5-XLOOKUP(S532, 'Space-Time Smackdown'!$C$2:$C889, 'Space-Time Smackdown'!$B$2:$B889)))</f>
        <v/>
      </c>
      <c r="X532" s="444" t="str">
        <f t="shared" si="3"/>
        <v/>
      </c>
      <c r="Y532" s="445" t="str">
        <f t="shared" si="4"/>
        <v/>
      </c>
      <c r="Z532" s="278"/>
      <c r="AA532" s="466"/>
      <c r="AB532" s="278"/>
      <c r="AC532" s="278"/>
      <c r="AD532" s="278"/>
      <c r="AE532" s="278"/>
      <c r="AF532" s="278"/>
      <c r="AG532" s="278" t="b">
        <f t="shared" si="5"/>
        <v>0</v>
      </c>
      <c r="AH532" s="454"/>
      <c r="AI532" s="278"/>
      <c r="AJ532" s="278"/>
      <c r="AK532" s="278"/>
      <c r="AL532" s="444" t="str">
        <f t="array" ref="AL532">IFERROR(IFS(OR(AJ532="A1-Mewtwo", AJ532="A1-Pikachu", AJ532="A1-Charizard", AJ532="A1"), XLOOKUP(AH532, 'Genetic Apex'!$C$2:$C889, 'Genetic Apex'!$B$2:$B889)-2, AJ532="A1a", XLOOKUP(AH532, 'Mythical Island'!$C$2:$C889, 'Mythical Island'!$B$2:$B889)-2, OR(AJ532="A2-Dialga", AJ532="A2-Palkia", AJ532="A2"), XLOOKUP(AH532, 'Space-Time Smackdown'!$C$2:$C889, 'Space-Time Smackdown'!$B$2:$B889)-2))</f>
        <v/>
      </c>
      <c r="AM532" s="444" t="str">
        <f t="shared" si="6"/>
        <v/>
      </c>
      <c r="AN532" s="448" t="str">
        <f t="shared" si="7"/>
        <v/>
      </c>
    </row>
    <row r="533">
      <c r="A533" s="277"/>
      <c r="B533" s="277"/>
      <c r="C533" s="441"/>
      <c r="D533" s="277"/>
      <c r="E533" s="277"/>
      <c r="F533" s="277"/>
      <c r="G533" s="277"/>
      <c r="H533" s="277" t="b">
        <f t="shared" si="1"/>
        <v>0</v>
      </c>
      <c r="I533" s="277" t="str">
        <f>IFERROR(__xludf.DUMMYFUNCTION("""COMPUTED_VALUE"""),"A2 156")</f>
        <v>A2 156</v>
      </c>
      <c r="J533" s="277" t="str">
        <f>IFERROR(__xludf.DUMMYFUNCTION("""COMPUTED_VALUE"""),"Tangrowth")</f>
        <v>Tangrowth</v>
      </c>
      <c r="K533" s="277" t="str">
        <f>IFERROR(__xludf.DUMMYFUNCTION("""COMPUTED_VALUE"""),"A2-Dialga")</f>
        <v>A2-Dialga</v>
      </c>
      <c r="L533" s="277" t="str">
        <f>IFERROR(__xludf.DUMMYFUNCTION("""COMPUTED_VALUE"""),"☆")</f>
        <v>☆</v>
      </c>
      <c r="M533" s="440" t="b">
        <f t="shared" si="2"/>
        <v>0</v>
      </c>
      <c r="N533" s="441"/>
      <c r="O533" s="277"/>
      <c r="P533" s="277"/>
      <c r="Q533" s="278"/>
      <c r="R533" s="449" t="str">
        <f t="array" ref="R533">IFERROR(IFS(OR(P533="A1-Mewtwo", P533="A1-Pikachu", P533="A1-Charizard", P533="A1"), XLOOKUP(N533, 'Genetic Apex'!$C$2:$C889, 'Genetic Apex'!$B$2:$B889)-$B$4, P533="A1a", XLOOKUP(N533, 'Mythical Island'!$C$2:$C889, 'Mythical Island'!$B$2:$B889)-$B$4, OR(P533="A2-Dialga", P533="A2-Palkia", P533="A2"), XLOOKUP(N533, 'Space-Time Smackdown'!$C$2:$C889, 'Space-Time Smackdown'!$B$2:$B889)-$B$4))</f>
        <v/>
      </c>
      <c r="S533" s="277"/>
      <c r="T533" s="277"/>
      <c r="U533" s="277"/>
      <c r="V533" s="278"/>
      <c r="W533" s="443" t="str">
        <f t="array" ref="W533">IFERROR(IFS(OR(U533="A1-Mewtwo", U533="A1-Pikachu", U533="A1-Charizard", U533="A1"), $B$5-XLOOKUP(S533, 'Genetic Apex'!$C$2:$C889, 'Genetic Apex'!$B$2:$B889), U533="A1a", $B$5-XLOOKUP(S533, 'Mythical Island'!$C$2:$C889, 'Mythical Island'!$B$2:$B889), OR(U533="A2-Dialga", U533="A2-Palkia", U533="A2"), $B$5-XLOOKUP(S533, 'Space-Time Smackdown'!$C$2:$C889, 'Space-Time Smackdown'!$B$2:$B889)))</f>
        <v/>
      </c>
      <c r="X533" s="444" t="str">
        <f t="shared" si="3"/>
        <v/>
      </c>
      <c r="Y533" s="445" t="str">
        <f t="shared" si="4"/>
        <v/>
      </c>
      <c r="Z533" s="278"/>
      <c r="AA533" s="466"/>
      <c r="AB533" s="278"/>
      <c r="AC533" s="278"/>
      <c r="AD533" s="278"/>
      <c r="AE533" s="278"/>
      <c r="AF533" s="278"/>
      <c r="AG533" s="278" t="b">
        <f t="shared" si="5"/>
        <v>0</v>
      </c>
      <c r="AH533" s="454"/>
      <c r="AI533" s="278"/>
      <c r="AJ533" s="278"/>
      <c r="AK533" s="278"/>
      <c r="AL533" s="444" t="str">
        <f t="array" ref="AL533">IFERROR(IFS(OR(AJ533="A1-Mewtwo", AJ533="A1-Pikachu", AJ533="A1-Charizard", AJ533="A1"), XLOOKUP(AH533, 'Genetic Apex'!$C$2:$C889, 'Genetic Apex'!$B$2:$B889)-2, AJ533="A1a", XLOOKUP(AH533, 'Mythical Island'!$C$2:$C889, 'Mythical Island'!$B$2:$B889)-2, OR(AJ533="A2-Dialga", AJ533="A2-Palkia", AJ533="A2"), XLOOKUP(AH533, 'Space-Time Smackdown'!$C$2:$C889, 'Space-Time Smackdown'!$B$2:$B889)-2))</f>
        <v/>
      </c>
      <c r="AM533" s="444" t="str">
        <f t="shared" si="6"/>
        <v/>
      </c>
      <c r="AN533" s="448" t="str">
        <f t="shared" si="7"/>
        <v/>
      </c>
    </row>
    <row r="534">
      <c r="A534" s="277"/>
      <c r="B534" s="277"/>
      <c r="C534" s="441"/>
      <c r="D534" s="277"/>
      <c r="E534" s="277"/>
      <c r="F534" s="277"/>
      <c r="G534" s="277"/>
      <c r="H534" s="277" t="b">
        <f t="shared" si="1"/>
        <v>0</v>
      </c>
      <c r="I534" s="277" t="str">
        <f>IFERROR(__xludf.DUMMYFUNCTION("""COMPUTED_VALUE"""),"A2 157")</f>
        <v>A2 157</v>
      </c>
      <c r="J534" s="277" t="str">
        <f>IFERROR(__xludf.DUMMYFUNCTION("""COMPUTED_VALUE"""),"Combee")</f>
        <v>Combee</v>
      </c>
      <c r="K534" s="277" t="str">
        <f>IFERROR(__xludf.DUMMYFUNCTION("""COMPUTED_VALUE"""),"A2-Dialga")</f>
        <v>A2-Dialga</v>
      </c>
      <c r="L534" s="277" t="str">
        <f>IFERROR(__xludf.DUMMYFUNCTION("""COMPUTED_VALUE"""),"☆")</f>
        <v>☆</v>
      </c>
      <c r="M534" s="440" t="b">
        <f t="shared" si="2"/>
        <v>0</v>
      </c>
      <c r="N534" s="441"/>
      <c r="O534" s="277"/>
      <c r="P534" s="277"/>
      <c r="Q534" s="278"/>
      <c r="R534" s="449" t="str">
        <f t="array" ref="R534">IFERROR(IFS(OR(P534="A1-Mewtwo", P534="A1-Pikachu", P534="A1-Charizard", P534="A1"), XLOOKUP(N534, 'Genetic Apex'!$C$2:$C889, 'Genetic Apex'!$B$2:$B889)-$B$4, P534="A1a", XLOOKUP(N534, 'Mythical Island'!$C$2:$C889, 'Mythical Island'!$B$2:$B889)-$B$4, OR(P534="A2-Dialga", P534="A2-Palkia", P534="A2"), XLOOKUP(N534, 'Space-Time Smackdown'!$C$2:$C889, 'Space-Time Smackdown'!$B$2:$B889)-$B$4))</f>
        <v/>
      </c>
      <c r="S534" s="277"/>
      <c r="T534" s="277"/>
      <c r="U534" s="277"/>
      <c r="V534" s="278"/>
      <c r="W534" s="443" t="str">
        <f t="array" ref="W534">IFERROR(IFS(OR(U534="A1-Mewtwo", U534="A1-Pikachu", U534="A1-Charizard", U534="A1"), $B$5-XLOOKUP(S534, 'Genetic Apex'!$C$2:$C889, 'Genetic Apex'!$B$2:$B889), U534="A1a", $B$5-XLOOKUP(S534, 'Mythical Island'!$C$2:$C889, 'Mythical Island'!$B$2:$B889), OR(U534="A2-Dialga", U534="A2-Palkia", U534="A2"), $B$5-XLOOKUP(S534, 'Space-Time Smackdown'!$C$2:$C889, 'Space-Time Smackdown'!$B$2:$B889)))</f>
        <v/>
      </c>
      <c r="X534" s="444" t="str">
        <f t="shared" si="3"/>
        <v/>
      </c>
      <c r="Y534" s="445" t="str">
        <f t="shared" si="4"/>
        <v/>
      </c>
      <c r="Z534" s="278"/>
      <c r="AA534" s="466"/>
      <c r="AB534" s="278"/>
      <c r="AC534" s="278"/>
      <c r="AD534" s="278"/>
      <c r="AE534" s="278"/>
      <c r="AF534" s="278"/>
      <c r="AG534" s="278" t="b">
        <f t="shared" si="5"/>
        <v>0</v>
      </c>
      <c r="AH534" s="454"/>
      <c r="AI534" s="278"/>
      <c r="AJ534" s="278"/>
      <c r="AK534" s="278"/>
      <c r="AL534" s="444" t="str">
        <f t="array" ref="AL534">IFERROR(IFS(OR(AJ534="A1-Mewtwo", AJ534="A1-Pikachu", AJ534="A1-Charizard", AJ534="A1"), XLOOKUP(AH534, 'Genetic Apex'!$C$2:$C889, 'Genetic Apex'!$B$2:$B889)-2, AJ534="A1a", XLOOKUP(AH534, 'Mythical Island'!$C$2:$C889, 'Mythical Island'!$B$2:$B889)-2, OR(AJ534="A2-Dialga", AJ534="A2-Palkia", AJ534="A2"), XLOOKUP(AH534, 'Space-Time Smackdown'!$C$2:$C889, 'Space-Time Smackdown'!$B$2:$B889)-2))</f>
        <v/>
      </c>
      <c r="AM534" s="444" t="str">
        <f t="shared" si="6"/>
        <v/>
      </c>
      <c r="AN534" s="448" t="str">
        <f t="shared" si="7"/>
        <v/>
      </c>
    </row>
    <row r="535">
      <c r="A535" s="277"/>
      <c r="B535" s="277"/>
      <c r="C535" s="441"/>
      <c r="D535" s="277"/>
      <c r="E535" s="277"/>
      <c r="F535" s="277"/>
      <c r="G535" s="277"/>
      <c r="H535" s="277" t="b">
        <f t="shared" si="1"/>
        <v>0</v>
      </c>
      <c r="I535" s="277" t="str">
        <f>IFERROR(__xludf.DUMMYFUNCTION("""COMPUTED_VALUE"""),"A2 158")</f>
        <v>A2 158</v>
      </c>
      <c r="J535" s="277" t="str">
        <f>IFERROR(__xludf.DUMMYFUNCTION("""COMPUTED_VALUE"""),"Carnivine")</f>
        <v>Carnivine</v>
      </c>
      <c r="K535" s="277" t="str">
        <f>IFERROR(__xludf.DUMMYFUNCTION("""COMPUTED_VALUE"""),"A2-Palkia")</f>
        <v>A2-Palkia</v>
      </c>
      <c r="L535" s="277" t="str">
        <f>IFERROR(__xludf.DUMMYFUNCTION("""COMPUTED_VALUE"""),"☆")</f>
        <v>☆</v>
      </c>
      <c r="M535" s="440" t="b">
        <f t="shared" si="2"/>
        <v>0</v>
      </c>
      <c r="N535" s="441"/>
      <c r="O535" s="277"/>
      <c r="P535" s="277"/>
      <c r="Q535" s="278"/>
      <c r="R535" s="449" t="str">
        <f t="array" ref="R535">IFERROR(IFS(OR(P535="A1-Mewtwo", P535="A1-Pikachu", P535="A1-Charizard", P535="A1"), XLOOKUP(N535, 'Genetic Apex'!$C$2:$C889, 'Genetic Apex'!$B$2:$B889)-$B$4, P535="A1a", XLOOKUP(N535, 'Mythical Island'!$C$2:$C889, 'Mythical Island'!$B$2:$B889)-$B$4, OR(P535="A2-Dialga", P535="A2-Palkia", P535="A2"), XLOOKUP(N535, 'Space-Time Smackdown'!$C$2:$C889, 'Space-Time Smackdown'!$B$2:$B889)-$B$4))</f>
        <v/>
      </c>
      <c r="S535" s="277"/>
      <c r="T535" s="277"/>
      <c r="U535" s="277"/>
      <c r="V535" s="278"/>
      <c r="W535" s="443" t="str">
        <f t="array" ref="W535">IFERROR(IFS(OR(U535="A1-Mewtwo", U535="A1-Pikachu", U535="A1-Charizard", U535="A1"), $B$5-XLOOKUP(S535, 'Genetic Apex'!$C$2:$C889, 'Genetic Apex'!$B$2:$B889), U535="A1a", $B$5-XLOOKUP(S535, 'Mythical Island'!$C$2:$C889, 'Mythical Island'!$B$2:$B889), OR(U535="A2-Dialga", U535="A2-Palkia", U535="A2"), $B$5-XLOOKUP(S535, 'Space-Time Smackdown'!$C$2:$C889, 'Space-Time Smackdown'!$B$2:$B889)))</f>
        <v/>
      </c>
      <c r="X535" s="444" t="str">
        <f t="shared" si="3"/>
        <v/>
      </c>
      <c r="Y535" s="445" t="str">
        <f t="shared" si="4"/>
        <v/>
      </c>
      <c r="Z535" s="278"/>
      <c r="AA535" s="466"/>
      <c r="AB535" s="278"/>
      <c r="AC535" s="278"/>
      <c r="AD535" s="278"/>
      <c r="AE535" s="278"/>
      <c r="AF535" s="278"/>
      <c r="AG535" s="278" t="b">
        <f t="shared" si="5"/>
        <v>0</v>
      </c>
      <c r="AH535" s="454"/>
      <c r="AI535" s="278"/>
      <c r="AJ535" s="278"/>
      <c r="AK535" s="278"/>
      <c r="AL535" s="444" t="str">
        <f t="array" ref="AL535">IFERROR(IFS(OR(AJ535="A1-Mewtwo", AJ535="A1-Pikachu", AJ535="A1-Charizard", AJ535="A1"), XLOOKUP(AH535, 'Genetic Apex'!$C$2:$C889, 'Genetic Apex'!$B$2:$B889)-2, AJ535="A1a", XLOOKUP(AH535, 'Mythical Island'!$C$2:$C889, 'Mythical Island'!$B$2:$B889)-2, OR(AJ535="A2-Dialga", AJ535="A2-Palkia", AJ535="A2"), XLOOKUP(AH535, 'Space-Time Smackdown'!$C$2:$C889, 'Space-Time Smackdown'!$B$2:$B889)-2))</f>
        <v/>
      </c>
      <c r="AM535" s="444" t="str">
        <f t="shared" si="6"/>
        <v/>
      </c>
      <c r="AN535" s="448" t="str">
        <f t="shared" si="7"/>
        <v/>
      </c>
    </row>
    <row r="536">
      <c r="A536" s="277"/>
      <c r="B536" s="277"/>
      <c r="C536" s="441"/>
      <c r="D536" s="277"/>
      <c r="E536" s="277"/>
      <c r="F536" s="277"/>
      <c r="G536" s="277"/>
      <c r="H536" s="277" t="b">
        <f t="shared" si="1"/>
        <v>0</v>
      </c>
      <c r="I536" s="277" t="str">
        <f>IFERROR(__xludf.DUMMYFUNCTION("""COMPUTED_VALUE"""),"A2 159")</f>
        <v>A2 159</v>
      </c>
      <c r="J536" s="277" t="str">
        <f>IFERROR(__xludf.DUMMYFUNCTION("""COMPUTED_VALUE"""),"Shaymin")</f>
        <v>Shaymin</v>
      </c>
      <c r="K536" s="277" t="str">
        <f>IFERROR(__xludf.DUMMYFUNCTION("""COMPUTED_VALUE"""),"A2-Dialga")</f>
        <v>A2-Dialga</v>
      </c>
      <c r="L536" s="277" t="str">
        <f>IFERROR(__xludf.DUMMYFUNCTION("""COMPUTED_VALUE"""),"☆")</f>
        <v>☆</v>
      </c>
      <c r="M536" s="440" t="b">
        <f t="shared" si="2"/>
        <v>0</v>
      </c>
      <c r="N536" s="441"/>
      <c r="O536" s="277"/>
      <c r="P536" s="277"/>
      <c r="Q536" s="278"/>
      <c r="R536" s="449" t="str">
        <f t="array" ref="R536">IFERROR(IFS(OR(P536="A1-Mewtwo", P536="A1-Pikachu", P536="A1-Charizard", P536="A1"), XLOOKUP(N536, 'Genetic Apex'!$C$2:$C889, 'Genetic Apex'!$B$2:$B889)-$B$4, P536="A1a", XLOOKUP(N536, 'Mythical Island'!$C$2:$C889, 'Mythical Island'!$B$2:$B889)-$B$4, OR(P536="A2-Dialga", P536="A2-Palkia", P536="A2"), XLOOKUP(N536, 'Space-Time Smackdown'!$C$2:$C889, 'Space-Time Smackdown'!$B$2:$B889)-$B$4))</f>
        <v/>
      </c>
      <c r="S536" s="277"/>
      <c r="T536" s="277"/>
      <c r="U536" s="277"/>
      <c r="V536" s="278"/>
      <c r="W536" s="443" t="str">
        <f t="array" ref="W536">IFERROR(IFS(OR(U536="A1-Mewtwo", U536="A1-Pikachu", U536="A1-Charizard", U536="A1"), $B$5-XLOOKUP(S536, 'Genetic Apex'!$C$2:$C889, 'Genetic Apex'!$B$2:$B889), U536="A1a", $B$5-XLOOKUP(S536, 'Mythical Island'!$C$2:$C889, 'Mythical Island'!$B$2:$B889), OR(U536="A2-Dialga", U536="A2-Palkia", U536="A2"), $B$5-XLOOKUP(S536, 'Space-Time Smackdown'!$C$2:$C889, 'Space-Time Smackdown'!$B$2:$B889)))</f>
        <v/>
      </c>
      <c r="X536" s="444" t="str">
        <f t="shared" si="3"/>
        <v/>
      </c>
      <c r="Y536" s="445" t="str">
        <f t="shared" si="4"/>
        <v/>
      </c>
      <c r="Z536" s="278"/>
      <c r="AA536" s="466"/>
      <c r="AB536" s="278"/>
      <c r="AC536" s="278"/>
      <c r="AD536" s="278"/>
      <c r="AE536" s="278"/>
      <c r="AF536" s="278"/>
      <c r="AG536" s="278" t="b">
        <f t="shared" si="5"/>
        <v>0</v>
      </c>
      <c r="AH536" s="454"/>
      <c r="AI536" s="278"/>
      <c r="AJ536" s="278"/>
      <c r="AK536" s="278"/>
      <c r="AL536" s="444" t="str">
        <f t="array" ref="AL536">IFERROR(IFS(OR(AJ536="A1-Mewtwo", AJ536="A1-Pikachu", AJ536="A1-Charizard", AJ536="A1"), XLOOKUP(AH536, 'Genetic Apex'!$C$2:$C889, 'Genetic Apex'!$B$2:$B889)-2, AJ536="A1a", XLOOKUP(AH536, 'Mythical Island'!$C$2:$C889, 'Mythical Island'!$B$2:$B889)-2, OR(AJ536="A2-Dialga", AJ536="A2-Palkia", AJ536="A2"), XLOOKUP(AH536, 'Space-Time Smackdown'!$C$2:$C889, 'Space-Time Smackdown'!$B$2:$B889)-2))</f>
        <v/>
      </c>
      <c r="AM536" s="444" t="str">
        <f t="shared" si="6"/>
        <v/>
      </c>
      <c r="AN536" s="448" t="str">
        <f t="shared" si="7"/>
        <v/>
      </c>
    </row>
    <row r="537">
      <c r="A537" s="277"/>
      <c r="B537" s="277"/>
      <c r="C537" s="441"/>
      <c r="D537" s="277"/>
      <c r="E537" s="277"/>
      <c r="F537" s="277"/>
      <c r="G537" s="277"/>
      <c r="H537" s="277" t="b">
        <f t="shared" si="1"/>
        <v>0</v>
      </c>
      <c r="I537" s="277" t="str">
        <f>IFERROR(__xludf.DUMMYFUNCTION("""COMPUTED_VALUE"""),"A2 160")</f>
        <v>A2 160</v>
      </c>
      <c r="J537" s="277" t="str">
        <f>IFERROR(__xludf.DUMMYFUNCTION("""COMPUTED_VALUE"""),"Mamoswine")</f>
        <v>Mamoswine</v>
      </c>
      <c r="K537" s="277" t="str">
        <f>IFERROR(__xludf.DUMMYFUNCTION("""COMPUTED_VALUE"""),"A2-Dialga")</f>
        <v>A2-Dialga</v>
      </c>
      <c r="L537" s="277" t="str">
        <f>IFERROR(__xludf.DUMMYFUNCTION("""COMPUTED_VALUE"""),"☆")</f>
        <v>☆</v>
      </c>
      <c r="M537" s="440" t="b">
        <f t="shared" si="2"/>
        <v>0</v>
      </c>
      <c r="N537" s="441"/>
      <c r="O537" s="277"/>
      <c r="P537" s="277"/>
      <c r="Q537" s="278"/>
      <c r="R537" s="449" t="str">
        <f t="array" ref="R537">IFERROR(IFS(OR(P537="A1-Mewtwo", P537="A1-Pikachu", P537="A1-Charizard", P537="A1"), XLOOKUP(N537, 'Genetic Apex'!$C$2:$C889, 'Genetic Apex'!$B$2:$B889)-$B$4, P537="A1a", XLOOKUP(N537, 'Mythical Island'!$C$2:$C889, 'Mythical Island'!$B$2:$B889)-$B$4, OR(P537="A2-Dialga", P537="A2-Palkia", P537="A2"), XLOOKUP(N537, 'Space-Time Smackdown'!$C$2:$C889, 'Space-Time Smackdown'!$B$2:$B889)-$B$4))</f>
        <v/>
      </c>
      <c r="S537" s="277"/>
      <c r="T537" s="277"/>
      <c r="U537" s="277"/>
      <c r="V537" s="278"/>
      <c r="W537" s="443" t="str">
        <f t="array" ref="W537">IFERROR(IFS(OR(U537="A1-Mewtwo", U537="A1-Pikachu", U537="A1-Charizard", U537="A1"), $B$5-XLOOKUP(S537, 'Genetic Apex'!$C$2:$C889, 'Genetic Apex'!$B$2:$B889), U537="A1a", $B$5-XLOOKUP(S537, 'Mythical Island'!$C$2:$C889, 'Mythical Island'!$B$2:$B889), OR(U537="A2-Dialga", U537="A2-Palkia", U537="A2"), $B$5-XLOOKUP(S537, 'Space-Time Smackdown'!$C$2:$C889, 'Space-Time Smackdown'!$B$2:$B889)))</f>
        <v/>
      </c>
      <c r="X537" s="444" t="str">
        <f t="shared" si="3"/>
        <v/>
      </c>
      <c r="Y537" s="445" t="str">
        <f t="shared" si="4"/>
        <v/>
      </c>
      <c r="Z537" s="278"/>
      <c r="AA537" s="466"/>
      <c r="AB537" s="278"/>
      <c r="AC537" s="278"/>
      <c r="AD537" s="278"/>
      <c r="AE537" s="278"/>
      <c r="AF537" s="278"/>
      <c r="AG537" s="278" t="b">
        <f t="shared" si="5"/>
        <v>0</v>
      </c>
      <c r="AH537" s="454"/>
      <c r="AI537" s="278"/>
      <c r="AJ537" s="278"/>
      <c r="AK537" s="278"/>
      <c r="AL537" s="444" t="str">
        <f t="array" ref="AL537">IFERROR(IFS(OR(AJ537="A1-Mewtwo", AJ537="A1-Pikachu", AJ537="A1-Charizard", AJ537="A1"), XLOOKUP(AH537, 'Genetic Apex'!$C$2:$C889, 'Genetic Apex'!$B$2:$B889)-2, AJ537="A1a", XLOOKUP(AH537, 'Mythical Island'!$C$2:$C889, 'Mythical Island'!$B$2:$B889)-2, OR(AJ537="A2-Dialga", AJ537="A2-Palkia", AJ537="A2"), XLOOKUP(AH537, 'Space-Time Smackdown'!$C$2:$C889, 'Space-Time Smackdown'!$B$2:$B889)-2))</f>
        <v/>
      </c>
      <c r="AM537" s="444" t="str">
        <f t="shared" si="6"/>
        <v/>
      </c>
      <c r="AN537" s="448" t="str">
        <f t="shared" si="7"/>
        <v/>
      </c>
    </row>
    <row r="538">
      <c r="A538" s="277"/>
      <c r="B538" s="277"/>
      <c r="C538" s="441"/>
      <c r="D538" s="277"/>
      <c r="E538" s="277"/>
      <c r="F538" s="277"/>
      <c r="G538" s="277"/>
      <c r="H538" s="277" t="b">
        <f t="shared" si="1"/>
        <v>0</v>
      </c>
      <c r="I538" s="277" t="str">
        <f>IFERROR(__xludf.DUMMYFUNCTION("""COMPUTED_VALUE"""),"A2 161")</f>
        <v>A2 161</v>
      </c>
      <c r="J538" s="277" t="str">
        <f>IFERROR(__xludf.DUMMYFUNCTION("""COMPUTED_VALUE"""),"Gastrodon")</f>
        <v>Gastrodon</v>
      </c>
      <c r="K538" s="277" t="str">
        <f>IFERROR(__xludf.DUMMYFUNCTION("""COMPUTED_VALUE"""),"A2-Palkia")</f>
        <v>A2-Palkia</v>
      </c>
      <c r="L538" s="277" t="str">
        <f>IFERROR(__xludf.DUMMYFUNCTION("""COMPUTED_VALUE"""),"☆")</f>
        <v>☆</v>
      </c>
      <c r="M538" s="440" t="b">
        <f t="shared" si="2"/>
        <v>0</v>
      </c>
      <c r="N538" s="441"/>
      <c r="O538" s="277"/>
      <c r="P538" s="277"/>
      <c r="Q538" s="278"/>
      <c r="R538" s="449" t="str">
        <f t="array" ref="R538">IFERROR(IFS(OR(P538="A1-Mewtwo", P538="A1-Pikachu", P538="A1-Charizard", P538="A1"), XLOOKUP(N538, 'Genetic Apex'!$C$2:$C889, 'Genetic Apex'!$B$2:$B889)-$B$4, P538="A1a", XLOOKUP(N538, 'Mythical Island'!$C$2:$C889, 'Mythical Island'!$B$2:$B889)-$B$4, OR(P538="A2-Dialga", P538="A2-Palkia", P538="A2"), XLOOKUP(N538, 'Space-Time Smackdown'!$C$2:$C889, 'Space-Time Smackdown'!$B$2:$B889)-$B$4))</f>
        <v/>
      </c>
      <c r="S538" s="277"/>
      <c r="T538" s="277"/>
      <c r="U538" s="277"/>
      <c r="V538" s="278"/>
      <c r="W538" s="443" t="str">
        <f t="array" ref="W538">IFERROR(IFS(OR(U538="A1-Mewtwo", U538="A1-Pikachu", U538="A1-Charizard", U538="A1"), $B$5-XLOOKUP(S538, 'Genetic Apex'!$C$2:$C889, 'Genetic Apex'!$B$2:$B889), U538="A1a", $B$5-XLOOKUP(S538, 'Mythical Island'!$C$2:$C889, 'Mythical Island'!$B$2:$B889), OR(U538="A2-Dialga", U538="A2-Palkia", U538="A2"), $B$5-XLOOKUP(S538, 'Space-Time Smackdown'!$C$2:$C889, 'Space-Time Smackdown'!$B$2:$B889)))</f>
        <v/>
      </c>
      <c r="X538" s="444" t="str">
        <f t="shared" si="3"/>
        <v/>
      </c>
      <c r="Y538" s="445" t="str">
        <f t="shared" si="4"/>
        <v/>
      </c>
      <c r="Z538" s="278"/>
      <c r="AA538" s="466"/>
      <c r="AB538" s="278"/>
      <c r="AC538" s="278"/>
      <c r="AD538" s="278"/>
      <c r="AE538" s="278"/>
      <c r="AF538" s="278"/>
      <c r="AG538" s="278" t="b">
        <f t="shared" si="5"/>
        <v>0</v>
      </c>
      <c r="AH538" s="454"/>
      <c r="AI538" s="278"/>
      <c r="AJ538" s="278"/>
      <c r="AK538" s="278"/>
      <c r="AL538" s="444" t="str">
        <f t="array" ref="AL538">IFERROR(IFS(OR(AJ538="A1-Mewtwo", AJ538="A1-Pikachu", AJ538="A1-Charizard", AJ538="A1"), XLOOKUP(AH538, 'Genetic Apex'!$C$2:$C889, 'Genetic Apex'!$B$2:$B889)-2, AJ538="A1a", XLOOKUP(AH538, 'Mythical Island'!$C$2:$C889, 'Mythical Island'!$B$2:$B889)-2, OR(AJ538="A2-Dialga", AJ538="A2-Palkia", AJ538="A2"), XLOOKUP(AH538, 'Space-Time Smackdown'!$C$2:$C889, 'Space-Time Smackdown'!$B$2:$B889)-2))</f>
        <v/>
      </c>
      <c r="AM538" s="444" t="str">
        <f t="shared" si="6"/>
        <v/>
      </c>
      <c r="AN538" s="448" t="str">
        <f t="shared" si="7"/>
        <v/>
      </c>
    </row>
    <row r="539">
      <c r="A539" s="277"/>
      <c r="B539" s="277"/>
      <c r="C539" s="441"/>
      <c r="D539" s="277"/>
      <c r="E539" s="277"/>
      <c r="F539" s="277"/>
      <c r="G539" s="277"/>
      <c r="H539" s="277" t="b">
        <f t="shared" si="1"/>
        <v>0</v>
      </c>
      <c r="I539" s="277" t="str">
        <f>IFERROR(__xludf.DUMMYFUNCTION("""COMPUTED_VALUE"""),"A2 162")</f>
        <v>A2 162</v>
      </c>
      <c r="J539" s="277" t="str">
        <f>IFERROR(__xludf.DUMMYFUNCTION("""COMPUTED_VALUE"""),"Manaphy")</f>
        <v>Manaphy</v>
      </c>
      <c r="K539" s="277" t="str">
        <f>IFERROR(__xludf.DUMMYFUNCTION("""COMPUTED_VALUE"""),"A2-Palkia")</f>
        <v>A2-Palkia</v>
      </c>
      <c r="L539" s="277" t="str">
        <f>IFERROR(__xludf.DUMMYFUNCTION("""COMPUTED_VALUE"""),"☆")</f>
        <v>☆</v>
      </c>
      <c r="M539" s="440" t="b">
        <f t="shared" si="2"/>
        <v>0</v>
      </c>
      <c r="N539" s="441"/>
      <c r="O539" s="277"/>
      <c r="P539" s="277"/>
      <c r="Q539" s="278"/>
      <c r="R539" s="449" t="str">
        <f t="array" ref="R539">IFERROR(IFS(OR(P539="A1-Mewtwo", P539="A1-Pikachu", P539="A1-Charizard", P539="A1"), XLOOKUP(N539, 'Genetic Apex'!$C$2:$C889, 'Genetic Apex'!$B$2:$B889)-$B$4, P539="A1a", XLOOKUP(N539, 'Mythical Island'!$C$2:$C889, 'Mythical Island'!$B$2:$B889)-$B$4, OR(P539="A2-Dialga", P539="A2-Palkia", P539="A2"), XLOOKUP(N539, 'Space-Time Smackdown'!$C$2:$C889, 'Space-Time Smackdown'!$B$2:$B889)-$B$4))</f>
        <v/>
      </c>
      <c r="S539" s="277"/>
      <c r="T539" s="277"/>
      <c r="U539" s="277"/>
      <c r="V539" s="278"/>
      <c r="W539" s="443" t="str">
        <f t="array" ref="W539">IFERROR(IFS(OR(U539="A1-Mewtwo", U539="A1-Pikachu", U539="A1-Charizard", U539="A1"), $B$5-XLOOKUP(S539, 'Genetic Apex'!$C$2:$C889, 'Genetic Apex'!$B$2:$B889), U539="A1a", $B$5-XLOOKUP(S539, 'Mythical Island'!$C$2:$C889, 'Mythical Island'!$B$2:$B889), OR(U539="A2-Dialga", U539="A2-Palkia", U539="A2"), $B$5-XLOOKUP(S539, 'Space-Time Smackdown'!$C$2:$C889, 'Space-Time Smackdown'!$B$2:$B889)))</f>
        <v/>
      </c>
      <c r="X539" s="444" t="str">
        <f t="shared" si="3"/>
        <v/>
      </c>
      <c r="Y539" s="445" t="str">
        <f t="shared" si="4"/>
        <v/>
      </c>
      <c r="Z539" s="278"/>
      <c r="AA539" s="466"/>
      <c r="AB539" s="278"/>
      <c r="AC539" s="278"/>
      <c r="AD539" s="278"/>
      <c r="AE539" s="278"/>
      <c r="AF539" s="278"/>
      <c r="AG539" s="278" t="b">
        <f t="shared" si="5"/>
        <v>0</v>
      </c>
      <c r="AH539" s="454"/>
      <c r="AI539" s="278"/>
      <c r="AJ539" s="278"/>
      <c r="AK539" s="278"/>
      <c r="AL539" s="444" t="str">
        <f t="array" ref="AL539">IFERROR(IFS(OR(AJ539="A1-Mewtwo", AJ539="A1-Pikachu", AJ539="A1-Charizard", AJ539="A1"), XLOOKUP(AH539, 'Genetic Apex'!$C$2:$C889, 'Genetic Apex'!$B$2:$B889)-2, AJ539="A1a", XLOOKUP(AH539, 'Mythical Island'!$C$2:$C889, 'Mythical Island'!$B$2:$B889)-2, OR(AJ539="A2-Dialga", AJ539="A2-Palkia", AJ539="A2"), XLOOKUP(AH539, 'Space-Time Smackdown'!$C$2:$C889, 'Space-Time Smackdown'!$B$2:$B889)-2))</f>
        <v/>
      </c>
      <c r="AM539" s="444" t="str">
        <f t="shared" si="6"/>
        <v/>
      </c>
      <c r="AN539" s="448" t="str">
        <f t="shared" si="7"/>
        <v/>
      </c>
    </row>
    <row r="540">
      <c r="A540" s="277"/>
      <c r="B540" s="277"/>
      <c r="C540" s="441"/>
      <c r="D540" s="277"/>
      <c r="E540" s="277"/>
      <c r="F540" s="277"/>
      <c r="G540" s="277"/>
      <c r="H540" s="277" t="b">
        <f t="shared" si="1"/>
        <v>0</v>
      </c>
      <c r="I540" s="277" t="str">
        <f>IFERROR(__xludf.DUMMYFUNCTION("""COMPUTED_VALUE"""),"A2 163")</f>
        <v>A2 163</v>
      </c>
      <c r="J540" s="277" t="str">
        <f>IFERROR(__xludf.DUMMYFUNCTION("""COMPUTED_VALUE"""),"Shinx")</f>
        <v>Shinx</v>
      </c>
      <c r="K540" s="277" t="str">
        <f>IFERROR(__xludf.DUMMYFUNCTION("""COMPUTED_VALUE"""),"A2-Dialga")</f>
        <v>A2-Dialga</v>
      </c>
      <c r="L540" s="277" t="str">
        <f>IFERROR(__xludf.DUMMYFUNCTION("""COMPUTED_VALUE"""),"☆")</f>
        <v>☆</v>
      </c>
      <c r="M540" s="440" t="b">
        <f t="shared" si="2"/>
        <v>0</v>
      </c>
      <c r="N540" s="441"/>
      <c r="O540" s="277"/>
      <c r="P540" s="277"/>
      <c r="Q540" s="278"/>
      <c r="R540" s="449" t="str">
        <f t="array" ref="R540">IFERROR(IFS(OR(P540="A1-Mewtwo", P540="A1-Pikachu", P540="A1-Charizard", P540="A1"), XLOOKUP(N540, 'Genetic Apex'!$C$2:$C889, 'Genetic Apex'!$B$2:$B889)-$B$4, P540="A1a", XLOOKUP(N540, 'Mythical Island'!$C$2:$C889, 'Mythical Island'!$B$2:$B889)-$B$4, OR(P540="A2-Dialga", P540="A2-Palkia", P540="A2"), XLOOKUP(N540, 'Space-Time Smackdown'!$C$2:$C889, 'Space-Time Smackdown'!$B$2:$B889)-$B$4))</f>
        <v/>
      </c>
      <c r="S540" s="277"/>
      <c r="T540" s="277"/>
      <c r="U540" s="277"/>
      <c r="V540" s="278"/>
      <c r="W540" s="443" t="str">
        <f t="array" ref="W540">IFERROR(IFS(OR(U540="A1-Mewtwo", U540="A1-Pikachu", U540="A1-Charizard", U540="A1"), $B$5-XLOOKUP(S540, 'Genetic Apex'!$C$2:$C889, 'Genetic Apex'!$B$2:$B889), U540="A1a", $B$5-XLOOKUP(S540, 'Mythical Island'!$C$2:$C889, 'Mythical Island'!$B$2:$B889), OR(U540="A2-Dialga", U540="A2-Palkia", U540="A2"), $B$5-XLOOKUP(S540, 'Space-Time Smackdown'!$C$2:$C889, 'Space-Time Smackdown'!$B$2:$B889)))</f>
        <v/>
      </c>
      <c r="X540" s="444" t="str">
        <f t="shared" si="3"/>
        <v/>
      </c>
      <c r="Y540" s="445" t="str">
        <f t="shared" si="4"/>
        <v/>
      </c>
      <c r="Z540" s="278"/>
      <c r="AA540" s="466"/>
      <c r="AB540" s="278"/>
      <c r="AC540" s="278"/>
      <c r="AD540" s="278"/>
      <c r="AE540" s="278"/>
      <c r="AF540" s="278"/>
      <c r="AG540" s="278" t="b">
        <f t="shared" si="5"/>
        <v>0</v>
      </c>
      <c r="AH540" s="454"/>
      <c r="AI540" s="278"/>
      <c r="AJ540" s="278"/>
      <c r="AK540" s="278"/>
      <c r="AL540" s="444" t="str">
        <f t="array" ref="AL540">IFERROR(IFS(OR(AJ540="A1-Mewtwo", AJ540="A1-Pikachu", AJ540="A1-Charizard", AJ540="A1"), XLOOKUP(AH540, 'Genetic Apex'!$C$2:$C889, 'Genetic Apex'!$B$2:$B889)-2, AJ540="A1a", XLOOKUP(AH540, 'Mythical Island'!$C$2:$C889, 'Mythical Island'!$B$2:$B889)-2, OR(AJ540="A2-Dialga", AJ540="A2-Palkia", AJ540="A2"), XLOOKUP(AH540, 'Space-Time Smackdown'!$C$2:$C889, 'Space-Time Smackdown'!$B$2:$B889)-2))</f>
        <v/>
      </c>
      <c r="AM540" s="444" t="str">
        <f t="shared" si="6"/>
        <v/>
      </c>
      <c r="AN540" s="448" t="str">
        <f t="shared" si="7"/>
        <v/>
      </c>
    </row>
    <row r="541">
      <c r="A541" s="277"/>
      <c r="B541" s="277"/>
      <c r="C541" s="441"/>
      <c r="D541" s="277"/>
      <c r="E541" s="277"/>
      <c r="F541" s="277"/>
      <c r="G541" s="277"/>
      <c r="H541" s="277" t="b">
        <f t="shared" si="1"/>
        <v>0</v>
      </c>
      <c r="I541" s="277" t="str">
        <f>IFERROR(__xludf.DUMMYFUNCTION("""COMPUTED_VALUE"""),"A2 164")</f>
        <v>A2 164</v>
      </c>
      <c r="J541" s="277" t="str">
        <f>IFERROR(__xludf.DUMMYFUNCTION("""COMPUTED_VALUE"""),"Rotom")</f>
        <v>Rotom</v>
      </c>
      <c r="K541" s="277" t="str">
        <f>IFERROR(__xludf.DUMMYFUNCTION("""COMPUTED_VALUE"""),"A2-Palkia")</f>
        <v>A2-Palkia</v>
      </c>
      <c r="L541" s="277" t="str">
        <f>IFERROR(__xludf.DUMMYFUNCTION("""COMPUTED_VALUE"""),"☆")</f>
        <v>☆</v>
      </c>
      <c r="M541" s="440" t="b">
        <f t="shared" si="2"/>
        <v>0</v>
      </c>
      <c r="N541" s="441"/>
      <c r="O541" s="277"/>
      <c r="P541" s="277"/>
      <c r="Q541" s="278"/>
      <c r="R541" s="449" t="str">
        <f t="array" ref="R541">IFERROR(IFS(OR(P541="A1-Mewtwo", P541="A1-Pikachu", P541="A1-Charizard", P541="A1"), XLOOKUP(N541, 'Genetic Apex'!$C$2:$C889, 'Genetic Apex'!$B$2:$B889)-$B$4, P541="A1a", XLOOKUP(N541, 'Mythical Island'!$C$2:$C889, 'Mythical Island'!$B$2:$B889)-$B$4, OR(P541="A2-Dialga", P541="A2-Palkia", P541="A2"), XLOOKUP(N541, 'Space-Time Smackdown'!$C$2:$C889, 'Space-Time Smackdown'!$B$2:$B889)-$B$4))</f>
        <v/>
      </c>
      <c r="S541" s="277"/>
      <c r="T541" s="277"/>
      <c r="U541" s="277"/>
      <c r="V541" s="278"/>
      <c r="W541" s="443" t="str">
        <f t="array" ref="W541">IFERROR(IFS(OR(U541="A1-Mewtwo", U541="A1-Pikachu", U541="A1-Charizard", U541="A1"), $B$5-XLOOKUP(S541, 'Genetic Apex'!$C$2:$C889, 'Genetic Apex'!$B$2:$B889), U541="A1a", $B$5-XLOOKUP(S541, 'Mythical Island'!$C$2:$C889, 'Mythical Island'!$B$2:$B889), OR(U541="A2-Dialga", U541="A2-Palkia", U541="A2"), $B$5-XLOOKUP(S541, 'Space-Time Smackdown'!$C$2:$C889, 'Space-Time Smackdown'!$B$2:$B889)))</f>
        <v/>
      </c>
      <c r="X541" s="444" t="str">
        <f t="shared" si="3"/>
        <v/>
      </c>
      <c r="Y541" s="445" t="str">
        <f t="shared" si="4"/>
        <v/>
      </c>
      <c r="Z541" s="278"/>
      <c r="AA541" s="466"/>
      <c r="AB541" s="278"/>
      <c r="AC541" s="278"/>
      <c r="AD541" s="278"/>
      <c r="AE541" s="278"/>
      <c r="AF541" s="278"/>
      <c r="AG541" s="278" t="b">
        <f t="shared" si="5"/>
        <v>0</v>
      </c>
      <c r="AH541" s="454"/>
      <c r="AI541" s="278"/>
      <c r="AJ541" s="278"/>
      <c r="AK541" s="278"/>
      <c r="AL541" s="444" t="str">
        <f t="array" ref="AL541">IFERROR(IFS(OR(AJ541="A1-Mewtwo", AJ541="A1-Pikachu", AJ541="A1-Charizard", AJ541="A1"), XLOOKUP(AH541, 'Genetic Apex'!$C$2:$C889, 'Genetic Apex'!$B$2:$B889)-2, AJ541="A1a", XLOOKUP(AH541, 'Mythical Island'!$C$2:$C889, 'Mythical Island'!$B$2:$B889)-2, OR(AJ541="A2-Dialga", AJ541="A2-Palkia", AJ541="A2"), XLOOKUP(AH541, 'Space-Time Smackdown'!$C$2:$C889, 'Space-Time Smackdown'!$B$2:$B889)-2))</f>
        <v/>
      </c>
      <c r="AM541" s="444" t="str">
        <f t="shared" si="6"/>
        <v/>
      </c>
      <c r="AN541" s="448" t="str">
        <f t="shared" si="7"/>
        <v/>
      </c>
    </row>
    <row r="542">
      <c r="A542" s="277"/>
      <c r="B542" s="277"/>
      <c r="C542" s="441"/>
      <c r="D542" s="277"/>
      <c r="E542" s="277"/>
      <c r="F542" s="277"/>
      <c r="G542" s="277"/>
      <c r="H542" s="277" t="b">
        <f t="shared" si="1"/>
        <v>0</v>
      </c>
      <c r="I542" s="277" t="str">
        <f>IFERROR(__xludf.DUMMYFUNCTION("""COMPUTED_VALUE"""),"A2 165")</f>
        <v>A2 165</v>
      </c>
      <c r="J542" s="277" t="str">
        <f>IFERROR(__xludf.DUMMYFUNCTION("""COMPUTED_VALUE"""),"Drifloon")</f>
        <v>Drifloon</v>
      </c>
      <c r="K542" s="277" t="str">
        <f>IFERROR(__xludf.DUMMYFUNCTION("""COMPUTED_VALUE"""),"A2-Dialga")</f>
        <v>A2-Dialga</v>
      </c>
      <c r="L542" s="277" t="str">
        <f>IFERROR(__xludf.DUMMYFUNCTION("""COMPUTED_VALUE"""),"☆")</f>
        <v>☆</v>
      </c>
      <c r="M542" s="440" t="b">
        <f t="shared" si="2"/>
        <v>0</v>
      </c>
      <c r="N542" s="441"/>
      <c r="O542" s="277"/>
      <c r="P542" s="277"/>
      <c r="Q542" s="278"/>
      <c r="R542" s="449" t="str">
        <f t="array" ref="R542">IFERROR(IFS(OR(P542="A1-Mewtwo", P542="A1-Pikachu", P542="A1-Charizard", P542="A1"), XLOOKUP(N542, 'Genetic Apex'!$C$2:$C889, 'Genetic Apex'!$B$2:$B889)-$B$4, P542="A1a", XLOOKUP(N542, 'Mythical Island'!$C$2:$C889, 'Mythical Island'!$B$2:$B889)-$B$4, OR(P542="A2-Dialga", P542="A2-Palkia", P542="A2"), XLOOKUP(N542, 'Space-Time Smackdown'!$C$2:$C889, 'Space-Time Smackdown'!$B$2:$B889)-$B$4))</f>
        <v/>
      </c>
      <c r="S542" s="277"/>
      <c r="T542" s="277"/>
      <c r="U542" s="277"/>
      <c r="V542" s="278"/>
      <c r="W542" s="443" t="str">
        <f t="array" ref="W542">IFERROR(IFS(OR(U542="A1-Mewtwo", U542="A1-Pikachu", U542="A1-Charizard", U542="A1"), $B$5-XLOOKUP(S542, 'Genetic Apex'!$C$2:$C889, 'Genetic Apex'!$B$2:$B889), U542="A1a", $B$5-XLOOKUP(S542, 'Mythical Island'!$C$2:$C889, 'Mythical Island'!$B$2:$B889), OR(U542="A2-Dialga", U542="A2-Palkia", U542="A2"), $B$5-XLOOKUP(S542, 'Space-Time Smackdown'!$C$2:$C889, 'Space-Time Smackdown'!$B$2:$B889)))</f>
        <v/>
      </c>
      <c r="X542" s="444" t="str">
        <f t="shared" si="3"/>
        <v/>
      </c>
      <c r="Y542" s="445" t="str">
        <f t="shared" si="4"/>
        <v/>
      </c>
      <c r="Z542" s="278"/>
      <c r="AA542" s="466"/>
      <c r="AB542" s="278"/>
      <c r="AC542" s="278"/>
      <c r="AD542" s="278"/>
      <c r="AE542" s="278"/>
      <c r="AF542" s="278"/>
      <c r="AG542" s="278" t="b">
        <f t="shared" si="5"/>
        <v>0</v>
      </c>
      <c r="AH542" s="454"/>
      <c r="AI542" s="278"/>
      <c r="AJ542" s="278"/>
      <c r="AK542" s="278"/>
      <c r="AL542" s="444" t="str">
        <f t="array" ref="AL542">IFERROR(IFS(OR(AJ542="A1-Mewtwo", AJ542="A1-Pikachu", AJ542="A1-Charizard", AJ542="A1"), XLOOKUP(AH542, 'Genetic Apex'!$C$2:$C889, 'Genetic Apex'!$B$2:$B889)-2, AJ542="A1a", XLOOKUP(AH542, 'Mythical Island'!$C$2:$C889, 'Mythical Island'!$B$2:$B889)-2, OR(AJ542="A2-Dialga", AJ542="A2-Palkia", AJ542="A2"), XLOOKUP(AH542, 'Space-Time Smackdown'!$C$2:$C889, 'Space-Time Smackdown'!$B$2:$B889)-2))</f>
        <v/>
      </c>
      <c r="AM542" s="444" t="str">
        <f t="shared" si="6"/>
        <v/>
      </c>
      <c r="AN542" s="448" t="str">
        <f t="shared" si="7"/>
        <v/>
      </c>
    </row>
    <row r="543">
      <c r="A543" s="277"/>
      <c r="B543" s="277"/>
      <c r="C543" s="441"/>
      <c r="D543" s="277"/>
      <c r="E543" s="277"/>
      <c r="F543" s="277"/>
      <c r="G543" s="277"/>
      <c r="H543" s="277" t="b">
        <f t="shared" si="1"/>
        <v>0</v>
      </c>
      <c r="I543" s="277" t="str">
        <f>IFERROR(__xludf.DUMMYFUNCTION("""COMPUTED_VALUE"""),"A2 166")</f>
        <v>A2 166</v>
      </c>
      <c r="J543" s="277" t="str">
        <f>IFERROR(__xludf.DUMMYFUNCTION("""COMPUTED_VALUE"""),"Mesprit")</f>
        <v>Mesprit</v>
      </c>
      <c r="K543" s="277" t="str">
        <f>IFERROR(__xludf.DUMMYFUNCTION("""COMPUTED_VALUE"""),"A2-Dialga")</f>
        <v>A2-Dialga</v>
      </c>
      <c r="L543" s="277" t="str">
        <f>IFERROR(__xludf.DUMMYFUNCTION("""COMPUTED_VALUE"""),"☆")</f>
        <v>☆</v>
      </c>
      <c r="M543" s="440" t="b">
        <f t="shared" si="2"/>
        <v>0</v>
      </c>
      <c r="N543" s="441"/>
      <c r="O543" s="277"/>
      <c r="P543" s="277"/>
      <c r="Q543" s="278"/>
      <c r="R543" s="449" t="str">
        <f t="array" ref="R543">IFERROR(IFS(OR(P543="A1-Mewtwo", P543="A1-Pikachu", P543="A1-Charizard", P543="A1"), XLOOKUP(N543, 'Genetic Apex'!$C$2:$C889, 'Genetic Apex'!$B$2:$B889)-$B$4, P543="A1a", XLOOKUP(N543, 'Mythical Island'!$C$2:$C889, 'Mythical Island'!$B$2:$B889)-$B$4, OR(P543="A2-Dialga", P543="A2-Palkia", P543="A2"), XLOOKUP(N543, 'Space-Time Smackdown'!$C$2:$C889, 'Space-Time Smackdown'!$B$2:$B889)-$B$4))</f>
        <v/>
      </c>
      <c r="S543" s="277"/>
      <c r="T543" s="277"/>
      <c r="U543" s="277"/>
      <c r="V543" s="278"/>
      <c r="W543" s="443" t="str">
        <f t="array" ref="W543">IFERROR(IFS(OR(U543="A1-Mewtwo", U543="A1-Pikachu", U543="A1-Charizard", U543="A1"), $B$5-XLOOKUP(S543, 'Genetic Apex'!$C$2:$C889, 'Genetic Apex'!$B$2:$B889), U543="A1a", $B$5-XLOOKUP(S543, 'Mythical Island'!$C$2:$C889, 'Mythical Island'!$B$2:$B889), OR(U543="A2-Dialga", U543="A2-Palkia", U543="A2"), $B$5-XLOOKUP(S543, 'Space-Time Smackdown'!$C$2:$C889, 'Space-Time Smackdown'!$B$2:$B889)))</f>
        <v/>
      </c>
      <c r="X543" s="444" t="str">
        <f t="shared" si="3"/>
        <v/>
      </c>
      <c r="Y543" s="445" t="str">
        <f t="shared" si="4"/>
        <v/>
      </c>
      <c r="Z543" s="278"/>
      <c r="AA543" s="466"/>
      <c r="AB543" s="278"/>
      <c r="AC543" s="278"/>
      <c r="AD543" s="278"/>
      <c r="AE543" s="278"/>
      <c r="AF543" s="278"/>
      <c r="AG543" s="278" t="b">
        <f t="shared" si="5"/>
        <v>0</v>
      </c>
      <c r="AH543" s="454"/>
      <c r="AI543" s="278"/>
      <c r="AJ543" s="278"/>
      <c r="AK543" s="278"/>
      <c r="AL543" s="444" t="str">
        <f t="array" ref="AL543">IFERROR(IFS(OR(AJ543="A1-Mewtwo", AJ543="A1-Pikachu", AJ543="A1-Charizard", AJ543="A1"), XLOOKUP(AH543, 'Genetic Apex'!$C$2:$C889, 'Genetic Apex'!$B$2:$B889)-2, AJ543="A1a", XLOOKUP(AH543, 'Mythical Island'!$C$2:$C889, 'Mythical Island'!$B$2:$B889)-2, OR(AJ543="A2-Dialga", AJ543="A2-Palkia", AJ543="A2"), XLOOKUP(AH543, 'Space-Time Smackdown'!$C$2:$C889, 'Space-Time Smackdown'!$B$2:$B889)-2))</f>
        <v/>
      </c>
      <c r="AM543" s="444" t="str">
        <f t="shared" si="6"/>
        <v/>
      </c>
      <c r="AN543" s="448" t="str">
        <f t="shared" si="7"/>
        <v/>
      </c>
    </row>
    <row r="544">
      <c r="A544" s="277"/>
      <c r="B544" s="277"/>
      <c r="C544" s="441"/>
      <c r="D544" s="277"/>
      <c r="E544" s="277"/>
      <c r="F544" s="277"/>
      <c r="G544" s="277"/>
      <c r="H544" s="277" t="b">
        <f t="shared" si="1"/>
        <v>0</v>
      </c>
      <c r="I544" s="277" t="str">
        <f>IFERROR(__xludf.DUMMYFUNCTION("""COMPUTED_VALUE"""),"A2 167")</f>
        <v>A2 167</v>
      </c>
      <c r="J544" s="277" t="str">
        <f>IFERROR(__xludf.DUMMYFUNCTION("""COMPUTED_VALUE"""),"Giratina")</f>
        <v>Giratina</v>
      </c>
      <c r="K544" s="277" t="str">
        <f>IFERROR(__xludf.DUMMYFUNCTION("""COMPUTED_VALUE"""),"A2-Palkia")</f>
        <v>A2-Palkia</v>
      </c>
      <c r="L544" s="277" t="str">
        <f>IFERROR(__xludf.DUMMYFUNCTION("""COMPUTED_VALUE"""),"☆")</f>
        <v>☆</v>
      </c>
      <c r="M544" s="440" t="b">
        <f t="shared" si="2"/>
        <v>0</v>
      </c>
      <c r="N544" s="441"/>
      <c r="O544" s="277"/>
      <c r="P544" s="277"/>
      <c r="Q544" s="278"/>
      <c r="R544" s="449" t="str">
        <f t="array" ref="R544">IFERROR(IFS(OR(P544="A1-Mewtwo", P544="A1-Pikachu", P544="A1-Charizard", P544="A1"), XLOOKUP(N544, 'Genetic Apex'!$C$2:$C889, 'Genetic Apex'!$B$2:$B889)-$B$4, P544="A1a", XLOOKUP(N544, 'Mythical Island'!$C$2:$C889, 'Mythical Island'!$B$2:$B889)-$B$4, OR(P544="A2-Dialga", P544="A2-Palkia", P544="A2"), XLOOKUP(N544, 'Space-Time Smackdown'!$C$2:$C889, 'Space-Time Smackdown'!$B$2:$B889)-$B$4))</f>
        <v/>
      </c>
      <c r="S544" s="277"/>
      <c r="T544" s="277"/>
      <c r="U544" s="277"/>
      <c r="V544" s="278"/>
      <c r="W544" s="443" t="str">
        <f t="array" ref="W544">IFERROR(IFS(OR(U544="A1-Mewtwo", U544="A1-Pikachu", U544="A1-Charizard", U544="A1"), $B$5-XLOOKUP(S544, 'Genetic Apex'!$C$2:$C889, 'Genetic Apex'!$B$2:$B889), U544="A1a", $B$5-XLOOKUP(S544, 'Mythical Island'!$C$2:$C889, 'Mythical Island'!$B$2:$B889), OR(U544="A2-Dialga", U544="A2-Palkia", U544="A2"), $B$5-XLOOKUP(S544, 'Space-Time Smackdown'!$C$2:$C889, 'Space-Time Smackdown'!$B$2:$B889)))</f>
        <v/>
      </c>
      <c r="X544" s="444" t="str">
        <f t="shared" si="3"/>
        <v/>
      </c>
      <c r="Y544" s="445" t="str">
        <f t="shared" si="4"/>
        <v/>
      </c>
      <c r="Z544" s="278"/>
      <c r="AA544" s="466"/>
      <c r="AB544" s="278"/>
      <c r="AC544" s="278"/>
      <c r="AD544" s="278"/>
      <c r="AE544" s="278"/>
      <c r="AF544" s="278"/>
      <c r="AG544" s="278" t="b">
        <f t="shared" si="5"/>
        <v>0</v>
      </c>
      <c r="AH544" s="454"/>
      <c r="AI544" s="278"/>
      <c r="AJ544" s="278"/>
      <c r="AK544" s="278"/>
      <c r="AL544" s="444" t="str">
        <f t="array" ref="AL544">IFERROR(IFS(OR(AJ544="A1-Mewtwo", AJ544="A1-Pikachu", AJ544="A1-Charizard", AJ544="A1"), XLOOKUP(AH544, 'Genetic Apex'!$C$2:$C889, 'Genetic Apex'!$B$2:$B889)-2, AJ544="A1a", XLOOKUP(AH544, 'Mythical Island'!$C$2:$C889, 'Mythical Island'!$B$2:$B889)-2, OR(AJ544="A2-Dialga", AJ544="A2-Palkia", AJ544="A2"), XLOOKUP(AH544, 'Space-Time Smackdown'!$C$2:$C889, 'Space-Time Smackdown'!$B$2:$B889)-2))</f>
        <v/>
      </c>
      <c r="AM544" s="444" t="str">
        <f t="shared" si="6"/>
        <v/>
      </c>
      <c r="AN544" s="448" t="str">
        <f t="shared" si="7"/>
        <v/>
      </c>
    </row>
    <row r="545">
      <c r="A545" s="277"/>
      <c r="B545" s="277"/>
      <c r="C545" s="441"/>
      <c r="D545" s="277"/>
      <c r="E545" s="277"/>
      <c r="F545" s="277"/>
      <c r="G545" s="277"/>
      <c r="H545" s="277" t="b">
        <f t="shared" si="1"/>
        <v>0</v>
      </c>
      <c r="I545" s="277" t="str">
        <f>IFERROR(__xludf.DUMMYFUNCTION("""COMPUTED_VALUE"""),"A2 168")</f>
        <v>A2 168</v>
      </c>
      <c r="J545" s="277" t="str">
        <f>IFERROR(__xludf.DUMMYFUNCTION("""COMPUTED_VALUE"""),"Cresselia")</f>
        <v>Cresselia</v>
      </c>
      <c r="K545" s="277" t="str">
        <f>IFERROR(__xludf.DUMMYFUNCTION("""COMPUTED_VALUE"""),"A2-Palkia")</f>
        <v>A2-Palkia</v>
      </c>
      <c r="L545" s="277" t="str">
        <f>IFERROR(__xludf.DUMMYFUNCTION("""COMPUTED_VALUE"""),"☆")</f>
        <v>☆</v>
      </c>
      <c r="M545" s="440" t="b">
        <f t="shared" si="2"/>
        <v>0</v>
      </c>
      <c r="N545" s="441"/>
      <c r="O545" s="277"/>
      <c r="P545" s="277"/>
      <c r="Q545" s="278"/>
      <c r="R545" s="449" t="str">
        <f t="array" ref="R545">IFERROR(IFS(OR(P545="A1-Mewtwo", P545="A1-Pikachu", P545="A1-Charizard", P545="A1"), XLOOKUP(N545, 'Genetic Apex'!$C$2:$C889, 'Genetic Apex'!$B$2:$B889)-$B$4, P545="A1a", XLOOKUP(N545, 'Mythical Island'!$C$2:$C889, 'Mythical Island'!$B$2:$B889)-$B$4, OR(P545="A2-Dialga", P545="A2-Palkia", P545="A2"), XLOOKUP(N545, 'Space-Time Smackdown'!$C$2:$C889, 'Space-Time Smackdown'!$B$2:$B889)-$B$4))</f>
        <v/>
      </c>
      <c r="S545" s="277"/>
      <c r="T545" s="277"/>
      <c r="U545" s="277"/>
      <c r="V545" s="278"/>
      <c r="W545" s="443" t="str">
        <f t="array" ref="W545">IFERROR(IFS(OR(U545="A1-Mewtwo", U545="A1-Pikachu", U545="A1-Charizard", U545="A1"), $B$5-XLOOKUP(S545, 'Genetic Apex'!$C$2:$C889, 'Genetic Apex'!$B$2:$B889), U545="A1a", $B$5-XLOOKUP(S545, 'Mythical Island'!$C$2:$C889, 'Mythical Island'!$B$2:$B889), OR(U545="A2-Dialga", U545="A2-Palkia", U545="A2"), $B$5-XLOOKUP(S545, 'Space-Time Smackdown'!$C$2:$C889, 'Space-Time Smackdown'!$B$2:$B889)))</f>
        <v/>
      </c>
      <c r="X545" s="444" t="str">
        <f t="shared" si="3"/>
        <v/>
      </c>
      <c r="Y545" s="445" t="str">
        <f t="shared" si="4"/>
        <v/>
      </c>
      <c r="Z545" s="278"/>
      <c r="AA545" s="466"/>
      <c r="AB545" s="278"/>
      <c r="AC545" s="278"/>
      <c r="AD545" s="278"/>
      <c r="AE545" s="278"/>
      <c r="AF545" s="278"/>
      <c r="AG545" s="278" t="b">
        <f t="shared" si="5"/>
        <v>0</v>
      </c>
      <c r="AH545" s="454"/>
      <c r="AI545" s="278"/>
      <c r="AJ545" s="278"/>
      <c r="AK545" s="278"/>
      <c r="AL545" s="444" t="str">
        <f t="array" ref="AL545">IFERROR(IFS(OR(AJ545="A1-Mewtwo", AJ545="A1-Pikachu", AJ545="A1-Charizard", AJ545="A1"), XLOOKUP(AH545, 'Genetic Apex'!$C$2:$C889, 'Genetic Apex'!$B$2:$B889)-2, AJ545="A1a", XLOOKUP(AH545, 'Mythical Island'!$C$2:$C889, 'Mythical Island'!$B$2:$B889)-2, OR(AJ545="A2-Dialga", AJ545="A2-Palkia", AJ545="A2"), XLOOKUP(AH545, 'Space-Time Smackdown'!$C$2:$C889, 'Space-Time Smackdown'!$B$2:$B889)-2))</f>
        <v/>
      </c>
      <c r="AM545" s="444" t="str">
        <f t="shared" si="6"/>
        <v/>
      </c>
      <c r="AN545" s="448" t="str">
        <f t="shared" si="7"/>
        <v/>
      </c>
    </row>
    <row r="546">
      <c r="A546" s="277"/>
      <c r="B546" s="277"/>
      <c r="C546" s="441"/>
      <c r="D546" s="277"/>
      <c r="E546" s="277"/>
      <c r="F546" s="277"/>
      <c r="G546" s="277"/>
      <c r="H546" s="277" t="b">
        <f t="shared" si="1"/>
        <v>0</v>
      </c>
      <c r="I546" s="277" t="str">
        <f>IFERROR(__xludf.DUMMYFUNCTION("""COMPUTED_VALUE"""),"A2 169")</f>
        <v>A2 169</v>
      </c>
      <c r="J546" s="277" t="str">
        <f>IFERROR(__xludf.DUMMYFUNCTION("""COMPUTED_VALUE"""),"Rhyperior")</f>
        <v>Rhyperior</v>
      </c>
      <c r="K546" s="277" t="str">
        <f>IFERROR(__xludf.DUMMYFUNCTION("""COMPUTED_VALUE"""),"A2-Palkia")</f>
        <v>A2-Palkia</v>
      </c>
      <c r="L546" s="277" t="str">
        <f>IFERROR(__xludf.DUMMYFUNCTION("""COMPUTED_VALUE"""),"☆")</f>
        <v>☆</v>
      </c>
      <c r="M546" s="440" t="b">
        <f t="shared" si="2"/>
        <v>0</v>
      </c>
      <c r="N546" s="441"/>
      <c r="O546" s="277"/>
      <c r="P546" s="277"/>
      <c r="Q546" s="278"/>
      <c r="R546" s="449" t="str">
        <f t="array" ref="R546">IFERROR(IFS(OR(P546="A1-Mewtwo", P546="A1-Pikachu", P546="A1-Charizard", P546="A1"), XLOOKUP(N546, 'Genetic Apex'!$C$2:$C889, 'Genetic Apex'!$B$2:$B889)-$B$4, P546="A1a", XLOOKUP(N546, 'Mythical Island'!$C$2:$C889, 'Mythical Island'!$B$2:$B889)-$B$4, OR(P546="A2-Dialga", P546="A2-Palkia", P546="A2"), XLOOKUP(N546, 'Space-Time Smackdown'!$C$2:$C889, 'Space-Time Smackdown'!$B$2:$B889)-$B$4))</f>
        <v/>
      </c>
      <c r="S546" s="277"/>
      <c r="T546" s="277"/>
      <c r="U546" s="277"/>
      <c r="V546" s="278"/>
      <c r="W546" s="443" t="str">
        <f t="array" ref="W546">IFERROR(IFS(OR(U546="A1-Mewtwo", U546="A1-Pikachu", U546="A1-Charizard", U546="A1"), $B$5-XLOOKUP(S546, 'Genetic Apex'!$C$2:$C889, 'Genetic Apex'!$B$2:$B889), U546="A1a", $B$5-XLOOKUP(S546, 'Mythical Island'!$C$2:$C889, 'Mythical Island'!$B$2:$B889), OR(U546="A2-Dialga", U546="A2-Palkia", U546="A2"), $B$5-XLOOKUP(S546, 'Space-Time Smackdown'!$C$2:$C889, 'Space-Time Smackdown'!$B$2:$B889)))</f>
        <v/>
      </c>
      <c r="X546" s="444" t="str">
        <f t="shared" si="3"/>
        <v/>
      </c>
      <c r="Y546" s="445" t="str">
        <f t="shared" si="4"/>
        <v/>
      </c>
      <c r="Z546" s="278"/>
      <c r="AA546" s="466"/>
      <c r="AB546" s="278"/>
      <c r="AC546" s="278"/>
      <c r="AD546" s="278"/>
      <c r="AE546" s="278"/>
      <c r="AF546" s="278"/>
      <c r="AG546" s="278" t="b">
        <f t="shared" si="5"/>
        <v>0</v>
      </c>
      <c r="AH546" s="454"/>
      <c r="AI546" s="278"/>
      <c r="AJ546" s="278"/>
      <c r="AK546" s="278"/>
      <c r="AL546" s="444" t="str">
        <f t="array" ref="AL546">IFERROR(IFS(OR(AJ546="A1-Mewtwo", AJ546="A1-Pikachu", AJ546="A1-Charizard", AJ546="A1"), XLOOKUP(AH546, 'Genetic Apex'!$C$2:$C889, 'Genetic Apex'!$B$2:$B889)-2, AJ546="A1a", XLOOKUP(AH546, 'Mythical Island'!$C$2:$C889, 'Mythical Island'!$B$2:$B889)-2, OR(AJ546="A2-Dialga", AJ546="A2-Palkia", AJ546="A2"), XLOOKUP(AH546, 'Space-Time Smackdown'!$C$2:$C889, 'Space-Time Smackdown'!$B$2:$B889)-2))</f>
        <v/>
      </c>
      <c r="AM546" s="444" t="str">
        <f t="shared" si="6"/>
        <v/>
      </c>
      <c r="AN546" s="448" t="str">
        <f t="shared" si="7"/>
        <v/>
      </c>
    </row>
    <row r="547">
      <c r="A547" s="277"/>
      <c r="B547" s="277"/>
      <c r="C547" s="441"/>
      <c r="D547" s="277"/>
      <c r="E547" s="277"/>
      <c r="F547" s="277"/>
      <c r="G547" s="277"/>
      <c r="H547" s="277" t="b">
        <f t="shared" si="1"/>
        <v>0</v>
      </c>
      <c r="I547" s="277" t="str">
        <f>IFERROR(__xludf.DUMMYFUNCTION("""COMPUTED_VALUE"""),"A2 170")</f>
        <v>A2 170</v>
      </c>
      <c r="J547" s="277" t="str">
        <f>IFERROR(__xludf.DUMMYFUNCTION("""COMPUTED_VALUE"""),"Lucario")</f>
        <v>Lucario</v>
      </c>
      <c r="K547" s="277" t="str">
        <f>IFERROR(__xludf.DUMMYFUNCTION("""COMPUTED_VALUE"""),"A2-Dialga")</f>
        <v>A2-Dialga</v>
      </c>
      <c r="L547" s="277" t="str">
        <f>IFERROR(__xludf.DUMMYFUNCTION("""COMPUTED_VALUE"""),"☆")</f>
        <v>☆</v>
      </c>
      <c r="M547" s="440" t="b">
        <f t="shared" si="2"/>
        <v>0</v>
      </c>
      <c r="N547" s="441"/>
      <c r="O547" s="277"/>
      <c r="P547" s="277"/>
      <c r="Q547" s="278"/>
      <c r="R547" s="449" t="str">
        <f t="array" ref="R547">IFERROR(IFS(OR(P547="A1-Mewtwo", P547="A1-Pikachu", P547="A1-Charizard", P547="A1"), XLOOKUP(N547, 'Genetic Apex'!$C$2:$C889, 'Genetic Apex'!$B$2:$B889)-$B$4, P547="A1a", XLOOKUP(N547, 'Mythical Island'!$C$2:$C889, 'Mythical Island'!$B$2:$B889)-$B$4, OR(P547="A2-Dialga", P547="A2-Palkia", P547="A2"), XLOOKUP(N547, 'Space-Time Smackdown'!$C$2:$C889, 'Space-Time Smackdown'!$B$2:$B889)-$B$4))</f>
        <v/>
      </c>
      <c r="S547" s="277"/>
      <c r="T547" s="277"/>
      <c r="U547" s="277"/>
      <c r="V547" s="278"/>
      <c r="W547" s="443" t="str">
        <f t="array" ref="W547">IFERROR(IFS(OR(U547="A1-Mewtwo", U547="A1-Pikachu", U547="A1-Charizard", U547="A1"), $B$5-XLOOKUP(S547, 'Genetic Apex'!$C$2:$C889, 'Genetic Apex'!$B$2:$B889), U547="A1a", $B$5-XLOOKUP(S547, 'Mythical Island'!$C$2:$C889, 'Mythical Island'!$B$2:$B889), OR(U547="A2-Dialga", U547="A2-Palkia", U547="A2"), $B$5-XLOOKUP(S547, 'Space-Time Smackdown'!$C$2:$C889, 'Space-Time Smackdown'!$B$2:$B889)))</f>
        <v/>
      </c>
      <c r="X547" s="444" t="str">
        <f t="shared" si="3"/>
        <v/>
      </c>
      <c r="Y547" s="445" t="str">
        <f t="shared" si="4"/>
        <v/>
      </c>
      <c r="Z547" s="278"/>
      <c r="AA547" s="466"/>
      <c r="AB547" s="278"/>
      <c r="AC547" s="278"/>
      <c r="AD547" s="278"/>
      <c r="AE547" s="278"/>
      <c r="AF547" s="278"/>
      <c r="AG547" s="278" t="b">
        <f t="shared" si="5"/>
        <v>0</v>
      </c>
      <c r="AH547" s="454"/>
      <c r="AI547" s="278"/>
      <c r="AJ547" s="278"/>
      <c r="AK547" s="278"/>
      <c r="AL547" s="444" t="str">
        <f t="array" ref="AL547">IFERROR(IFS(OR(AJ547="A1-Mewtwo", AJ547="A1-Pikachu", AJ547="A1-Charizard", AJ547="A1"), XLOOKUP(AH547, 'Genetic Apex'!$C$2:$C889, 'Genetic Apex'!$B$2:$B889)-2, AJ547="A1a", XLOOKUP(AH547, 'Mythical Island'!$C$2:$C889, 'Mythical Island'!$B$2:$B889)-2, OR(AJ547="A2-Dialga", AJ547="A2-Palkia", AJ547="A2"), XLOOKUP(AH547, 'Space-Time Smackdown'!$C$2:$C889, 'Space-Time Smackdown'!$B$2:$B889)-2))</f>
        <v/>
      </c>
      <c r="AM547" s="444" t="str">
        <f t="shared" si="6"/>
        <v/>
      </c>
      <c r="AN547" s="448" t="str">
        <f t="shared" si="7"/>
        <v/>
      </c>
    </row>
    <row r="548">
      <c r="A548" s="277"/>
      <c r="B548" s="277"/>
      <c r="C548" s="441"/>
      <c r="D548" s="277"/>
      <c r="E548" s="277"/>
      <c r="F548" s="277"/>
      <c r="G548" s="277"/>
      <c r="H548" s="277" t="b">
        <f t="shared" si="1"/>
        <v>0</v>
      </c>
      <c r="I548" s="277" t="str">
        <f>IFERROR(__xludf.DUMMYFUNCTION("""COMPUTED_VALUE"""),"A2 171")</f>
        <v>A2 171</v>
      </c>
      <c r="J548" s="277" t="str">
        <f>IFERROR(__xludf.DUMMYFUNCTION("""COMPUTED_VALUE"""),"Hippopotas")</f>
        <v>Hippopotas</v>
      </c>
      <c r="K548" s="277" t="str">
        <f>IFERROR(__xludf.DUMMYFUNCTION("""COMPUTED_VALUE"""),"A2-Palkia")</f>
        <v>A2-Palkia</v>
      </c>
      <c r="L548" s="277" t="str">
        <f>IFERROR(__xludf.DUMMYFUNCTION("""COMPUTED_VALUE"""),"☆")</f>
        <v>☆</v>
      </c>
      <c r="M548" s="440" t="b">
        <f t="shared" si="2"/>
        <v>0</v>
      </c>
      <c r="N548" s="441"/>
      <c r="O548" s="277"/>
      <c r="P548" s="277"/>
      <c r="Q548" s="278"/>
      <c r="R548" s="449" t="str">
        <f t="array" ref="R548">IFERROR(IFS(OR(P548="A1-Mewtwo", P548="A1-Pikachu", P548="A1-Charizard", P548="A1"), XLOOKUP(N548, 'Genetic Apex'!$C$2:$C889, 'Genetic Apex'!$B$2:$B889)-$B$4, P548="A1a", XLOOKUP(N548, 'Mythical Island'!$C$2:$C889, 'Mythical Island'!$B$2:$B889)-$B$4, OR(P548="A2-Dialga", P548="A2-Palkia", P548="A2"), XLOOKUP(N548, 'Space-Time Smackdown'!$C$2:$C889, 'Space-Time Smackdown'!$B$2:$B889)-$B$4))</f>
        <v/>
      </c>
      <c r="S548" s="277"/>
      <c r="T548" s="277"/>
      <c r="U548" s="277"/>
      <c r="V548" s="278"/>
      <c r="W548" s="443" t="str">
        <f t="array" ref="W548">IFERROR(IFS(OR(U548="A1-Mewtwo", U548="A1-Pikachu", U548="A1-Charizard", U548="A1"), $B$5-XLOOKUP(S548, 'Genetic Apex'!$C$2:$C889, 'Genetic Apex'!$B$2:$B889), U548="A1a", $B$5-XLOOKUP(S548, 'Mythical Island'!$C$2:$C889, 'Mythical Island'!$B$2:$B889), OR(U548="A2-Dialga", U548="A2-Palkia", U548="A2"), $B$5-XLOOKUP(S548, 'Space-Time Smackdown'!$C$2:$C889, 'Space-Time Smackdown'!$B$2:$B889)))</f>
        <v/>
      </c>
      <c r="X548" s="444" t="str">
        <f t="shared" si="3"/>
        <v/>
      </c>
      <c r="Y548" s="445" t="str">
        <f t="shared" si="4"/>
        <v/>
      </c>
      <c r="Z548" s="278"/>
      <c r="AA548" s="466"/>
      <c r="AB548" s="278"/>
      <c r="AC548" s="278"/>
      <c r="AD548" s="278"/>
      <c r="AE548" s="278"/>
      <c r="AF548" s="278"/>
      <c r="AG548" s="278" t="b">
        <f t="shared" si="5"/>
        <v>0</v>
      </c>
      <c r="AH548" s="454"/>
      <c r="AI548" s="278"/>
      <c r="AJ548" s="278"/>
      <c r="AK548" s="278"/>
      <c r="AL548" s="444" t="str">
        <f t="array" ref="AL548">IFERROR(IFS(OR(AJ548="A1-Mewtwo", AJ548="A1-Pikachu", AJ548="A1-Charizard", AJ548="A1"), XLOOKUP(AH548, 'Genetic Apex'!$C$2:$C889, 'Genetic Apex'!$B$2:$B889)-2, AJ548="A1a", XLOOKUP(AH548, 'Mythical Island'!$C$2:$C889, 'Mythical Island'!$B$2:$B889)-2, OR(AJ548="A2-Dialga", AJ548="A2-Palkia", AJ548="A2"), XLOOKUP(AH548, 'Space-Time Smackdown'!$C$2:$C889, 'Space-Time Smackdown'!$B$2:$B889)-2))</f>
        <v/>
      </c>
      <c r="AM548" s="444" t="str">
        <f t="shared" si="6"/>
        <v/>
      </c>
      <c r="AN548" s="448" t="str">
        <f t="shared" si="7"/>
        <v/>
      </c>
    </row>
    <row r="549">
      <c r="A549" s="277"/>
      <c r="B549" s="277"/>
      <c r="C549" s="441"/>
      <c r="D549" s="277"/>
      <c r="E549" s="277"/>
      <c r="F549" s="277"/>
      <c r="G549" s="277"/>
      <c r="H549" s="277" t="b">
        <f t="shared" si="1"/>
        <v>0</v>
      </c>
      <c r="I549" s="277" t="str">
        <f>IFERROR(__xludf.DUMMYFUNCTION("""COMPUTED_VALUE"""),"A2 172")</f>
        <v>A2 172</v>
      </c>
      <c r="J549" s="277" t="str">
        <f>IFERROR(__xludf.DUMMYFUNCTION("""COMPUTED_VALUE"""),"Spiritomb")</f>
        <v>Spiritomb</v>
      </c>
      <c r="K549" s="277" t="str">
        <f>IFERROR(__xludf.DUMMYFUNCTION("""COMPUTED_VALUE"""),"A2-Palkia")</f>
        <v>A2-Palkia</v>
      </c>
      <c r="L549" s="277" t="str">
        <f>IFERROR(__xludf.DUMMYFUNCTION("""COMPUTED_VALUE"""),"☆")</f>
        <v>☆</v>
      </c>
      <c r="M549" s="440" t="b">
        <f t="shared" si="2"/>
        <v>0</v>
      </c>
      <c r="N549" s="441"/>
      <c r="O549" s="277"/>
      <c r="P549" s="277"/>
      <c r="Q549" s="278"/>
      <c r="R549" s="449" t="str">
        <f t="array" ref="R549">IFERROR(IFS(OR(P549="A1-Mewtwo", P549="A1-Pikachu", P549="A1-Charizard", P549="A1"), XLOOKUP(N549, 'Genetic Apex'!$C$2:$C889, 'Genetic Apex'!$B$2:$B889)-$B$4, P549="A1a", XLOOKUP(N549, 'Mythical Island'!$C$2:$C889, 'Mythical Island'!$B$2:$B889)-$B$4, OR(P549="A2-Dialga", P549="A2-Palkia", P549="A2"), XLOOKUP(N549, 'Space-Time Smackdown'!$C$2:$C889, 'Space-Time Smackdown'!$B$2:$B889)-$B$4))</f>
        <v/>
      </c>
      <c r="S549" s="277"/>
      <c r="T549" s="277"/>
      <c r="U549" s="277"/>
      <c r="V549" s="278"/>
      <c r="W549" s="443" t="str">
        <f t="array" ref="W549">IFERROR(IFS(OR(U549="A1-Mewtwo", U549="A1-Pikachu", U549="A1-Charizard", U549="A1"), $B$5-XLOOKUP(S549, 'Genetic Apex'!$C$2:$C889, 'Genetic Apex'!$B$2:$B889), U549="A1a", $B$5-XLOOKUP(S549, 'Mythical Island'!$C$2:$C889, 'Mythical Island'!$B$2:$B889), OR(U549="A2-Dialga", U549="A2-Palkia", U549="A2"), $B$5-XLOOKUP(S549, 'Space-Time Smackdown'!$C$2:$C889, 'Space-Time Smackdown'!$B$2:$B889)))</f>
        <v/>
      </c>
      <c r="X549" s="444" t="str">
        <f t="shared" si="3"/>
        <v/>
      </c>
      <c r="Y549" s="445" t="str">
        <f t="shared" si="4"/>
        <v/>
      </c>
      <c r="Z549" s="278"/>
      <c r="AA549" s="466"/>
      <c r="AB549" s="278"/>
      <c r="AC549" s="278"/>
      <c r="AD549" s="278"/>
      <c r="AE549" s="278"/>
      <c r="AF549" s="278"/>
      <c r="AG549" s="278" t="b">
        <f t="shared" si="5"/>
        <v>0</v>
      </c>
      <c r="AH549" s="454"/>
      <c r="AI549" s="278"/>
      <c r="AJ549" s="278"/>
      <c r="AK549" s="278"/>
      <c r="AL549" s="444" t="str">
        <f t="array" ref="AL549">IFERROR(IFS(OR(AJ549="A1-Mewtwo", AJ549="A1-Pikachu", AJ549="A1-Charizard", AJ549="A1"), XLOOKUP(AH549, 'Genetic Apex'!$C$2:$C889, 'Genetic Apex'!$B$2:$B889)-2, AJ549="A1a", XLOOKUP(AH549, 'Mythical Island'!$C$2:$C889, 'Mythical Island'!$B$2:$B889)-2, OR(AJ549="A2-Dialga", AJ549="A2-Palkia", AJ549="A2"), XLOOKUP(AH549, 'Space-Time Smackdown'!$C$2:$C889, 'Space-Time Smackdown'!$B$2:$B889)-2))</f>
        <v/>
      </c>
      <c r="AM549" s="444" t="str">
        <f t="shared" si="6"/>
        <v/>
      </c>
      <c r="AN549" s="448" t="str">
        <f t="shared" si="7"/>
        <v/>
      </c>
    </row>
    <row r="550">
      <c r="A550" s="277"/>
      <c r="B550" s="277"/>
      <c r="C550" s="441"/>
      <c r="D550" s="277"/>
      <c r="E550" s="277"/>
      <c r="F550" s="277"/>
      <c r="G550" s="277"/>
      <c r="H550" s="277" t="b">
        <f t="shared" si="1"/>
        <v>0</v>
      </c>
      <c r="I550" s="277" t="str">
        <f>IFERROR(__xludf.DUMMYFUNCTION("""COMPUTED_VALUE"""),"A2 173")</f>
        <v>A2 173</v>
      </c>
      <c r="J550" s="277" t="str">
        <f>IFERROR(__xludf.DUMMYFUNCTION("""COMPUTED_VALUE"""),"Croagunk")</f>
        <v>Croagunk</v>
      </c>
      <c r="K550" s="277" t="str">
        <f>IFERROR(__xludf.DUMMYFUNCTION("""COMPUTED_VALUE"""),"A2-Dialga")</f>
        <v>A2-Dialga</v>
      </c>
      <c r="L550" s="277" t="str">
        <f>IFERROR(__xludf.DUMMYFUNCTION("""COMPUTED_VALUE"""),"☆")</f>
        <v>☆</v>
      </c>
      <c r="M550" s="440" t="b">
        <f t="shared" si="2"/>
        <v>0</v>
      </c>
      <c r="N550" s="441"/>
      <c r="O550" s="277"/>
      <c r="P550" s="277"/>
      <c r="Q550" s="278"/>
      <c r="R550" s="449" t="str">
        <f t="array" ref="R550">IFERROR(IFS(OR(P550="A1-Mewtwo", P550="A1-Pikachu", P550="A1-Charizard", P550="A1"), XLOOKUP(N550, 'Genetic Apex'!$C$2:$C889, 'Genetic Apex'!$B$2:$B889)-$B$4, P550="A1a", XLOOKUP(N550, 'Mythical Island'!$C$2:$C889, 'Mythical Island'!$B$2:$B889)-$B$4, OR(P550="A2-Dialga", P550="A2-Palkia", P550="A2"), XLOOKUP(N550, 'Space-Time Smackdown'!$C$2:$C889, 'Space-Time Smackdown'!$B$2:$B889)-$B$4))</f>
        <v/>
      </c>
      <c r="S550" s="277"/>
      <c r="T550" s="277"/>
      <c r="U550" s="277"/>
      <c r="V550" s="278"/>
      <c r="W550" s="443" t="str">
        <f t="array" ref="W550">IFERROR(IFS(OR(U550="A1-Mewtwo", U550="A1-Pikachu", U550="A1-Charizard", U550="A1"), $B$5-XLOOKUP(S550, 'Genetic Apex'!$C$2:$C889, 'Genetic Apex'!$B$2:$B889), U550="A1a", $B$5-XLOOKUP(S550, 'Mythical Island'!$C$2:$C889, 'Mythical Island'!$B$2:$B889), OR(U550="A2-Dialga", U550="A2-Palkia", U550="A2"), $B$5-XLOOKUP(S550, 'Space-Time Smackdown'!$C$2:$C889, 'Space-Time Smackdown'!$B$2:$B889)))</f>
        <v/>
      </c>
      <c r="X550" s="444" t="str">
        <f t="shared" si="3"/>
        <v/>
      </c>
      <c r="Y550" s="445" t="str">
        <f t="shared" si="4"/>
        <v/>
      </c>
      <c r="Z550" s="278"/>
      <c r="AA550" s="466"/>
      <c r="AB550" s="278"/>
      <c r="AC550" s="278"/>
      <c r="AD550" s="278"/>
      <c r="AE550" s="278"/>
      <c r="AF550" s="278"/>
      <c r="AG550" s="278" t="b">
        <f t="shared" si="5"/>
        <v>0</v>
      </c>
      <c r="AH550" s="454"/>
      <c r="AI550" s="278"/>
      <c r="AJ550" s="278"/>
      <c r="AK550" s="278"/>
      <c r="AL550" s="444" t="str">
        <f t="array" ref="AL550">IFERROR(IFS(OR(AJ550="A1-Mewtwo", AJ550="A1-Pikachu", AJ550="A1-Charizard", AJ550="A1"), XLOOKUP(AH550, 'Genetic Apex'!$C$2:$C889, 'Genetic Apex'!$B$2:$B889)-2, AJ550="A1a", XLOOKUP(AH550, 'Mythical Island'!$C$2:$C889, 'Mythical Island'!$B$2:$B889)-2, OR(AJ550="A2-Dialga", AJ550="A2-Palkia", AJ550="A2"), XLOOKUP(AH550, 'Space-Time Smackdown'!$C$2:$C889, 'Space-Time Smackdown'!$B$2:$B889)-2))</f>
        <v/>
      </c>
      <c r="AM550" s="444" t="str">
        <f t="shared" si="6"/>
        <v/>
      </c>
      <c r="AN550" s="448" t="str">
        <f t="shared" si="7"/>
        <v/>
      </c>
    </row>
    <row r="551">
      <c r="A551" s="277"/>
      <c r="B551" s="277"/>
      <c r="C551" s="441"/>
      <c r="D551" s="277"/>
      <c r="E551" s="277"/>
      <c r="F551" s="277"/>
      <c r="G551" s="277"/>
      <c r="H551" s="277" t="b">
        <f t="shared" si="1"/>
        <v>0</v>
      </c>
      <c r="I551" s="277" t="str">
        <f>IFERROR(__xludf.DUMMYFUNCTION("""COMPUTED_VALUE"""),"A2 174")</f>
        <v>A2 174</v>
      </c>
      <c r="J551" s="277" t="str">
        <f>IFERROR(__xludf.DUMMYFUNCTION("""COMPUTED_VALUE"""),"Heatran")</f>
        <v>Heatran</v>
      </c>
      <c r="K551" s="277" t="str">
        <f>IFERROR(__xludf.DUMMYFUNCTION("""COMPUTED_VALUE"""),"A2-Dialga")</f>
        <v>A2-Dialga</v>
      </c>
      <c r="L551" s="277" t="str">
        <f>IFERROR(__xludf.DUMMYFUNCTION("""COMPUTED_VALUE"""),"☆")</f>
        <v>☆</v>
      </c>
      <c r="M551" s="440" t="b">
        <f t="shared" si="2"/>
        <v>0</v>
      </c>
      <c r="N551" s="441"/>
      <c r="O551" s="277"/>
      <c r="P551" s="277"/>
      <c r="Q551" s="278"/>
      <c r="R551" s="449" t="str">
        <f t="array" ref="R551">IFERROR(IFS(OR(P551="A1-Mewtwo", P551="A1-Pikachu", P551="A1-Charizard", P551="A1"), XLOOKUP(N551, 'Genetic Apex'!$C$2:$C889, 'Genetic Apex'!$B$2:$B889)-$B$4, P551="A1a", XLOOKUP(N551, 'Mythical Island'!$C$2:$C889, 'Mythical Island'!$B$2:$B889)-$B$4, OR(P551="A2-Dialga", P551="A2-Palkia", P551="A2"), XLOOKUP(N551, 'Space-Time Smackdown'!$C$2:$C889, 'Space-Time Smackdown'!$B$2:$B889)-$B$4))</f>
        <v/>
      </c>
      <c r="S551" s="277"/>
      <c r="T551" s="277"/>
      <c r="U551" s="277"/>
      <c r="V551" s="278"/>
      <c r="W551" s="443" t="str">
        <f t="array" ref="W551">IFERROR(IFS(OR(U551="A1-Mewtwo", U551="A1-Pikachu", U551="A1-Charizard", U551="A1"), $B$5-XLOOKUP(S551, 'Genetic Apex'!$C$2:$C889, 'Genetic Apex'!$B$2:$B889), U551="A1a", $B$5-XLOOKUP(S551, 'Mythical Island'!$C$2:$C889, 'Mythical Island'!$B$2:$B889), OR(U551="A2-Dialga", U551="A2-Palkia", U551="A2"), $B$5-XLOOKUP(S551, 'Space-Time Smackdown'!$C$2:$C889, 'Space-Time Smackdown'!$B$2:$B889)))</f>
        <v/>
      </c>
      <c r="X551" s="444" t="str">
        <f t="shared" si="3"/>
        <v/>
      </c>
      <c r="Y551" s="445" t="str">
        <f t="shared" si="4"/>
        <v/>
      </c>
      <c r="Z551" s="278"/>
      <c r="AA551" s="466"/>
      <c r="AB551" s="278"/>
      <c r="AC551" s="278"/>
      <c r="AD551" s="278"/>
      <c r="AE551" s="278"/>
      <c r="AF551" s="278"/>
      <c r="AG551" s="278" t="b">
        <f t="shared" si="5"/>
        <v>0</v>
      </c>
      <c r="AH551" s="454"/>
      <c r="AI551" s="278"/>
      <c r="AJ551" s="278"/>
      <c r="AK551" s="278"/>
      <c r="AL551" s="444" t="str">
        <f t="array" ref="AL551">IFERROR(IFS(OR(AJ551="A1-Mewtwo", AJ551="A1-Pikachu", AJ551="A1-Charizard", AJ551="A1"), XLOOKUP(AH551, 'Genetic Apex'!$C$2:$C889, 'Genetic Apex'!$B$2:$B889)-2, AJ551="A1a", XLOOKUP(AH551, 'Mythical Island'!$C$2:$C889, 'Mythical Island'!$B$2:$B889)-2, OR(AJ551="A2-Dialga", AJ551="A2-Palkia", AJ551="A2"), XLOOKUP(AH551, 'Space-Time Smackdown'!$C$2:$C889, 'Space-Time Smackdown'!$B$2:$B889)-2))</f>
        <v/>
      </c>
      <c r="AM551" s="444" t="str">
        <f t="shared" si="6"/>
        <v/>
      </c>
      <c r="AN551" s="448" t="str">
        <f t="shared" si="7"/>
        <v/>
      </c>
    </row>
    <row r="552">
      <c r="A552" s="277"/>
      <c r="B552" s="277"/>
      <c r="C552" s="441"/>
      <c r="D552" s="277"/>
      <c r="E552" s="277"/>
      <c r="F552" s="277"/>
      <c r="G552" s="277"/>
      <c r="H552" s="277" t="b">
        <f t="shared" si="1"/>
        <v>0</v>
      </c>
      <c r="I552" s="277" t="str">
        <f>IFERROR(__xludf.DUMMYFUNCTION("""COMPUTED_VALUE"""),"A2 175")</f>
        <v>A2 175</v>
      </c>
      <c r="J552" s="277" t="str">
        <f>IFERROR(__xludf.DUMMYFUNCTION("""COMPUTED_VALUE"""),"Garchomp")</f>
        <v>Garchomp</v>
      </c>
      <c r="K552" s="277" t="str">
        <f>IFERROR(__xludf.DUMMYFUNCTION("""COMPUTED_VALUE"""),"A2-Palkia")</f>
        <v>A2-Palkia</v>
      </c>
      <c r="L552" s="277" t="str">
        <f>IFERROR(__xludf.DUMMYFUNCTION("""COMPUTED_VALUE"""),"☆")</f>
        <v>☆</v>
      </c>
      <c r="M552" s="440" t="b">
        <f t="shared" si="2"/>
        <v>0</v>
      </c>
      <c r="N552" s="441"/>
      <c r="O552" s="277"/>
      <c r="P552" s="277"/>
      <c r="Q552" s="278"/>
      <c r="R552" s="449" t="str">
        <f t="array" ref="R552">IFERROR(IFS(OR(P552="A1-Mewtwo", P552="A1-Pikachu", P552="A1-Charizard", P552="A1"), XLOOKUP(N552, 'Genetic Apex'!$C$2:$C889, 'Genetic Apex'!$B$2:$B889)-$B$4, P552="A1a", XLOOKUP(N552, 'Mythical Island'!$C$2:$C889, 'Mythical Island'!$B$2:$B889)-$B$4, OR(P552="A2-Dialga", P552="A2-Palkia", P552="A2"), XLOOKUP(N552, 'Space-Time Smackdown'!$C$2:$C889, 'Space-Time Smackdown'!$B$2:$B889)-$B$4))</f>
        <v/>
      </c>
      <c r="S552" s="277"/>
      <c r="T552" s="277"/>
      <c r="U552" s="277"/>
      <c r="V552" s="278"/>
      <c r="W552" s="443" t="str">
        <f t="array" ref="W552">IFERROR(IFS(OR(U552="A1-Mewtwo", U552="A1-Pikachu", U552="A1-Charizard", U552="A1"), $B$5-XLOOKUP(S552, 'Genetic Apex'!$C$2:$C889, 'Genetic Apex'!$B$2:$B889), U552="A1a", $B$5-XLOOKUP(S552, 'Mythical Island'!$C$2:$C889, 'Mythical Island'!$B$2:$B889), OR(U552="A2-Dialga", U552="A2-Palkia", U552="A2"), $B$5-XLOOKUP(S552, 'Space-Time Smackdown'!$C$2:$C889, 'Space-Time Smackdown'!$B$2:$B889)))</f>
        <v/>
      </c>
      <c r="X552" s="444" t="str">
        <f t="shared" si="3"/>
        <v/>
      </c>
      <c r="Y552" s="445" t="str">
        <f t="shared" si="4"/>
        <v/>
      </c>
      <c r="Z552" s="278"/>
      <c r="AA552" s="466"/>
      <c r="AB552" s="278"/>
      <c r="AC552" s="278"/>
      <c r="AD552" s="278"/>
      <c r="AE552" s="278"/>
      <c r="AF552" s="278"/>
      <c r="AG552" s="278" t="b">
        <f t="shared" si="5"/>
        <v>0</v>
      </c>
      <c r="AH552" s="454"/>
      <c r="AI552" s="278"/>
      <c r="AJ552" s="278"/>
      <c r="AK552" s="278"/>
      <c r="AL552" s="444" t="str">
        <f t="array" ref="AL552">IFERROR(IFS(OR(AJ552="A1-Mewtwo", AJ552="A1-Pikachu", AJ552="A1-Charizard", AJ552="A1"), XLOOKUP(AH552, 'Genetic Apex'!$C$2:$C889, 'Genetic Apex'!$B$2:$B889)-2, AJ552="A1a", XLOOKUP(AH552, 'Mythical Island'!$C$2:$C889, 'Mythical Island'!$B$2:$B889)-2, OR(AJ552="A2-Dialga", AJ552="A2-Palkia", AJ552="A2"), XLOOKUP(AH552, 'Space-Time Smackdown'!$C$2:$C889, 'Space-Time Smackdown'!$B$2:$B889)-2))</f>
        <v/>
      </c>
      <c r="AM552" s="444" t="str">
        <f t="shared" si="6"/>
        <v/>
      </c>
      <c r="AN552" s="448" t="str">
        <f t="shared" si="7"/>
        <v/>
      </c>
    </row>
    <row r="553">
      <c r="A553" s="277"/>
      <c r="B553" s="277"/>
      <c r="C553" s="441"/>
      <c r="D553" s="277"/>
      <c r="E553" s="277"/>
      <c r="F553" s="277"/>
      <c r="G553" s="277"/>
      <c r="H553" s="277" t="b">
        <f t="shared" si="1"/>
        <v>0</v>
      </c>
      <c r="I553" s="277" t="str">
        <f>IFERROR(__xludf.DUMMYFUNCTION("""COMPUTED_VALUE"""),"A2 176")</f>
        <v>A2 176</v>
      </c>
      <c r="J553" s="277" t="str">
        <f>IFERROR(__xludf.DUMMYFUNCTION("""COMPUTED_VALUE"""),"Staraptor")</f>
        <v>Staraptor</v>
      </c>
      <c r="K553" s="277" t="str">
        <f>IFERROR(__xludf.DUMMYFUNCTION("""COMPUTED_VALUE"""),"A2-Palkia")</f>
        <v>A2-Palkia</v>
      </c>
      <c r="L553" s="277" t="str">
        <f>IFERROR(__xludf.DUMMYFUNCTION("""COMPUTED_VALUE"""),"☆")</f>
        <v>☆</v>
      </c>
      <c r="M553" s="440" t="b">
        <f t="shared" si="2"/>
        <v>0</v>
      </c>
      <c r="N553" s="441"/>
      <c r="O553" s="277"/>
      <c r="P553" s="277"/>
      <c r="Q553" s="278"/>
      <c r="R553" s="449" t="str">
        <f t="array" ref="R553">IFERROR(IFS(OR(P553="A1-Mewtwo", P553="A1-Pikachu", P553="A1-Charizard", P553="A1"), XLOOKUP(N553, 'Genetic Apex'!$C$2:$C889, 'Genetic Apex'!$B$2:$B889)-$B$4, P553="A1a", XLOOKUP(N553, 'Mythical Island'!$C$2:$C889, 'Mythical Island'!$B$2:$B889)-$B$4, OR(P553="A2-Dialga", P553="A2-Palkia", P553="A2"), XLOOKUP(N553, 'Space-Time Smackdown'!$C$2:$C889, 'Space-Time Smackdown'!$B$2:$B889)-$B$4))</f>
        <v/>
      </c>
      <c r="S553" s="277"/>
      <c r="T553" s="277"/>
      <c r="U553" s="277"/>
      <c r="V553" s="278"/>
      <c r="W553" s="443" t="str">
        <f t="array" ref="W553">IFERROR(IFS(OR(U553="A1-Mewtwo", U553="A1-Pikachu", U553="A1-Charizard", U553="A1"), $B$5-XLOOKUP(S553, 'Genetic Apex'!$C$2:$C889, 'Genetic Apex'!$B$2:$B889), U553="A1a", $B$5-XLOOKUP(S553, 'Mythical Island'!$C$2:$C889, 'Mythical Island'!$B$2:$B889), OR(U553="A2-Dialga", U553="A2-Palkia", U553="A2"), $B$5-XLOOKUP(S553, 'Space-Time Smackdown'!$C$2:$C889, 'Space-Time Smackdown'!$B$2:$B889)))</f>
        <v/>
      </c>
      <c r="X553" s="444" t="str">
        <f t="shared" si="3"/>
        <v/>
      </c>
      <c r="Y553" s="445" t="str">
        <f t="shared" si="4"/>
        <v/>
      </c>
      <c r="Z553" s="278"/>
      <c r="AA553" s="466"/>
      <c r="AB553" s="278"/>
      <c r="AC553" s="278"/>
      <c r="AD553" s="278"/>
      <c r="AE553" s="278"/>
      <c r="AF553" s="278"/>
      <c r="AG553" s="278" t="b">
        <f t="shared" si="5"/>
        <v>0</v>
      </c>
      <c r="AH553" s="454"/>
      <c r="AI553" s="278"/>
      <c r="AJ553" s="278"/>
      <c r="AK553" s="278"/>
      <c r="AL553" s="444" t="str">
        <f t="array" ref="AL553">IFERROR(IFS(OR(AJ553="A1-Mewtwo", AJ553="A1-Pikachu", AJ553="A1-Charizard", AJ553="A1"), XLOOKUP(AH553, 'Genetic Apex'!$C$2:$C889, 'Genetic Apex'!$B$2:$B889)-2, AJ553="A1a", XLOOKUP(AH553, 'Mythical Island'!$C$2:$C889, 'Mythical Island'!$B$2:$B889)-2, OR(AJ553="A2-Dialga", AJ553="A2-Palkia", AJ553="A2"), XLOOKUP(AH553, 'Space-Time Smackdown'!$C$2:$C889, 'Space-Time Smackdown'!$B$2:$B889)-2))</f>
        <v/>
      </c>
      <c r="AM553" s="444" t="str">
        <f t="shared" si="6"/>
        <v/>
      </c>
      <c r="AN553" s="448" t="str">
        <f t="shared" si="7"/>
        <v/>
      </c>
    </row>
    <row r="554">
      <c r="A554" s="277"/>
      <c r="B554" s="277"/>
      <c r="C554" s="441"/>
      <c r="D554" s="277"/>
      <c r="E554" s="277"/>
      <c r="F554" s="277"/>
      <c r="G554" s="277"/>
      <c r="H554" s="277" t="b">
        <f t="shared" si="1"/>
        <v>0</v>
      </c>
      <c r="I554" s="277" t="str">
        <f>IFERROR(__xludf.DUMMYFUNCTION("""COMPUTED_VALUE"""),"A2 177")</f>
        <v>A2 177</v>
      </c>
      <c r="J554" s="277" t="str">
        <f>IFERROR(__xludf.DUMMYFUNCTION("""COMPUTED_VALUE"""),"Bidoof")</f>
        <v>Bidoof</v>
      </c>
      <c r="K554" s="277" t="str">
        <f>IFERROR(__xludf.DUMMYFUNCTION("""COMPUTED_VALUE"""),"A2-Dialga")</f>
        <v>A2-Dialga</v>
      </c>
      <c r="L554" s="277" t="str">
        <f>IFERROR(__xludf.DUMMYFUNCTION("""COMPUTED_VALUE"""),"☆")</f>
        <v>☆</v>
      </c>
      <c r="M554" s="440" t="b">
        <f t="shared" si="2"/>
        <v>0</v>
      </c>
      <c r="N554" s="441"/>
      <c r="O554" s="277"/>
      <c r="P554" s="277"/>
      <c r="Q554" s="278"/>
      <c r="R554" s="449" t="str">
        <f t="array" ref="R554">IFERROR(IFS(OR(P554="A1-Mewtwo", P554="A1-Pikachu", P554="A1-Charizard", P554="A1"), XLOOKUP(N554, 'Genetic Apex'!$C$2:$C889, 'Genetic Apex'!$B$2:$B889)-$B$4, P554="A1a", XLOOKUP(N554, 'Mythical Island'!$C$2:$C889, 'Mythical Island'!$B$2:$B889)-$B$4, OR(P554="A2-Dialga", P554="A2-Palkia", P554="A2"), XLOOKUP(N554, 'Space-Time Smackdown'!$C$2:$C889, 'Space-Time Smackdown'!$B$2:$B889)-$B$4))</f>
        <v/>
      </c>
      <c r="S554" s="277"/>
      <c r="T554" s="277"/>
      <c r="U554" s="277"/>
      <c r="V554" s="278"/>
      <c r="W554" s="443" t="str">
        <f t="array" ref="W554">IFERROR(IFS(OR(U554="A1-Mewtwo", U554="A1-Pikachu", U554="A1-Charizard", U554="A1"), $B$5-XLOOKUP(S554, 'Genetic Apex'!$C$2:$C889, 'Genetic Apex'!$B$2:$B889), U554="A1a", $B$5-XLOOKUP(S554, 'Mythical Island'!$C$2:$C889, 'Mythical Island'!$B$2:$B889), OR(U554="A2-Dialga", U554="A2-Palkia", U554="A2"), $B$5-XLOOKUP(S554, 'Space-Time Smackdown'!$C$2:$C889, 'Space-Time Smackdown'!$B$2:$B889)))</f>
        <v/>
      </c>
      <c r="X554" s="444" t="str">
        <f t="shared" si="3"/>
        <v/>
      </c>
      <c r="Y554" s="445" t="str">
        <f t="shared" si="4"/>
        <v/>
      </c>
      <c r="Z554" s="278"/>
      <c r="AA554" s="466"/>
      <c r="AB554" s="278"/>
      <c r="AC554" s="278"/>
      <c r="AD554" s="278"/>
      <c r="AE554" s="278"/>
      <c r="AF554" s="278"/>
      <c r="AG554" s="278" t="b">
        <f t="shared" si="5"/>
        <v>0</v>
      </c>
      <c r="AH554" s="454"/>
      <c r="AI554" s="278"/>
      <c r="AJ554" s="278"/>
      <c r="AK554" s="278"/>
      <c r="AL554" s="444" t="str">
        <f t="array" ref="AL554">IFERROR(IFS(OR(AJ554="A1-Mewtwo", AJ554="A1-Pikachu", AJ554="A1-Charizard", AJ554="A1"), XLOOKUP(AH554, 'Genetic Apex'!$C$2:$C889, 'Genetic Apex'!$B$2:$B889)-2, AJ554="A1a", XLOOKUP(AH554, 'Mythical Island'!$C$2:$C889, 'Mythical Island'!$B$2:$B889)-2, OR(AJ554="A2-Dialga", AJ554="A2-Palkia", AJ554="A2"), XLOOKUP(AH554, 'Space-Time Smackdown'!$C$2:$C889, 'Space-Time Smackdown'!$B$2:$B889)-2))</f>
        <v/>
      </c>
      <c r="AM554" s="444" t="str">
        <f t="shared" si="6"/>
        <v/>
      </c>
      <c r="AN554" s="448" t="str">
        <f t="shared" si="7"/>
        <v/>
      </c>
    </row>
    <row r="555">
      <c r="A555" s="277"/>
      <c r="B555" s="277"/>
      <c r="C555" s="441"/>
      <c r="D555" s="277"/>
      <c r="E555" s="277"/>
      <c r="F555" s="277"/>
      <c r="G555" s="277"/>
      <c r="H555" s="277" t="b">
        <f t="shared" si="1"/>
        <v>0</v>
      </c>
      <c r="I555" s="277" t="str">
        <f>IFERROR(__xludf.DUMMYFUNCTION("""COMPUTED_VALUE"""),"A2 178")</f>
        <v>A2 178</v>
      </c>
      <c r="J555" s="277" t="str">
        <f>IFERROR(__xludf.DUMMYFUNCTION("""COMPUTED_VALUE"""),"Glameow")</f>
        <v>Glameow</v>
      </c>
      <c r="K555" s="277" t="str">
        <f>IFERROR(__xludf.DUMMYFUNCTION("""COMPUTED_VALUE"""),"A2-Palkia")</f>
        <v>A2-Palkia</v>
      </c>
      <c r="L555" s="277" t="str">
        <f>IFERROR(__xludf.DUMMYFUNCTION("""COMPUTED_VALUE"""),"☆")</f>
        <v>☆</v>
      </c>
      <c r="M555" s="440" t="b">
        <f t="shared" si="2"/>
        <v>0</v>
      </c>
      <c r="N555" s="441"/>
      <c r="O555" s="277"/>
      <c r="P555" s="277"/>
      <c r="Q555" s="278"/>
      <c r="R555" s="449" t="str">
        <f t="array" ref="R555">IFERROR(IFS(OR(P555="A1-Mewtwo", P555="A1-Pikachu", P555="A1-Charizard", P555="A1"), XLOOKUP(N555, 'Genetic Apex'!$C$2:$C889, 'Genetic Apex'!$B$2:$B889)-$B$4, P555="A1a", XLOOKUP(N555, 'Mythical Island'!$C$2:$C889, 'Mythical Island'!$B$2:$B889)-$B$4, OR(P555="A2-Dialga", P555="A2-Palkia", P555="A2"), XLOOKUP(N555, 'Space-Time Smackdown'!$C$2:$C889, 'Space-Time Smackdown'!$B$2:$B889)-$B$4))</f>
        <v/>
      </c>
      <c r="S555" s="277"/>
      <c r="T555" s="277"/>
      <c r="U555" s="277"/>
      <c r="V555" s="278"/>
      <c r="W555" s="443" t="str">
        <f t="array" ref="W555">IFERROR(IFS(OR(U555="A1-Mewtwo", U555="A1-Pikachu", U555="A1-Charizard", U555="A1"), $B$5-XLOOKUP(S555, 'Genetic Apex'!$C$2:$C889, 'Genetic Apex'!$B$2:$B889), U555="A1a", $B$5-XLOOKUP(S555, 'Mythical Island'!$C$2:$C889, 'Mythical Island'!$B$2:$B889), OR(U555="A2-Dialga", U555="A2-Palkia", U555="A2"), $B$5-XLOOKUP(S555, 'Space-Time Smackdown'!$C$2:$C889, 'Space-Time Smackdown'!$B$2:$B889)))</f>
        <v/>
      </c>
      <c r="X555" s="444" t="str">
        <f t="shared" si="3"/>
        <v/>
      </c>
      <c r="Y555" s="445" t="str">
        <f t="shared" si="4"/>
        <v/>
      </c>
      <c r="Z555" s="278"/>
      <c r="AA555" s="466"/>
      <c r="AB555" s="278"/>
      <c r="AC555" s="278"/>
      <c r="AD555" s="278"/>
      <c r="AE555" s="278"/>
      <c r="AF555" s="278"/>
      <c r="AG555" s="278" t="b">
        <f t="shared" si="5"/>
        <v>0</v>
      </c>
      <c r="AH555" s="454"/>
      <c r="AI555" s="278"/>
      <c r="AJ555" s="278"/>
      <c r="AK555" s="278"/>
      <c r="AL555" s="444" t="str">
        <f t="array" ref="AL555">IFERROR(IFS(OR(AJ555="A1-Mewtwo", AJ555="A1-Pikachu", AJ555="A1-Charizard", AJ555="A1"), XLOOKUP(AH555, 'Genetic Apex'!$C$2:$C889, 'Genetic Apex'!$B$2:$B889)-2, AJ555="A1a", XLOOKUP(AH555, 'Mythical Island'!$C$2:$C889, 'Mythical Island'!$B$2:$B889)-2, OR(AJ555="A2-Dialga", AJ555="A2-Palkia", AJ555="A2"), XLOOKUP(AH555, 'Space-Time Smackdown'!$C$2:$C889, 'Space-Time Smackdown'!$B$2:$B889)-2))</f>
        <v/>
      </c>
      <c r="AM555" s="444" t="str">
        <f t="shared" si="6"/>
        <v/>
      </c>
      <c r="AN555" s="448" t="str">
        <f t="shared" si="7"/>
        <v/>
      </c>
    </row>
    <row r="556">
      <c r="A556" s="277"/>
      <c r="B556" s="277"/>
      <c r="C556" s="441"/>
      <c r="D556" s="277"/>
      <c r="E556" s="277"/>
      <c r="F556" s="277"/>
      <c r="G556" s="277"/>
      <c r="H556" s="277" t="b">
        <f t="shared" si="1"/>
        <v>0</v>
      </c>
      <c r="I556" s="277" t="str">
        <f>IFERROR(__xludf.DUMMYFUNCTION("""COMPUTED_VALUE"""),"A2 179")</f>
        <v>A2 179</v>
      </c>
      <c r="J556" s="277" t="str">
        <f>IFERROR(__xludf.DUMMYFUNCTION("""COMPUTED_VALUE"""),"Regigigas")</f>
        <v>Regigigas</v>
      </c>
      <c r="K556" s="277" t="str">
        <f>IFERROR(__xludf.DUMMYFUNCTION("""COMPUTED_VALUE"""),"A2-Dialga")</f>
        <v>A2-Dialga</v>
      </c>
      <c r="L556" s="277" t="str">
        <f>IFERROR(__xludf.DUMMYFUNCTION("""COMPUTED_VALUE"""),"☆")</f>
        <v>☆</v>
      </c>
      <c r="M556" s="440" t="b">
        <f t="shared" si="2"/>
        <v>0</v>
      </c>
      <c r="N556" s="441"/>
      <c r="O556" s="277"/>
      <c r="P556" s="277"/>
      <c r="Q556" s="278"/>
      <c r="R556" s="449" t="str">
        <f t="array" ref="R556">IFERROR(IFS(OR(P556="A1-Mewtwo", P556="A1-Pikachu", P556="A1-Charizard", P556="A1"), XLOOKUP(N556, 'Genetic Apex'!$C$2:$C889, 'Genetic Apex'!$B$2:$B889)-$B$4, P556="A1a", XLOOKUP(N556, 'Mythical Island'!$C$2:$C889, 'Mythical Island'!$B$2:$B889)-$B$4, OR(P556="A2-Dialga", P556="A2-Palkia", P556="A2"), XLOOKUP(N556, 'Space-Time Smackdown'!$C$2:$C889, 'Space-Time Smackdown'!$B$2:$B889)-$B$4))</f>
        <v/>
      </c>
      <c r="S556" s="277"/>
      <c r="T556" s="277"/>
      <c r="U556" s="277"/>
      <c r="V556" s="278"/>
      <c r="W556" s="443" t="str">
        <f t="array" ref="W556">IFERROR(IFS(OR(U556="A1-Mewtwo", U556="A1-Pikachu", U556="A1-Charizard", U556="A1"), $B$5-XLOOKUP(S556, 'Genetic Apex'!$C$2:$C889, 'Genetic Apex'!$B$2:$B889), U556="A1a", $B$5-XLOOKUP(S556, 'Mythical Island'!$C$2:$C889, 'Mythical Island'!$B$2:$B889), OR(U556="A2-Dialga", U556="A2-Palkia", U556="A2"), $B$5-XLOOKUP(S556, 'Space-Time Smackdown'!$C$2:$C889, 'Space-Time Smackdown'!$B$2:$B889)))</f>
        <v/>
      </c>
      <c r="X556" s="444" t="str">
        <f t="shared" si="3"/>
        <v/>
      </c>
      <c r="Y556" s="445" t="str">
        <f t="shared" si="4"/>
        <v/>
      </c>
      <c r="Z556" s="278"/>
      <c r="AA556" s="466"/>
      <c r="AB556" s="278"/>
      <c r="AC556" s="278"/>
      <c r="AD556" s="278"/>
      <c r="AE556" s="278"/>
      <c r="AF556" s="278"/>
      <c r="AG556" s="278" t="b">
        <f t="shared" si="5"/>
        <v>0</v>
      </c>
      <c r="AH556" s="454"/>
      <c r="AI556" s="278"/>
      <c r="AJ556" s="278"/>
      <c r="AK556" s="278"/>
      <c r="AL556" s="444" t="str">
        <f t="array" ref="AL556">IFERROR(IFS(OR(AJ556="A1-Mewtwo", AJ556="A1-Pikachu", AJ556="A1-Charizard", AJ556="A1"), XLOOKUP(AH556, 'Genetic Apex'!$C$2:$C889, 'Genetic Apex'!$B$2:$B889)-2, AJ556="A1a", XLOOKUP(AH556, 'Mythical Island'!$C$2:$C889, 'Mythical Island'!$B$2:$B889)-2, OR(AJ556="A2-Dialga", AJ556="A2-Palkia", AJ556="A2"), XLOOKUP(AH556, 'Space-Time Smackdown'!$C$2:$C889, 'Space-Time Smackdown'!$B$2:$B889)-2))</f>
        <v/>
      </c>
      <c r="AM556" s="444" t="str">
        <f t="shared" si="6"/>
        <v/>
      </c>
      <c r="AN556" s="448" t="str">
        <f t="shared" si="7"/>
        <v/>
      </c>
    </row>
    <row r="557">
      <c r="A557" s="277"/>
      <c r="B557" s="277"/>
      <c r="C557" s="441"/>
      <c r="D557" s="277"/>
      <c r="E557" s="277"/>
      <c r="F557" s="277"/>
      <c r="G557" s="277"/>
      <c r="H557" s="277" t="b">
        <f t="shared" si="1"/>
        <v>0</v>
      </c>
      <c r="I557" s="277" t="str">
        <f>IFERROR(__xludf.DUMMYFUNCTION("""COMPUTED_VALUE"""),"A2 180")</f>
        <v>A2 180</v>
      </c>
      <c r="J557" s="277" t="str">
        <f>IFERROR(__xludf.DUMMYFUNCTION("""COMPUTED_VALUE"""),"Yanmega ex")</f>
        <v>Yanmega ex</v>
      </c>
      <c r="K557" s="277" t="str">
        <f>IFERROR(__xludf.DUMMYFUNCTION("""COMPUTED_VALUE"""),"A2-Dialga")</f>
        <v>A2-Dialga</v>
      </c>
      <c r="L557" s="277" t="str">
        <f>IFERROR(__xludf.DUMMYFUNCTION("""COMPUTED_VALUE"""),"☆☆")</f>
        <v>☆☆</v>
      </c>
      <c r="M557" s="440" t="b">
        <f t="shared" si="2"/>
        <v>0</v>
      </c>
      <c r="N557" s="441"/>
      <c r="O557" s="277"/>
      <c r="P557" s="277"/>
      <c r="Q557" s="278"/>
      <c r="R557" s="449" t="str">
        <f t="array" ref="R557">IFERROR(IFS(OR(P557="A1-Mewtwo", P557="A1-Pikachu", P557="A1-Charizard", P557="A1"), XLOOKUP(N557, 'Genetic Apex'!$C$2:$C889, 'Genetic Apex'!$B$2:$B889)-$B$4, P557="A1a", XLOOKUP(N557, 'Mythical Island'!$C$2:$C889, 'Mythical Island'!$B$2:$B889)-$B$4, OR(P557="A2-Dialga", P557="A2-Palkia", P557="A2"), XLOOKUP(N557, 'Space-Time Smackdown'!$C$2:$C889, 'Space-Time Smackdown'!$B$2:$B889)-$B$4))</f>
        <v/>
      </c>
      <c r="S557" s="277"/>
      <c r="T557" s="277"/>
      <c r="U557" s="277"/>
      <c r="V557" s="278"/>
      <c r="W557" s="443" t="str">
        <f t="array" ref="W557">IFERROR(IFS(OR(U557="A1-Mewtwo", U557="A1-Pikachu", U557="A1-Charizard", U557="A1"), $B$5-XLOOKUP(S557, 'Genetic Apex'!$C$2:$C889, 'Genetic Apex'!$B$2:$B889), U557="A1a", $B$5-XLOOKUP(S557, 'Mythical Island'!$C$2:$C889, 'Mythical Island'!$B$2:$B889), OR(U557="A2-Dialga", U557="A2-Palkia", U557="A2"), $B$5-XLOOKUP(S557, 'Space-Time Smackdown'!$C$2:$C889, 'Space-Time Smackdown'!$B$2:$B889)))</f>
        <v/>
      </c>
      <c r="X557" s="444" t="str">
        <f t="shared" si="3"/>
        <v/>
      </c>
      <c r="Y557" s="445" t="str">
        <f t="shared" si="4"/>
        <v/>
      </c>
      <c r="Z557" s="278"/>
      <c r="AA557" s="466"/>
      <c r="AB557" s="278"/>
      <c r="AC557" s="278"/>
      <c r="AD557" s="278"/>
      <c r="AE557" s="278"/>
      <c r="AF557" s="278"/>
      <c r="AG557" s="278" t="b">
        <f t="shared" si="5"/>
        <v>0</v>
      </c>
      <c r="AH557" s="454"/>
      <c r="AI557" s="278"/>
      <c r="AJ557" s="278"/>
      <c r="AK557" s="278"/>
      <c r="AL557" s="444" t="str">
        <f t="array" ref="AL557">IFERROR(IFS(OR(AJ557="A1-Mewtwo", AJ557="A1-Pikachu", AJ557="A1-Charizard", AJ557="A1"), XLOOKUP(AH557, 'Genetic Apex'!$C$2:$C889, 'Genetic Apex'!$B$2:$B889)-2, AJ557="A1a", XLOOKUP(AH557, 'Mythical Island'!$C$2:$C889, 'Mythical Island'!$B$2:$B889)-2, OR(AJ557="A2-Dialga", AJ557="A2-Palkia", AJ557="A2"), XLOOKUP(AH557, 'Space-Time Smackdown'!$C$2:$C889, 'Space-Time Smackdown'!$B$2:$B889)-2))</f>
        <v/>
      </c>
      <c r="AM557" s="444" t="str">
        <f t="shared" si="6"/>
        <v/>
      </c>
      <c r="AN557" s="448" t="str">
        <f t="shared" si="7"/>
        <v/>
      </c>
    </row>
    <row r="558">
      <c r="A558" s="277"/>
      <c r="B558" s="277"/>
      <c r="C558" s="441"/>
      <c r="D558" s="277"/>
      <c r="E558" s="277"/>
      <c r="F558" s="277"/>
      <c r="G558" s="277"/>
      <c r="H558" s="277" t="b">
        <f t="shared" si="1"/>
        <v>0</v>
      </c>
      <c r="I558" s="277" t="str">
        <f>IFERROR(__xludf.DUMMYFUNCTION("""COMPUTED_VALUE"""),"A2 181")</f>
        <v>A2 181</v>
      </c>
      <c r="J558" s="277" t="str">
        <f>IFERROR(__xludf.DUMMYFUNCTION("""COMPUTED_VALUE"""),"Infernape ex")</f>
        <v>Infernape ex</v>
      </c>
      <c r="K558" s="277" t="str">
        <f>IFERROR(__xludf.DUMMYFUNCTION("""COMPUTED_VALUE"""),"A2-Palkia")</f>
        <v>A2-Palkia</v>
      </c>
      <c r="L558" s="277" t="str">
        <f>IFERROR(__xludf.DUMMYFUNCTION("""COMPUTED_VALUE"""),"☆☆")</f>
        <v>☆☆</v>
      </c>
      <c r="M558" s="440" t="b">
        <f t="shared" si="2"/>
        <v>0</v>
      </c>
      <c r="N558" s="441"/>
      <c r="O558" s="277"/>
      <c r="P558" s="277"/>
      <c r="Q558" s="278"/>
      <c r="R558" s="449" t="str">
        <f t="array" ref="R558">IFERROR(IFS(OR(P558="A1-Mewtwo", P558="A1-Pikachu", P558="A1-Charizard", P558="A1"), XLOOKUP(N558, 'Genetic Apex'!$C$2:$C889, 'Genetic Apex'!$B$2:$B889)-$B$4, P558="A1a", XLOOKUP(N558, 'Mythical Island'!$C$2:$C889, 'Mythical Island'!$B$2:$B889)-$B$4, OR(P558="A2-Dialga", P558="A2-Palkia", P558="A2"), XLOOKUP(N558, 'Space-Time Smackdown'!$C$2:$C889, 'Space-Time Smackdown'!$B$2:$B889)-$B$4))</f>
        <v/>
      </c>
      <c r="S558" s="277"/>
      <c r="T558" s="277"/>
      <c r="U558" s="277"/>
      <c r="V558" s="278"/>
      <c r="W558" s="443" t="str">
        <f t="array" ref="W558">IFERROR(IFS(OR(U558="A1-Mewtwo", U558="A1-Pikachu", U558="A1-Charizard", U558="A1"), $B$5-XLOOKUP(S558, 'Genetic Apex'!$C$2:$C889, 'Genetic Apex'!$B$2:$B889), U558="A1a", $B$5-XLOOKUP(S558, 'Mythical Island'!$C$2:$C889, 'Mythical Island'!$B$2:$B889), OR(U558="A2-Dialga", U558="A2-Palkia", U558="A2"), $B$5-XLOOKUP(S558, 'Space-Time Smackdown'!$C$2:$C889, 'Space-Time Smackdown'!$B$2:$B889)))</f>
        <v/>
      </c>
      <c r="X558" s="444" t="str">
        <f t="shared" si="3"/>
        <v/>
      </c>
      <c r="Y558" s="445" t="str">
        <f t="shared" si="4"/>
        <v/>
      </c>
      <c r="Z558" s="278"/>
      <c r="AA558" s="466"/>
      <c r="AB558" s="278"/>
      <c r="AC558" s="278"/>
      <c r="AD558" s="278"/>
      <c r="AE558" s="278"/>
      <c r="AF558" s="278"/>
      <c r="AG558" s="278" t="b">
        <f t="shared" si="5"/>
        <v>0</v>
      </c>
      <c r="AH558" s="454"/>
      <c r="AI558" s="278"/>
      <c r="AJ558" s="278"/>
      <c r="AK558" s="278"/>
      <c r="AL558" s="444" t="str">
        <f t="array" ref="AL558">IFERROR(IFS(OR(AJ558="A1-Mewtwo", AJ558="A1-Pikachu", AJ558="A1-Charizard", AJ558="A1"), XLOOKUP(AH558, 'Genetic Apex'!$C$2:$C889, 'Genetic Apex'!$B$2:$B889)-2, AJ558="A1a", XLOOKUP(AH558, 'Mythical Island'!$C$2:$C889, 'Mythical Island'!$B$2:$B889)-2, OR(AJ558="A2-Dialga", AJ558="A2-Palkia", AJ558="A2"), XLOOKUP(AH558, 'Space-Time Smackdown'!$C$2:$C889, 'Space-Time Smackdown'!$B$2:$B889)-2))</f>
        <v/>
      </c>
      <c r="AM558" s="444" t="str">
        <f t="shared" si="6"/>
        <v/>
      </c>
      <c r="AN558" s="448" t="str">
        <f t="shared" si="7"/>
        <v/>
      </c>
    </row>
    <row r="559">
      <c r="A559" s="277"/>
      <c r="B559" s="277"/>
      <c r="C559" s="441"/>
      <c r="D559" s="277"/>
      <c r="E559" s="277"/>
      <c r="F559" s="277"/>
      <c r="G559" s="277"/>
      <c r="H559" s="277" t="b">
        <f t="shared" si="1"/>
        <v>0</v>
      </c>
      <c r="I559" s="277" t="str">
        <f>IFERROR(__xludf.DUMMYFUNCTION("""COMPUTED_VALUE"""),"A2 182")</f>
        <v>A2 182</v>
      </c>
      <c r="J559" s="277" t="str">
        <f>IFERROR(__xludf.DUMMYFUNCTION("""COMPUTED_VALUE"""),"Palkia ex")</f>
        <v>Palkia ex</v>
      </c>
      <c r="K559" s="277" t="str">
        <f>IFERROR(__xludf.DUMMYFUNCTION("""COMPUTED_VALUE"""),"A2-Palkia")</f>
        <v>A2-Palkia</v>
      </c>
      <c r="L559" s="277" t="str">
        <f>IFERROR(__xludf.DUMMYFUNCTION("""COMPUTED_VALUE"""),"☆☆")</f>
        <v>☆☆</v>
      </c>
      <c r="M559" s="440" t="b">
        <f t="shared" si="2"/>
        <v>0</v>
      </c>
      <c r="N559" s="441"/>
      <c r="O559" s="277"/>
      <c r="P559" s="277"/>
      <c r="Q559" s="278"/>
      <c r="R559" s="449" t="str">
        <f t="array" ref="R559">IFERROR(IFS(OR(P559="A1-Mewtwo", P559="A1-Pikachu", P559="A1-Charizard", P559="A1"), XLOOKUP(N559, 'Genetic Apex'!$C$2:$C889, 'Genetic Apex'!$B$2:$B889)-$B$4, P559="A1a", XLOOKUP(N559, 'Mythical Island'!$C$2:$C889, 'Mythical Island'!$B$2:$B889)-$B$4, OR(P559="A2-Dialga", P559="A2-Palkia", P559="A2"), XLOOKUP(N559, 'Space-Time Smackdown'!$C$2:$C889, 'Space-Time Smackdown'!$B$2:$B889)-$B$4))</f>
        <v/>
      </c>
      <c r="S559" s="277"/>
      <c r="T559" s="277"/>
      <c r="U559" s="277"/>
      <c r="V559" s="278"/>
      <c r="W559" s="443" t="str">
        <f t="array" ref="W559">IFERROR(IFS(OR(U559="A1-Mewtwo", U559="A1-Pikachu", U559="A1-Charizard", U559="A1"), $B$5-XLOOKUP(S559, 'Genetic Apex'!$C$2:$C889, 'Genetic Apex'!$B$2:$B889), U559="A1a", $B$5-XLOOKUP(S559, 'Mythical Island'!$C$2:$C889, 'Mythical Island'!$B$2:$B889), OR(U559="A2-Dialga", U559="A2-Palkia", U559="A2"), $B$5-XLOOKUP(S559, 'Space-Time Smackdown'!$C$2:$C889, 'Space-Time Smackdown'!$B$2:$B889)))</f>
        <v/>
      </c>
      <c r="X559" s="444" t="str">
        <f t="shared" si="3"/>
        <v/>
      </c>
      <c r="Y559" s="445" t="str">
        <f t="shared" si="4"/>
        <v/>
      </c>
      <c r="Z559" s="278"/>
      <c r="AA559" s="466"/>
      <c r="AB559" s="278"/>
      <c r="AC559" s="278"/>
      <c r="AD559" s="278"/>
      <c r="AE559" s="278"/>
      <c r="AF559" s="278"/>
      <c r="AG559" s="278" t="b">
        <f t="shared" si="5"/>
        <v>0</v>
      </c>
      <c r="AH559" s="454"/>
      <c r="AI559" s="278"/>
      <c r="AJ559" s="278"/>
      <c r="AK559" s="278"/>
      <c r="AL559" s="444" t="str">
        <f t="array" ref="AL559">IFERROR(IFS(OR(AJ559="A1-Mewtwo", AJ559="A1-Pikachu", AJ559="A1-Charizard", AJ559="A1"), XLOOKUP(AH559, 'Genetic Apex'!$C$2:$C889, 'Genetic Apex'!$B$2:$B889)-2, AJ559="A1a", XLOOKUP(AH559, 'Mythical Island'!$C$2:$C889, 'Mythical Island'!$B$2:$B889)-2, OR(AJ559="A2-Dialga", AJ559="A2-Palkia", AJ559="A2"), XLOOKUP(AH559, 'Space-Time Smackdown'!$C$2:$C889, 'Space-Time Smackdown'!$B$2:$B889)-2))</f>
        <v/>
      </c>
      <c r="AM559" s="444" t="str">
        <f t="shared" si="6"/>
        <v/>
      </c>
      <c r="AN559" s="448" t="str">
        <f t="shared" si="7"/>
        <v/>
      </c>
    </row>
    <row r="560">
      <c r="A560" s="277"/>
      <c r="B560" s="277"/>
      <c r="C560" s="441"/>
      <c r="D560" s="277"/>
      <c r="E560" s="277"/>
      <c r="F560" s="277"/>
      <c r="G560" s="277"/>
      <c r="H560" s="277" t="b">
        <f t="shared" si="1"/>
        <v>0</v>
      </c>
      <c r="I560" s="277" t="str">
        <f>IFERROR(__xludf.DUMMYFUNCTION("""COMPUTED_VALUE"""),"A2 183")</f>
        <v>A2 183</v>
      </c>
      <c r="J560" s="277" t="str">
        <f>IFERROR(__xludf.DUMMYFUNCTION("""COMPUTED_VALUE"""),"Pachirisu ex")</f>
        <v>Pachirisu ex</v>
      </c>
      <c r="K560" s="277" t="str">
        <f>IFERROR(__xludf.DUMMYFUNCTION("""COMPUTED_VALUE"""),"A2-Dialga")</f>
        <v>A2-Dialga</v>
      </c>
      <c r="L560" s="277" t="str">
        <f>IFERROR(__xludf.DUMMYFUNCTION("""COMPUTED_VALUE"""),"☆☆")</f>
        <v>☆☆</v>
      </c>
      <c r="M560" s="440" t="b">
        <f t="shared" si="2"/>
        <v>0</v>
      </c>
      <c r="N560" s="441"/>
      <c r="O560" s="277"/>
      <c r="P560" s="277"/>
      <c r="Q560" s="278"/>
      <c r="R560" s="449" t="str">
        <f t="array" ref="R560">IFERROR(IFS(OR(P560="A1-Mewtwo", P560="A1-Pikachu", P560="A1-Charizard", P560="A1"), XLOOKUP(N560, 'Genetic Apex'!$C$2:$C889, 'Genetic Apex'!$B$2:$B889)-$B$4, P560="A1a", XLOOKUP(N560, 'Mythical Island'!$C$2:$C889, 'Mythical Island'!$B$2:$B889)-$B$4, OR(P560="A2-Dialga", P560="A2-Palkia", P560="A2"), XLOOKUP(N560, 'Space-Time Smackdown'!$C$2:$C889, 'Space-Time Smackdown'!$B$2:$B889)-$B$4))</f>
        <v/>
      </c>
      <c r="S560" s="277"/>
      <c r="T560" s="277"/>
      <c r="U560" s="277"/>
      <c r="V560" s="278"/>
      <c r="W560" s="443" t="str">
        <f t="array" ref="W560">IFERROR(IFS(OR(U560="A1-Mewtwo", U560="A1-Pikachu", U560="A1-Charizard", U560="A1"), $B$5-XLOOKUP(S560, 'Genetic Apex'!$C$2:$C889, 'Genetic Apex'!$B$2:$B889), U560="A1a", $B$5-XLOOKUP(S560, 'Mythical Island'!$C$2:$C889, 'Mythical Island'!$B$2:$B889), OR(U560="A2-Dialga", U560="A2-Palkia", U560="A2"), $B$5-XLOOKUP(S560, 'Space-Time Smackdown'!$C$2:$C889, 'Space-Time Smackdown'!$B$2:$B889)))</f>
        <v/>
      </c>
      <c r="X560" s="444" t="str">
        <f t="shared" si="3"/>
        <v/>
      </c>
      <c r="Y560" s="445" t="str">
        <f t="shared" si="4"/>
        <v/>
      </c>
      <c r="Z560" s="278"/>
      <c r="AA560" s="466"/>
      <c r="AB560" s="278"/>
      <c r="AC560" s="278"/>
      <c r="AD560" s="278"/>
      <c r="AE560" s="278"/>
      <c r="AF560" s="278"/>
      <c r="AG560" s="278" t="b">
        <f t="shared" si="5"/>
        <v>0</v>
      </c>
      <c r="AH560" s="454"/>
      <c r="AI560" s="278"/>
      <c r="AJ560" s="278"/>
      <c r="AK560" s="278"/>
      <c r="AL560" s="444" t="str">
        <f t="array" ref="AL560">IFERROR(IFS(OR(AJ560="A1-Mewtwo", AJ560="A1-Pikachu", AJ560="A1-Charizard", AJ560="A1"), XLOOKUP(AH560, 'Genetic Apex'!$C$2:$C889, 'Genetic Apex'!$B$2:$B889)-2, AJ560="A1a", XLOOKUP(AH560, 'Mythical Island'!$C$2:$C889, 'Mythical Island'!$B$2:$B889)-2, OR(AJ560="A2-Dialga", AJ560="A2-Palkia", AJ560="A2"), XLOOKUP(AH560, 'Space-Time Smackdown'!$C$2:$C889, 'Space-Time Smackdown'!$B$2:$B889)-2))</f>
        <v/>
      </c>
      <c r="AM560" s="444" t="str">
        <f t="shared" si="6"/>
        <v/>
      </c>
      <c r="AN560" s="448" t="str">
        <f t="shared" si="7"/>
        <v/>
      </c>
    </row>
    <row r="561">
      <c r="A561" s="277"/>
      <c r="B561" s="277"/>
      <c r="C561" s="441"/>
      <c r="D561" s="277"/>
      <c r="E561" s="277"/>
      <c r="F561" s="277"/>
      <c r="G561" s="277"/>
      <c r="H561" s="277" t="b">
        <f t="shared" si="1"/>
        <v>0</v>
      </c>
      <c r="I561" s="277" t="str">
        <f>IFERROR(__xludf.DUMMYFUNCTION("""COMPUTED_VALUE"""),"A2 184")</f>
        <v>A2 184</v>
      </c>
      <c r="J561" s="277" t="str">
        <f>IFERROR(__xludf.DUMMYFUNCTION("""COMPUTED_VALUE"""),"Mismagius ex")</f>
        <v>Mismagius ex</v>
      </c>
      <c r="K561" s="277" t="str">
        <f>IFERROR(__xludf.DUMMYFUNCTION("""COMPUTED_VALUE"""),"A2-Palkia")</f>
        <v>A2-Palkia</v>
      </c>
      <c r="L561" s="277" t="str">
        <f>IFERROR(__xludf.DUMMYFUNCTION("""COMPUTED_VALUE"""),"☆☆")</f>
        <v>☆☆</v>
      </c>
      <c r="M561" s="440" t="b">
        <f t="shared" si="2"/>
        <v>0</v>
      </c>
      <c r="N561" s="441"/>
      <c r="O561" s="277"/>
      <c r="P561" s="277"/>
      <c r="Q561" s="278"/>
      <c r="R561" s="449" t="str">
        <f t="array" ref="R561">IFERROR(IFS(OR(P561="A1-Mewtwo", P561="A1-Pikachu", P561="A1-Charizard", P561="A1"), XLOOKUP(N561, 'Genetic Apex'!$C$2:$C889, 'Genetic Apex'!$B$2:$B889)-$B$4, P561="A1a", XLOOKUP(N561, 'Mythical Island'!$C$2:$C889, 'Mythical Island'!$B$2:$B889)-$B$4, OR(P561="A2-Dialga", P561="A2-Palkia", P561="A2"), XLOOKUP(N561, 'Space-Time Smackdown'!$C$2:$C889, 'Space-Time Smackdown'!$B$2:$B889)-$B$4))</f>
        <v/>
      </c>
      <c r="S561" s="277"/>
      <c r="T561" s="277"/>
      <c r="U561" s="277"/>
      <c r="V561" s="278"/>
      <c r="W561" s="443" t="str">
        <f t="array" ref="W561">IFERROR(IFS(OR(U561="A1-Mewtwo", U561="A1-Pikachu", U561="A1-Charizard", U561="A1"), $B$5-XLOOKUP(S561, 'Genetic Apex'!$C$2:$C889, 'Genetic Apex'!$B$2:$B889), U561="A1a", $B$5-XLOOKUP(S561, 'Mythical Island'!$C$2:$C889, 'Mythical Island'!$B$2:$B889), OR(U561="A2-Dialga", U561="A2-Palkia", U561="A2"), $B$5-XLOOKUP(S561, 'Space-Time Smackdown'!$C$2:$C889, 'Space-Time Smackdown'!$B$2:$B889)))</f>
        <v/>
      </c>
      <c r="X561" s="444" t="str">
        <f t="shared" si="3"/>
        <v/>
      </c>
      <c r="Y561" s="445" t="str">
        <f t="shared" si="4"/>
        <v/>
      </c>
      <c r="Z561" s="278"/>
      <c r="AA561" s="466"/>
      <c r="AB561" s="278"/>
      <c r="AC561" s="278"/>
      <c r="AD561" s="278"/>
      <c r="AE561" s="278"/>
      <c r="AF561" s="278"/>
      <c r="AG561" s="278" t="b">
        <f t="shared" si="5"/>
        <v>0</v>
      </c>
      <c r="AH561" s="454"/>
      <c r="AI561" s="278"/>
      <c r="AJ561" s="278"/>
      <c r="AK561" s="278"/>
      <c r="AL561" s="444" t="str">
        <f t="array" ref="AL561">IFERROR(IFS(OR(AJ561="A1-Mewtwo", AJ561="A1-Pikachu", AJ561="A1-Charizard", AJ561="A1"), XLOOKUP(AH561, 'Genetic Apex'!$C$2:$C889, 'Genetic Apex'!$B$2:$B889)-2, AJ561="A1a", XLOOKUP(AH561, 'Mythical Island'!$C$2:$C889, 'Mythical Island'!$B$2:$B889)-2, OR(AJ561="A2-Dialga", AJ561="A2-Palkia", AJ561="A2"), XLOOKUP(AH561, 'Space-Time Smackdown'!$C$2:$C889, 'Space-Time Smackdown'!$B$2:$B889)-2))</f>
        <v/>
      </c>
      <c r="AM561" s="444" t="str">
        <f t="shared" si="6"/>
        <v/>
      </c>
      <c r="AN561" s="448" t="str">
        <f t="shared" si="7"/>
        <v/>
      </c>
    </row>
    <row r="562">
      <c r="A562" s="277"/>
      <c r="B562" s="277"/>
      <c r="C562" s="441"/>
      <c r="D562" s="277"/>
      <c r="E562" s="277"/>
      <c r="F562" s="277"/>
      <c r="G562" s="277"/>
      <c r="H562" s="277" t="b">
        <f t="shared" si="1"/>
        <v>0</v>
      </c>
      <c r="I562" s="277" t="str">
        <f>IFERROR(__xludf.DUMMYFUNCTION("""COMPUTED_VALUE"""),"A2 185")</f>
        <v>A2 185</v>
      </c>
      <c r="J562" s="277" t="str">
        <f>IFERROR(__xludf.DUMMYFUNCTION("""COMPUTED_VALUE"""),"Gallade ex")</f>
        <v>Gallade ex</v>
      </c>
      <c r="K562" s="277" t="str">
        <f>IFERROR(__xludf.DUMMYFUNCTION("""COMPUTED_VALUE"""),"A2-Dialga")</f>
        <v>A2-Dialga</v>
      </c>
      <c r="L562" s="277" t="str">
        <f>IFERROR(__xludf.DUMMYFUNCTION("""COMPUTED_VALUE"""),"☆☆")</f>
        <v>☆☆</v>
      </c>
      <c r="M562" s="440" t="b">
        <f t="shared" si="2"/>
        <v>0</v>
      </c>
      <c r="N562" s="441"/>
      <c r="O562" s="277"/>
      <c r="P562" s="277"/>
      <c r="Q562" s="278"/>
      <c r="R562" s="449" t="str">
        <f t="array" ref="R562">IFERROR(IFS(OR(P562="A1-Mewtwo", P562="A1-Pikachu", P562="A1-Charizard", P562="A1"), XLOOKUP(N562, 'Genetic Apex'!$C$2:$C889, 'Genetic Apex'!$B$2:$B889)-$B$4, P562="A1a", XLOOKUP(N562, 'Mythical Island'!$C$2:$C889, 'Mythical Island'!$B$2:$B889)-$B$4, OR(P562="A2-Dialga", P562="A2-Palkia", P562="A2"), XLOOKUP(N562, 'Space-Time Smackdown'!$C$2:$C889, 'Space-Time Smackdown'!$B$2:$B889)-$B$4))</f>
        <v/>
      </c>
      <c r="S562" s="277"/>
      <c r="T562" s="277"/>
      <c r="U562" s="277"/>
      <c r="V562" s="278"/>
      <c r="W562" s="443" t="str">
        <f t="array" ref="W562">IFERROR(IFS(OR(U562="A1-Mewtwo", U562="A1-Pikachu", U562="A1-Charizard", U562="A1"), $B$5-XLOOKUP(S562, 'Genetic Apex'!$C$2:$C889, 'Genetic Apex'!$B$2:$B889), U562="A1a", $B$5-XLOOKUP(S562, 'Mythical Island'!$C$2:$C889, 'Mythical Island'!$B$2:$B889), OR(U562="A2-Dialga", U562="A2-Palkia", U562="A2"), $B$5-XLOOKUP(S562, 'Space-Time Smackdown'!$C$2:$C889, 'Space-Time Smackdown'!$B$2:$B889)))</f>
        <v/>
      </c>
      <c r="X562" s="444" t="str">
        <f t="shared" si="3"/>
        <v/>
      </c>
      <c r="Y562" s="445" t="str">
        <f t="shared" si="4"/>
        <v/>
      </c>
      <c r="Z562" s="278"/>
      <c r="AA562" s="466"/>
      <c r="AB562" s="278"/>
      <c r="AC562" s="278"/>
      <c r="AD562" s="278"/>
      <c r="AE562" s="278"/>
      <c r="AF562" s="278"/>
      <c r="AG562" s="278" t="b">
        <f t="shared" si="5"/>
        <v>0</v>
      </c>
      <c r="AH562" s="454"/>
      <c r="AI562" s="278"/>
      <c r="AJ562" s="278"/>
      <c r="AK562" s="278"/>
      <c r="AL562" s="444" t="str">
        <f t="array" ref="AL562">IFERROR(IFS(OR(AJ562="A1-Mewtwo", AJ562="A1-Pikachu", AJ562="A1-Charizard", AJ562="A1"), XLOOKUP(AH562, 'Genetic Apex'!$C$2:$C889, 'Genetic Apex'!$B$2:$B889)-2, AJ562="A1a", XLOOKUP(AH562, 'Mythical Island'!$C$2:$C889, 'Mythical Island'!$B$2:$B889)-2, OR(AJ562="A2-Dialga", AJ562="A2-Palkia", AJ562="A2"), XLOOKUP(AH562, 'Space-Time Smackdown'!$C$2:$C889, 'Space-Time Smackdown'!$B$2:$B889)-2))</f>
        <v/>
      </c>
      <c r="AM562" s="444" t="str">
        <f t="shared" si="6"/>
        <v/>
      </c>
      <c r="AN562" s="448" t="str">
        <f t="shared" si="7"/>
        <v/>
      </c>
    </row>
    <row r="563">
      <c r="A563" s="277"/>
      <c r="B563" s="277"/>
      <c r="C563" s="441"/>
      <c r="D563" s="277"/>
      <c r="E563" s="277"/>
      <c r="F563" s="277"/>
      <c r="G563" s="277"/>
      <c r="H563" s="277" t="b">
        <f t="shared" si="1"/>
        <v>0</v>
      </c>
      <c r="I563" s="277" t="str">
        <f>IFERROR(__xludf.DUMMYFUNCTION("""COMPUTED_VALUE"""),"A2 186")</f>
        <v>A2 186</v>
      </c>
      <c r="J563" s="277" t="str">
        <f>IFERROR(__xludf.DUMMYFUNCTION("""COMPUTED_VALUE"""),"Weavile ex")</f>
        <v>Weavile ex</v>
      </c>
      <c r="K563" s="277" t="str">
        <f>IFERROR(__xludf.DUMMYFUNCTION("""COMPUTED_VALUE"""),"A2-Palkia")</f>
        <v>A2-Palkia</v>
      </c>
      <c r="L563" s="277" t="str">
        <f>IFERROR(__xludf.DUMMYFUNCTION("""COMPUTED_VALUE"""),"☆☆")</f>
        <v>☆☆</v>
      </c>
      <c r="M563" s="440" t="b">
        <f t="shared" si="2"/>
        <v>0</v>
      </c>
      <c r="N563" s="441"/>
      <c r="O563" s="277"/>
      <c r="P563" s="277"/>
      <c r="Q563" s="278"/>
      <c r="R563" s="449" t="str">
        <f t="array" ref="R563">IFERROR(IFS(OR(P563="A1-Mewtwo", P563="A1-Pikachu", P563="A1-Charizard", P563="A1"), XLOOKUP(N563, 'Genetic Apex'!$C$2:$C889, 'Genetic Apex'!$B$2:$B889)-$B$4, P563="A1a", XLOOKUP(N563, 'Mythical Island'!$C$2:$C889, 'Mythical Island'!$B$2:$B889)-$B$4, OR(P563="A2-Dialga", P563="A2-Palkia", P563="A2"), XLOOKUP(N563, 'Space-Time Smackdown'!$C$2:$C889, 'Space-Time Smackdown'!$B$2:$B889)-$B$4))</f>
        <v/>
      </c>
      <c r="S563" s="277"/>
      <c r="T563" s="277"/>
      <c r="U563" s="277"/>
      <c r="V563" s="278"/>
      <c r="W563" s="443" t="str">
        <f t="array" ref="W563">IFERROR(IFS(OR(U563="A1-Mewtwo", U563="A1-Pikachu", U563="A1-Charizard", U563="A1"), $B$5-XLOOKUP(S563, 'Genetic Apex'!$C$2:$C889, 'Genetic Apex'!$B$2:$B889), U563="A1a", $B$5-XLOOKUP(S563, 'Mythical Island'!$C$2:$C889, 'Mythical Island'!$B$2:$B889), OR(U563="A2-Dialga", U563="A2-Palkia", U563="A2"), $B$5-XLOOKUP(S563, 'Space-Time Smackdown'!$C$2:$C889, 'Space-Time Smackdown'!$B$2:$B889)))</f>
        <v/>
      </c>
      <c r="X563" s="444" t="str">
        <f t="shared" si="3"/>
        <v/>
      </c>
      <c r="Y563" s="445" t="str">
        <f t="shared" si="4"/>
        <v/>
      </c>
      <c r="Z563" s="278"/>
      <c r="AA563" s="466"/>
      <c r="AB563" s="278"/>
      <c r="AC563" s="278"/>
      <c r="AD563" s="278"/>
      <c r="AE563" s="278"/>
      <c r="AF563" s="278"/>
      <c r="AG563" s="278" t="b">
        <f t="shared" si="5"/>
        <v>0</v>
      </c>
      <c r="AH563" s="454"/>
      <c r="AI563" s="278"/>
      <c r="AJ563" s="278"/>
      <c r="AK563" s="278"/>
      <c r="AL563" s="444" t="str">
        <f t="array" ref="AL563">IFERROR(IFS(OR(AJ563="A1-Mewtwo", AJ563="A1-Pikachu", AJ563="A1-Charizard", AJ563="A1"), XLOOKUP(AH563, 'Genetic Apex'!$C$2:$C889, 'Genetic Apex'!$B$2:$B889)-2, AJ563="A1a", XLOOKUP(AH563, 'Mythical Island'!$C$2:$C889, 'Mythical Island'!$B$2:$B889)-2, OR(AJ563="A2-Dialga", AJ563="A2-Palkia", AJ563="A2"), XLOOKUP(AH563, 'Space-Time Smackdown'!$C$2:$C889, 'Space-Time Smackdown'!$B$2:$B889)-2))</f>
        <v/>
      </c>
      <c r="AM563" s="444" t="str">
        <f t="shared" si="6"/>
        <v/>
      </c>
      <c r="AN563" s="448" t="str">
        <f t="shared" si="7"/>
        <v/>
      </c>
    </row>
    <row r="564">
      <c r="A564" s="277"/>
      <c r="B564" s="277"/>
      <c r="C564" s="441"/>
      <c r="D564" s="277"/>
      <c r="E564" s="277"/>
      <c r="F564" s="277"/>
      <c r="G564" s="277"/>
      <c r="H564" s="277" t="b">
        <f t="shared" si="1"/>
        <v>0</v>
      </c>
      <c r="I564" s="277" t="str">
        <f>IFERROR(__xludf.DUMMYFUNCTION("""COMPUTED_VALUE"""),"A2 187")</f>
        <v>A2 187</v>
      </c>
      <c r="J564" s="277" t="str">
        <f>IFERROR(__xludf.DUMMYFUNCTION("""COMPUTED_VALUE"""),"Darkrai ex")</f>
        <v>Darkrai ex</v>
      </c>
      <c r="K564" s="277" t="str">
        <f>IFERROR(__xludf.DUMMYFUNCTION("""COMPUTED_VALUE"""),"A2-Dialga")</f>
        <v>A2-Dialga</v>
      </c>
      <c r="L564" s="277" t="str">
        <f>IFERROR(__xludf.DUMMYFUNCTION("""COMPUTED_VALUE"""),"☆☆")</f>
        <v>☆☆</v>
      </c>
      <c r="M564" s="440" t="b">
        <f t="shared" si="2"/>
        <v>0</v>
      </c>
      <c r="N564" s="441"/>
      <c r="O564" s="277"/>
      <c r="P564" s="277"/>
      <c r="Q564" s="278"/>
      <c r="R564" s="449" t="str">
        <f t="array" ref="R564">IFERROR(IFS(OR(P564="A1-Mewtwo", P564="A1-Pikachu", P564="A1-Charizard", P564="A1"), XLOOKUP(N564, 'Genetic Apex'!$C$2:$C889, 'Genetic Apex'!$B$2:$B889)-$B$4, P564="A1a", XLOOKUP(N564, 'Mythical Island'!$C$2:$C889, 'Mythical Island'!$B$2:$B889)-$B$4, OR(P564="A2-Dialga", P564="A2-Palkia", P564="A2"), XLOOKUP(N564, 'Space-Time Smackdown'!$C$2:$C889, 'Space-Time Smackdown'!$B$2:$B889)-$B$4))</f>
        <v/>
      </c>
      <c r="S564" s="277"/>
      <c r="T564" s="277"/>
      <c r="U564" s="277"/>
      <c r="V564" s="278"/>
      <c r="W564" s="443" t="str">
        <f t="array" ref="W564">IFERROR(IFS(OR(U564="A1-Mewtwo", U564="A1-Pikachu", U564="A1-Charizard", U564="A1"), $B$5-XLOOKUP(S564, 'Genetic Apex'!$C$2:$C889, 'Genetic Apex'!$B$2:$B889), U564="A1a", $B$5-XLOOKUP(S564, 'Mythical Island'!$C$2:$C889, 'Mythical Island'!$B$2:$B889), OR(U564="A2-Dialga", U564="A2-Palkia", U564="A2"), $B$5-XLOOKUP(S564, 'Space-Time Smackdown'!$C$2:$C889, 'Space-Time Smackdown'!$B$2:$B889)))</f>
        <v/>
      </c>
      <c r="X564" s="444" t="str">
        <f t="shared" si="3"/>
        <v/>
      </c>
      <c r="Y564" s="445" t="str">
        <f t="shared" si="4"/>
        <v/>
      </c>
      <c r="Z564" s="278"/>
      <c r="AA564" s="466"/>
      <c r="AB564" s="278"/>
      <c r="AC564" s="278"/>
      <c r="AD564" s="278"/>
      <c r="AE564" s="278"/>
      <c r="AF564" s="278"/>
      <c r="AG564" s="278" t="b">
        <f t="shared" si="5"/>
        <v>0</v>
      </c>
      <c r="AH564" s="454"/>
      <c r="AI564" s="278"/>
      <c r="AJ564" s="278"/>
      <c r="AK564" s="278"/>
      <c r="AL564" s="444" t="str">
        <f t="array" ref="AL564">IFERROR(IFS(OR(AJ564="A1-Mewtwo", AJ564="A1-Pikachu", AJ564="A1-Charizard", AJ564="A1"), XLOOKUP(AH564, 'Genetic Apex'!$C$2:$C889, 'Genetic Apex'!$B$2:$B889)-2, AJ564="A1a", XLOOKUP(AH564, 'Mythical Island'!$C$2:$C889, 'Mythical Island'!$B$2:$B889)-2, OR(AJ564="A2-Dialga", AJ564="A2-Palkia", AJ564="A2"), XLOOKUP(AH564, 'Space-Time Smackdown'!$C$2:$C889, 'Space-Time Smackdown'!$B$2:$B889)-2))</f>
        <v/>
      </c>
      <c r="AM564" s="444" t="str">
        <f t="shared" si="6"/>
        <v/>
      </c>
      <c r="AN564" s="448" t="str">
        <f t="shared" si="7"/>
        <v/>
      </c>
    </row>
    <row r="565">
      <c r="A565" s="277"/>
      <c r="B565" s="277"/>
      <c r="C565" s="441"/>
      <c r="D565" s="277"/>
      <c r="E565" s="277"/>
      <c r="F565" s="277"/>
      <c r="G565" s="277"/>
      <c r="H565" s="277" t="b">
        <f t="shared" si="1"/>
        <v>0</v>
      </c>
      <c r="I565" s="277" t="str">
        <f>IFERROR(__xludf.DUMMYFUNCTION("""COMPUTED_VALUE"""),"A2 188")</f>
        <v>A2 188</v>
      </c>
      <c r="J565" s="277" t="str">
        <f>IFERROR(__xludf.DUMMYFUNCTION("""COMPUTED_VALUE"""),"Dialga ex")</f>
        <v>Dialga ex</v>
      </c>
      <c r="K565" s="277" t="str">
        <f>IFERROR(__xludf.DUMMYFUNCTION("""COMPUTED_VALUE"""),"A2-Dialga")</f>
        <v>A2-Dialga</v>
      </c>
      <c r="L565" s="277" t="str">
        <f>IFERROR(__xludf.DUMMYFUNCTION("""COMPUTED_VALUE"""),"☆☆")</f>
        <v>☆☆</v>
      </c>
      <c r="M565" s="440" t="b">
        <f t="shared" si="2"/>
        <v>0</v>
      </c>
      <c r="N565" s="441"/>
      <c r="O565" s="277"/>
      <c r="P565" s="277"/>
      <c r="Q565" s="278"/>
      <c r="R565" s="449" t="str">
        <f t="array" ref="R565">IFERROR(IFS(OR(P565="A1-Mewtwo", P565="A1-Pikachu", P565="A1-Charizard", P565="A1"), XLOOKUP(N565, 'Genetic Apex'!$C$2:$C889, 'Genetic Apex'!$B$2:$B889)-$B$4, P565="A1a", XLOOKUP(N565, 'Mythical Island'!$C$2:$C889, 'Mythical Island'!$B$2:$B889)-$B$4, OR(P565="A2-Dialga", P565="A2-Palkia", P565="A2"), XLOOKUP(N565, 'Space-Time Smackdown'!$C$2:$C889, 'Space-Time Smackdown'!$B$2:$B889)-$B$4))</f>
        <v/>
      </c>
      <c r="S565" s="277"/>
      <c r="T565" s="277"/>
      <c r="U565" s="277"/>
      <c r="V565" s="278"/>
      <c r="W565" s="443" t="str">
        <f t="array" ref="W565">IFERROR(IFS(OR(U565="A1-Mewtwo", U565="A1-Pikachu", U565="A1-Charizard", U565="A1"), $B$5-XLOOKUP(S565, 'Genetic Apex'!$C$2:$C889, 'Genetic Apex'!$B$2:$B889), U565="A1a", $B$5-XLOOKUP(S565, 'Mythical Island'!$C$2:$C889, 'Mythical Island'!$B$2:$B889), OR(U565="A2-Dialga", U565="A2-Palkia", U565="A2"), $B$5-XLOOKUP(S565, 'Space-Time Smackdown'!$C$2:$C889, 'Space-Time Smackdown'!$B$2:$B889)))</f>
        <v/>
      </c>
      <c r="X565" s="444" t="str">
        <f t="shared" si="3"/>
        <v/>
      </c>
      <c r="Y565" s="445" t="str">
        <f t="shared" si="4"/>
        <v/>
      </c>
      <c r="Z565" s="278"/>
      <c r="AA565" s="466"/>
      <c r="AB565" s="278"/>
      <c r="AC565" s="278"/>
      <c r="AD565" s="278"/>
      <c r="AE565" s="278"/>
      <c r="AF565" s="278"/>
      <c r="AG565" s="278" t="b">
        <f t="shared" si="5"/>
        <v>0</v>
      </c>
      <c r="AH565" s="454"/>
      <c r="AI565" s="278"/>
      <c r="AJ565" s="278"/>
      <c r="AK565" s="278"/>
      <c r="AL565" s="444" t="str">
        <f t="array" ref="AL565">IFERROR(IFS(OR(AJ565="A1-Mewtwo", AJ565="A1-Pikachu", AJ565="A1-Charizard", AJ565="A1"), XLOOKUP(AH565, 'Genetic Apex'!$C$2:$C889, 'Genetic Apex'!$B$2:$B889)-2, AJ565="A1a", XLOOKUP(AH565, 'Mythical Island'!$C$2:$C889, 'Mythical Island'!$B$2:$B889)-2, OR(AJ565="A2-Dialga", AJ565="A2-Palkia", AJ565="A2"), XLOOKUP(AH565, 'Space-Time Smackdown'!$C$2:$C889, 'Space-Time Smackdown'!$B$2:$B889)-2))</f>
        <v/>
      </c>
      <c r="AM565" s="444" t="str">
        <f t="shared" si="6"/>
        <v/>
      </c>
      <c r="AN565" s="448" t="str">
        <f t="shared" si="7"/>
        <v/>
      </c>
    </row>
    <row r="566">
      <c r="A566" s="277"/>
      <c r="B566" s="277"/>
      <c r="C566" s="441"/>
      <c r="D566" s="277"/>
      <c r="E566" s="277"/>
      <c r="F566" s="277"/>
      <c r="G566" s="277"/>
      <c r="H566" s="277" t="b">
        <f t="shared" si="1"/>
        <v>0</v>
      </c>
      <c r="I566" s="277" t="str">
        <f>IFERROR(__xludf.DUMMYFUNCTION("""COMPUTED_VALUE"""),"A2 189")</f>
        <v>A2 189</v>
      </c>
      <c r="J566" s="277" t="str">
        <f>IFERROR(__xludf.DUMMYFUNCTION("""COMPUTED_VALUE"""),"Lickilicky ex")</f>
        <v>Lickilicky ex</v>
      </c>
      <c r="K566" s="277" t="str">
        <f>IFERROR(__xludf.DUMMYFUNCTION("""COMPUTED_VALUE"""),"A2-Palkia")</f>
        <v>A2-Palkia</v>
      </c>
      <c r="L566" s="277" t="str">
        <f>IFERROR(__xludf.DUMMYFUNCTION("""COMPUTED_VALUE"""),"☆☆")</f>
        <v>☆☆</v>
      </c>
      <c r="M566" s="440" t="b">
        <f t="shared" si="2"/>
        <v>0</v>
      </c>
      <c r="N566" s="441"/>
      <c r="O566" s="277"/>
      <c r="P566" s="277"/>
      <c r="Q566" s="278"/>
      <c r="R566" s="449" t="str">
        <f t="array" ref="R566">IFERROR(IFS(OR(P566="A1-Mewtwo", P566="A1-Pikachu", P566="A1-Charizard", P566="A1"), XLOOKUP(N566, 'Genetic Apex'!$C$2:$C889, 'Genetic Apex'!$B$2:$B889)-$B$4, P566="A1a", XLOOKUP(N566, 'Mythical Island'!$C$2:$C889, 'Mythical Island'!$B$2:$B889)-$B$4, OR(P566="A2-Dialga", P566="A2-Palkia", P566="A2"), XLOOKUP(N566, 'Space-Time Smackdown'!$C$2:$C889, 'Space-Time Smackdown'!$B$2:$B889)-$B$4))</f>
        <v/>
      </c>
      <c r="S566" s="277"/>
      <c r="T566" s="277"/>
      <c r="U566" s="277"/>
      <c r="V566" s="278"/>
      <c r="W566" s="443" t="str">
        <f t="array" ref="W566">IFERROR(IFS(OR(U566="A1-Mewtwo", U566="A1-Pikachu", U566="A1-Charizard", U566="A1"), $B$5-XLOOKUP(S566, 'Genetic Apex'!$C$2:$C889, 'Genetic Apex'!$B$2:$B889), U566="A1a", $B$5-XLOOKUP(S566, 'Mythical Island'!$C$2:$C889, 'Mythical Island'!$B$2:$B889), OR(U566="A2-Dialga", U566="A2-Palkia", U566="A2"), $B$5-XLOOKUP(S566, 'Space-Time Smackdown'!$C$2:$C889, 'Space-Time Smackdown'!$B$2:$B889)))</f>
        <v/>
      </c>
      <c r="X566" s="444" t="str">
        <f t="shared" si="3"/>
        <v/>
      </c>
      <c r="Y566" s="445" t="str">
        <f t="shared" si="4"/>
        <v/>
      </c>
      <c r="Z566" s="278"/>
      <c r="AA566" s="466"/>
      <c r="AB566" s="278"/>
      <c r="AC566" s="278"/>
      <c r="AD566" s="278"/>
      <c r="AE566" s="278"/>
      <c r="AF566" s="278"/>
      <c r="AG566" s="278" t="b">
        <f t="shared" si="5"/>
        <v>0</v>
      </c>
      <c r="AH566" s="454"/>
      <c r="AI566" s="278"/>
      <c r="AJ566" s="278"/>
      <c r="AK566" s="278"/>
      <c r="AL566" s="444" t="str">
        <f t="array" ref="AL566">IFERROR(IFS(OR(AJ566="A1-Mewtwo", AJ566="A1-Pikachu", AJ566="A1-Charizard", AJ566="A1"), XLOOKUP(AH566, 'Genetic Apex'!$C$2:$C889, 'Genetic Apex'!$B$2:$B889)-2, AJ566="A1a", XLOOKUP(AH566, 'Mythical Island'!$C$2:$C889, 'Mythical Island'!$B$2:$B889)-2, OR(AJ566="A2-Dialga", AJ566="A2-Palkia", AJ566="A2"), XLOOKUP(AH566, 'Space-Time Smackdown'!$C$2:$C889, 'Space-Time Smackdown'!$B$2:$B889)-2))</f>
        <v/>
      </c>
      <c r="AM566" s="444" t="str">
        <f t="shared" si="6"/>
        <v/>
      </c>
      <c r="AN566" s="448" t="str">
        <f t="shared" si="7"/>
        <v/>
      </c>
    </row>
    <row r="567">
      <c r="A567" s="277"/>
      <c r="B567" s="277"/>
      <c r="C567" s="441"/>
      <c r="D567" s="277"/>
      <c r="E567" s="277"/>
      <c r="F567" s="277"/>
      <c r="G567" s="277"/>
      <c r="H567" s="277" t="b">
        <f t="shared" si="1"/>
        <v>0</v>
      </c>
      <c r="I567" s="277" t="str">
        <f>IFERROR(__xludf.DUMMYFUNCTION("""COMPUTED_VALUE"""),"A2 190")</f>
        <v>A2 190</v>
      </c>
      <c r="J567" s="277" t="str">
        <f>IFERROR(__xludf.DUMMYFUNCTION("""COMPUTED_VALUE"""),"Cyrus")</f>
        <v>Cyrus</v>
      </c>
      <c r="K567" s="277" t="str">
        <f>IFERROR(__xludf.DUMMYFUNCTION("""COMPUTED_VALUE"""),"A2-Palkia")</f>
        <v>A2-Palkia</v>
      </c>
      <c r="L567" s="277" t="str">
        <f>IFERROR(__xludf.DUMMYFUNCTION("""COMPUTED_VALUE"""),"☆☆")</f>
        <v>☆☆</v>
      </c>
      <c r="M567" s="440" t="b">
        <f t="shared" si="2"/>
        <v>0</v>
      </c>
      <c r="N567" s="441"/>
      <c r="O567" s="277"/>
      <c r="P567" s="277"/>
      <c r="Q567" s="278"/>
      <c r="R567" s="449" t="str">
        <f t="array" ref="R567">IFERROR(IFS(OR(P567="A1-Mewtwo", P567="A1-Pikachu", P567="A1-Charizard", P567="A1"), XLOOKUP(N567, 'Genetic Apex'!$C$2:$C889, 'Genetic Apex'!$B$2:$B889)-$B$4, P567="A1a", XLOOKUP(N567, 'Mythical Island'!$C$2:$C889, 'Mythical Island'!$B$2:$B889)-$B$4, OR(P567="A2-Dialga", P567="A2-Palkia", P567="A2"), XLOOKUP(N567, 'Space-Time Smackdown'!$C$2:$C889, 'Space-Time Smackdown'!$B$2:$B889)-$B$4))</f>
        <v/>
      </c>
      <c r="S567" s="277"/>
      <c r="T567" s="277"/>
      <c r="U567" s="277"/>
      <c r="V567" s="278"/>
      <c r="W567" s="443" t="str">
        <f t="array" ref="W567">IFERROR(IFS(OR(U567="A1-Mewtwo", U567="A1-Pikachu", U567="A1-Charizard", U567="A1"), $B$5-XLOOKUP(S567, 'Genetic Apex'!$C$2:$C889, 'Genetic Apex'!$B$2:$B889), U567="A1a", $B$5-XLOOKUP(S567, 'Mythical Island'!$C$2:$C889, 'Mythical Island'!$B$2:$B889), OR(U567="A2-Dialga", U567="A2-Palkia", U567="A2"), $B$5-XLOOKUP(S567, 'Space-Time Smackdown'!$C$2:$C889, 'Space-Time Smackdown'!$B$2:$B889)))</f>
        <v/>
      </c>
      <c r="X567" s="444" t="str">
        <f t="shared" si="3"/>
        <v/>
      </c>
      <c r="Y567" s="445" t="str">
        <f t="shared" si="4"/>
        <v/>
      </c>
      <c r="Z567" s="278"/>
      <c r="AA567" s="466"/>
      <c r="AB567" s="278"/>
      <c r="AC567" s="278"/>
      <c r="AD567" s="278"/>
      <c r="AE567" s="278"/>
      <c r="AF567" s="278"/>
      <c r="AG567" s="278" t="b">
        <f t="shared" si="5"/>
        <v>0</v>
      </c>
      <c r="AH567" s="454"/>
      <c r="AI567" s="278"/>
      <c r="AJ567" s="278"/>
      <c r="AK567" s="278"/>
      <c r="AL567" s="444" t="str">
        <f t="array" ref="AL567">IFERROR(IFS(OR(AJ567="A1-Mewtwo", AJ567="A1-Pikachu", AJ567="A1-Charizard", AJ567="A1"), XLOOKUP(AH567, 'Genetic Apex'!$C$2:$C889, 'Genetic Apex'!$B$2:$B889)-2, AJ567="A1a", XLOOKUP(AH567, 'Mythical Island'!$C$2:$C889, 'Mythical Island'!$B$2:$B889)-2, OR(AJ567="A2-Dialga", AJ567="A2-Palkia", AJ567="A2"), XLOOKUP(AH567, 'Space-Time Smackdown'!$C$2:$C889, 'Space-Time Smackdown'!$B$2:$B889)-2))</f>
        <v/>
      </c>
      <c r="AM567" s="444" t="str">
        <f t="shared" si="6"/>
        <v/>
      </c>
      <c r="AN567" s="448" t="str">
        <f t="shared" si="7"/>
        <v/>
      </c>
    </row>
    <row r="568">
      <c r="A568" s="277"/>
      <c r="B568" s="277"/>
      <c r="C568" s="441"/>
      <c r="D568" s="277"/>
      <c r="E568" s="277"/>
      <c r="F568" s="277"/>
      <c r="G568" s="277"/>
      <c r="H568" s="277" t="b">
        <f t="shared" si="1"/>
        <v>0</v>
      </c>
      <c r="I568" s="277" t="str">
        <f>IFERROR(__xludf.DUMMYFUNCTION("""COMPUTED_VALUE"""),"A2 191")</f>
        <v>A2 191</v>
      </c>
      <c r="J568" s="277" t="str">
        <f>IFERROR(__xludf.DUMMYFUNCTION("""COMPUTED_VALUE"""),"Team Galactic Grunt")</f>
        <v>Team Galactic Grunt</v>
      </c>
      <c r="K568" s="277" t="str">
        <f>IFERROR(__xludf.DUMMYFUNCTION("""COMPUTED_VALUE"""),"A2-Dialga")</f>
        <v>A2-Dialga</v>
      </c>
      <c r="L568" s="277" t="str">
        <f>IFERROR(__xludf.DUMMYFUNCTION("""COMPUTED_VALUE"""),"☆☆")</f>
        <v>☆☆</v>
      </c>
      <c r="M568" s="440" t="b">
        <f t="shared" si="2"/>
        <v>0</v>
      </c>
      <c r="N568" s="441"/>
      <c r="O568" s="277"/>
      <c r="P568" s="277"/>
      <c r="Q568" s="278"/>
      <c r="R568" s="449" t="str">
        <f t="array" ref="R568">IFERROR(IFS(OR(P568="A1-Mewtwo", P568="A1-Pikachu", P568="A1-Charizard", P568="A1"), XLOOKUP(N568, 'Genetic Apex'!$C$2:$C889, 'Genetic Apex'!$B$2:$B889)-$B$4, P568="A1a", XLOOKUP(N568, 'Mythical Island'!$C$2:$C889, 'Mythical Island'!$B$2:$B889)-$B$4, OR(P568="A2-Dialga", P568="A2-Palkia", P568="A2"), XLOOKUP(N568, 'Space-Time Smackdown'!$C$2:$C889, 'Space-Time Smackdown'!$B$2:$B889)-$B$4))</f>
        <v/>
      </c>
      <c r="S568" s="277"/>
      <c r="T568" s="277"/>
      <c r="U568" s="277"/>
      <c r="V568" s="278"/>
      <c r="W568" s="443" t="str">
        <f t="array" ref="W568">IFERROR(IFS(OR(U568="A1-Mewtwo", U568="A1-Pikachu", U568="A1-Charizard", U568="A1"), $B$5-XLOOKUP(S568, 'Genetic Apex'!$C$2:$C889, 'Genetic Apex'!$B$2:$B889), U568="A1a", $B$5-XLOOKUP(S568, 'Mythical Island'!$C$2:$C889, 'Mythical Island'!$B$2:$B889), OR(U568="A2-Dialga", U568="A2-Palkia", U568="A2"), $B$5-XLOOKUP(S568, 'Space-Time Smackdown'!$C$2:$C889, 'Space-Time Smackdown'!$B$2:$B889)))</f>
        <v/>
      </c>
      <c r="X568" s="444" t="str">
        <f t="shared" si="3"/>
        <v/>
      </c>
      <c r="Y568" s="445" t="str">
        <f t="shared" si="4"/>
        <v/>
      </c>
      <c r="Z568" s="278"/>
      <c r="AA568" s="466"/>
      <c r="AB568" s="278"/>
      <c r="AC568" s="278"/>
      <c r="AD568" s="278"/>
      <c r="AE568" s="278"/>
      <c r="AF568" s="278"/>
      <c r="AG568" s="278" t="b">
        <f t="shared" si="5"/>
        <v>0</v>
      </c>
      <c r="AH568" s="454"/>
      <c r="AI568" s="278"/>
      <c r="AJ568" s="278"/>
      <c r="AK568" s="278"/>
      <c r="AL568" s="444" t="str">
        <f t="array" ref="AL568">IFERROR(IFS(OR(AJ568="A1-Mewtwo", AJ568="A1-Pikachu", AJ568="A1-Charizard", AJ568="A1"), XLOOKUP(AH568, 'Genetic Apex'!$C$2:$C889, 'Genetic Apex'!$B$2:$B889)-2, AJ568="A1a", XLOOKUP(AH568, 'Mythical Island'!$C$2:$C889, 'Mythical Island'!$B$2:$B889)-2, OR(AJ568="A2-Dialga", AJ568="A2-Palkia", AJ568="A2"), XLOOKUP(AH568, 'Space-Time Smackdown'!$C$2:$C889, 'Space-Time Smackdown'!$B$2:$B889)-2))</f>
        <v/>
      </c>
      <c r="AM568" s="444" t="str">
        <f t="shared" si="6"/>
        <v/>
      </c>
      <c r="AN568" s="448" t="str">
        <f t="shared" si="7"/>
        <v/>
      </c>
    </row>
    <row r="569">
      <c r="A569" s="277"/>
      <c r="B569" s="277"/>
      <c r="C569" s="441"/>
      <c r="D569" s="277"/>
      <c r="E569" s="277"/>
      <c r="F569" s="277"/>
      <c r="G569" s="277"/>
      <c r="H569" s="277" t="b">
        <f t="shared" si="1"/>
        <v>0</v>
      </c>
      <c r="I569" s="277" t="str">
        <f>IFERROR(__xludf.DUMMYFUNCTION("""COMPUTED_VALUE"""),"A2 192")</f>
        <v>A2 192</v>
      </c>
      <c r="J569" s="277" t="str">
        <f>IFERROR(__xludf.DUMMYFUNCTION("""COMPUTED_VALUE"""),"Cynthia")</f>
        <v>Cynthia</v>
      </c>
      <c r="K569" s="277" t="str">
        <f>IFERROR(__xludf.DUMMYFUNCTION("""COMPUTED_VALUE"""),"A2-Palkia")</f>
        <v>A2-Palkia</v>
      </c>
      <c r="L569" s="277" t="str">
        <f>IFERROR(__xludf.DUMMYFUNCTION("""COMPUTED_VALUE"""),"☆☆")</f>
        <v>☆☆</v>
      </c>
      <c r="M569" s="440" t="b">
        <f t="shared" si="2"/>
        <v>0</v>
      </c>
      <c r="N569" s="441"/>
      <c r="O569" s="277"/>
      <c r="P569" s="277"/>
      <c r="Q569" s="278"/>
      <c r="R569" s="449" t="str">
        <f t="array" ref="R569">IFERROR(IFS(OR(P569="A1-Mewtwo", P569="A1-Pikachu", P569="A1-Charizard", P569="A1"), XLOOKUP(N569, 'Genetic Apex'!$C$2:$C889, 'Genetic Apex'!$B$2:$B889)-$B$4, P569="A1a", XLOOKUP(N569, 'Mythical Island'!$C$2:$C889, 'Mythical Island'!$B$2:$B889)-$B$4, OR(P569="A2-Dialga", P569="A2-Palkia", P569="A2"), XLOOKUP(N569, 'Space-Time Smackdown'!$C$2:$C889, 'Space-Time Smackdown'!$B$2:$B889)-$B$4))</f>
        <v/>
      </c>
      <c r="S569" s="277"/>
      <c r="T569" s="277"/>
      <c r="U569" s="277"/>
      <c r="V569" s="278"/>
      <c r="W569" s="443" t="str">
        <f t="array" ref="W569">IFERROR(IFS(OR(U569="A1-Mewtwo", U569="A1-Pikachu", U569="A1-Charizard", U569="A1"), $B$5-XLOOKUP(S569, 'Genetic Apex'!$C$2:$C889, 'Genetic Apex'!$B$2:$B889), U569="A1a", $B$5-XLOOKUP(S569, 'Mythical Island'!$C$2:$C889, 'Mythical Island'!$B$2:$B889), OR(U569="A2-Dialga", U569="A2-Palkia", U569="A2"), $B$5-XLOOKUP(S569, 'Space-Time Smackdown'!$C$2:$C889, 'Space-Time Smackdown'!$B$2:$B889)))</f>
        <v/>
      </c>
      <c r="X569" s="444" t="str">
        <f t="shared" si="3"/>
        <v/>
      </c>
      <c r="Y569" s="445" t="str">
        <f t="shared" si="4"/>
        <v/>
      </c>
      <c r="Z569" s="278"/>
      <c r="AA569" s="466"/>
      <c r="AB569" s="278"/>
      <c r="AC569" s="278"/>
      <c r="AD569" s="278"/>
      <c r="AE569" s="278"/>
      <c r="AF569" s="278"/>
      <c r="AG569" s="278" t="b">
        <f t="shared" si="5"/>
        <v>0</v>
      </c>
      <c r="AH569" s="454"/>
      <c r="AI569" s="278"/>
      <c r="AJ569" s="278"/>
      <c r="AK569" s="278"/>
      <c r="AL569" s="444" t="str">
        <f t="array" ref="AL569">IFERROR(IFS(OR(AJ569="A1-Mewtwo", AJ569="A1-Pikachu", AJ569="A1-Charizard", AJ569="A1"), XLOOKUP(AH569, 'Genetic Apex'!$C$2:$C889, 'Genetic Apex'!$B$2:$B889)-2, AJ569="A1a", XLOOKUP(AH569, 'Mythical Island'!$C$2:$C889, 'Mythical Island'!$B$2:$B889)-2, OR(AJ569="A2-Dialga", AJ569="A2-Palkia", AJ569="A2"), XLOOKUP(AH569, 'Space-Time Smackdown'!$C$2:$C889, 'Space-Time Smackdown'!$B$2:$B889)-2))</f>
        <v/>
      </c>
      <c r="AM569" s="444" t="str">
        <f t="shared" si="6"/>
        <v/>
      </c>
      <c r="AN569" s="448" t="str">
        <f t="shared" si="7"/>
        <v/>
      </c>
    </row>
    <row r="570">
      <c r="A570" s="277"/>
      <c r="B570" s="277"/>
      <c r="C570" s="441"/>
      <c r="D570" s="277"/>
      <c r="E570" s="277"/>
      <c r="F570" s="277"/>
      <c r="G570" s="277"/>
      <c r="H570" s="277" t="b">
        <f t="shared" si="1"/>
        <v>0</v>
      </c>
      <c r="I570" s="277" t="str">
        <f>IFERROR(__xludf.DUMMYFUNCTION("""COMPUTED_VALUE"""),"A2 193")</f>
        <v>A2 193</v>
      </c>
      <c r="J570" s="277" t="str">
        <f>IFERROR(__xludf.DUMMYFUNCTION("""COMPUTED_VALUE"""),"Volkner")</f>
        <v>Volkner</v>
      </c>
      <c r="K570" s="277" t="str">
        <f>IFERROR(__xludf.DUMMYFUNCTION("""COMPUTED_VALUE"""),"A2-Dialga")</f>
        <v>A2-Dialga</v>
      </c>
      <c r="L570" s="277" t="str">
        <f>IFERROR(__xludf.DUMMYFUNCTION("""COMPUTED_VALUE"""),"☆☆")</f>
        <v>☆☆</v>
      </c>
      <c r="M570" s="440" t="b">
        <f t="shared" si="2"/>
        <v>0</v>
      </c>
      <c r="N570" s="441"/>
      <c r="O570" s="277"/>
      <c r="P570" s="277"/>
      <c r="Q570" s="278"/>
      <c r="R570" s="449" t="str">
        <f t="array" ref="R570">IFERROR(IFS(OR(P570="A1-Mewtwo", P570="A1-Pikachu", P570="A1-Charizard", P570="A1"), XLOOKUP(N570, 'Genetic Apex'!$C$2:$C889, 'Genetic Apex'!$B$2:$B889)-$B$4, P570="A1a", XLOOKUP(N570, 'Mythical Island'!$C$2:$C889, 'Mythical Island'!$B$2:$B889)-$B$4, OR(P570="A2-Dialga", P570="A2-Palkia", P570="A2"), XLOOKUP(N570, 'Space-Time Smackdown'!$C$2:$C889, 'Space-Time Smackdown'!$B$2:$B889)-$B$4))</f>
        <v/>
      </c>
      <c r="S570" s="277"/>
      <c r="T570" s="277"/>
      <c r="U570" s="277"/>
      <c r="V570" s="278"/>
      <c r="W570" s="443" t="str">
        <f t="array" ref="W570">IFERROR(IFS(OR(U570="A1-Mewtwo", U570="A1-Pikachu", U570="A1-Charizard", U570="A1"), $B$5-XLOOKUP(S570, 'Genetic Apex'!$C$2:$C889, 'Genetic Apex'!$B$2:$B889), U570="A1a", $B$5-XLOOKUP(S570, 'Mythical Island'!$C$2:$C889, 'Mythical Island'!$B$2:$B889), OR(U570="A2-Dialga", U570="A2-Palkia", U570="A2"), $B$5-XLOOKUP(S570, 'Space-Time Smackdown'!$C$2:$C889, 'Space-Time Smackdown'!$B$2:$B889)))</f>
        <v/>
      </c>
      <c r="X570" s="444" t="str">
        <f t="shared" si="3"/>
        <v/>
      </c>
      <c r="Y570" s="445" t="str">
        <f t="shared" si="4"/>
        <v/>
      </c>
      <c r="Z570" s="278"/>
      <c r="AA570" s="466"/>
      <c r="AB570" s="278"/>
      <c r="AC570" s="278"/>
      <c r="AD570" s="278"/>
      <c r="AE570" s="278"/>
      <c r="AF570" s="278"/>
      <c r="AG570" s="278" t="b">
        <f t="shared" si="5"/>
        <v>0</v>
      </c>
      <c r="AH570" s="454"/>
      <c r="AI570" s="278"/>
      <c r="AJ570" s="278"/>
      <c r="AK570" s="278"/>
      <c r="AL570" s="444" t="str">
        <f t="array" ref="AL570">IFERROR(IFS(OR(AJ570="A1-Mewtwo", AJ570="A1-Pikachu", AJ570="A1-Charizard", AJ570="A1"), XLOOKUP(AH570, 'Genetic Apex'!$C$2:$C889, 'Genetic Apex'!$B$2:$B889)-2, AJ570="A1a", XLOOKUP(AH570, 'Mythical Island'!$C$2:$C889, 'Mythical Island'!$B$2:$B889)-2, OR(AJ570="A2-Dialga", AJ570="A2-Palkia", AJ570="A2"), XLOOKUP(AH570, 'Space-Time Smackdown'!$C$2:$C889, 'Space-Time Smackdown'!$B$2:$B889)-2))</f>
        <v/>
      </c>
      <c r="AM570" s="444" t="str">
        <f t="shared" si="6"/>
        <v/>
      </c>
      <c r="AN570" s="448" t="str">
        <f t="shared" si="7"/>
        <v/>
      </c>
    </row>
    <row r="571">
      <c r="A571" s="277"/>
      <c r="B571" s="277"/>
      <c r="C571" s="441"/>
      <c r="D571" s="277"/>
      <c r="E571" s="277"/>
      <c r="F571" s="277"/>
      <c r="G571" s="277"/>
      <c r="H571" s="277" t="b">
        <f t="shared" si="1"/>
        <v>0</v>
      </c>
      <c r="I571" s="277" t="str">
        <f>IFERROR(__xludf.DUMMYFUNCTION("""COMPUTED_VALUE"""),"A2 194")</f>
        <v>A2 194</v>
      </c>
      <c r="J571" s="277" t="str">
        <f>IFERROR(__xludf.DUMMYFUNCTION("""COMPUTED_VALUE"""),"Dawn")</f>
        <v>Dawn</v>
      </c>
      <c r="K571" s="277" t="str">
        <f>IFERROR(__xludf.DUMMYFUNCTION("""COMPUTED_VALUE"""),"A2-Dialga")</f>
        <v>A2-Dialga</v>
      </c>
      <c r="L571" s="277" t="str">
        <f>IFERROR(__xludf.DUMMYFUNCTION("""COMPUTED_VALUE"""),"☆☆")</f>
        <v>☆☆</v>
      </c>
      <c r="M571" s="440" t="b">
        <f t="shared" si="2"/>
        <v>0</v>
      </c>
      <c r="N571" s="441"/>
      <c r="O571" s="277"/>
      <c r="P571" s="277"/>
      <c r="Q571" s="278"/>
      <c r="R571" s="449" t="str">
        <f t="array" ref="R571">IFERROR(IFS(OR(P571="A1-Mewtwo", P571="A1-Pikachu", P571="A1-Charizard", P571="A1"), XLOOKUP(N571, 'Genetic Apex'!$C$2:$C889, 'Genetic Apex'!$B$2:$B889)-$B$4, P571="A1a", XLOOKUP(N571, 'Mythical Island'!$C$2:$C889, 'Mythical Island'!$B$2:$B889)-$B$4, OR(P571="A2-Dialga", P571="A2-Palkia", P571="A2"), XLOOKUP(N571, 'Space-Time Smackdown'!$C$2:$C889, 'Space-Time Smackdown'!$B$2:$B889)-$B$4))</f>
        <v/>
      </c>
      <c r="S571" s="277"/>
      <c r="T571" s="277"/>
      <c r="U571" s="277"/>
      <c r="V571" s="278"/>
      <c r="W571" s="443" t="str">
        <f t="array" ref="W571">IFERROR(IFS(OR(U571="A1-Mewtwo", U571="A1-Pikachu", U571="A1-Charizard", U571="A1"), $B$5-XLOOKUP(S571, 'Genetic Apex'!$C$2:$C889, 'Genetic Apex'!$B$2:$B889), U571="A1a", $B$5-XLOOKUP(S571, 'Mythical Island'!$C$2:$C889, 'Mythical Island'!$B$2:$B889), OR(U571="A2-Dialga", U571="A2-Palkia", U571="A2"), $B$5-XLOOKUP(S571, 'Space-Time Smackdown'!$C$2:$C889, 'Space-Time Smackdown'!$B$2:$B889)))</f>
        <v/>
      </c>
      <c r="X571" s="444" t="str">
        <f t="shared" si="3"/>
        <v/>
      </c>
      <c r="Y571" s="445" t="str">
        <f t="shared" si="4"/>
        <v/>
      </c>
      <c r="Z571" s="278"/>
      <c r="AA571" s="466"/>
      <c r="AB571" s="278"/>
      <c r="AC571" s="278"/>
      <c r="AD571" s="278"/>
      <c r="AE571" s="278"/>
      <c r="AF571" s="278"/>
      <c r="AG571" s="278" t="b">
        <f t="shared" si="5"/>
        <v>0</v>
      </c>
      <c r="AH571" s="454"/>
      <c r="AI571" s="278"/>
      <c r="AJ571" s="278"/>
      <c r="AK571" s="278"/>
      <c r="AL571" s="444" t="str">
        <f t="array" ref="AL571">IFERROR(IFS(OR(AJ571="A1-Mewtwo", AJ571="A1-Pikachu", AJ571="A1-Charizard", AJ571="A1"), XLOOKUP(AH571, 'Genetic Apex'!$C$2:$C889, 'Genetic Apex'!$B$2:$B889)-2, AJ571="A1a", XLOOKUP(AH571, 'Mythical Island'!$C$2:$C889, 'Mythical Island'!$B$2:$B889)-2, OR(AJ571="A2-Dialga", AJ571="A2-Palkia", AJ571="A2"), XLOOKUP(AH571, 'Space-Time Smackdown'!$C$2:$C889, 'Space-Time Smackdown'!$B$2:$B889)-2))</f>
        <v/>
      </c>
      <c r="AM571" s="444" t="str">
        <f t="shared" si="6"/>
        <v/>
      </c>
      <c r="AN571" s="448" t="str">
        <f t="shared" si="7"/>
        <v/>
      </c>
    </row>
    <row r="572">
      <c r="A572" s="277"/>
      <c r="B572" s="277"/>
      <c r="C572" s="441"/>
      <c r="D572" s="277"/>
      <c r="E572" s="277"/>
      <c r="F572" s="277"/>
      <c r="G572" s="277"/>
      <c r="H572" s="277" t="b">
        <f t="shared" si="1"/>
        <v>0</v>
      </c>
      <c r="I572" s="277" t="str">
        <f>IFERROR(__xludf.DUMMYFUNCTION("""COMPUTED_VALUE"""),"A2 195")</f>
        <v>A2 195</v>
      </c>
      <c r="J572" s="277" t="str">
        <f>IFERROR(__xludf.DUMMYFUNCTION("""COMPUTED_VALUE"""),"Mars")</f>
        <v>Mars</v>
      </c>
      <c r="K572" s="277" t="str">
        <f>IFERROR(__xludf.DUMMYFUNCTION("""COMPUTED_VALUE"""),"A2-Palkia")</f>
        <v>A2-Palkia</v>
      </c>
      <c r="L572" s="277" t="str">
        <f>IFERROR(__xludf.DUMMYFUNCTION("""COMPUTED_VALUE"""),"☆☆")</f>
        <v>☆☆</v>
      </c>
      <c r="M572" s="440" t="b">
        <f t="shared" si="2"/>
        <v>0</v>
      </c>
      <c r="N572" s="441"/>
      <c r="O572" s="277"/>
      <c r="P572" s="277"/>
      <c r="Q572" s="278"/>
      <c r="R572" s="449" t="str">
        <f t="array" ref="R572">IFERROR(IFS(OR(P572="A1-Mewtwo", P572="A1-Pikachu", P572="A1-Charizard", P572="A1"), XLOOKUP(N572, 'Genetic Apex'!$C$2:$C889, 'Genetic Apex'!$B$2:$B889)-$B$4, P572="A1a", XLOOKUP(N572, 'Mythical Island'!$C$2:$C889, 'Mythical Island'!$B$2:$B889)-$B$4, OR(P572="A2-Dialga", P572="A2-Palkia", P572="A2"), XLOOKUP(N572, 'Space-Time Smackdown'!$C$2:$C889, 'Space-Time Smackdown'!$B$2:$B889)-$B$4))</f>
        <v/>
      </c>
      <c r="S572" s="277"/>
      <c r="T572" s="277"/>
      <c r="U572" s="277"/>
      <c r="V572" s="278"/>
      <c r="W572" s="443" t="str">
        <f t="array" ref="W572">IFERROR(IFS(OR(U572="A1-Mewtwo", U572="A1-Pikachu", U572="A1-Charizard", U572="A1"), $B$5-XLOOKUP(S572, 'Genetic Apex'!$C$2:$C889, 'Genetic Apex'!$B$2:$B889), U572="A1a", $B$5-XLOOKUP(S572, 'Mythical Island'!$C$2:$C889, 'Mythical Island'!$B$2:$B889), OR(U572="A2-Dialga", U572="A2-Palkia", U572="A2"), $B$5-XLOOKUP(S572, 'Space-Time Smackdown'!$C$2:$C889, 'Space-Time Smackdown'!$B$2:$B889)))</f>
        <v/>
      </c>
      <c r="X572" s="444" t="str">
        <f t="shared" si="3"/>
        <v/>
      </c>
      <c r="Y572" s="445" t="str">
        <f t="shared" si="4"/>
        <v/>
      </c>
      <c r="Z572" s="278"/>
      <c r="AA572" s="466"/>
      <c r="AB572" s="278"/>
      <c r="AC572" s="278"/>
      <c r="AD572" s="278"/>
      <c r="AE572" s="278"/>
      <c r="AF572" s="278"/>
      <c r="AG572" s="278" t="b">
        <f t="shared" si="5"/>
        <v>0</v>
      </c>
      <c r="AH572" s="454"/>
      <c r="AI572" s="278"/>
      <c r="AJ572" s="278"/>
      <c r="AK572" s="278"/>
      <c r="AL572" s="444" t="str">
        <f t="array" ref="AL572">IFERROR(IFS(OR(AJ572="A1-Mewtwo", AJ572="A1-Pikachu", AJ572="A1-Charizard", AJ572="A1"), XLOOKUP(AH572, 'Genetic Apex'!$C$2:$C889, 'Genetic Apex'!$B$2:$B889)-2, AJ572="A1a", XLOOKUP(AH572, 'Mythical Island'!$C$2:$C889, 'Mythical Island'!$B$2:$B889)-2, OR(AJ572="A2-Dialga", AJ572="A2-Palkia", AJ572="A2"), XLOOKUP(AH572, 'Space-Time Smackdown'!$C$2:$C889, 'Space-Time Smackdown'!$B$2:$B889)-2))</f>
        <v/>
      </c>
      <c r="AM572" s="444" t="str">
        <f t="shared" si="6"/>
        <v/>
      </c>
      <c r="AN572" s="448" t="str">
        <f t="shared" si="7"/>
        <v/>
      </c>
    </row>
    <row r="573">
      <c r="A573" s="277"/>
      <c r="B573" s="277"/>
      <c r="C573" s="441"/>
      <c r="D573" s="277"/>
      <c r="E573" s="277"/>
      <c r="F573" s="277"/>
      <c r="G573" s="277"/>
      <c r="H573" s="277" t="b">
        <f t="shared" si="1"/>
        <v>0</v>
      </c>
      <c r="I573" s="277" t="str">
        <f>IFERROR(__xludf.DUMMYFUNCTION("""COMPUTED_VALUE"""),"A2 196")</f>
        <v>A2 196</v>
      </c>
      <c r="J573" s="277" t="str">
        <f>IFERROR(__xludf.DUMMYFUNCTION("""COMPUTED_VALUE"""),"Yanmega ex")</f>
        <v>Yanmega ex</v>
      </c>
      <c r="K573" s="277" t="str">
        <f>IFERROR(__xludf.DUMMYFUNCTION("""COMPUTED_VALUE"""),"A2-Dialga")</f>
        <v>A2-Dialga</v>
      </c>
      <c r="L573" s="277" t="str">
        <f>IFERROR(__xludf.DUMMYFUNCTION("""COMPUTED_VALUE"""),"☆☆")</f>
        <v>☆☆</v>
      </c>
      <c r="M573" s="440" t="b">
        <f t="shared" si="2"/>
        <v>0</v>
      </c>
      <c r="N573" s="441"/>
      <c r="O573" s="277"/>
      <c r="P573" s="277"/>
      <c r="Q573" s="278"/>
      <c r="R573" s="449" t="str">
        <f t="array" ref="R573">IFERROR(IFS(OR(P573="A1-Mewtwo", P573="A1-Pikachu", P573="A1-Charizard", P573="A1"), XLOOKUP(N573, 'Genetic Apex'!$C$2:$C889, 'Genetic Apex'!$B$2:$B889)-$B$4, P573="A1a", XLOOKUP(N573, 'Mythical Island'!$C$2:$C889, 'Mythical Island'!$B$2:$B889)-$B$4, OR(P573="A2-Dialga", P573="A2-Palkia", P573="A2"), XLOOKUP(N573, 'Space-Time Smackdown'!$C$2:$C889, 'Space-Time Smackdown'!$B$2:$B889)-$B$4))</f>
        <v/>
      </c>
      <c r="S573" s="277"/>
      <c r="T573" s="277"/>
      <c r="U573" s="277"/>
      <c r="V573" s="278"/>
      <c r="W573" s="443" t="str">
        <f t="array" ref="W573">IFERROR(IFS(OR(U573="A1-Mewtwo", U573="A1-Pikachu", U573="A1-Charizard", U573="A1"), $B$5-XLOOKUP(S573, 'Genetic Apex'!$C$2:$C889, 'Genetic Apex'!$B$2:$B889), U573="A1a", $B$5-XLOOKUP(S573, 'Mythical Island'!$C$2:$C889, 'Mythical Island'!$B$2:$B889), OR(U573="A2-Dialga", U573="A2-Palkia", U573="A2"), $B$5-XLOOKUP(S573, 'Space-Time Smackdown'!$C$2:$C889, 'Space-Time Smackdown'!$B$2:$B889)))</f>
        <v/>
      </c>
      <c r="X573" s="444" t="str">
        <f t="shared" si="3"/>
        <v/>
      </c>
      <c r="Y573" s="445" t="str">
        <f t="shared" si="4"/>
        <v/>
      </c>
      <c r="Z573" s="278"/>
      <c r="AA573" s="466"/>
      <c r="AB573" s="278"/>
      <c r="AC573" s="278"/>
      <c r="AD573" s="278"/>
      <c r="AE573" s="278"/>
      <c r="AF573" s="278"/>
      <c r="AG573" s="278" t="b">
        <f t="shared" si="5"/>
        <v>0</v>
      </c>
      <c r="AH573" s="454"/>
      <c r="AI573" s="278"/>
      <c r="AJ573" s="278"/>
      <c r="AK573" s="278"/>
      <c r="AL573" s="444" t="str">
        <f t="array" ref="AL573">IFERROR(IFS(OR(AJ573="A1-Mewtwo", AJ573="A1-Pikachu", AJ573="A1-Charizard", AJ573="A1"), XLOOKUP(AH573, 'Genetic Apex'!$C$2:$C889, 'Genetic Apex'!$B$2:$B889)-2, AJ573="A1a", XLOOKUP(AH573, 'Mythical Island'!$C$2:$C889, 'Mythical Island'!$B$2:$B889)-2, OR(AJ573="A2-Dialga", AJ573="A2-Palkia", AJ573="A2"), XLOOKUP(AH573, 'Space-Time Smackdown'!$C$2:$C889, 'Space-Time Smackdown'!$B$2:$B889)-2))</f>
        <v/>
      </c>
      <c r="AM573" s="444" t="str">
        <f t="shared" si="6"/>
        <v/>
      </c>
      <c r="AN573" s="448" t="str">
        <f t="shared" si="7"/>
        <v/>
      </c>
    </row>
    <row r="574">
      <c r="A574" s="277"/>
      <c r="B574" s="277"/>
      <c r="C574" s="441"/>
      <c r="D574" s="277"/>
      <c r="E574" s="277"/>
      <c r="F574" s="277"/>
      <c r="G574" s="277"/>
      <c r="H574" s="277" t="b">
        <f t="shared" si="1"/>
        <v>0</v>
      </c>
      <c r="I574" s="277" t="str">
        <f>IFERROR(__xludf.DUMMYFUNCTION("""COMPUTED_VALUE"""),"A2 197")</f>
        <v>A2 197</v>
      </c>
      <c r="J574" s="277" t="str">
        <f>IFERROR(__xludf.DUMMYFUNCTION("""COMPUTED_VALUE"""),"Infernape ex")</f>
        <v>Infernape ex</v>
      </c>
      <c r="K574" s="277" t="str">
        <f>IFERROR(__xludf.DUMMYFUNCTION("""COMPUTED_VALUE"""),"A2-Palkia")</f>
        <v>A2-Palkia</v>
      </c>
      <c r="L574" s="277" t="str">
        <f>IFERROR(__xludf.DUMMYFUNCTION("""COMPUTED_VALUE"""),"☆☆")</f>
        <v>☆☆</v>
      </c>
      <c r="M574" s="440" t="b">
        <f t="shared" si="2"/>
        <v>0</v>
      </c>
      <c r="N574" s="441"/>
      <c r="O574" s="277"/>
      <c r="P574" s="277"/>
      <c r="Q574" s="278"/>
      <c r="R574" s="449" t="str">
        <f t="array" ref="R574">IFERROR(IFS(OR(P574="A1-Mewtwo", P574="A1-Pikachu", P574="A1-Charizard", P574="A1"), XLOOKUP(N574, 'Genetic Apex'!$C$2:$C889, 'Genetic Apex'!$B$2:$B889)-$B$4, P574="A1a", XLOOKUP(N574, 'Mythical Island'!$C$2:$C889, 'Mythical Island'!$B$2:$B889)-$B$4, OR(P574="A2-Dialga", P574="A2-Palkia", P574="A2"), XLOOKUP(N574, 'Space-Time Smackdown'!$C$2:$C889, 'Space-Time Smackdown'!$B$2:$B889)-$B$4))</f>
        <v/>
      </c>
      <c r="S574" s="277"/>
      <c r="T574" s="277"/>
      <c r="U574" s="277"/>
      <c r="V574" s="278"/>
      <c r="W574" s="443" t="str">
        <f t="array" ref="W574">IFERROR(IFS(OR(U574="A1-Mewtwo", U574="A1-Pikachu", U574="A1-Charizard", U574="A1"), $B$5-XLOOKUP(S574, 'Genetic Apex'!$C$2:$C889, 'Genetic Apex'!$B$2:$B889), U574="A1a", $B$5-XLOOKUP(S574, 'Mythical Island'!$C$2:$C889, 'Mythical Island'!$B$2:$B889), OR(U574="A2-Dialga", U574="A2-Palkia", U574="A2"), $B$5-XLOOKUP(S574, 'Space-Time Smackdown'!$C$2:$C889, 'Space-Time Smackdown'!$B$2:$B889)))</f>
        <v/>
      </c>
      <c r="X574" s="444" t="str">
        <f t="shared" si="3"/>
        <v/>
      </c>
      <c r="Y574" s="445" t="str">
        <f t="shared" si="4"/>
        <v/>
      </c>
      <c r="Z574" s="278"/>
      <c r="AA574" s="466"/>
      <c r="AB574" s="278"/>
      <c r="AC574" s="278"/>
      <c r="AD574" s="278"/>
      <c r="AE574" s="278"/>
      <c r="AF574" s="278"/>
      <c r="AG574" s="278" t="b">
        <f t="shared" si="5"/>
        <v>0</v>
      </c>
      <c r="AH574" s="454"/>
      <c r="AI574" s="278"/>
      <c r="AJ574" s="278"/>
      <c r="AK574" s="278"/>
      <c r="AL574" s="444" t="str">
        <f t="array" ref="AL574">IFERROR(IFS(OR(AJ574="A1-Mewtwo", AJ574="A1-Pikachu", AJ574="A1-Charizard", AJ574="A1"), XLOOKUP(AH574, 'Genetic Apex'!$C$2:$C889, 'Genetic Apex'!$B$2:$B889)-2, AJ574="A1a", XLOOKUP(AH574, 'Mythical Island'!$C$2:$C889, 'Mythical Island'!$B$2:$B889)-2, OR(AJ574="A2-Dialga", AJ574="A2-Palkia", AJ574="A2"), XLOOKUP(AH574, 'Space-Time Smackdown'!$C$2:$C889, 'Space-Time Smackdown'!$B$2:$B889)-2))</f>
        <v/>
      </c>
      <c r="AM574" s="444" t="str">
        <f t="shared" si="6"/>
        <v/>
      </c>
      <c r="AN574" s="448" t="str">
        <f t="shared" si="7"/>
        <v/>
      </c>
    </row>
    <row r="575">
      <c r="A575" s="277"/>
      <c r="B575" s="277"/>
      <c r="C575" s="441"/>
      <c r="D575" s="277"/>
      <c r="E575" s="277"/>
      <c r="F575" s="277"/>
      <c r="G575" s="277"/>
      <c r="H575" s="277" t="b">
        <f t="shared" si="1"/>
        <v>0</v>
      </c>
      <c r="I575" s="277" t="str">
        <f>IFERROR(__xludf.DUMMYFUNCTION("""COMPUTED_VALUE"""),"A2 198")</f>
        <v>A2 198</v>
      </c>
      <c r="J575" s="277" t="str">
        <f>IFERROR(__xludf.DUMMYFUNCTION("""COMPUTED_VALUE"""),"Pachirisu ex")</f>
        <v>Pachirisu ex</v>
      </c>
      <c r="K575" s="277" t="str">
        <f>IFERROR(__xludf.DUMMYFUNCTION("""COMPUTED_VALUE"""),"A2-Dialga")</f>
        <v>A2-Dialga</v>
      </c>
      <c r="L575" s="277" t="str">
        <f>IFERROR(__xludf.DUMMYFUNCTION("""COMPUTED_VALUE"""),"☆☆")</f>
        <v>☆☆</v>
      </c>
      <c r="M575" s="440" t="b">
        <f t="shared" si="2"/>
        <v>0</v>
      </c>
      <c r="N575" s="441"/>
      <c r="O575" s="277"/>
      <c r="P575" s="277"/>
      <c r="Q575" s="278"/>
      <c r="R575" s="449" t="str">
        <f t="array" ref="R575">IFERROR(IFS(OR(P575="A1-Mewtwo", P575="A1-Pikachu", P575="A1-Charizard", P575="A1"), XLOOKUP(N575, 'Genetic Apex'!$C$2:$C889, 'Genetic Apex'!$B$2:$B889)-$B$4, P575="A1a", XLOOKUP(N575, 'Mythical Island'!$C$2:$C889, 'Mythical Island'!$B$2:$B889)-$B$4, OR(P575="A2-Dialga", P575="A2-Palkia", P575="A2"), XLOOKUP(N575, 'Space-Time Smackdown'!$C$2:$C889, 'Space-Time Smackdown'!$B$2:$B889)-$B$4))</f>
        <v/>
      </c>
      <c r="S575" s="277"/>
      <c r="T575" s="277"/>
      <c r="U575" s="277"/>
      <c r="V575" s="278"/>
      <c r="W575" s="443" t="str">
        <f t="array" ref="W575">IFERROR(IFS(OR(U575="A1-Mewtwo", U575="A1-Pikachu", U575="A1-Charizard", U575="A1"), $B$5-XLOOKUP(S575, 'Genetic Apex'!$C$2:$C889, 'Genetic Apex'!$B$2:$B889), U575="A1a", $B$5-XLOOKUP(S575, 'Mythical Island'!$C$2:$C889, 'Mythical Island'!$B$2:$B889), OR(U575="A2-Dialga", U575="A2-Palkia", U575="A2"), $B$5-XLOOKUP(S575, 'Space-Time Smackdown'!$C$2:$C889, 'Space-Time Smackdown'!$B$2:$B889)))</f>
        <v/>
      </c>
      <c r="X575" s="444" t="str">
        <f t="shared" si="3"/>
        <v/>
      </c>
      <c r="Y575" s="445" t="str">
        <f t="shared" si="4"/>
        <v/>
      </c>
      <c r="Z575" s="278"/>
      <c r="AA575" s="466"/>
      <c r="AB575" s="278"/>
      <c r="AC575" s="278"/>
      <c r="AD575" s="278"/>
      <c r="AE575" s="278"/>
      <c r="AF575" s="278"/>
      <c r="AG575" s="278" t="b">
        <f t="shared" si="5"/>
        <v>0</v>
      </c>
      <c r="AH575" s="454"/>
      <c r="AI575" s="278"/>
      <c r="AJ575" s="278"/>
      <c r="AK575" s="278"/>
      <c r="AL575" s="444" t="str">
        <f t="array" ref="AL575">IFERROR(IFS(OR(AJ575="A1-Mewtwo", AJ575="A1-Pikachu", AJ575="A1-Charizard", AJ575="A1"), XLOOKUP(AH575, 'Genetic Apex'!$C$2:$C889, 'Genetic Apex'!$B$2:$B889)-2, AJ575="A1a", XLOOKUP(AH575, 'Mythical Island'!$C$2:$C889, 'Mythical Island'!$B$2:$B889)-2, OR(AJ575="A2-Dialga", AJ575="A2-Palkia", AJ575="A2"), XLOOKUP(AH575, 'Space-Time Smackdown'!$C$2:$C889, 'Space-Time Smackdown'!$B$2:$B889)-2))</f>
        <v/>
      </c>
      <c r="AM575" s="444" t="str">
        <f t="shared" si="6"/>
        <v/>
      </c>
      <c r="AN575" s="448" t="str">
        <f t="shared" si="7"/>
        <v/>
      </c>
    </row>
    <row r="576">
      <c r="A576" s="277"/>
      <c r="B576" s="277"/>
      <c r="C576" s="441"/>
      <c r="D576" s="277"/>
      <c r="E576" s="277"/>
      <c r="F576" s="277"/>
      <c r="G576" s="277"/>
      <c r="H576" s="277" t="b">
        <f t="shared" si="1"/>
        <v>0</v>
      </c>
      <c r="I576" s="277" t="str">
        <f>IFERROR(__xludf.DUMMYFUNCTION("""COMPUTED_VALUE"""),"A2 199")</f>
        <v>A2 199</v>
      </c>
      <c r="J576" s="277" t="str">
        <f>IFERROR(__xludf.DUMMYFUNCTION("""COMPUTED_VALUE"""),"Mismagius ex")</f>
        <v>Mismagius ex</v>
      </c>
      <c r="K576" s="277" t="str">
        <f>IFERROR(__xludf.DUMMYFUNCTION("""COMPUTED_VALUE"""),"A2-Palkia")</f>
        <v>A2-Palkia</v>
      </c>
      <c r="L576" s="277" t="str">
        <f>IFERROR(__xludf.DUMMYFUNCTION("""COMPUTED_VALUE"""),"☆☆")</f>
        <v>☆☆</v>
      </c>
      <c r="M576" s="440" t="b">
        <f t="shared" si="2"/>
        <v>0</v>
      </c>
      <c r="N576" s="441"/>
      <c r="O576" s="277"/>
      <c r="P576" s="277"/>
      <c r="Q576" s="278"/>
      <c r="R576" s="449" t="str">
        <f t="array" ref="R576">IFERROR(IFS(OR(P576="A1-Mewtwo", P576="A1-Pikachu", P576="A1-Charizard", P576="A1"), XLOOKUP(N576, 'Genetic Apex'!$C$2:$C889, 'Genetic Apex'!$B$2:$B889)-$B$4, P576="A1a", XLOOKUP(N576, 'Mythical Island'!$C$2:$C889, 'Mythical Island'!$B$2:$B889)-$B$4, OR(P576="A2-Dialga", P576="A2-Palkia", P576="A2"), XLOOKUP(N576, 'Space-Time Smackdown'!$C$2:$C889, 'Space-Time Smackdown'!$B$2:$B889)-$B$4))</f>
        <v/>
      </c>
      <c r="S576" s="277"/>
      <c r="T576" s="277"/>
      <c r="U576" s="277"/>
      <c r="V576" s="278"/>
      <c r="W576" s="443" t="str">
        <f t="array" ref="W576">IFERROR(IFS(OR(U576="A1-Mewtwo", U576="A1-Pikachu", U576="A1-Charizard", U576="A1"), $B$5-XLOOKUP(S576, 'Genetic Apex'!$C$2:$C889, 'Genetic Apex'!$B$2:$B889), U576="A1a", $B$5-XLOOKUP(S576, 'Mythical Island'!$C$2:$C889, 'Mythical Island'!$B$2:$B889), OR(U576="A2-Dialga", U576="A2-Palkia", U576="A2"), $B$5-XLOOKUP(S576, 'Space-Time Smackdown'!$C$2:$C889, 'Space-Time Smackdown'!$B$2:$B889)))</f>
        <v/>
      </c>
      <c r="X576" s="444" t="str">
        <f t="shared" si="3"/>
        <v/>
      </c>
      <c r="Y576" s="445" t="str">
        <f t="shared" si="4"/>
        <v/>
      </c>
      <c r="Z576" s="278"/>
      <c r="AA576" s="466"/>
      <c r="AB576" s="278"/>
      <c r="AC576" s="278"/>
      <c r="AD576" s="278"/>
      <c r="AE576" s="278"/>
      <c r="AF576" s="278"/>
      <c r="AG576" s="278" t="b">
        <f t="shared" si="5"/>
        <v>0</v>
      </c>
      <c r="AH576" s="454"/>
      <c r="AI576" s="278"/>
      <c r="AJ576" s="278"/>
      <c r="AK576" s="278"/>
      <c r="AL576" s="444" t="str">
        <f t="array" ref="AL576">IFERROR(IFS(OR(AJ576="A1-Mewtwo", AJ576="A1-Pikachu", AJ576="A1-Charizard", AJ576="A1"), XLOOKUP(AH576, 'Genetic Apex'!$C$2:$C889, 'Genetic Apex'!$B$2:$B889)-2, AJ576="A1a", XLOOKUP(AH576, 'Mythical Island'!$C$2:$C889, 'Mythical Island'!$B$2:$B889)-2, OR(AJ576="A2-Dialga", AJ576="A2-Palkia", AJ576="A2"), XLOOKUP(AH576, 'Space-Time Smackdown'!$C$2:$C889, 'Space-Time Smackdown'!$B$2:$B889)-2))</f>
        <v/>
      </c>
      <c r="AM576" s="444" t="str">
        <f t="shared" si="6"/>
        <v/>
      </c>
      <c r="AN576" s="448" t="str">
        <f t="shared" si="7"/>
        <v/>
      </c>
    </row>
    <row r="577">
      <c r="A577" s="277"/>
      <c r="B577" s="277"/>
      <c r="C577" s="441"/>
      <c r="D577" s="277"/>
      <c r="E577" s="277"/>
      <c r="F577" s="277"/>
      <c r="G577" s="277"/>
      <c r="H577" s="277" t="b">
        <f t="shared" si="1"/>
        <v>0</v>
      </c>
      <c r="I577" s="277" t="str">
        <f>IFERROR(__xludf.DUMMYFUNCTION("""COMPUTED_VALUE"""),"A2 200")</f>
        <v>A2 200</v>
      </c>
      <c r="J577" s="277" t="str">
        <f>IFERROR(__xludf.DUMMYFUNCTION("""COMPUTED_VALUE"""),"Gallade ex")</f>
        <v>Gallade ex</v>
      </c>
      <c r="K577" s="277" t="str">
        <f>IFERROR(__xludf.DUMMYFUNCTION("""COMPUTED_VALUE"""),"A2-Dialga")</f>
        <v>A2-Dialga</v>
      </c>
      <c r="L577" s="277" t="str">
        <f>IFERROR(__xludf.DUMMYFUNCTION("""COMPUTED_VALUE"""),"☆☆")</f>
        <v>☆☆</v>
      </c>
      <c r="M577" s="440" t="b">
        <f t="shared" si="2"/>
        <v>0</v>
      </c>
      <c r="N577" s="441"/>
      <c r="O577" s="277"/>
      <c r="P577" s="277"/>
      <c r="Q577" s="278"/>
      <c r="R577" s="449" t="str">
        <f t="array" ref="R577">IFERROR(IFS(OR(P577="A1-Mewtwo", P577="A1-Pikachu", P577="A1-Charizard", P577="A1"), XLOOKUP(N577, 'Genetic Apex'!$C$2:$C889, 'Genetic Apex'!$B$2:$B889)-$B$4, P577="A1a", XLOOKUP(N577, 'Mythical Island'!$C$2:$C889, 'Mythical Island'!$B$2:$B889)-$B$4, OR(P577="A2-Dialga", P577="A2-Palkia", P577="A2"), XLOOKUP(N577, 'Space-Time Smackdown'!$C$2:$C889, 'Space-Time Smackdown'!$B$2:$B889)-$B$4))</f>
        <v/>
      </c>
      <c r="S577" s="277"/>
      <c r="T577" s="277"/>
      <c r="U577" s="277"/>
      <c r="V577" s="278"/>
      <c r="W577" s="443" t="str">
        <f t="array" ref="W577">IFERROR(IFS(OR(U577="A1-Mewtwo", U577="A1-Pikachu", U577="A1-Charizard", U577="A1"), $B$5-XLOOKUP(S577, 'Genetic Apex'!$C$2:$C889, 'Genetic Apex'!$B$2:$B889), U577="A1a", $B$5-XLOOKUP(S577, 'Mythical Island'!$C$2:$C889, 'Mythical Island'!$B$2:$B889), OR(U577="A2-Dialga", U577="A2-Palkia", U577="A2"), $B$5-XLOOKUP(S577, 'Space-Time Smackdown'!$C$2:$C889, 'Space-Time Smackdown'!$B$2:$B889)))</f>
        <v/>
      </c>
      <c r="X577" s="444" t="str">
        <f t="shared" si="3"/>
        <v/>
      </c>
      <c r="Y577" s="445" t="str">
        <f t="shared" si="4"/>
        <v/>
      </c>
      <c r="Z577" s="278"/>
      <c r="AA577" s="466"/>
      <c r="AB577" s="278"/>
      <c r="AC577" s="278"/>
      <c r="AD577" s="278"/>
      <c r="AE577" s="278"/>
      <c r="AF577" s="278"/>
      <c r="AG577" s="278" t="b">
        <f t="shared" si="5"/>
        <v>0</v>
      </c>
      <c r="AH577" s="454"/>
      <c r="AI577" s="278"/>
      <c r="AJ577" s="278"/>
      <c r="AK577" s="278"/>
      <c r="AL577" s="444" t="str">
        <f t="array" ref="AL577">IFERROR(IFS(OR(AJ577="A1-Mewtwo", AJ577="A1-Pikachu", AJ577="A1-Charizard", AJ577="A1"), XLOOKUP(AH577, 'Genetic Apex'!$C$2:$C889, 'Genetic Apex'!$B$2:$B889)-2, AJ577="A1a", XLOOKUP(AH577, 'Mythical Island'!$C$2:$C889, 'Mythical Island'!$B$2:$B889)-2, OR(AJ577="A2-Dialga", AJ577="A2-Palkia", AJ577="A2"), XLOOKUP(AH577, 'Space-Time Smackdown'!$C$2:$C889, 'Space-Time Smackdown'!$B$2:$B889)-2))</f>
        <v/>
      </c>
      <c r="AM577" s="444" t="str">
        <f t="shared" si="6"/>
        <v/>
      </c>
      <c r="AN577" s="448" t="str">
        <f t="shared" si="7"/>
        <v/>
      </c>
    </row>
    <row r="578">
      <c r="A578" s="277"/>
      <c r="B578" s="277"/>
      <c r="C578" s="441"/>
      <c r="D578" s="277"/>
      <c r="E578" s="277"/>
      <c r="F578" s="277"/>
      <c r="G578" s="277"/>
      <c r="H578" s="277" t="b">
        <f t="shared" si="1"/>
        <v>0</v>
      </c>
      <c r="I578" s="277" t="str">
        <f>IFERROR(__xludf.DUMMYFUNCTION("""COMPUTED_VALUE"""),"A2 201")</f>
        <v>A2 201</v>
      </c>
      <c r="J578" s="277" t="str">
        <f>IFERROR(__xludf.DUMMYFUNCTION("""COMPUTED_VALUE"""),"Weavile ex")</f>
        <v>Weavile ex</v>
      </c>
      <c r="K578" s="277" t="str">
        <f>IFERROR(__xludf.DUMMYFUNCTION("""COMPUTED_VALUE"""),"A2-Palkia")</f>
        <v>A2-Palkia</v>
      </c>
      <c r="L578" s="277" t="str">
        <f>IFERROR(__xludf.DUMMYFUNCTION("""COMPUTED_VALUE"""),"☆☆")</f>
        <v>☆☆</v>
      </c>
      <c r="M578" s="440" t="b">
        <f t="shared" si="2"/>
        <v>0</v>
      </c>
      <c r="N578" s="441"/>
      <c r="O578" s="277"/>
      <c r="P578" s="277"/>
      <c r="Q578" s="278"/>
      <c r="R578" s="449" t="str">
        <f t="array" ref="R578">IFERROR(IFS(OR(P578="A1-Mewtwo", P578="A1-Pikachu", P578="A1-Charizard", P578="A1"), XLOOKUP(N578, 'Genetic Apex'!$C$2:$C889, 'Genetic Apex'!$B$2:$B889)-$B$4, P578="A1a", XLOOKUP(N578, 'Mythical Island'!$C$2:$C889, 'Mythical Island'!$B$2:$B889)-$B$4, OR(P578="A2-Dialga", P578="A2-Palkia", P578="A2"), XLOOKUP(N578, 'Space-Time Smackdown'!$C$2:$C889, 'Space-Time Smackdown'!$B$2:$B889)-$B$4))</f>
        <v/>
      </c>
      <c r="S578" s="277"/>
      <c r="T578" s="277"/>
      <c r="U578" s="277"/>
      <c r="V578" s="278"/>
      <c r="W578" s="443" t="str">
        <f t="array" ref="W578">IFERROR(IFS(OR(U578="A1-Mewtwo", U578="A1-Pikachu", U578="A1-Charizard", U578="A1"), $B$5-XLOOKUP(S578, 'Genetic Apex'!$C$2:$C889, 'Genetic Apex'!$B$2:$B889), U578="A1a", $B$5-XLOOKUP(S578, 'Mythical Island'!$C$2:$C889, 'Mythical Island'!$B$2:$B889), OR(U578="A2-Dialga", U578="A2-Palkia", U578="A2"), $B$5-XLOOKUP(S578, 'Space-Time Smackdown'!$C$2:$C889, 'Space-Time Smackdown'!$B$2:$B889)))</f>
        <v/>
      </c>
      <c r="X578" s="444" t="str">
        <f t="shared" si="3"/>
        <v/>
      </c>
      <c r="Y578" s="445" t="str">
        <f t="shared" si="4"/>
        <v/>
      </c>
      <c r="Z578" s="278"/>
      <c r="AA578" s="466"/>
      <c r="AB578" s="278"/>
      <c r="AC578" s="278"/>
      <c r="AD578" s="278"/>
      <c r="AE578" s="278"/>
      <c r="AF578" s="278"/>
      <c r="AG578" s="278" t="b">
        <f t="shared" si="5"/>
        <v>0</v>
      </c>
      <c r="AH578" s="454"/>
      <c r="AI578" s="278"/>
      <c r="AJ578" s="278"/>
      <c r="AK578" s="278"/>
      <c r="AL578" s="444" t="str">
        <f t="array" ref="AL578">IFERROR(IFS(OR(AJ578="A1-Mewtwo", AJ578="A1-Pikachu", AJ578="A1-Charizard", AJ578="A1"), XLOOKUP(AH578, 'Genetic Apex'!$C$2:$C889, 'Genetic Apex'!$B$2:$B889)-2, AJ578="A1a", XLOOKUP(AH578, 'Mythical Island'!$C$2:$C889, 'Mythical Island'!$B$2:$B889)-2, OR(AJ578="A2-Dialga", AJ578="A2-Palkia", AJ578="A2"), XLOOKUP(AH578, 'Space-Time Smackdown'!$C$2:$C889, 'Space-Time Smackdown'!$B$2:$B889)-2))</f>
        <v/>
      </c>
      <c r="AM578" s="444" t="str">
        <f t="shared" si="6"/>
        <v/>
      </c>
      <c r="AN578" s="448" t="str">
        <f t="shared" si="7"/>
        <v/>
      </c>
    </row>
    <row r="579">
      <c r="A579" s="277"/>
      <c r="B579" s="277"/>
      <c r="C579" s="441"/>
      <c r="D579" s="277"/>
      <c r="E579" s="277"/>
      <c r="F579" s="277"/>
      <c r="G579" s="277"/>
      <c r="H579" s="277" t="b">
        <f t="shared" si="1"/>
        <v>0</v>
      </c>
      <c r="I579" s="277" t="str">
        <f>IFERROR(__xludf.DUMMYFUNCTION("""COMPUTED_VALUE"""),"A2 202")</f>
        <v>A2 202</v>
      </c>
      <c r="J579" s="277" t="str">
        <f>IFERROR(__xludf.DUMMYFUNCTION("""COMPUTED_VALUE"""),"Darkrai ex")</f>
        <v>Darkrai ex</v>
      </c>
      <c r="K579" s="277" t="str">
        <f>IFERROR(__xludf.DUMMYFUNCTION("""COMPUTED_VALUE"""),"A2-Dialga")</f>
        <v>A2-Dialga</v>
      </c>
      <c r="L579" s="277" t="str">
        <f>IFERROR(__xludf.DUMMYFUNCTION("""COMPUTED_VALUE"""),"☆☆")</f>
        <v>☆☆</v>
      </c>
      <c r="M579" s="440" t="b">
        <f t="shared" si="2"/>
        <v>0</v>
      </c>
      <c r="N579" s="441"/>
      <c r="O579" s="277"/>
      <c r="P579" s="277"/>
      <c r="Q579" s="278"/>
      <c r="R579" s="449" t="str">
        <f t="array" ref="R579">IFERROR(IFS(OR(P579="A1-Mewtwo", P579="A1-Pikachu", P579="A1-Charizard", P579="A1"), XLOOKUP(N579, 'Genetic Apex'!$C$2:$C889, 'Genetic Apex'!$B$2:$B889)-$B$4, P579="A1a", XLOOKUP(N579, 'Mythical Island'!$C$2:$C889, 'Mythical Island'!$B$2:$B889)-$B$4, OR(P579="A2-Dialga", P579="A2-Palkia", P579="A2"), XLOOKUP(N579, 'Space-Time Smackdown'!$C$2:$C889, 'Space-Time Smackdown'!$B$2:$B889)-$B$4))</f>
        <v/>
      </c>
      <c r="S579" s="277"/>
      <c r="T579" s="277"/>
      <c r="U579" s="277"/>
      <c r="V579" s="278"/>
      <c r="W579" s="443" t="str">
        <f t="array" ref="W579">IFERROR(IFS(OR(U579="A1-Mewtwo", U579="A1-Pikachu", U579="A1-Charizard", U579="A1"), $B$5-XLOOKUP(S579, 'Genetic Apex'!$C$2:$C889, 'Genetic Apex'!$B$2:$B889), U579="A1a", $B$5-XLOOKUP(S579, 'Mythical Island'!$C$2:$C889, 'Mythical Island'!$B$2:$B889), OR(U579="A2-Dialga", U579="A2-Palkia", U579="A2"), $B$5-XLOOKUP(S579, 'Space-Time Smackdown'!$C$2:$C889, 'Space-Time Smackdown'!$B$2:$B889)))</f>
        <v/>
      </c>
      <c r="X579" s="444" t="str">
        <f t="shared" si="3"/>
        <v/>
      </c>
      <c r="Y579" s="445" t="str">
        <f t="shared" si="4"/>
        <v/>
      </c>
      <c r="Z579" s="278"/>
      <c r="AA579" s="466"/>
      <c r="AB579" s="278"/>
      <c r="AC579" s="278"/>
      <c r="AD579" s="278"/>
      <c r="AE579" s="278"/>
      <c r="AF579" s="278"/>
      <c r="AG579" s="278" t="b">
        <f t="shared" si="5"/>
        <v>0</v>
      </c>
      <c r="AH579" s="454"/>
      <c r="AI579" s="278"/>
      <c r="AJ579" s="278"/>
      <c r="AK579" s="278"/>
      <c r="AL579" s="444" t="str">
        <f t="array" ref="AL579">IFERROR(IFS(OR(AJ579="A1-Mewtwo", AJ579="A1-Pikachu", AJ579="A1-Charizard", AJ579="A1"), XLOOKUP(AH579, 'Genetic Apex'!$C$2:$C889, 'Genetic Apex'!$B$2:$B889)-2, AJ579="A1a", XLOOKUP(AH579, 'Mythical Island'!$C$2:$C889, 'Mythical Island'!$B$2:$B889)-2, OR(AJ579="A2-Dialga", AJ579="A2-Palkia", AJ579="A2"), XLOOKUP(AH579, 'Space-Time Smackdown'!$C$2:$C889, 'Space-Time Smackdown'!$B$2:$B889)-2))</f>
        <v/>
      </c>
      <c r="AM579" s="444" t="str">
        <f t="shared" si="6"/>
        <v/>
      </c>
      <c r="AN579" s="448" t="str">
        <f t="shared" si="7"/>
        <v/>
      </c>
    </row>
    <row r="580">
      <c r="A580" s="277"/>
      <c r="B580" s="277"/>
      <c r="C580" s="441"/>
      <c r="D580" s="277"/>
      <c r="E580" s="277"/>
      <c r="F580" s="277"/>
      <c r="G580" s="277"/>
      <c r="H580" s="277" t="b">
        <f t="shared" si="1"/>
        <v>0</v>
      </c>
      <c r="I580" s="277" t="str">
        <f>IFERROR(__xludf.DUMMYFUNCTION("""COMPUTED_VALUE"""),"A2 203")</f>
        <v>A2 203</v>
      </c>
      <c r="J580" s="277" t="str">
        <f>IFERROR(__xludf.DUMMYFUNCTION("""COMPUTED_VALUE"""),"Lickilicky ex")</f>
        <v>Lickilicky ex</v>
      </c>
      <c r="K580" s="277" t="str">
        <f>IFERROR(__xludf.DUMMYFUNCTION("""COMPUTED_VALUE"""),"A2-Palkia")</f>
        <v>A2-Palkia</v>
      </c>
      <c r="L580" s="277" t="str">
        <f>IFERROR(__xludf.DUMMYFUNCTION("""COMPUTED_VALUE"""),"☆☆")</f>
        <v>☆☆</v>
      </c>
      <c r="M580" s="440" t="b">
        <f t="shared" si="2"/>
        <v>0</v>
      </c>
      <c r="N580" s="441"/>
      <c r="O580" s="277"/>
      <c r="P580" s="277"/>
      <c r="Q580" s="278"/>
      <c r="R580" s="449" t="str">
        <f t="array" ref="R580">IFERROR(IFS(OR(P580="A1-Mewtwo", P580="A1-Pikachu", P580="A1-Charizard", P580="A1"), XLOOKUP(N580, 'Genetic Apex'!$C$2:$C889, 'Genetic Apex'!$B$2:$B889)-$B$4, P580="A1a", XLOOKUP(N580, 'Mythical Island'!$C$2:$C889, 'Mythical Island'!$B$2:$B889)-$B$4, OR(P580="A2-Dialga", P580="A2-Palkia", P580="A2"), XLOOKUP(N580, 'Space-Time Smackdown'!$C$2:$C889, 'Space-Time Smackdown'!$B$2:$B889)-$B$4))</f>
        <v/>
      </c>
      <c r="S580" s="277"/>
      <c r="T580" s="277"/>
      <c r="U580" s="277"/>
      <c r="V580" s="278"/>
      <c r="W580" s="443" t="str">
        <f t="array" ref="W580">IFERROR(IFS(OR(U580="A1-Mewtwo", U580="A1-Pikachu", U580="A1-Charizard", U580="A1"), $B$5-XLOOKUP(S580, 'Genetic Apex'!$C$2:$C889, 'Genetic Apex'!$B$2:$B889), U580="A1a", $B$5-XLOOKUP(S580, 'Mythical Island'!$C$2:$C889, 'Mythical Island'!$B$2:$B889), OR(U580="A2-Dialga", U580="A2-Palkia", U580="A2"), $B$5-XLOOKUP(S580, 'Space-Time Smackdown'!$C$2:$C889, 'Space-Time Smackdown'!$B$2:$B889)))</f>
        <v/>
      </c>
      <c r="X580" s="444" t="str">
        <f t="shared" si="3"/>
        <v/>
      </c>
      <c r="Y580" s="445" t="str">
        <f t="shared" si="4"/>
        <v/>
      </c>
      <c r="Z580" s="278"/>
      <c r="AA580" s="466"/>
      <c r="AB580" s="278"/>
      <c r="AC580" s="278"/>
      <c r="AD580" s="278"/>
      <c r="AE580" s="278"/>
      <c r="AF580" s="278"/>
      <c r="AG580" s="278" t="b">
        <f t="shared" si="5"/>
        <v>0</v>
      </c>
      <c r="AH580" s="454"/>
      <c r="AI580" s="278"/>
      <c r="AJ580" s="278"/>
      <c r="AK580" s="278"/>
      <c r="AL580" s="444" t="str">
        <f t="array" ref="AL580">IFERROR(IFS(OR(AJ580="A1-Mewtwo", AJ580="A1-Pikachu", AJ580="A1-Charizard", AJ580="A1"), XLOOKUP(AH580, 'Genetic Apex'!$C$2:$C889, 'Genetic Apex'!$B$2:$B889)-2, AJ580="A1a", XLOOKUP(AH580, 'Mythical Island'!$C$2:$C889, 'Mythical Island'!$B$2:$B889)-2, OR(AJ580="A2-Dialga", AJ580="A2-Palkia", AJ580="A2"), XLOOKUP(AH580, 'Space-Time Smackdown'!$C$2:$C889, 'Space-Time Smackdown'!$B$2:$B889)-2))</f>
        <v/>
      </c>
      <c r="AM580" s="444" t="str">
        <f t="shared" si="6"/>
        <v/>
      </c>
      <c r="AN580" s="448" t="str">
        <f t="shared" si="7"/>
        <v/>
      </c>
    </row>
    <row r="581">
      <c r="A581" s="277"/>
      <c r="B581" s="277"/>
      <c r="C581" s="441"/>
      <c r="D581" s="277"/>
      <c r="E581" s="277"/>
      <c r="F581" s="277"/>
      <c r="G581" s="277"/>
      <c r="H581" s="277" t="b">
        <f t="shared" si="1"/>
        <v>0</v>
      </c>
      <c r="I581" s="277" t="str">
        <f>IFERROR(__xludf.DUMMYFUNCTION("""COMPUTED_VALUE"""),"A2 204")</f>
        <v>A2 204</v>
      </c>
      <c r="J581" s="277" t="str">
        <f>IFERROR(__xludf.DUMMYFUNCTION("""COMPUTED_VALUE"""),"Palkia ex")</f>
        <v>Palkia ex</v>
      </c>
      <c r="K581" s="277" t="str">
        <f>IFERROR(__xludf.DUMMYFUNCTION("""COMPUTED_VALUE"""),"A2-Palkia")</f>
        <v>A2-Palkia</v>
      </c>
      <c r="L581" s="277" t="str">
        <f>IFERROR(__xludf.DUMMYFUNCTION("""COMPUTED_VALUE"""),"☆☆☆")</f>
        <v>☆☆☆</v>
      </c>
      <c r="M581" s="440" t="b">
        <f t="shared" si="2"/>
        <v>0</v>
      </c>
      <c r="N581" s="441"/>
      <c r="O581" s="277"/>
      <c r="P581" s="277"/>
      <c r="Q581" s="278"/>
      <c r="R581" s="449" t="str">
        <f t="array" ref="R581">IFERROR(IFS(OR(P581="A1-Mewtwo", P581="A1-Pikachu", P581="A1-Charizard", P581="A1"), XLOOKUP(N581, 'Genetic Apex'!$C$2:$C889, 'Genetic Apex'!$B$2:$B889)-$B$4, P581="A1a", XLOOKUP(N581, 'Mythical Island'!$C$2:$C889, 'Mythical Island'!$B$2:$B889)-$B$4, OR(P581="A2-Dialga", P581="A2-Palkia", P581="A2"), XLOOKUP(N581, 'Space-Time Smackdown'!$C$2:$C889, 'Space-Time Smackdown'!$B$2:$B889)-$B$4))</f>
        <v/>
      </c>
      <c r="S581" s="277"/>
      <c r="T581" s="277"/>
      <c r="U581" s="277"/>
      <c r="V581" s="278"/>
      <c r="W581" s="443" t="str">
        <f t="array" ref="W581">IFERROR(IFS(OR(U581="A1-Mewtwo", U581="A1-Pikachu", U581="A1-Charizard", U581="A1"), $B$5-XLOOKUP(S581, 'Genetic Apex'!$C$2:$C889, 'Genetic Apex'!$B$2:$B889), U581="A1a", $B$5-XLOOKUP(S581, 'Mythical Island'!$C$2:$C889, 'Mythical Island'!$B$2:$B889), OR(U581="A2-Dialga", U581="A2-Palkia", U581="A2"), $B$5-XLOOKUP(S581, 'Space-Time Smackdown'!$C$2:$C889, 'Space-Time Smackdown'!$B$2:$B889)))</f>
        <v/>
      </c>
      <c r="X581" s="444" t="str">
        <f t="shared" si="3"/>
        <v/>
      </c>
      <c r="Y581" s="445" t="str">
        <f t="shared" si="4"/>
        <v/>
      </c>
      <c r="Z581" s="278"/>
      <c r="AA581" s="466"/>
      <c r="AB581" s="278"/>
      <c r="AC581" s="278"/>
      <c r="AD581" s="278"/>
      <c r="AE581" s="278"/>
      <c r="AF581" s="278"/>
      <c r="AG581" s="278" t="b">
        <f t="shared" si="5"/>
        <v>0</v>
      </c>
      <c r="AH581" s="454"/>
      <c r="AI581" s="278"/>
      <c r="AJ581" s="278"/>
      <c r="AK581" s="278"/>
      <c r="AL581" s="444" t="str">
        <f t="array" ref="AL581">IFERROR(IFS(OR(AJ581="A1-Mewtwo", AJ581="A1-Pikachu", AJ581="A1-Charizard", AJ581="A1"), XLOOKUP(AH581, 'Genetic Apex'!$C$2:$C889, 'Genetic Apex'!$B$2:$B889)-2, AJ581="A1a", XLOOKUP(AH581, 'Mythical Island'!$C$2:$C889, 'Mythical Island'!$B$2:$B889)-2, OR(AJ581="A2-Dialga", AJ581="A2-Palkia", AJ581="A2"), XLOOKUP(AH581, 'Space-Time Smackdown'!$C$2:$C889, 'Space-Time Smackdown'!$B$2:$B889)-2))</f>
        <v/>
      </c>
      <c r="AM581" s="444" t="str">
        <f t="shared" si="6"/>
        <v/>
      </c>
      <c r="AN581" s="448" t="str">
        <f t="shared" si="7"/>
        <v/>
      </c>
    </row>
    <row r="582">
      <c r="A582" s="277"/>
      <c r="B582" s="277"/>
      <c r="C582" s="441"/>
      <c r="D582" s="277"/>
      <c r="E582" s="277"/>
      <c r="F582" s="277"/>
      <c r="G582" s="277"/>
      <c r="H582" s="277" t="b">
        <f t="shared" si="1"/>
        <v>0</v>
      </c>
      <c r="I582" s="277" t="str">
        <f>IFERROR(__xludf.DUMMYFUNCTION("""COMPUTED_VALUE"""),"A2 205")</f>
        <v>A2 205</v>
      </c>
      <c r="J582" s="277" t="str">
        <f>IFERROR(__xludf.DUMMYFUNCTION("""COMPUTED_VALUE"""),"Dialga ex")</f>
        <v>Dialga ex</v>
      </c>
      <c r="K582" s="277" t="str">
        <f>IFERROR(__xludf.DUMMYFUNCTION("""COMPUTED_VALUE"""),"A2-Dialga")</f>
        <v>A2-Dialga</v>
      </c>
      <c r="L582" s="277" t="str">
        <f>IFERROR(__xludf.DUMMYFUNCTION("""COMPUTED_VALUE"""),"☆☆☆")</f>
        <v>☆☆☆</v>
      </c>
      <c r="M582" s="440" t="b">
        <f t="shared" si="2"/>
        <v>0</v>
      </c>
      <c r="N582" s="441"/>
      <c r="O582" s="277"/>
      <c r="P582" s="277"/>
      <c r="Q582" s="278"/>
      <c r="R582" s="449" t="str">
        <f t="array" ref="R582">IFERROR(IFS(OR(P582="A1-Mewtwo", P582="A1-Pikachu", P582="A1-Charizard", P582="A1"), XLOOKUP(N582, 'Genetic Apex'!$C$2:$C889, 'Genetic Apex'!$B$2:$B889)-$B$4, P582="A1a", XLOOKUP(N582, 'Mythical Island'!$C$2:$C889, 'Mythical Island'!$B$2:$B889)-$B$4, OR(P582="A2-Dialga", P582="A2-Palkia", P582="A2"), XLOOKUP(N582, 'Space-Time Smackdown'!$C$2:$C889, 'Space-Time Smackdown'!$B$2:$B889)-$B$4))</f>
        <v/>
      </c>
      <c r="S582" s="277"/>
      <c r="T582" s="277"/>
      <c r="U582" s="277"/>
      <c r="V582" s="278"/>
      <c r="W582" s="443" t="str">
        <f t="array" ref="W582">IFERROR(IFS(OR(U582="A1-Mewtwo", U582="A1-Pikachu", U582="A1-Charizard", U582="A1"), $B$5-XLOOKUP(S582, 'Genetic Apex'!$C$2:$C889, 'Genetic Apex'!$B$2:$B889), U582="A1a", $B$5-XLOOKUP(S582, 'Mythical Island'!$C$2:$C889, 'Mythical Island'!$B$2:$B889), OR(U582="A2-Dialga", U582="A2-Palkia", U582="A2"), $B$5-XLOOKUP(S582, 'Space-Time Smackdown'!$C$2:$C889, 'Space-Time Smackdown'!$B$2:$B889)))</f>
        <v/>
      </c>
      <c r="X582" s="444" t="str">
        <f t="shared" si="3"/>
        <v/>
      </c>
      <c r="Y582" s="445" t="str">
        <f t="shared" si="4"/>
        <v/>
      </c>
      <c r="Z582" s="278"/>
      <c r="AA582" s="466"/>
      <c r="AB582" s="278"/>
      <c r="AC582" s="278"/>
      <c r="AD582" s="278"/>
      <c r="AE582" s="278"/>
      <c r="AF582" s="278"/>
      <c r="AG582" s="278" t="b">
        <f t="shared" si="5"/>
        <v>0</v>
      </c>
      <c r="AH582" s="454"/>
      <c r="AI582" s="278"/>
      <c r="AJ582" s="278"/>
      <c r="AK582" s="278"/>
      <c r="AL582" s="444" t="str">
        <f t="array" ref="AL582">IFERROR(IFS(OR(AJ582="A1-Mewtwo", AJ582="A1-Pikachu", AJ582="A1-Charizard", AJ582="A1"), XLOOKUP(AH582, 'Genetic Apex'!$C$2:$C889, 'Genetic Apex'!$B$2:$B889)-2, AJ582="A1a", XLOOKUP(AH582, 'Mythical Island'!$C$2:$C889, 'Mythical Island'!$B$2:$B889)-2, OR(AJ582="A2-Dialga", AJ582="A2-Palkia", AJ582="A2"), XLOOKUP(AH582, 'Space-Time Smackdown'!$C$2:$C889, 'Space-Time Smackdown'!$B$2:$B889)-2))</f>
        <v/>
      </c>
      <c r="AM582" s="444" t="str">
        <f t="shared" si="6"/>
        <v/>
      </c>
      <c r="AN582" s="448" t="str">
        <f t="shared" si="7"/>
        <v/>
      </c>
    </row>
    <row r="583">
      <c r="A583" s="277"/>
      <c r="B583" s="277"/>
      <c r="C583" s="441"/>
      <c r="D583" s="277"/>
      <c r="E583" s="277"/>
      <c r="F583" s="277"/>
      <c r="G583" s="277"/>
      <c r="H583" s="277" t="b">
        <f t="shared" si="1"/>
        <v>0</v>
      </c>
      <c r="I583" s="277" t="str">
        <f>IFERROR(__xludf.DUMMYFUNCTION("""COMPUTED_VALUE"""),"A2 206")</f>
        <v>A2 206</v>
      </c>
      <c r="J583" s="277" t="str">
        <f>IFERROR(__xludf.DUMMYFUNCTION("""COMPUTED_VALUE"""),"Palkia ex")</f>
        <v>Palkia ex</v>
      </c>
      <c r="K583" s="277" t="str">
        <f>IFERROR(__xludf.DUMMYFUNCTION("""COMPUTED_VALUE"""),"A2")</f>
        <v>A2</v>
      </c>
      <c r="L583" s="277" t="str">
        <f>IFERROR(__xludf.DUMMYFUNCTION("""COMPUTED_VALUE"""),"♛")</f>
        <v>♛</v>
      </c>
      <c r="M583" s="440" t="b">
        <f t="shared" si="2"/>
        <v>0</v>
      </c>
      <c r="N583" s="441"/>
      <c r="O583" s="277"/>
      <c r="P583" s="277"/>
      <c r="Q583" s="278"/>
      <c r="R583" s="449" t="str">
        <f t="array" ref="R583">IFERROR(IFS(OR(P583="A1-Mewtwo", P583="A1-Pikachu", P583="A1-Charizard", P583="A1"), XLOOKUP(N583, 'Genetic Apex'!$C$2:$C889, 'Genetic Apex'!$B$2:$B889)-$B$4, P583="A1a", XLOOKUP(N583, 'Mythical Island'!$C$2:$C889, 'Mythical Island'!$B$2:$B889)-$B$4, OR(P583="A2-Dialga", P583="A2-Palkia", P583="A2"), XLOOKUP(N583, 'Space-Time Smackdown'!$C$2:$C889, 'Space-Time Smackdown'!$B$2:$B889)-$B$4))</f>
        <v/>
      </c>
      <c r="S583" s="277"/>
      <c r="T583" s="277"/>
      <c r="U583" s="277"/>
      <c r="V583" s="278"/>
      <c r="W583" s="443" t="str">
        <f t="array" ref="W583">IFERROR(IFS(OR(U583="A1-Mewtwo", U583="A1-Pikachu", U583="A1-Charizard", U583="A1"), $B$5-XLOOKUP(S583, 'Genetic Apex'!$C$2:$C889, 'Genetic Apex'!$B$2:$B889), U583="A1a", $B$5-XLOOKUP(S583, 'Mythical Island'!$C$2:$C889, 'Mythical Island'!$B$2:$B889), OR(U583="A2-Dialga", U583="A2-Palkia", U583="A2"), $B$5-XLOOKUP(S583, 'Space-Time Smackdown'!$C$2:$C889, 'Space-Time Smackdown'!$B$2:$B889)))</f>
        <v/>
      </c>
      <c r="X583" s="444" t="str">
        <f t="shared" si="3"/>
        <v/>
      </c>
      <c r="Y583" s="445" t="str">
        <f t="shared" si="4"/>
        <v/>
      </c>
      <c r="Z583" s="278"/>
      <c r="AA583" s="466"/>
      <c r="AB583" s="278"/>
      <c r="AC583" s="278"/>
      <c r="AD583" s="278"/>
      <c r="AE583" s="278"/>
      <c r="AF583" s="278"/>
      <c r="AG583" s="278" t="b">
        <f t="shared" si="5"/>
        <v>0</v>
      </c>
      <c r="AH583" s="454"/>
      <c r="AI583" s="278"/>
      <c r="AJ583" s="278"/>
      <c r="AK583" s="278"/>
      <c r="AL583" s="444" t="str">
        <f t="array" ref="AL583">IFERROR(IFS(OR(AJ583="A1-Mewtwo", AJ583="A1-Pikachu", AJ583="A1-Charizard", AJ583="A1"), XLOOKUP(AH583, 'Genetic Apex'!$C$2:$C889, 'Genetic Apex'!$B$2:$B889)-2, AJ583="A1a", XLOOKUP(AH583, 'Mythical Island'!$C$2:$C889, 'Mythical Island'!$B$2:$B889)-2, OR(AJ583="A2-Dialga", AJ583="A2-Palkia", AJ583="A2"), XLOOKUP(AH583, 'Space-Time Smackdown'!$C$2:$C889, 'Space-Time Smackdown'!$B$2:$B889)-2))</f>
        <v/>
      </c>
      <c r="AM583" s="444" t="str">
        <f t="shared" si="6"/>
        <v/>
      </c>
      <c r="AN583" s="448" t="str">
        <f t="shared" si="7"/>
        <v/>
      </c>
    </row>
    <row r="584">
      <c r="A584" s="277"/>
      <c r="B584" s="277"/>
      <c r="C584" s="441"/>
      <c r="D584" s="277"/>
      <c r="E584" s="277"/>
      <c r="F584" s="277"/>
      <c r="G584" s="277"/>
      <c r="H584" s="277" t="b">
        <f t="shared" si="1"/>
        <v>0</v>
      </c>
      <c r="I584" s="277" t="str">
        <f>IFERROR(__xludf.DUMMYFUNCTION("""COMPUTED_VALUE"""),"A2 207")</f>
        <v>A2 207</v>
      </c>
      <c r="J584" s="277" t="str">
        <f>IFERROR(__xludf.DUMMYFUNCTION("""COMPUTED_VALUE"""),"Dialga ex")</f>
        <v>Dialga ex</v>
      </c>
      <c r="K584" s="277" t="str">
        <f>IFERROR(__xludf.DUMMYFUNCTION("""COMPUTED_VALUE"""),"A2")</f>
        <v>A2</v>
      </c>
      <c r="L584" s="277" t="str">
        <f>IFERROR(__xludf.DUMMYFUNCTION("""COMPUTED_VALUE"""),"♛")</f>
        <v>♛</v>
      </c>
      <c r="M584" s="440" t="b">
        <f t="shared" si="2"/>
        <v>0</v>
      </c>
      <c r="N584" s="441"/>
      <c r="O584" s="277"/>
      <c r="P584" s="277"/>
      <c r="Q584" s="278"/>
      <c r="R584" s="449" t="str">
        <f t="array" ref="R584">IFERROR(IFS(OR(P584="A1-Mewtwo", P584="A1-Pikachu", P584="A1-Charizard", P584="A1"), XLOOKUP(N584, 'Genetic Apex'!$C$2:$C889, 'Genetic Apex'!$B$2:$B889)-$B$4, P584="A1a", XLOOKUP(N584, 'Mythical Island'!$C$2:$C889, 'Mythical Island'!$B$2:$B889)-$B$4, OR(P584="A2-Dialga", P584="A2-Palkia", P584="A2"), XLOOKUP(N584, 'Space-Time Smackdown'!$C$2:$C889, 'Space-Time Smackdown'!$B$2:$B889)-$B$4))</f>
        <v/>
      </c>
      <c r="S584" s="277"/>
      <c r="T584" s="277"/>
      <c r="U584" s="277"/>
      <c r="V584" s="278"/>
      <c r="W584" s="443" t="str">
        <f t="array" ref="W584">IFERROR(IFS(OR(U584="A1-Mewtwo", U584="A1-Pikachu", U584="A1-Charizard", U584="A1"), $B$5-XLOOKUP(S584, 'Genetic Apex'!$C$2:$C889, 'Genetic Apex'!$B$2:$B889), U584="A1a", $B$5-XLOOKUP(S584, 'Mythical Island'!$C$2:$C889, 'Mythical Island'!$B$2:$B889), OR(U584="A2-Dialga", U584="A2-Palkia", U584="A2"), $B$5-XLOOKUP(S584, 'Space-Time Smackdown'!$C$2:$C889, 'Space-Time Smackdown'!$B$2:$B889)))</f>
        <v/>
      </c>
      <c r="X584" s="444" t="str">
        <f t="shared" si="3"/>
        <v/>
      </c>
      <c r="Y584" s="445" t="str">
        <f t="shared" si="4"/>
        <v/>
      </c>
      <c r="Z584" s="278"/>
      <c r="AA584" s="466"/>
      <c r="AB584" s="278"/>
      <c r="AC584" s="278"/>
      <c r="AD584" s="278"/>
      <c r="AE584" s="278"/>
      <c r="AF584" s="278"/>
      <c r="AG584" s="278" t="b">
        <f t="shared" si="5"/>
        <v>0</v>
      </c>
      <c r="AH584" s="454"/>
      <c r="AI584" s="278"/>
      <c r="AJ584" s="278"/>
      <c r="AK584" s="278"/>
      <c r="AL584" s="444" t="str">
        <f t="array" ref="AL584">IFERROR(IFS(OR(AJ584="A1-Mewtwo", AJ584="A1-Pikachu", AJ584="A1-Charizard", AJ584="A1"), XLOOKUP(AH584, 'Genetic Apex'!$C$2:$C889, 'Genetic Apex'!$B$2:$B889)-2, AJ584="A1a", XLOOKUP(AH584, 'Mythical Island'!$C$2:$C889, 'Mythical Island'!$B$2:$B889)-2, OR(AJ584="A2-Dialga", AJ584="A2-Palkia", AJ584="A2"), XLOOKUP(AH584, 'Space-Time Smackdown'!$C$2:$C889, 'Space-Time Smackdown'!$B$2:$B889)-2))</f>
        <v/>
      </c>
      <c r="AM584" s="444" t="str">
        <f t="shared" si="6"/>
        <v/>
      </c>
      <c r="AN584" s="448" t="str">
        <f t="shared" si="7"/>
        <v/>
      </c>
    </row>
    <row r="585">
      <c r="A585" s="277"/>
      <c r="B585" s="277"/>
      <c r="C585" s="441"/>
      <c r="D585" s="277"/>
      <c r="E585" s="277"/>
      <c r="F585" s="277"/>
      <c r="G585" s="277"/>
      <c r="H585" s="277" t="b">
        <f t="shared" si="1"/>
        <v>0</v>
      </c>
      <c r="I585" s="277"/>
      <c r="J585" s="277"/>
      <c r="K585" s="277"/>
      <c r="L585" s="277"/>
      <c r="M585" s="440" t="b">
        <f t="shared" si="2"/>
        <v>0</v>
      </c>
      <c r="N585" s="441"/>
      <c r="O585" s="277"/>
      <c r="P585" s="277"/>
      <c r="Q585" s="278"/>
      <c r="R585" s="449" t="str">
        <f t="array" ref="R585">IFERROR(IFS(OR(P585="A1-Mewtwo", P585="A1-Pikachu", P585="A1-Charizard", P585="A1"), XLOOKUP(N585, 'Genetic Apex'!$C$2:$C889, 'Genetic Apex'!$B$2:$B889)-$B$4, P585="A1a", XLOOKUP(N585, 'Mythical Island'!$C$2:$C889, 'Mythical Island'!$B$2:$B889)-$B$4, OR(P585="A2-Dialga", P585="A2-Palkia", P585="A2"), XLOOKUP(N585, 'Space-Time Smackdown'!$C$2:$C889, 'Space-Time Smackdown'!$B$2:$B889)-$B$4))</f>
        <v/>
      </c>
      <c r="S585" s="277"/>
      <c r="T585" s="277"/>
      <c r="U585" s="277"/>
      <c r="V585" s="278"/>
      <c r="W585" s="443" t="str">
        <f t="array" ref="W585">IFERROR(IFS(OR(U585="A1-Mewtwo", U585="A1-Pikachu", U585="A1-Charizard", U585="A1"), $B$5-XLOOKUP(S585, 'Genetic Apex'!$C$2:$C889, 'Genetic Apex'!$B$2:$B889), U585="A1a", $B$5-XLOOKUP(S585, 'Mythical Island'!$C$2:$C889, 'Mythical Island'!$B$2:$B889), OR(U585="A2-Dialga", U585="A2-Palkia", U585="A2"), $B$5-XLOOKUP(S585, 'Space-Time Smackdown'!$C$2:$C889, 'Space-Time Smackdown'!$B$2:$B889)))</f>
        <v/>
      </c>
      <c r="X585" s="444" t="str">
        <f t="shared" si="3"/>
        <v/>
      </c>
      <c r="Y585" s="445" t="str">
        <f t="shared" si="4"/>
        <v/>
      </c>
      <c r="Z585" s="278"/>
      <c r="AA585" s="466"/>
      <c r="AB585" s="278"/>
      <c r="AC585" s="278"/>
      <c r="AD585" s="278"/>
      <c r="AE585" s="278"/>
      <c r="AF585" s="278"/>
      <c r="AG585" s="278" t="b">
        <f t="shared" si="5"/>
        <v>0</v>
      </c>
      <c r="AH585" s="454"/>
      <c r="AI585" s="278"/>
      <c r="AJ585" s="278"/>
      <c r="AK585" s="278"/>
      <c r="AL585" s="444" t="str">
        <f t="array" ref="AL585">IFERROR(IFS(OR(AJ585="A1-Mewtwo", AJ585="A1-Pikachu", AJ585="A1-Charizard", AJ585="A1"), XLOOKUP(AH585, 'Genetic Apex'!$C$2:$C889, 'Genetic Apex'!$B$2:$B889)-2, AJ585="A1a", XLOOKUP(AH585, 'Mythical Island'!$C$2:$C889, 'Mythical Island'!$B$2:$B889)-2, OR(AJ585="A2-Dialga", AJ585="A2-Palkia", AJ585="A2"), XLOOKUP(AH585, 'Space-Time Smackdown'!$C$2:$C889, 'Space-Time Smackdown'!$B$2:$B889)-2))</f>
        <v/>
      </c>
      <c r="AM585" s="444" t="str">
        <f t="shared" si="6"/>
        <v/>
      </c>
      <c r="AN585" s="448" t="str">
        <f t="shared" si="7"/>
        <v/>
      </c>
    </row>
    <row r="586">
      <c r="A586" s="277"/>
      <c r="B586" s="277"/>
      <c r="C586" s="441"/>
      <c r="D586" s="277"/>
      <c r="E586" s="277"/>
      <c r="F586" s="277"/>
      <c r="G586" s="277"/>
      <c r="H586" s="277" t="b">
        <f t="shared" si="1"/>
        <v>0</v>
      </c>
      <c r="I586" s="277"/>
      <c r="J586" s="277"/>
      <c r="K586" s="277"/>
      <c r="L586" s="277"/>
      <c r="M586" s="440" t="b">
        <f t="shared" si="2"/>
        <v>0</v>
      </c>
      <c r="N586" s="441"/>
      <c r="O586" s="277"/>
      <c r="P586" s="277"/>
      <c r="Q586" s="278"/>
      <c r="R586" s="449" t="str">
        <f t="array" ref="R586">IFERROR(IFS(OR(P586="A1-Mewtwo", P586="A1-Pikachu", P586="A1-Charizard", P586="A1"), XLOOKUP(N586, 'Genetic Apex'!$C$2:$C889, 'Genetic Apex'!$B$2:$B889)-$B$4, P586="A1a", XLOOKUP(N586, 'Mythical Island'!$C$2:$C889, 'Mythical Island'!$B$2:$B889)-$B$4, OR(P586="A2-Dialga", P586="A2-Palkia", P586="A2"), XLOOKUP(N586, 'Space-Time Smackdown'!$C$2:$C889, 'Space-Time Smackdown'!$B$2:$B889)-$B$4))</f>
        <v/>
      </c>
      <c r="S586" s="277"/>
      <c r="T586" s="277"/>
      <c r="U586" s="277"/>
      <c r="V586" s="278"/>
      <c r="W586" s="443" t="str">
        <f t="array" ref="W586">IFERROR(IFS(OR(U586="A1-Mewtwo", U586="A1-Pikachu", U586="A1-Charizard", U586="A1"), $B$5-XLOOKUP(S586, 'Genetic Apex'!$C$2:$C889, 'Genetic Apex'!$B$2:$B889), U586="A1a", $B$5-XLOOKUP(S586, 'Mythical Island'!$C$2:$C889, 'Mythical Island'!$B$2:$B889), OR(U586="A2-Dialga", U586="A2-Palkia", U586="A2"), $B$5-XLOOKUP(S586, 'Space-Time Smackdown'!$C$2:$C889, 'Space-Time Smackdown'!$B$2:$B889)))</f>
        <v/>
      </c>
      <c r="X586" s="444" t="str">
        <f t="shared" si="3"/>
        <v/>
      </c>
      <c r="Y586" s="445" t="str">
        <f t="shared" si="4"/>
        <v/>
      </c>
      <c r="Z586" s="278"/>
      <c r="AA586" s="466"/>
      <c r="AB586" s="278"/>
      <c r="AC586" s="278"/>
      <c r="AD586" s="278"/>
      <c r="AE586" s="278"/>
      <c r="AF586" s="278"/>
      <c r="AG586" s="278" t="b">
        <f t="shared" si="5"/>
        <v>0</v>
      </c>
      <c r="AH586" s="454"/>
      <c r="AI586" s="278"/>
      <c r="AJ586" s="278"/>
      <c r="AK586" s="278"/>
      <c r="AL586" s="444" t="str">
        <f t="array" ref="AL586">IFERROR(IFS(OR(AJ586="A1-Mewtwo", AJ586="A1-Pikachu", AJ586="A1-Charizard", AJ586="A1"), XLOOKUP(AH586, 'Genetic Apex'!$C$2:$C889, 'Genetic Apex'!$B$2:$B889)-2, AJ586="A1a", XLOOKUP(AH586, 'Mythical Island'!$C$2:$C889, 'Mythical Island'!$B$2:$B889)-2, OR(AJ586="A2-Dialga", AJ586="A2-Palkia", AJ586="A2"), XLOOKUP(AH586, 'Space-Time Smackdown'!$C$2:$C889, 'Space-Time Smackdown'!$B$2:$B889)-2))</f>
        <v/>
      </c>
      <c r="AM586" s="444" t="str">
        <f t="shared" si="6"/>
        <v/>
      </c>
      <c r="AN586" s="448" t="str">
        <f t="shared" si="7"/>
        <v/>
      </c>
    </row>
    <row r="587">
      <c r="A587" s="277"/>
      <c r="B587" s="277"/>
      <c r="C587" s="441"/>
      <c r="D587" s="277"/>
      <c r="E587" s="277"/>
      <c r="F587" s="277"/>
      <c r="G587" s="277"/>
      <c r="H587" s="277" t="b">
        <f t="shared" si="1"/>
        <v>0</v>
      </c>
      <c r="I587" s="277"/>
      <c r="J587" s="277"/>
      <c r="K587" s="277"/>
      <c r="L587" s="277"/>
      <c r="M587" s="440" t="b">
        <f t="shared" si="2"/>
        <v>0</v>
      </c>
      <c r="N587" s="441"/>
      <c r="O587" s="277"/>
      <c r="P587" s="277"/>
      <c r="Q587" s="278"/>
      <c r="R587" s="449" t="str">
        <f t="array" ref="R587">IFERROR(IFS(OR(P587="A1-Mewtwo", P587="A1-Pikachu", P587="A1-Charizard", P587="A1"), XLOOKUP(N587, 'Genetic Apex'!$C$2:$C889, 'Genetic Apex'!$B$2:$B889)-$B$4, P587="A1a", XLOOKUP(N587, 'Mythical Island'!$C$2:$C889, 'Mythical Island'!$B$2:$B889)-$B$4, OR(P587="A2-Dialga", P587="A2-Palkia", P587="A2"), XLOOKUP(N587, 'Space-Time Smackdown'!$C$2:$C889, 'Space-Time Smackdown'!$B$2:$B889)-$B$4))</f>
        <v/>
      </c>
      <c r="S587" s="277"/>
      <c r="T587" s="277"/>
      <c r="U587" s="277"/>
      <c r="V587" s="278"/>
      <c r="W587" s="443" t="str">
        <f t="array" ref="W587">IFERROR(IFS(OR(U587="A1-Mewtwo", U587="A1-Pikachu", U587="A1-Charizard", U587="A1"), $B$5-XLOOKUP(S587, 'Genetic Apex'!$C$2:$C889, 'Genetic Apex'!$B$2:$B889), U587="A1a", $B$5-XLOOKUP(S587, 'Mythical Island'!$C$2:$C889, 'Mythical Island'!$B$2:$B889), OR(U587="A2-Dialga", U587="A2-Palkia", U587="A2"), $B$5-XLOOKUP(S587, 'Space-Time Smackdown'!$C$2:$C889, 'Space-Time Smackdown'!$B$2:$B889)))</f>
        <v/>
      </c>
      <c r="X587" s="444" t="str">
        <f t="shared" si="3"/>
        <v/>
      </c>
      <c r="Y587" s="445" t="str">
        <f t="shared" si="4"/>
        <v/>
      </c>
      <c r="Z587" s="278"/>
      <c r="AA587" s="466"/>
      <c r="AB587" s="278"/>
      <c r="AC587" s="278"/>
      <c r="AD587" s="278"/>
      <c r="AE587" s="278"/>
      <c r="AF587" s="278"/>
      <c r="AG587" s="278" t="b">
        <f t="shared" si="5"/>
        <v>0</v>
      </c>
      <c r="AH587" s="454"/>
      <c r="AI587" s="278"/>
      <c r="AJ587" s="278"/>
      <c r="AK587" s="278"/>
      <c r="AL587" s="444" t="str">
        <f t="array" ref="AL587">IFERROR(IFS(OR(AJ587="A1-Mewtwo", AJ587="A1-Pikachu", AJ587="A1-Charizard", AJ587="A1"), XLOOKUP(AH587, 'Genetic Apex'!$C$2:$C889, 'Genetic Apex'!$B$2:$B889)-2, AJ587="A1a", XLOOKUP(AH587, 'Mythical Island'!$C$2:$C889, 'Mythical Island'!$B$2:$B889)-2, OR(AJ587="A2-Dialga", AJ587="A2-Palkia", AJ587="A2"), XLOOKUP(AH587, 'Space-Time Smackdown'!$C$2:$C889, 'Space-Time Smackdown'!$B$2:$B889)-2))</f>
        <v/>
      </c>
      <c r="AM587" s="444" t="str">
        <f t="shared" si="6"/>
        <v/>
      </c>
      <c r="AN587" s="448" t="str">
        <f t="shared" si="7"/>
        <v/>
      </c>
    </row>
    <row r="588">
      <c r="A588" s="277"/>
      <c r="B588" s="277"/>
      <c r="C588" s="441"/>
      <c r="D588" s="277"/>
      <c r="E588" s="277"/>
      <c r="F588" s="277"/>
      <c r="G588" s="277"/>
      <c r="H588" s="277" t="b">
        <f t="shared" si="1"/>
        <v>0</v>
      </c>
      <c r="I588" s="277"/>
      <c r="J588" s="277"/>
      <c r="K588" s="277"/>
      <c r="L588" s="277"/>
      <c r="M588" s="440" t="b">
        <f t="shared" si="2"/>
        <v>0</v>
      </c>
      <c r="N588" s="441"/>
      <c r="O588" s="277"/>
      <c r="P588" s="277"/>
      <c r="Q588" s="278"/>
      <c r="R588" s="449" t="str">
        <f t="array" ref="R588">IFERROR(IFS(OR(P588="A1-Mewtwo", P588="A1-Pikachu", P588="A1-Charizard", P588="A1"), XLOOKUP(N588, 'Genetic Apex'!$C$2:$C889, 'Genetic Apex'!$B$2:$B889)-$B$4, P588="A1a", XLOOKUP(N588, 'Mythical Island'!$C$2:$C889, 'Mythical Island'!$B$2:$B889)-$B$4, OR(P588="A2-Dialga", P588="A2-Palkia", P588="A2"), XLOOKUP(N588, 'Space-Time Smackdown'!$C$2:$C889, 'Space-Time Smackdown'!$B$2:$B889)-$B$4))</f>
        <v/>
      </c>
      <c r="S588" s="277"/>
      <c r="T588" s="277"/>
      <c r="U588" s="277"/>
      <c r="V588" s="278"/>
      <c r="W588" s="443" t="str">
        <f t="array" ref="W588">IFERROR(IFS(OR(U588="A1-Mewtwo", U588="A1-Pikachu", U588="A1-Charizard", U588="A1"), $B$5-XLOOKUP(S588, 'Genetic Apex'!$C$2:$C889, 'Genetic Apex'!$B$2:$B889), U588="A1a", $B$5-XLOOKUP(S588, 'Mythical Island'!$C$2:$C889, 'Mythical Island'!$B$2:$B889), OR(U588="A2-Dialga", U588="A2-Palkia", U588="A2"), $B$5-XLOOKUP(S588, 'Space-Time Smackdown'!$C$2:$C889, 'Space-Time Smackdown'!$B$2:$B889)))</f>
        <v/>
      </c>
      <c r="X588" s="444" t="str">
        <f t="shared" si="3"/>
        <v/>
      </c>
      <c r="Y588" s="445" t="str">
        <f t="shared" si="4"/>
        <v/>
      </c>
      <c r="Z588" s="278"/>
      <c r="AA588" s="466"/>
      <c r="AB588" s="278"/>
      <c r="AC588" s="278"/>
      <c r="AD588" s="278"/>
      <c r="AE588" s="278"/>
      <c r="AF588" s="278"/>
      <c r="AG588" s="278" t="b">
        <f t="shared" si="5"/>
        <v>0</v>
      </c>
      <c r="AH588" s="454"/>
      <c r="AI588" s="278"/>
      <c r="AJ588" s="278"/>
      <c r="AK588" s="278"/>
      <c r="AL588" s="444" t="str">
        <f t="array" ref="AL588">IFERROR(IFS(OR(AJ588="A1-Mewtwo", AJ588="A1-Pikachu", AJ588="A1-Charizard", AJ588="A1"), XLOOKUP(AH588, 'Genetic Apex'!$C$2:$C889, 'Genetic Apex'!$B$2:$B889)-2, AJ588="A1a", XLOOKUP(AH588, 'Mythical Island'!$C$2:$C889, 'Mythical Island'!$B$2:$B889)-2, OR(AJ588="A2-Dialga", AJ588="A2-Palkia", AJ588="A2"), XLOOKUP(AH588, 'Space-Time Smackdown'!$C$2:$C889, 'Space-Time Smackdown'!$B$2:$B889)-2))</f>
        <v/>
      </c>
      <c r="AM588" s="444" t="str">
        <f t="shared" si="6"/>
        <v/>
      </c>
      <c r="AN588" s="448" t="str">
        <f t="shared" si="7"/>
        <v/>
      </c>
    </row>
    <row r="589">
      <c r="A589" s="277"/>
      <c r="B589" s="277"/>
      <c r="C589" s="441"/>
      <c r="D589" s="277"/>
      <c r="E589" s="277"/>
      <c r="F589" s="277"/>
      <c r="G589" s="277"/>
      <c r="H589" s="277" t="b">
        <f t="shared" si="1"/>
        <v>0</v>
      </c>
      <c r="I589" s="277"/>
      <c r="J589" s="277"/>
      <c r="K589" s="277"/>
      <c r="L589" s="277"/>
      <c r="M589" s="440" t="b">
        <f t="shared" si="2"/>
        <v>0</v>
      </c>
      <c r="N589" s="441"/>
      <c r="O589" s="277"/>
      <c r="P589" s="277"/>
      <c r="Q589" s="278"/>
      <c r="R589" s="449" t="str">
        <f t="array" ref="R589">IFERROR(IFS(OR(P589="A1-Mewtwo", P589="A1-Pikachu", P589="A1-Charizard", P589="A1"), XLOOKUP(N589, 'Genetic Apex'!$C$2:$C889, 'Genetic Apex'!$B$2:$B889)-$B$4, P589="A1a", XLOOKUP(N589, 'Mythical Island'!$C$2:$C889, 'Mythical Island'!$B$2:$B889)-$B$4, OR(P589="A2-Dialga", P589="A2-Palkia", P589="A2"), XLOOKUP(N589, 'Space-Time Smackdown'!$C$2:$C889, 'Space-Time Smackdown'!$B$2:$B889)-$B$4))</f>
        <v/>
      </c>
      <c r="S589" s="277"/>
      <c r="T589" s="277"/>
      <c r="U589" s="277"/>
      <c r="V589" s="278"/>
      <c r="W589" s="443" t="str">
        <f t="array" ref="W589">IFERROR(IFS(OR(U589="A1-Mewtwo", U589="A1-Pikachu", U589="A1-Charizard", U589="A1"), $B$5-XLOOKUP(S589, 'Genetic Apex'!$C$2:$C889, 'Genetic Apex'!$B$2:$B889), U589="A1a", $B$5-XLOOKUP(S589, 'Mythical Island'!$C$2:$C889, 'Mythical Island'!$B$2:$B889), OR(U589="A2-Dialga", U589="A2-Palkia", U589="A2"), $B$5-XLOOKUP(S589, 'Space-Time Smackdown'!$C$2:$C889, 'Space-Time Smackdown'!$B$2:$B889)))</f>
        <v/>
      </c>
      <c r="X589" s="444" t="str">
        <f t="shared" si="3"/>
        <v/>
      </c>
      <c r="Y589" s="445" t="str">
        <f t="shared" si="4"/>
        <v/>
      </c>
      <c r="Z589" s="278"/>
      <c r="AA589" s="466"/>
      <c r="AB589" s="278"/>
      <c r="AC589" s="278"/>
      <c r="AD589" s="278"/>
      <c r="AE589" s="278"/>
      <c r="AF589" s="278"/>
      <c r="AG589" s="278" t="b">
        <f t="shared" si="5"/>
        <v>0</v>
      </c>
      <c r="AH589" s="454"/>
      <c r="AI589" s="278"/>
      <c r="AJ589" s="278"/>
      <c r="AK589" s="278"/>
      <c r="AL589" s="444" t="str">
        <f t="array" ref="AL589">IFERROR(IFS(OR(AJ589="A1-Mewtwo", AJ589="A1-Pikachu", AJ589="A1-Charizard", AJ589="A1"), XLOOKUP(AH589, 'Genetic Apex'!$C$2:$C889, 'Genetic Apex'!$B$2:$B889)-2, AJ589="A1a", XLOOKUP(AH589, 'Mythical Island'!$C$2:$C889, 'Mythical Island'!$B$2:$B889)-2, OR(AJ589="A2-Dialga", AJ589="A2-Palkia", AJ589="A2"), XLOOKUP(AH589, 'Space-Time Smackdown'!$C$2:$C889, 'Space-Time Smackdown'!$B$2:$B889)-2))</f>
        <v/>
      </c>
      <c r="AM589" s="444" t="str">
        <f t="shared" si="6"/>
        <v/>
      </c>
      <c r="AN589" s="448" t="str">
        <f t="shared" si="7"/>
        <v/>
      </c>
    </row>
    <row r="590">
      <c r="A590" s="277"/>
      <c r="B590" s="277"/>
      <c r="C590" s="441"/>
      <c r="D590" s="277"/>
      <c r="E590" s="277"/>
      <c r="F590" s="277"/>
      <c r="G590" s="277"/>
      <c r="H590" s="277" t="b">
        <f t="shared" si="1"/>
        <v>0</v>
      </c>
      <c r="I590" s="277"/>
      <c r="J590" s="277"/>
      <c r="K590" s="277"/>
      <c r="L590" s="277"/>
      <c r="M590" s="440" t="b">
        <f t="shared" si="2"/>
        <v>0</v>
      </c>
      <c r="N590" s="441"/>
      <c r="O590" s="277"/>
      <c r="P590" s="277"/>
      <c r="Q590" s="278"/>
      <c r="R590" s="449" t="str">
        <f t="array" ref="R590">IFERROR(IFS(OR(P590="A1-Mewtwo", P590="A1-Pikachu", P590="A1-Charizard", P590="A1"), XLOOKUP(N590, 'Genetic Apex'!$C$2:$C889, 'Genetic Apex'!$B$2:$B889)-$B$4, P590="A1a", XLOOKUP(N590, 'Mythical Island'!$C$2:$C889, 'Mythical Island'!$B$2:$B889)-$B$4, OR(P590="A2-Dialga", P590="A2-Palkia", P590="A2"), XLOOKUP(N590, 'Space-Time Smackdown'!$C$2:$C889, 'Space-Time Smackdown'!$B$2:$B889)-$B$4))</f>
        <v/>
      </c>
      <c r="S590" s="277"/>
      <c r="T590" s="277"/>
      <c r="U590" s="277"/>
      <c r="V590" s="278"/>
      <c r="W590" s="443" t="str">
        <f t="array" ref="W590">IFERROR(IFS(OR(U590="A1-Mewtwo", U590="A1-Pikachu", U590="A1-Charizard", U590="A1"), $B$5-XLOOKUP(S590, 'Genetic Apex'!$C$2:$C889, 'Genetic Apex'!$B$2:$B889), U590="A1a", $B$5-XLOOKUP(S590, 'Mythical Island'!$C$2:$C889, 'Mythical Island'!$B$2:$B889), OR(U590="A2-Dialga", U590="A2-Palkia", U590="A2"), $B$5-XLOOKUP(S590, 'Space-Time Smackdown'!$C$2:$C889, 'Space-Time Smackdown'!$B$2:$B889)))</f>
        <v/>
      </c>
      <c r="X590" s="444" t="str">
        <f t="shared" si="3"/>
        <v/>
      </c>
      <c r="Y590" s="445" t="str">
        <f t="shared" si="4"/>
        <v/>
      </c>
      <c r="Z590" s="278"/>
      <c r="AA590" s="466"/>
      <c r="AB590" s="278"/>
      <c r="AC590" s="278"/>
      <c r="AD590" s="278"/>
      <c r="AE590" s="278"/>
      <c r="AF590" s="278"/>
      <c r="AG590" s="278" t="b">
        <f t="shared" si="5"/>
        <v>0</v>
      </c>
      <c r="AH590" s="454"/>
      <c r="AI590" s="278"/>
      <c r="AJ590" s="278"/>
      <c r="AK590" s="278"/>
      <c r="AL590" s="444" t="str">
        <f t="array" ref="AL590">IFERROR(IFS(OR(AJ590="A1-Mewtwo", AJ590="A1-Pikachu", AJ590="A1-Charizard", AJ590="A1"), XLOOKUP(AH590, 'Genetic Apex'!$C$2:$C889, 'Genetic Apex'!$B$2:$B889)-2, AJ590="A1a", XLOOKUP(AH590, 'Mythical Island'!$C$2:$C889, 'Mythical Island'!$B$2:$B889)-2, OR(AJ590="A2-Dialga", AJ590="A2-Palkia", AJ590="A2"), XLOOKUP(AH590, 'Space-Time Smackdown'!$C$2:$C889, 'Space-Time Smackdown'!$B$2:$B889)-2))</f>
        <v/>
      </c>
      <c r="AM590" s="444" t="str">
        <f t="shared" si="6"/>
        <v/>
      </c>
      <c r="AN590" s="448" t="str">
        <f t="shared" si="7"/>
        <v/>
      </c>
    </row>
    <row r="591">
      <c r="A591" s="277"/>
      <c r="B591" s="277"/>
      <c r="C591" s="441"/>
      <c r="D591" s="277"/>
      <c r="E591" s="277"/>
      <c r="F591" s="277"/>
      <c r="G591" s="277"/>
      <c r="H591" s="277" t="b">
        <f t="shared" si="1"/>
        <v>0</v>
      </c>
      <c r="I591" s="277"/>
      <c r="J591" s="277"/>
      <c r="K591" s="277"/>
      <c r="L591" s="277"/>
      <c r="M591" s="440" t="b">
        <f t="shared" si="2"/>
        <v>0</v>
      </c>
      <c r="N591" s="441"/>
      <c r="O591" s="277"/>
      <c r="P591" s="277"/>
      <c r="Q591" s="278"/>
      <c r="R591" s="449" t="str">
        <f t="array" ref="R591">IFERROR(IFS(OR(P591="A1-Mewtwo", P591="A1-Pikachu", P591="A1-Charizard", P591="A1"), XLOOKUP(N591, 'Genetic Apex'!$C$2:$C889, 'Genetic Apex'!$B$2:$B889)-$B$4, P591="A1a", XLOOKUP(N591, 'Mythical Island'!$C$2:$C889, 'Mythical Island'!$B$2:$B889)-$B$4, OR(P591="A2-Dialga", P591="A2-Palkia", P591="A2"), XLOOKUP(N591, 'Space-Time Smackdown'!$C$2:$C889, 'Space-Time Smackdown'!$B$2:$B889)-$B$4))</f>
        <v/>
      </c>
      <c r="S591" s="277"/>
      <c r="T591" s="277"/>
      <c r="U591" s="277"/>
      <c r="V591" s="278"/>
      <c r="W591" s="443" t="str">
        <f t="array" ref="W591">IFERROR(IFS(OR(U591="A1-Mewtwo", U591="A1-Pikachu", U591="A1-Charizard", U591="A1"), $B$5-XLOOKUP(S591, 'Genetic Apex'!$C$2:$C889, 'Genetic Apex'!$B$2:$B889), U591="A1a", $B$5-XLOOKUP(S591, 'Mythical Island'!$C$2:$C889, 'Mythical Island'!$B$2:$B889), OR(U591="A2-Dialga", U591="A2-Palkia", U591="A2"), $B$5-XLOOKUP(S591, 'Space-Time Smackdown'!$C$2:$C889, 'Space-Time Smackdown'!$B$2:$B889)))</f>
        <v/>
      </c>
      <c r="X591" s="444" t="str">
        <f t="shared" si="3"/>
        <v/>
      </c>
      <c r="Y591" s="445" t="str">
        <f t="shared" si="4"/>
        <v/>
      </c>
      <c r="Z591" s="278"/>
      <c r="AA591" s="466"/>
      <c r="AB591" s="278"/>
      <c r="AC591" s="278"/>
      <c r="AD591" s="278"/>
      <c r="AE591" s="278"/>
      <c r="AF591" s="278"/>
      <c r="AG591" s="278" t="b">
        <f t="shared" si="5"/>
        <v>0</v>
      </c>
      <c r="AH591" s="454"/>
      <c r="AI591" s="278"/>
      <c r="AJ591" s="278"/>
      <c r="AK591" s="278"/>
      <c r="AL591" s="444" t="str">
        <f t="array" ref="AL591">IFERROR(IFS(OR(AJ591="A1-Mewtwo", AJ591="A1-Pikachu", AJ591="A1-Charizard", AJ591="A1"), XLOOKUP(AH591, 'Genetic Apex'!$C$2:$C889, 'Genetic Apex'!$B$2:$B889)-2, AJ591="A1a", XLOOKUP(AH591, 'Mythical Island'!$C$2:$C889, 'Mythical Island'!$B$2:$B889)-2, OR(AJ591="A2-Dialga", AJ591="A2-Palkia", AJ591="A2"), XLOOKUP(AH591, 'Space-Time Smackdown'!$C$2:$C889, 'Space-Time Smackdown'!$B$2:$B889)-2))</f>
        <v/>
      </c>
      <c r="AM591" s="444" t="str">
        <f t="shared" si="6"/>
        <v/>
      </c>
      <c r="AN591" s="448" t="str">
        <f t="shared" si="7"/>
        <v/>
      </c>
    </row>
    <row r="592">
      <c r="A592" s="277"/>
      <c r="B592" s="277"/>
      <c r="C592" s="441"/>
      <c r="D592" s="277"/>
      <c r="E592" s="277"/>
      <c r="F592" s="277"/>
      <c r="G592" s="277"/>
      <c r="H592" s="277" t="b">
        <f t="shared" si="1"/>
        <v>0</v>
      </c>
      <c r="I592" s="277"/>
      <c r="J592" s="277"/>
      <c r="K592" s="277"/>
      <c r="L592" s="277"/>
      <c r="M592" s="440" t="b">
        <f t="shared" si="2"/>
        <v>0</v>
      </c>
      <c r="N592" s="441"/>
      <c r="O592" s="277"/>
      <c r="P592" s="277"/>
      <c r="Q592" s="278"/>
      <c r="R592" s="449" t="str">
        <f t="array" ref="R592">IFERROR(IFS(OR(P592="A1-Mewtwo", P592="A1-Pikachu", P592="A1-Charizard", P592="A1"), XLOOKUP(N592, 'Genetic Apex'!$C$2:$C889, 'Genetic Apex'!$B$2:$B889)-$B$4, P592="A1a", XLOOKUP(N592, 'Mythical Island'!$C$2:$C889, 'Mythical Island'!$B$2:$B889)-$B$4, OR(P592="A2-Dialga", P592="A2-Palkia", P592="A2"), XLOOKUP(N592, 'Space-Time Smackdown'!$C$2:$C889, 'Space-Time Smackdown'!$B$2:$B889)-$B$4))</f>
        <v/>
      </c>
      <c r="S592" s="277"/>
      <c r="T592" s="277"/>
      <c r="U592" s="277"/>
      <c r="V592" s="278"/>
      <c r="W592" s="443" t="str">
        <f t="array" ref="W592">IFERROR(IFS(OR(U592="A1-Mewtwo", U592="A1-Pikachu", U592="A1-Charizard", U592="A1"), $B$5-XLOOKUP(S592, 'Genetic Apex'!$C$2:$C889, 'Genetic Apex'!$B$2:$B889), U592="A1a", $B$5-XLOOKUP(S592, 'Mythical Island'!$C$2:$C889, 'Mythical Island'!$B$2:$B889), OR(U592="A2-Dialga", U592="A2-Palkia", U592="A2"), $B$5-XLOOKUP(S592, 'Space-Time Smackdown'!$C$2:$C889, 'Space-Time Smackdown'!$B$2:$B889)))</f>
        <v/>
      </c>
      <c r="X592" s="444" t="str">
        <f t="shared" si="3"/>
        <v/>
      </c>
      <c r="Y592" s="445" t="str">
        <f t="shared" si="4"/>
        <v/>
      </c>
      <c r="Z592" s="278"/>
      <c r="AA592" s="466"/>
      <c r="AB592" s="278"/>
      <c r="AC592" s="278"/>
      <c r="AD592" s="278"/>
      <c r="AE592" s="278"/>
      <c r="AF592" s="278"/>
      <c r="AG592" s="278" t="b">
        <f t="shared" si="5"/>
        <v>0</v>
      </c>
      <c r="AH592" s="454"/>
      <c r="AI592" s="278"/>
      <c r="AJ592" s="278"/>
      <c r="AK592" s="278"/>
      <c r="AL592" s="444" t="str">
        <f t="array" ref="AL592">IFERROR(IFS(OR(AJ592="A1-Mewtwo", AJ592="A1-Pikachu", AJ592="A1-Charizard", AJ592="A1"), XLOOKUP(AH592, 'Genetic Apex'!$C$2:$C889, 'Genetic Apex'!$B$2:$B889)-2, AJ592="A1a", XLOOKUP(AH592, 'Mythical Island'!$C$2:$C889, 'Mythical Island'!$B$2:$B889)-2, OR(AJ592="A2-Dialga", AJ592="A2-Palkia", AJ592="A2"), XLOOKUP(AH592, 'Space-Time Smackdown'!$C$2:$C889, 'Space-Time Smackdown'!$B$2:$B889)-2))</f>
        <v/>
      </c>
      <c r="AM592" s="444" t="str">
        <f t="shared" si="6"/>
        <v/>
      </c>
      <c r="AN592" s="448" t="str">
        <f t="shared" si="7"/>
        <v/>
      </c>
    </row>
    <row r="593">
      <c r="A593" s="277"/>
      <c r="B593" s="277"/>
      <c r="C593" s="441"/>
      <c r="D593" s="277"/>
      <c r="E593" s="277"/>
      <c r="F593" s="277"/>
      <c r="G593" s="277"/>
      <c r="H593" s="277" t="b">
        <f t="shared" si="1"/>
        <v>0</v>
      </c>
      <c r="I593" s="277"/>
      <c r="J593" s="277"/>
      <c r="K593" s="277"/>
      <c r="L593" s="277"/>
      <c r="M593" s="440" t="b">
        <f t="shared" si="2"/>
        <v>0</v>
      </c>
      <c r="N593" s="441"/>
      <c r="O593" s="277"/>
      <c r="P593" s="277"/>
      <c r="Q593" s="278"/>
      <c r="R593" s="449" t="str">
        <f t="array" ref="R593">IFERROR(IFS(OR(P593="A1-Mewtwo", P593="A1-Pikachu", P593="A1-Charizard", P593="A1"), XLOOKUP(N593, 'Genetic Apex'!$C$2:$C889, 'Genetic Apex'!$B$2:$B889)-$B$4, P593="A1a", XLOOKUP(N593, 'Mythical Island'!$C$2:$C889, 'Mythical Island'!$B$2:$B889)-$B$4, OR(P593="A2-Dialga", P593="A2-Palkia", P593="A2"), XLOOKUP(N593, 'Space-Time Smackdown'!$C$2:$C889, 'Space-Time Smackdown'!$B$2:$B889)-$B$4))</f>
        <v/>
      </c>
      <c r="S593" s="277"/>
      <c r="T593" s="277"/>
      <c r="U593" s="277"/>
      <c r="V593" s="278"/>
      <c r="W593" s="443" t="str">
        <f t="array" ref="W593">IFERROR(IFS(OR(U593="A1-Mewtwo", U593="A1-Pikachu", U593="A1-Charizard", U593="A1"), $B$5-XLOOKUP(S593, 'Genetic Apex'!$C$2:$C889, 'Genetic Apex'!$B$2:$B889), U593="A1a", $B$5-XLOOKUP(S593, 'Mythical Island'!$C$2:$C889, 'Mythical Island'!$B$2:$B889), OR(U593="A2-Dialga", U593="A2-Palkia", U593="A2"), $B$5-XLOOKUP(S593, 'Space-Time Smackdown'!$C$2:$C889, 'Space-Time Smackdown'!$B$2:$B889)))</f>
        <v/>
      </c>
      <c r="X593" s="444" t="str">
        <f t="shared" si="3"/>
        <v/>
      </c>
      <c r="Y593" s="445" t="str">
        <f t="shared" si="4"/>
        <v/>
      </c>
      <c r="Z593" s="278"/>
      <c r="AA593" s="466"/>
      <c r="AB593" s="278"/>
      <c r="AC593" s="278"/>
      <c r="AD593" s="278"/>
      <c r="AE593" s="278"/>
      <c r="AF593" s="278"/>
      <c r="AG593" s="278" t="b">
        <f t="shared" si="5"/>
        <v>0</v>
      </c>
      <c r="AH593" s="454"/>
      <c r="AI593" s="278"/>
      <c r="AJ593" s="278"/>
      <c r="AK593" s="278"/>
      <c r="AL593" s="444" t="str">
        <f t="array" ref="AL593">IFERROR(IFS(OR(AJ593="A1-Mewtwo", AJ593="A1-Pikachu", AJ593="A1-Charizard", AJ593="A1"), XLOOKUP(AH593, 'Genetic Apex'!$C$2:$C889, 'Genetic Apex'!$B$2:$B889)-2, AJ593="A1a", XLOOKUP(AH593, 'Mythical Island'!$C$2:$C889, 'Mythical Island'!$B$2:$B889)-2, OR(AJ593="A2-Dialga", AJ593="A2-Palkia", AJ593="A2"), XLOOKUP(AH593, 'Space-Time Smackdown'!$C$2:$C889, 'Space-Time Smackdown'!$B$2:$B889)-2))</f>
        <v/>
      </c>
      <c r="AM593" s="444" t="str">
        <f t="shared" si="6"/>
        <v/>
      </c>
      <c r="AN593" s="448" t="str">
        <f t="shared" si="7"/>
        <v/>
      </c>
    </row>
    <row r="594">
      <c r="A594" s="277"/>
      <c r="B594" s="277"/>
      <c r="C594" s="441"/>
      <c r="D594" s="277"/>
      <c r="E594" s="277"/>
      <c r="F594" s="277"/>
      <c r="G594" s="277"/>
      <c r="H594" s="277" t="b">
        <f t="shared" si="1"/>
        <v>0</v>
      </c>
      <c r="I594" s="277"/>
      <c r="J594" s="277"/>
      <c r="K594" s="277"/>
      <c r="L594" s="277"/>
      <c r="M594" s="440" t="b">
        <f t="shared" si="2"/>
        <v>0</v>
      </c>
      <c r="N594" s="441"/>
      <c r="O594" s="277"/>
      <c r="P594" s="277"/>
      <c r="Q594" s="278"/>
      <c r="R594" s="449" t="str">
        <f t="array" ref="R594">IFERROR(IFS(OR(P594="A1-Mewtwo", P594="A1-Pikachu", P594="A1-Charizard", P594="A1"), XLOOKUP(N594, 'Genetic Apex'!$C$2:$C889, 'Genetic Apex'!$B$2:$B889)-$B$4, P594="A1a", XLOOKUP(N594, 'Mythical Island'!$C$2:$C889, 'Mythical Island'!$B$2:$B889)-$B$4, OR(P594="A2-Dialga", P594="A2-Palkia", P594="A2"), XLOOKUP(N594, 'Space-Time Smackdown'!$C$2:$C889, 'Space-Time Smackdown'!$B$2:$B889)-$B$4))</f>
        <v/>
      </c>
      <c r="S594" s="277"/>
      <c r="T594" s="277"/>
      <c r="U594" s="277"/>
      <c r="V594" s="278"/>
      <c r="W594" s="443" t="str">
        <f t="array" ref="W594">IFERROR(IFS(OR(U594="A1-Mewtwo", U594="A1-Pikachu", U594="A1-Charizard", U594="A1"), $B$5-XLOOKUP(S594, 'Genetic Apex'!$C$2:$C889, 'Genetic Apex'!$B$2:$B889), U594="A1a", $B$5-XLOOKUP(S594, 'Mythical Island'!$C$2:$C889, 'Mythical Island'!$B$2:$B889), OR(U594="A2-Dialga", U594="A2-Palkia", U594="A2"), $B$5-XLOOKUP(S594, 'Space-Time Smackdown'!$C$2:$C889, 'Space-Time Smackdown'!$B$2:$B889)))</f>
        <v/>
      </c>
      <c r="X594" s="444" t="str">
        <f t="shared" si="3"/>
        <v/>
      </c>
      <c r="Y594" s="445" t="str">
        <f t="shared" si="4"/>
        <v/>
      </c>
      <c r="Z594" s="278"/>
      <c r="AA594" s="466"/>
      <c r="AB594" s="278"/>
      <c r="AC594" s="278"/>
      <c r="AD594" s="278"/>
      <c r="AE594" s="278"/>
      <c r="AF594" s="278"/>
      <c r="AG594" s="278" t="b">
        <f t="shared" si="5"/>
        <v>0</v>
      </c>
      <c r="AH594" s="454"/>
      <c r="AI594" s="278"/>
      <c r="AJ594" s="278"/>
      <c r="AK594" s="278"/>
      <c r="AL594" s="444" t="str">
        <f t="array" ref="AL594">IFERROR(IFS(OR(AJ594="A1-Mewtwo", AJ594="A1-Pikachu", AJ594="A1-Charizard", AJ594="A1"), XLOOKUP(AH594, 'Genetic Apex'!$C$2:$C889, 'Genetic Apex'!$B$2:$B889)-2, AJ594="A1a", XLOOKUP(AH594, 'Mythical Island'!$C$2:$C889, 'Mythical Island'!$B$2:$B889)-2, OR(AJ594="A2-Dialga", AJ594="A2-Palkia", AJ594="A2"), XLOOKUP(AH594, 'Space-Time Smackdown'!$C$2:$C889, 'Space-Time Smackdown'!$B$2:$B889)-2))</f>
        <v/>
      </c>
      <c r="AM594" s="444" t="str">
        <f t="shared" si="6"/>
        <v/>
      </c>
      <c r="AN594" s="448" t="str">
        <f t="shared" si="7"/>
        <v/>
      </c>
    </row>
    <row r="595">
      <c r="A595" s="277"/>
      <c r="B595" s="277"/>
      <c r="C595" s="441"/>
      <c r="D595" s="277"/>
      <c r="E595" s="277"/>
      <c r="F595" s="277"/>
      <c r="G595" s="277"/>
      <c r="H595" s="277" t="b">
        <f t="shared" si="1"/>
        <v>0</v>
      </c>
      <c r="I595" s="277"/>
      <c r="J595" s="277"/>
      <c r="K595" s="277"/>
      <c r="L595" s="277"/>
      <c r="M595" s="440" t="b">
        <f t="shared" si="2"/>
        <v>0</v>
      </c>
      <c r="N595" s="441"/>
      <c r="O595" s="277"/>
      <c r="P595" s="277"/>
      <c r="Q595" s="278"/>
      <c r="R595" s="449" t="str">
        <f t="array" ref="R595">IFERROR(IFS(OR(P595="A1-Mewtwo", P595="A1-Pikachu", P595="A1-Charizard", P595="A1"), XLOOKUP(N595, 'Genetic Apex'!$C$2:$C889, 'Genetic Apex'!$B$2:$B889)-$B$4, P595="A1a", XLOOKUP(N595, 'Mythical Island'!$C$2:$C889, 'Mythical Island'!$B$2:$B889)-$B$4, OR(P595="A2-Dialga", P595="A2-Palkia", P595="A2"), XLOOKUP(N595, 'Space-Time Smackdown'!$C$2:$C889, 'Space-Time Smackdown'!$B$2:$B889)-$B$4))</f>
        <v/>
      </c>
      <c r="S595" s="277"/>
      <c r="T595" s="277"/>
      <c r="U595" s="277"/>
      <c r="V595" s="278"/>
      <c r="W595" s="443" t="str">
        <f t="array" ref="W595">IFERROR(IFS(OR(U595="A1-Mewtwo", U595="A1-Pikachu", U595="A1-Charizard", U595="A1"), $B$5-XLOOKUP(S595, 'Genetic Apex'!$C$2:$C889, 'Genetic Apex'!$B$2:$B889), U595="A1a", $B$5-XLOOKUP(S595, 'Mythical Island'!$C$2:$C889, 'Mythical Island'!$B$2:$B889), OR(U595="A2-Dialga", U595="A2-Palkia", U595="A2"), $B$5-XLOOKUP(S595, 'Space-Time Smackdown'!$C$2:$C889, 'Space-Time Smackdown'!$B$2:$B889)))</f>
        <v/>
      </c>
      <c r="X595" s="444" t="str">
        <f t="shared" si="3"/>
        <v/>
      </c>
      <c r="Y595" s="445" t="str">
        <f t="shared" si="4"/>
        <v/>
      </c>
      <c r="Z595" s="278"/>
      <c r="AA595" s="466"/>
      <c r="AB595" s="278"/>
      <c r="AC595" s="278"/>
      <c r="AD595" s="278"/>
      <c r="AE595" s="278"/>
      <c r="AF595" s="278"/>
      <c r="AG595" s="278" t="b">
        <f t="shared" si="5"/>
        <v>0</v>
      </c>
      <c r="AH595" s="454"/>
      <c r="AI595" s="278"/>
      <c r="AJ595" s="278"/>
      <c r="AK595" s="278"/>
      <c r="AL595" s="444" t="str">
        <f t="array" ref="AL595">IFERROR(IFS(OR(AJ595="A1-Mewtwo", AJ595="A1-Pikachu", AJ595="A1-Charizard", AJ595="A1"), XLOOKUP(AH595, 'Genetic Apex'!$C$2:$C889, 'Genetic Apex'!$B$2:$B889)-2, AJ595="A1a", XLOOKUP(AH595, 'Mythical Island'!$C$2:$C889, 'Mythical Island'!$B$2:$B889)-2, OR(AJ595="A2-Dialga", AJ595="A2-Palkia", AJ595="A2"), XLOOKUP(AH595, 'Space-Time Smackdown'!$C$2:$C889, 'Space-Time Smackdown'!$B$2:$B889)-2))</f>
        <v/>
      </c>
      <c r="AM595" s="444" t="str">
        <f t="shared" si="6"/>
        <v/>
      </c>
      <c r="AN595" s="448" t="str">
        <f t="shared" si="7"/>
        <v/>
      </c>
    </row>
    <row r="596">
      <c r="A596" s="277"/>
      <c r="B596" s="277"/>
      <c r="C596" s="441"/>
      <c r="D596" s="277"/>
      <c r="E596" s="277"/>
      <c r="F596" s="277"/>
      <c r="G596" s="277"/>
      <c r="H596" s="277" t="b">
        <f t="shared" si="1"/>
        <v>0</v>
      </c>
      <c r="I596" s="277"/>
      <c r="J596" s="277"/>
      <c r="K596" s="277"/>
      <c r="L596" s="277"/>
      <c r="M596" s="440" t="b">
        <f t="shared" si="2"/>
        <v>0</v>
      </c>
      <c r="N596" s="441"/>
      <c r="O596" s="277"/>
      <c r="P596" s="277"/>
      <c r="Q596" s="278"/>
      <c r="R596" s="449" t="str">
        <f t="array" ref="R596">IFERROR(IFS(OR(P596="A1-Mewtwo", P596="A1-Pikachu", P596="A1-Charizard", P596="A1"), XLOOKUP(N596, 'Genetic Apex'!$C$2:$C889, 'Genetic Apex'!$B$2:$B889)-$B$4, P596="A1a", XLOOKUP(N596, 'Mythical Island'!$C$2:$C889, 'Mythical Island'!$B$2:$B889)-$B$4, OR(P596="A2-Dialga", P596="A2-Palkia", P596="A2"), XLOOKUP(N596, 'Space-Time Smackdown'!$C$2:$C889, 'Space-Time Smackdown'!$B$2:$B889)-$B$4))</f>
        <v/>
      </c>
      <c r="S596" s="277"/>
      <c r="T596" s="277"/>
      <c r="U596" s="277"/>
      <c r="V596" s="278"/>
      <c r="W596" s="443" t="str">
        <f t="array" ref="W596">IFERROR(IFS(OR(U596="A1-Mewtwo", U596="A1-Pikachu", U596="A1-Charizard", U596="A1"), $B$5-XLOOKUP(S596, 'Genetic Apex'!$C$2:$C889, 'Genetic Apex'!$B$2:$B889), U596="A1a", $B$5-XLOOKUP(S596, 'Mythical Island'!$C$2:$C889, 'Mythical Island'!$B$2:$B889), OR(U596="A2-Dialga", U596="A2-Palkia", U596="A2"), $B$5-XLOOKUP(S596, 'Space-Time Smackdown'!$C$2:$C889, 'Space-Time Smackdown'!$B$2:$B889)))</f>
        <v/>
      </c>
      <c r="X596" s="444" t="str">
        <f t="shared" si="3"/>
        <v/>
      </c>
      <c r="Y596" s="445" t="str">
        <f t="shared" si="4"/>
        <v/>
      </c>
      <c r="Z596" s="278"/>
      <c r="AA596" s="466"/>
      <c r="AB596" s="278"/>
      <c r="AC596" s="278"/>
      <c r="AD596" s="278"/>
      <c r="AE596" s="278"/>
      <c r="AF596" s="278"/>
      <c r="AG596" s="278" t="b">
        <f t="shared" si="5"/>
        <v>0</v>
      </c>
      <c r="AH596" s="454"/>
      <c r="AI596" s="278"/>
      <c r="AJ596" s="278"/>
      <c r="AK596" s="278"/>
      <c r="AL596" s="444" t="str">
        <f t="array" ref="AL596">IFERROR(IFS(OR(AJ596="A1-Mewtwo", AJ596="A1-Pikachu", AJ596="A1-Charizard", AJ596="A1"), XLOOKUP(AH596, 'Genetic Apex'!$C$2:$C889, 'Genetic Apex'!$B$2:$B889)-2, AJ596="A1a", XLOOKUP(AH596, 'Mythical Island'!$C$2:$C889, 'Mythical Island'!$B$2:$B889)-2, OR(AJ596="A2-Dialga", AJ596="A2-Palkia", AJ596="A2"), XLOOKUP(AH596, 'Space-Time Smackdown'!$C$2:$C889, 'Space-Time Smackdown'!$B$2:$B889)-2))</f>
        <v/>
      </c>
      <c r="AM596" s="444" t="str">
        <f t="shared" si="6"/>
        <v/>
      </c>
      <c r="AN596" s="448" t="str">
        <f t="shared" si="7"/>
        <v/>
      </c>
    </row>
    <row r="597">
      <c r="A597" s="277"/>
      <c r="B597" s="277"/>
      <c r="C597" s="441"/>
      <c r="D597" s="277"/>
      <c r="E597" s="277"/>
      <c r="F597" s="277"/>
      <c r="G597" s="277"/>
      <c r="H597" s="277" t="b">
        <f t="shared" si="1"/>
        <v>0</v>
      </c>
      <c r="I597" s="277"/>
      <c r="J597" s="277"/>
      <c r="K597" s="277"/>
      <c r="L597" s="277"/>
      <c r="M597" s="440" t="b">
        <f t="shared" si="2"/>
        <v>0</v>
      </c>
      <c r="N597" s="441"/>
      <c r="O597" s="277"/>
      <c r="P597" s="277"/>
      <c r="Q597" s="278"/>
      <c r="R597" s="449" t="str">
        <f t="array" ref="R597">IFERROR(IFS(OR(P597="A1-Mewtwo", P597="A1-Pikachu", P597="A1-Charizard", P597="A1"), XLOOKUP(N597, 'Genetic Apex'!$C$2:$C889, 'Genetic Apex'!$B$2:$B889)-$B$4, P597="A1a", XLOOKUP(N597, 'Mythical Island'!$C$2:$C889, 'Mythical Island'!$B$2:$B889)-$B$4, OR(P597="A2-Dialga", P597="A2-Palkia", P597="A2"), XLOOKUP(N597, 'Space-Time Smackdown'!$C$2:$C889, 'Space-Time Smackdown'!$B$2:$B889)-$B$4))</f>
        <v/>
      </c>
      <c r="S597" s="277"/>
      <c r="T597" s="277"/>
      <c r="U597" s="277"/>
      <c r="V597" s="278"/>
      <c r="W597" s="443" t="str">
        <f t="array" ref="W597">IFERROR(IFS(OR(U597="A1-Mewtwo", U597="A1-Pikachu", U597="A1-Charizard", U597="A1"), $B$5-XLOOKUP(S597, 'Genetic Apex'!$C$2:$C889, 'Genetic Apex'!$B$2:$B889), U597="A1a", $B$5-XLOOKUP(S597, 'Mythical Island'!$C$2:$C889, 'Mythical Island'!$B$2:$B889), OR(U597="A2-Dialga", U597="A2-Palkia", U597="A2"), $B$5-XLOOKUP(S597, 'Space-Time Smackdown'!$C$2:$C889, 'Space-Time Smackdown'!$B$2:$B889)))</f>
        <v/>
      </c>
      <c r="X597" s="444" t="str">
        <f t="shared" si="3"/>
        <v/>
      </c>
      <c r="Y597" s="445" t="str">
        <f t="shared" si="4"/>
        <v/>
      </c>
      <c r="Z597" s="278"/>
      <c r="AA597" s="466"/>
      <c r="AB597" s="278"/>
      <c r="AC597" s="278"/>
      <c r="AD597" s="278"/>
      <c r="AE597" s="278"/>
      <c r="AF597" s="278"/>
      <c r="AG597" s="278" t="b">
        <f t="shared" si="5"/>
        <v>0</v>
      </c>
      <c r="AH597" s="454"/>
      <c r="AI597" s="278"/>
      <c r="AJ597" s="278"/>
      <c r="AK597" s="278"/>
      <c r="AL597" s="444" t="str">
        <f t="array" ref="AL597">IFERROR(IFS(OR(AJ597="A1-Mewtwo", AJ597="A1-Pikachu", AJ597="A1-Charizard", AJ597="A1"), XLOOKUP(AH597, 'Genetic Apex'!$C$2:$C889, 'Genetic Apex'!$B$2:$B889)-2, AJ597="A1a", XLOOKUP(AH597, 'Mythical Island'!$C$2:$C889, 'Mythical Island'!$B$2:$B889)-2, OR(AJ597="A2-Dialga", AJ597="A2-Palkia", AJ597="A2"), XLOOKUP(AH597, 'Space-Time Smackdown'!$C$2:$C889, 'Space-Time Smackdown'!$B$2:$B889)-2))</f>
        <v/>
      </c>
      <c r="AM597" s="444" t="str">
        <f t="shared" si="6"/>
        <v/>
      </c>
      <c r="AN597" s="448" t="str">
        <f t="shared" si="7"/>
        <v/>
      </c>
    </row>
    <row r="598">
      <c r="A598" s="277"/>
      <c r="B598" s="277"/>
      <c r="C598" s="441"/>
      <c r="D598" s="277"/>
      <c r="E598" s="277"/>
      <c r="F598" s="277"/>
      <c r="G598" s="277"/>
      <c r="H598" s="277" t="b">
        <f t="shared" si="1"/>
        <v>0</v>
      </c>
      <c r="I598" s="277"/>
      <c r="J598" s="277"/>
      <c r="K598" s="277"/>
      <c r="L598" s="277"/>
      <c r="M598" s="440" t="b">
        <f t="shared" si="2"/>
        <v>0</v>
      </c>
      <c r="N598" s="441"/>
      <c r="O598" s="277"/>
      <c r="P598" s="277"/>
      <c r="Q598" s="278"/>
      <c r="R598" s="449" t="str">
        <f t="array" ref="R598">IFERROR(IFS(OR(P598="A1-Mewtwo", P598="A1-Pikachu", P598="A1-Charizard", P598="A1"), XLOOKUP(N598, 'Genetic Apex'!$C$2:$C889, 'Genetic Apex'!$B$2:$B889)-$B$4, P598="A1a", XLOOKUP(N598, 'Mythical Island'!$C$2:$C889, 'Mythical Island'!$B$2:$B889)-$B$4, OR(P598="A2-Dialga", P598="A2-Palkia", P598="A2"), XLOOKUP(N598, 'Space-Time Smackdown'!$C$2:$C889, 'Space-Time Smackdown'!$B$2:$B889)-$B$4))</f>
        <v/>
      </c>
      <c r="S598" s="277"/>
      <c r="T598" s="277"/>
      <c r="U598" s="277"/>
      <c r="V598" s="278"/>
      <c r="W598" s="443" t="str">
        <f t="array" ref="W598">IFERROR(IFS(OR(U598="A1-Mewtwo", U598="A1-Pikachu", U598="A1-Charizard", U598="A1"), $B$5-XLOOKUP(S598, 'Genetic Apex'!$C$2:$C889, 'Genetic Apex'!$B$2:$B889), U598="A1a", $B$5-XLOOKUP(S598, 'Mythical Island'!$C$2:$C889, 'Mythical Island'!$B$2:$B889), OR(U598="A2-Dialga", U598="A2-Palkia", U598="A2"), $B$5-XLOOKUP(S598, 'Space-Time Smackdown'!$C$2:$C889, 'Space-Time Smackdown'!$B$2:$B889)))</f>
        <v/>
      </c>
      <c r="X598" s="444" t="str">
        <f t="shared" si="3"/>
        <v/>
      </c>
      <c r="Y598" s="445" t="str">
        <f t="shared" si="4"/>
        <v/>
      </c>
      <c r="Z598" s="278"/>
      <c r="AA598" s="466"/>
      <c r="AB598" s="278"/>
      <c r="AC598" s="278"/>
      <c r="AD598" s="278"/>
      <c r="AE598" s="278"/>
      <c r="AF598" s="278"/>
      <c r="AG598" s="278" t="b">
        <f t="shared" si="5"/>
        <v>0</v>
      </c>
      <c r="AH598" s="454"/>
      <c r="AI598" s="278"/>
      <c r="AJ598" s="278"/>
      <c r="AK598" s="278"/>
      <c r="AL598" s="444" t="str">
        <f t="array" ref="AL598">IFERROR(IFS(OR(AJ598="A1-Mewtwo", AJ598="A1-Pikachu", AJ598="A1-Charizard", AJ598="A1"), XLOOKUP(AH598, 'Genetic Apex'!$C$2:$C889, 'Genetic Apex'!$B$2:$B889)-2, AJ598="A1a", XLOOKUP(AH598, 'Mythical Island'!$C$2:$C889, 'Mythical Island'!$B$2:$B889)-2, OR(AJ598="A2-Dialga", AJ598="A2-Palkia", AJ598="A2"), XLOOKUP(AH598, 'Space-Time Smackdown'!$C$2:$C889, 'Space-Time Smackdown'!$B$2:$B889)-2))</f>
        <v/>
      </c>
      <c r="AM598" s="444" t="str">
        <f t="shared" si="6"/>
        <v/>
      </c>
      <c r="AN598" s="448" t="str">
        <f t="shared" si="7"/>
        <v/>
      </c>
    </row>
    <row r="599">
      <c r="A599" s="277"/>
      <c r="B599" s="277"/>
      <c r="C599" s="441"/>
      <c r="D599" s="277"/>
      <c r="E599" s="277"/>
      <c r="F599" s="277"/>
      <c r="G599" s="277"/>
      <c r="H599" s="277" t="b">
        <f t="shared" si="1"/>
        <v>0</v>
      </c>
      <c r="I599" s="277"/>
      <c r="J599" s="277"/>
      <c r="K599" s="277"/>
      <c r="L599" s="277"/>
      <c r="M599" s="440" t="b">
        <f t="shared" si="2"/>
        <v>0</v>
      </c>
      <c r="N599" s="441"/>
      <c r="O599" s="277"/>
      <c r="P599" s="277"/>
      <c r="Q599" s="278"/>
      <c r="R599" s="449" t="str">
        <f t="array" ref="R599">IFERROR(IFS(OR(P599="A1-Mewtwo", P599="A1-Pikachu", P599="A1-Charizard", P599="A1"), XLOOKUP(N599, 'Genetic Apex'!$C$2:$C889, 'Genetic Apex'!$B$2:$B889)-$B$4, P599="A1a", XLOOKUP(N599, 'Mythical Island'!$C$2:$C889, 'Mythical Island'!$B$2:$B889)-$B$4, OR(P599="A2-Dialga", P599="A2-Palkia", P599="A2"), XLOOKUP(N599, 'Space-Time Smackdown'!$C$2:$C889, 'Space-Time Smackdown'!$B$2:$B889)-$B$4))</f>
        <v/>
      </c>
      <c r="S599" s="277"/>
      <c r="T599" s="277"/>
      <c r="U599" s="277"/>
      <c r="V599" s="278"/>
      <c r="W599" s="443" t="str">
        <f t="array" ref="W599">IFERROR(IFS(OR(U599="A1-Mewtwo", U599="A1-Pikachu", U599="A1-Charizard", U599="A1"), $B$5-XLOOKUP(S599, 'Genetic Apex'!$C$2:$C889, 'Genetic Apex'!$B$2:$B889), U599="A1a", $B$5-XLOOKUP(S599, 'Mythical Island'!$C$2:$C889, 'Mythical Island'!$B$2:$B889), OR(U599="A2-Dialga", U599="A2-Palkia", U599="A2"), $B$5-XLOOKUP(S599, 'Space-Time Smackdown'!$C$2:$C889, 'Space-Time Smackdown'!$B$2:$B889)))</f>
        <v/>
      </c>
      <c r="X599" s="444" t="str">
        <f t="shared" si="3"/>
        <v/>
      </c>
      <c r="Y599" s="445" t="str">
        <f t="shared" si="4"/>
        <v/>
      </c>
      <c r="Z599" s="278"/>
      <c r="AA599" s="466"/>
      <c r="AB599" s="278"/>
      <c r="AC599" s="278"/>
      <c r="AD599" s="278"/>
      <c r="AE599" s="278"/>
      <c r="AF599" s="278"/>
      <c r="AG599" s="278" t="b">
        <f t="shared" si="5"/>
        <v>0</v>
      </c>
      <c r="AH599" s="454"/>
      <c r="AI599" s="278"/>
      <c r="AJ599" s="278"/>
      <c r="AK599" s="278"/>
      <c r="AL599" s="444" t="str">
        <f t="array" ref="AL599">IFERROR(IFS(OR(AJ599="A1-Mewtwo", AJ599="A1-Pikachu", AJ599="A1-Charizard", AJ599="A1"), XLOOKUP(AH599, 'Genetic Apex'!$C$2:$C889, 'Genetic Apex'!$B$2:$B889)-2, AJ599="A1a", XLOOKUP(AH599, 'Mythical Island'!$C$2:$C889, 'Mythical Island'!$B$2:$B889)-2, OR(AJ599="A2-Dialga", AJ599="A2-Palkia", AJ599="A2"), XLOOKUP(AH599, 'Space-Time Smackdown'!$C$2:$C889, 'Space-Time Smackdown'!$B$2:$B889)-2))</f>
        <v/>
      </c>
      <c r="AM599" s="444" t="str">
        <f t="shared" si="6"/>
        <v/>
      </c>
      <c r="AN599" s="448" t="str">
        <f t="shared" si="7"/>
        <v/>
      </c>
    </row>
    <row r="600">
      <c r="A600" s="277"/>
      <c r="B600" s="277"/>
      <c r="C600" s="441"/>
      <c r="D600" s="277"/>
      <c r="E600" s="277"/>
      <c r="F600" s="277"/>
      <c r="G600" s="277"/>
      <c r="H600" s="277" t="b">
        <f t="shared" si="1"/>
        <v>0</v>
      </c>
      <c r="I600" s="277"/>
      <c r="J600" s="277"/>
      <c r="K600" s="277"/>
      <c r="L600" s="277"/>
      <c r="M600" s="440" t="b">
        <f t="shared" si="2"/>
        <v>0</v>
      </c>
      <c r="N600" s="441"/>
      <c r="O600" s="277"/>
      <c r="P600" s="277"/>
      <c r="Q600" s="278"/>
      <c r="R600" s="449" t="str">
        <f t="array" ref="R600">IFERROR(IFS(OR(P600="A1-Mewtwo", P600="A1-Pikachu", P600="A1-Charizard", P600="A1"), XLOOKUP(N600, 'Genetic Apex'!$C$2:$C889, 'Genetic Apex'!$B$2:$B889)-$B$4, P600="A1a", XLOOKUP(N600, 'Mythical Island'!$C$2:$C889, 'Mythical Island'!$B$2:$B889)-$B$4, OR(P600="A2-Dialga", P600="A2-Palkia", P600="A2"), XLOOKUP(N600, 'Space-Time Smackdown'!$C$2:$C889, 'Space-Time Smackdown'!$B$2:$B889)-$B$4))</f>
        <v/>
      </c>
      <c r="S600" s="277"/>
      <c r="T600" s="277"/>
      <c r="U600" s="277"/>
      <c r="V600" s="278"/>
      <c r="W600" s="443" t="str">
        <f t="array" ref="W600">IFERROR(IFS(OR(U600="A1-Mewtwo", U600="A1-Pikachu", U600="A1-Charizard", U600="A1"), $B$5-XLOOKUP(S600, 'Genetic Apex'!$C$2:$C889, 'Genetic Apex'!$B$2:$B889), U600="A1a", $B$5-XLOOKUP(S600, 'Mythical Island'!$C$2:$C889, 'Mythical Island'!$B$2:$B889), OR(U600="A2-Dialga", U600="A2-Palkia", U600="A2"), $B$5-XLOOKUP(S600, 'Space-Time Smackdown'!$C$2:$C889, 'Space-Time Smackdown'!$B$2:$B889)))</f>
        <v/>
      </c>
      <c r="X600" s="444" t="str">
        <f t="shared" si="3"/>
        <v/>
      </c>
      <c r="Y600" s="445" t="str">
        <f t="shared" si="4"/>
        <v/>
      </c>
      <c r="Z600" s="278"/>
      <c r="AA600" s="466"/>
      <c r="AB600" s="278"/>
      <c r="AC600" s="278"/>
      <c r="AD600" s="278"/>
      <c r="AE600" s="278"/>
      <c r="AF600" s="278"/>
      <c r="AG600" s="278" t="b">
        <f t="shared" si="5"/>
        <v>0</v>
      </c>
      <c r="AH600" s="454"/>
      <c r="AI600" s="278"/>
      <c r="AJ600" s="278"/>
      <c r="AK600" s="278"/>
      <c r="AL600" s="444" t="str">
        <f t="array" ref="AL600">IFERROR(IFS(OR(AJ600="A1-Mewtwo", AJ600="A1-Pikachu", AJ600="A1-Charizard", AJ600="A1"), XLOOKUP(AH600, 'Genetic Apex'!$C$2:$C889, 'Genetic Apex'!$B$2:$B889)-2, AJ600="A1a", XLOOKUP(AH600, 'Mythical Island'!$C$2:$C889, 'Mythical Island'!$B$2:$B889)-2, OR(AJ600="A2-Dialga", AJ600="A2-Palkia", AJ600="A2"), XLOOKUP(AH600, 'Space-Time Smackdown'!$C$2:$C889, 'Space-Time Smackdown'!$B$2:$B889)-2))</f>
        <v/>
      </c>
      <c r="AM600" s="444" t="str">
        <f t="shared" si="6"/>
        <v/>
      </c>
      <c r="AN600" s="448" t="str">
        <f t="shared" si="7"/>
        <v/>
      </c>
    </row>
    <row r="601">
      <c r="A601" s="277"/>
      <c r="B601" s="277"/>
      <c r="C601" s="441"/>
      <c r="D601" s="277"/>
      <c r="E601" s="277"/>
      <c r="F601" s="277"/>
      <c r="G601" s="277"/>
      <c r="H601" s="277" t="b">
        <f t="shared" si="1"/>
        <v>0</v>
      </c>
      <c r="I601" s="277"/>
      <c r="J601" s="277"/>
      <c r="K601" s="277"/>
      <c r="L601" s="277"/>
      <c r="M601" s="440" t="b">
        <f t="shared" si="2"/>
        <v>0</v>
      </c>
      <c r="N601" s="441"/>
      <c r="O601" s="277"/>
      <c r="P601" s="277"/>
      <c r="Q601" s="278"/>
      <c r="R601" s="449" t="str">
        <f t="array" ref="R601">IFERROR(IFS(OR(P601="A1-Mewtwo", P601="A1-Pikachu", P601="A1-Charizard", P601="A1"), XLOOKUP(N601, 'Genetic Apex'!$C$2:$C889, 'Genetic Apex'!$B$2:$B889)-$B$4, P601="A1a", XLOOKUP(N601, 'Mythical Island'!$C$2:$C889, 'Mythical Island'!$B$2:$B889)-$B$4, OR(P601="A2-Dialga", P601="A2-Palkia", P601="A2"), XLOOKUP(N601, 'Space-Time Smackdown'!$C$2:$C889, 'Space-Time Smackdown'!$B$2:$B889)-$B$4))</f>
        <v/>
      </c>
      <c r="S601" s="277"/>
      <c r="T601" s="277"/>
      <c r="U601" s="277"/>
      <c r="V601" s="278"/>
      <c r="W601" s="443" t="str">
        <f t="array" ref="W601">IFERROR(IFS(OR(U601="A1-Mewtwo", U601="A1-Pikachu", U601="A1-Charizard", U601="A1"), $B$5-XLOOKUP(S601, 'Genetic Apex'!$C$2:$C889, 'Genetic Apex'!$B$2:$B889), U601="A1a", $B$5-XLOOKUP(S601, 'Mythical Island'!$C$2:$C889, 'Mythical Island'!$B$2:$B889), OR(U601="A2-Dialga", U601="A2-Palkia", U601="A2"), $B$5-XLOOKUP(S601, 'Space-Time Smackdown'!$C$2:$C889, 'Space-Time Smackdown'!$B$2:$B889)))</f>
        <v/>
      </c>
      <c r="X601" s="444" t="str">
        <f t="shared" si="3"/>
        <v/>
      </c>
      <c r="Y601" s="445" t="str">
        <f t="shared" si="4"/>
        <v/>
      </c>
      <c r="Z601" s="278"/>
      <c r="AA601" s="466"/>
      <c r="AB601" s="278"/>
      <c r="AC601" s="278"/>
      <c r="AD601" s="278"/>
      <c r="AE601" s="278"/>
      <c r="AF601" s="278"/>
      <c r="AG601" s="278" t="b">
        <f t="shared" si="5"/>
        <v>0</v>
      </c>
      <c r="AH601" s="454"/>
      <c r="AI601" s="278"/>
      <c r="AJ601" s="278"/>
      <c r="AK601" s="278"/>
      <c r="AL601" s="444" t="str">
        <f t="array" ref="AL601">IFERROR(IFS(OR(AJ601="A1-Mewtwo", AJ601="A1-Pikachu", AJ601="A1-Charizard", AJ601="A1"), XLOOKUP(AH601, 'Genetic Apex'!$C$2:$C889, 'Genetic Apex'!$B$2:$B889)-2, AJ601="A1a", XLOOKUP(AH601, 'Mythical Island'!$C$2:$C889, 'Mythical Island'!$B$2:$B889)-2, OR(AJ601="A2-Dialga", AJ601="A2-Palkia", AJ601="A2"), XLOOKUP(AH601, 'Space-Time Smackdown'!$C$2:$C889, 'Space-Time Smackdown'!$B$2:$B889)-2))</f>
        <v/>
      </c>
      <c r="AM601" s="444" t="str">
        <f t="shared" si="6"/>
        <v/>
      </c>
      <c r="AN601" s="448" t="str">
        <f t="shared" si="7"/>
        <v/>
      </c>
    </row>
    <row r="602">
      <c r="A602" s="277"/>
      <c r="B602" s="277"/>
      <c r="C602" s="441"/>
      <c r="D602" s="277"/>
      <c r="E602" s="277"/>
      <c r="F602" s="277"/>
      <c r="G602" s="277"/>
      <c r="H602" s="277" t="b">
        <f t="shared" si="1"/>
        <v>0</v>
      </c>
      <c r="I602" s="277"/>
      <c r="J602" s="277"/>
      <c r="K602" s="277"/>
      <c r="L602" s="277"/>
      <c r="M602" s="440" t="b">
        <f t="shared" si="2"/>
        <v>0</v>
      </c>
      <c r="N602" s="441"/>
      <c r="O602" s="277"/>
      <c r="P602" s="277"/>
      <c r="Q602" s="278"/>
      <c r="R602" s="449" t="str">
        <f t="array" ref="R602">IFERROR(IFS(OR(P602="A1-Mewtwo", P602="A1-Pikachu", P602="A1-Charizard", P602="A1"), XLOOKUP(N602, 'Genetic Apex'!$C$2:$C889, 'Genetic Apex'!$B$2:$B889)-$B$4, P602="A1a", XLOOKUP(N602, 'Mythical Island'!$C$2:$C889, 'Mythical Island'!$B$2:$B889)-$B$4, OR(P602="A2-Dialga", P602="A2-Palkia", P602="A2"), XLOOKUP(N602, 'Space-Time Smackdown'!$C$2:$C889, 'Space-Time Smackdown'!$B$2:$B889)-$B$4))</f>
        <v/>
      </c>
      <c r="S602" s="277"/>
      <c r="T602" s="277"/>
      <c r="U602" s="277"/>
      <c r="V602" s="278"/>
      <c r="W602" s="443" t="str">
        <f t="array" ref="W602">IFERROR(IFS(OR(U602="A1-Mewtwo", U602="A1-Pikachu", U602="A1-Charizard", U602="A1"), $B$5-XLOOKUP(S602, 'Genetic Apex'!$C$2:$C889, 'Genetic Apex'!$B$2:$B889), U602="A1a", $B$5-XLOOKUP(S602, 'Mythical Island'!$C$2:$C889, 'Mythical Island'!$B$2:$B889), OR(U602="A2-Dialga", U602="A2-Palkia", U602="A2"), $B$5-XLOOKUP(S602, 'Space-Time Smackdown'!$C$2:$C889, 'Space-Time Smackdown'!$B$2:$B889)))</f>
        <v/>
      </c>
      <c r="X602" s="444" t="str">
        <f t="shared" si="3"/>
        <v/>
      </c>
      <c r="Y602" s="445" t="str">
        <f t="shared" si="4"/>
        <v/>
      </c>
      <c r="Z602" s="278"/>
      <c r="AA602" s="466"/>
      <c r="AB602" s="278"/>
      <c r="AC602" s="278"/>
      <c r="AD602" s="278"/>
      <c r="AE602" s="278"/>
      <c r="AF602" s="278"/>
      <c r="AG602" s="278" t="b">
        <f t="shared" si="5"/>
        <v>0</v>
      </c>
      <c r="AH602" s="454"/>
      <c r="AI602" s="278"/>
      <c r="AJ602" s="278"/>
      <c r="AK602" s="278"/>
      <c r="AL602" s="444" t="str">
        <f t="array" ref="AL602">IFERROR(IFS(OR(AJ602="A1-Mewtwo", AJ602="A1-Pikachu", AJ602="A1-Charizard", AJ602="A1"), XLOOKUP(AH602, 'Genetic Apex'!$C$2:$C889, 'Genetic Apex'!$B$2:$B889)-2, AJ602="A1a", XLOOKUP(AH602, 'Mythical Island'!$C$2:$C889, 'Mythical Island'!$B$2:$B889)-2, OR(AJ602="A2-Dialga", AJ602="A2-Palkia", AJ602="A2"), XLOOKUP(AH602, 'Space-Time Smackdown'!$C$2:$C889, 'Space-Time Smackdown'!$B$2:$B889)-2))</f>
        <v/>
      </c>
      <c r="AM602" s="444" t="str">
        <f t="shared" si="6"/>
        <v/>
      </c>
      <c r="AN602" s="448" t="str">
        <f t="shared" si="7"/>
        <v/>
      </c>
    </row>
    <row r="603">
      <c r="A603" s="277"/>
      <c r="B603" s="277"/>
      <c r="C603" s="441"/>
      <c r="D603" s="277"/>
      <c r="E603" s="277"/>
      <c r="F603" s="277"/>
      <c r="G603" s="277"/>
      <c r="H603" s="277" t="b">
        <f t="shared" si="1"/>
        <v>0</v>
      </c>
      <c r="I603" s="277"/>
      <c r="J603" s="277"/>
      <c r="K603" s="277"/>
      <c r="L603" s="277"/>
      <c r="M603" s="440" t="b">
        <f t="shared" si="2"/>
        <v>0</v>
      </c>
      <c r="N603" s="441"/>
      <c r="O603" s="277"/>
      <c r="P603" s="277"/>
      <c r="Q603" s="278"/>
      <c r="R603" s="449" t="str">
        <f t="array" ref="R603">IFERROR(IFS(OR(P603="A1-Mewtwo", P603="A1-Pikachu", P603="A1-Charizard", P603="A1"), XLOOKUP(N603, 'Genetic Apex'!$C$2:$C889, 'Genetic Apex'!$B$2:$B889)-$B$4, P603="A1a", XLOOKUP(N603, 'Mythical Island'!$C$2:$C889, 'Mythical Island'!$B$2:$B889)-$B$4, OR(P603="A2-Dialga", P603="A2-Palkia", P603="A2"), XLOOKUP(N603, 'Space-Time Smackdown'!$C$2:$C889, 'Space-Time Smackdown'!$B$2:$B889)-$B$4))</f>
        <v/>
      </c>
      <c r="S603" s="277"/>
      <c r="T603" s="277"/>
      <c r="U603" s="277"/>
      <c r="V603" s="278"/>
      <c r="W603" s="443" t="str">
        <f t="array" ref="W603">IFERROR(IFS(OR(U603="A1-Mewtwo", U603="A1-Pikachu", U603="A1-Charizard", U603="A1"), $B$5-XLOOKUP(S603, 'Genetic Apex'!$C$2:$C889, 'Genetic Apex'!$B$2:$B889), U603="A1a", $B$5-XLOOKUP(S603, 'Mythical Island'!$C$2:$C889, 'Mythical Island'!$B$2:$B889), OR(U603="A2-Dialga", U603="A2-Palkia", U603="A2"), $B$5-XLOOKUP(S603, 'Space-Time Smackdown'!$C$2:$C889, 'Space-Time Smackdown'!$B$2:$B889)))</f>
        <v/>
      </c>
      <c r="X603" s="444" t="str">
        <f t="shared" si="3"/>
        <v/>
      </c>
      <c r="Y603" s="445" t="str">
        <f t="shared" si="4"/>
        <v/>
      </c>
      <c r="Z603" s="278"/>
      <c r="AA603" s="466"/>
      <c r="AB603" s="278"/>
      <c r="AC603" s="278"/>
      <c r="AD603" s="278"/>
      <c r="AE603" s="278"/>
      <c r="AF603" s="278"/>
      <c r="AG603" s="278" t="b">
        <f t="shared" si="5"/>
        <v>0</v>
      </c>
      <c r="AH603" s="454"/>
      <c r="AI603" s="278"/>
      <c r="AJ603" s="278"/>
      <c r="AK603" s="278"/>
      <c r="AL603" s="444" t="str">
        <f t="array" ref="AL603">IFERROR(IFS(OR(AJ603="A1-Mewtwo", AJ603="A1-Pikachu", AJ603="A1-Charizard", AJ603="A1"), XLOOKUP(AH603, 'Genetic Apex'!$C$2:$C889, 'Genetic Apex'!$B$2:$B889)-2, AJ603="A1a", XLOOKUP(AH603, 'Mythical Island'!$C$2:$C889, 'Mythical Island'!$B$2:$B889)-2, OR(AJ603="A2-Dialga", AJ603="A2-Palkia", AJ603="A2"), XLOOKUP(AH603, 'Space-Time Smackdown'!$C$2:$C889, 'Space-Time Smackdown'!$B$2:$B889)-2))</f>
        <v/>
      </c>
      <c r="AM603" s="444" t="str">
        <f t="shared" si="6"/>
        <v/>
      </c>
      <c r="AN603" s="448" t="str">
        <f t="shared" si="7"/>
        <v/>
      </c>
    </row>
    <row r="604">
      <c r="A604" s="277"/>
      <c r="B604" s="277"/>
      <c r="C604" s="441"/>
      <c r="D604" s="277"/>
      <c r="E604" s="277"/>
      <c r="F604" s="277"/>
      <c r="G604" s="277"/>
      <c r="H604" s="277" t="b">
        <f t="shared" si="1"/>
        <v>0</v>
      </c>
      <c r="I604" s="277"/>
      <c r="J604" s="277"/>
      <c r="K604" s="277"/>
      <c r="L604" s="277"/>
      <c r="M604" s="440" t="b">
        <f t="shared" si="2"/>
        <v>0</v>
      </c>
      <c r="N604" s="441"/>
      <c r="O604" s="277"/>
      <c r="P604" s="277"/>
      <c r="Q604" s="278"/>
      <c r="R604" s="449" t="str">
        <f t="array" ref="R604">IFERROR(IFS(OR(P604="A1-Mewtwo", P604="A1-Pikachu", P604="A1-Charizard", P604="A1"), XLOOKUP(N604, 'Genetic Apex'!$C$2:$C889, 'Genetic Apex'!$B$2:$B889)-$B$4, P604="A1a", XLOOKUP(N604, 'Mythical Island'!$C$2:$C889, 'Mythical Island'!$B$2:$B889)-$B$4, OR(P604="A2-Dialga", P604="A2-Palkia", P604="A2"), XLOOKUP(N604, 'Space-Time Smackdown'!$C$2:$C889, 'Space-Time Smackdown'!$B$2:$B889)-$B$4))</f>
        <v/>
      </c>
      <c r="S604" s="277"/>
      <c r="T604" s="277"/>
      <c r="U604" s="277"/>
      <c r="V604" s="278"/>
      <c r="W604" s="443" t="str">
        <f t="array" ref="W604">IFERROR(IFS(OR(U604="A1-Mewtwo", U604="A1-Pikachu", U604="A1-Charizard", U604="A1"), $B$5-XLOOKUP(S604, 'Genetic Apex'!$C$2:$C889, 'Genetic Apex'!$B$2:$B889), U604="A1a", $B$5-XLOOKUP(S604, 'Mythical Island'!$C$2:$C889, 'Mythical Island'!$B$2:$B889), OR(U604="A2-Dialga", U604="A2-Palkia", U604="A2"), $B$5-XLOOKUP(S604, 'Space-Time Smackdown'!$C$2:$C889, 'Space-Time Smackdown'!$B$2:$B889)))</f>
        <v/>
      </c>
      <c r="X604" s="444" t="str">
        <f t="shared" si="3"/>
        <v/>
      </c>
      <c r="Y604" s="445" t="str">
        <f t="shared" si="4"/>
        <v/>
      </c>
      <c r="Z604" s="278"/>
      <c r="AA604" s="466"/>
      <c r="AB604" s="278"/>
      <c r="AC604" s="278"/>
      <c r="AD604" s="278"/>
      <c r="AE604" s="278"/>
      <c r="AF604" s="278"/>
      <c r="AG604" s="278" t="b">
        <f t="shared" si="5"/>
        <v>0</v>
      </c>
      <c r="AH604" s="454"/>
      <c r="AI604" s="278"/>
      <c r="AJ604" s="278"/>
      <c r="AK604" s="278"/>
      <c r="AL604" s="444" t="str">
        <f t="array" ref="AL604">IFERROR(IFS(OR(AJ604="A1-Mewtwo", AJ604="A1-Pikachu", AJ604="A1-Charizard", AJ604="A1"), XLOOKUP(AH604, 'Genetic Apex'!$C$2:$C889, 'Genetic Apex'!$B$2:$B889)-2, AJ604="A1a", XLOOKUP(AH604, 'Mythical Island'!$C$2:$C889, 'Mythical Island'!$B$2:$B889)-2, OR(AJ604="A2-Dialga", AJ604="A2-Palkia", AJ604="A2"), XLOOKUP(AH604, 'Space-Time Smackdown'!$C$2:$C889, 'Space-Time Smackdown'!$B$2:$B889)-2))</f>
        <v/>
      </c>
      <c r="AM604" s="444" t="str">
        <f t="shared" si="6"/>
        <v/>
      </c>
      <c r="AN604" s="448" t="str">
        <f t="shared" si="7"/>
        <v/>
      </c>
    </row>
    <row r="605">
      <c r="A605" s="277"/>
      <c r="B605" s="277"/>
      <c r="C605" s="441"/>
      <c r="D605" s="277"/>
      <c r="E605" s="277"/>
      <c r="F605" s="277"/>
      <c r="G605" s="277"/>
      <c r="H605" s="277" t="b">
        <f t="shared" si="1"/>
        <v>0</v>
      </c>
      <c r="I605" s="277"/>
      <c r="J605" s="277"/>
      <c r="K605" s="277"/>
      <c r="L605" s="277"/>
      <c r="M605" s="440" t="b">
        <f t="shared" si="2"/>
        <v>0</v>
      </c>
      <c r="N605" s="441"/>
      <c r="O605" s="277"/>
      <c r="P605" s="277"/>
      <c r="Q605" s="278"/>
      <c r="R605" s="449" t="str">
        <f t="array" ref="R605">IFERROR(IFS(OR(P605="A1-Mewtwo", P605="A1-Pikachu", P605="A1-Charizard", P605="A1"), XLOOKUP(N605, 'Genetic Apex'!$C$2:$C889, 'Genetic Apex'!$B$2:$B889)-$B$4, P605="A1a", XLOOKUP(N605, 'Mythical Island'!$C$2:$C889, 'Mythical Island'!$B$2:$B889)-$B$4, OR(P605="A2-Dialga", P605="A2-Palkia", P605="A2"), XLOOKUP(N605, 'Space-Time Smackdown'!$C$2:$C889, 'Space-Time Smackdown'!$B$2:$B889)-$B$4))</f>
        <v/>
      </c>
      <c r="S605" s="277"/>
      <c r="T605" s="277"/>
      <c r="U605" s="277"/>
      <c r="V605" s="278"/>
      <c r="W605" s="443" t="str">
        <f t="array" ref="W605">IFERROR(IFS(OR(U605="A1-Mewtwo", U605="A1-Pikachu", U605="A1-Charizard", U605="A1"), $B$5-XLOOKUP(S605, 'Genetic Apex'!$C$2:$C889, 'Genetic Apex'!$B$2:$B889), U605="A1a", $B$5-XLOOKUP(S605, 'Mythical Island'!$C$2:$C889, 'Mythical Island'!$B$2:$B889), OR(U605="A2-Dialga", U605="A2-Palkia", U605="A2"), $B$5-XLOOKUP(S605, 'Space-Time Smackdown'!$C$2:$C889, 'Space-Time Smackdown'!$B$2:$B889)))</f>
        <v/>
      </c>
      <c r="X605" s="444" t="str">
        <f t="shared" si="3"/>
        <v/>
      </c>
      <c r="Y605" s="445" t="str">
        <f t="shared" si="4"/>
        <v/>
      </c>
      <c r="Z605" s="278"/>
      <c r="AA605" s="466"/>
      <c r="AB605" s="278"/>
      <c r="AC605" s="278"/>
      <c r="AD605" s="278"/>
      <c r="AE605" s="278"/>
      <c r="AF605" s="278"/>
      <c r="AG605" s="278" t="b">
        <f t="shared" si="5"/>
        <v>0</v>
      </c>
      <c r="AH605" s="454"/>
      <c r="AI605" s="278"/>
      <c r="AJ605" s="278"/>
      <c r="AK605" s="278"/>
      <c r="AL605" s="444" t="str">
        <f t="array" ref="AL605">IFERROR(IFS(OR(AJ605="A1-Mewtwo", AJ605="A1-Pikachu", AJ605="A1-Charizard", AJ605="A1"), XLOOKUP(AH605, 'Genetic Apex'!$C$2:$C889, 'Genetic Apex'!$B$2:$B889)-2, AJ605="A1a", XLOOKUP(AH605, 'Mythical Island'!$C$2:$C889, 'Mythical Island'!$B$2:$B889)-2, OR(AJ605="A2-Dialga", AJ605="A2-Palkia", AJ605="A2"), XLOOKUP(AH605, 'Space-Time Smackdown'!$C$2:$C889, 'Space-Time Smackdown'!$B$2:$B889)-2))</f>
        <v/>
      </c>
      <c r="AM605" s="444" t="str">
        <f t="shared" si="6"/>
        <v/>
      </c>
      <c r="AN605" s="448" t="str">
        <f t="shared" si="7"/>
        <v/>
      </c>
    </row>
    <row r="606">
      <c r="A606" s="277"/>
      <c r="B606" s="277"/>
      <c r="C606" s="441"/>
      <c r="D606" s="277"/>
      <c r="E606" s="277"/>
      <c r="F606" s="277"/>
      <c r="G606" s="277"/>
      <c r="H606" s="277" t="b">
        <f t="shared" si="1"/>
        <v>0</v>
      </c>
      <c r="I606" s="277"/>
      <c r="J606" s="277"/>
      <c r="K606" s="277"/>
      <c r="L606" s="277"/>
      <c r="M606" s="440" t="b">
        <f t="shared" si="2"/>
        <v>0</v>
      </c>
      <c r="N606" s="441"/>
      <c r="O606" s="277"/>
      <c r="P606" s="277"/>
      <c r="Q606" s="278"/>
      <c r="R606" s="449" t="str">
        <f t="array" ref="R606">IFERROR(IFS(OR(P606="A1-Mewtwo", P606="A1-Pikachu", P606="A1-Charizard", P606="A1"), XLOOKUP(N606, 'Genetic Apex'!$C$2:$C889, 'Genetic Apex'!$B$2:$B889)-$B$4, P606="A1a", XLOOKUP(N606, 'Mythical Island'!$C$2:$C889, 'Mythical Island'!$B$2:$B889)-$B$4, OR(P606="A2-Dialga", P606="A2-Palkia", P606="A2"), XLOOKUP(N606, 'Space-Time Smackdown'!$C$2:$C889, 'Space-Time Smackdown'!$B$2:$B889)-$B$4))</f>
        <v/>
      </c>
      <c r="S606" s="277"/>
      <c r="T606" s="277"/>
      <c r="U606" s="277"/>
      <c r="V606" s="278"/>
      <c r="W606" s="443" t="str">
        <f t="array" ref="W606">IFERROR(IFS(OR(U606="A1-Mewtwo", U606="A1-Pikachu", U606="A1-Charizard", U606="A1"), $B$5-XLOOKUP(S606, 'Genetic Apex'!$C$2:$C889, 'Genetic Apex'!$B$2:$B889), U606="A1a", $B$5-XLOOKUP(S606, 'Mythical Island'!$C$2:$C889, 'Mythical Island'!$B$2:$B889), OR(U606="A2-Dialga", U606="A2-Palkia", U606="A2"), $B$5-XLOOKUP(S606, 'Space-Time Smackdown'!$C$2:$C889, 'Space-Time Smackdown'!$B$2:$B889)))</f>
        <v/>
      </c>
      <c r="X606" s="444" t="str">
        <f t="shared" si="3"/>
        <v/>
      </c>
      <c r="Y606" s="445" t="str">
        <f t="shared" si="4"/>
        <v/>
      </c>
      <c r="Z606" s="278"/>
      <c r="AA606" s="466"/>
      <c r="AB606" s="278"/>
      <c r="AC606" s="278"/>
      <c r="AD606" s="278"/>
      <c r="AE606" s="278"/>
      <c r="AF606" s="278"/>
      <c r="AG606" s="278" t="b">
        <f t="shared" si="5"/>
        <v>0</v>
      </c>
      <c r="AH606" s="454"/>
      <c r="AI606" s="278"/>
      <c r="AJ606" s="278"/>
      <c r="AK606" s="278"/>
      <c r="AL606" s="444" t="str">
        <f t="array" ref="AL606">IFERROR(IFS(OR(AJ606="A1-Mewtwo", AJ606="A1-Pikachu", AJ606="A1-Charizard", AJ606="A1"), XLOOKUP(AH606, 'Genetic Apex'!$C$2:$C889, 'Genetic Apex'!$B$2:$B889)-2, AJ606="A1a", XLOOKUP(AH606, 'Mythical Island'!$C$2:$C889, 'Mythical Island'!$B$2:$B889)-2, OR(AJ606="A2-Dialga", AJ606="A2-Palkia", AJ606="A2"), XLOOKUP(AH606, 'Space-Time Smackdown'!$C$2:$C889, 'Space-Time Smackdown'!$B$2:$B889)-2))</f>
        <v/>
      </c>
      <c r="AM606" s="444" t="str">
        <f t="shared" si="6"/>
        <v/>
      </c>
      <c r="AN606" s="448" t="str">
        <f t="shared" si="7"/>
        <v/>
      </c>
    </row>
    <row r="607">
      <c r="A607" s="277"/>
      <c r="B607" s="277"/>
      <c r="C607" s="441"/>
      <c r="D607" s="277"/>
      <c r="E607" s="277"/>
      <c r="F607" s="277"/>
      <c r="G607" s="277"/>
      <c r="H607" s="277" t="b">
        <f t="shared" si="1"/>
        <v>0</v>
      </c>
      <c r="I607" s="277"/>
      <c r="J607" s="277"/>
      <c r="K607" s="277"/>
      <c r="L607" s="277"/>
      <c r="M607" s="440" t="b">
        <f t="shared" si="2"/>
        <v>0</v>
      </c>
      <c r="N607" s="441"/>
      <c r="O607" s="277"/>
      <c r="P607" s="277"/>
      <c r="Q607" s="278"/>
      <c r="R607" s="449" t="str">
        <f t="array" ref="R607">IFERROR(IFS(OR(P607="A1-Mewtwo", P607="A1-Pikachu", P607="A1-Charizard", P607="A1"), XLOOKUP(N607, 'Genetic Apex'!$C$2:$C889, 'Genetic Apex'!$B$2:$B889)-$B$4, P607="A1a", XLOOKUP(N607, 'Mythical Island'!$C$2:$C889, 'Mythical Island'!$B$2:$B889)-$B$4, OR(P607="A2-Dialga", P607="A2-Palkia", P607="A2"), XLOOKUP(N607, 'Space-Time Smackdown'!$C$2:$C889, 'Space-Time Smackdown'!$B$2:$B889)-$B$4))</f>
        <v/>
      </c>
      <c r="S607" s="277"/>
      <c r="T607" s="277"/>
      <c r="U607" s="277"/>
      <c r="V607" s="278"/>
      <c r="W607" s="443" t="str">
        <f t="array" ref="W607">IFERROR(IFS(OR(U607="A1-Mewtwo", U607="A1-Pikachu", U607="A1-Charizard", U607="A1"), $B$5-XLOOKUP(S607, 'Genetic Apex'!$C$2:$C889, 'Genetic Apex'!$B$2:$B889), U607="A1a", $B$5-XLOOKUP(S607, 'Mythical Island'!$C$2:$C889, 'Mythical Island'!$B$2:$B889), OR(U607="A2-Dialga", U607="A2-Palkia", U607="A2"), $B$5-XLOOKUP(S607, 'Space-Time Smackdown'!$C$2:$C889, 'Space-Time Smackdown'!$B$2:$B889)))</f>
        <v/>
      </c>
      <c r="X607" s="444" t="str">
        <f t="shared" si="3"/>
        <v/>
      </c>
      <c r="Y607" s="445" t="str">
        <f t="shared" si="4"/>
        <v/>
      </c>
      <c r="Z607" s="278"/>
      <c r="AA607" s="466"/>
      <c r="AB607" s="278"/>
      <c r="AC607" s="278"/>
      <c r="AD607" s="278"/>
      <c r="AE607" s="278"/>
      <c r="AF607" s="278"/>
      <c r="AG607" s="278" t="b">
        <f t="shared" si="5"/>
        <v>0</v>
      </c>
      <c r="AH607" s="454"/>
      <c r="AI607" s="278"/>
      <c r="AJ607" s="278"/>
      <c r="AK607" s="278"/>
      <c r="AL607" s="444" t="str">
        <f t="array" ref="AL607">IFERROR(IFS(OR(AJ607="A1-Mewtwo", AJ607="A1-Pikachu", AJ607="A1-Charizard", AJ607="A1"), XLOOKUP(AH607, 'Genetic Apex'!$C$2:$C889, 'Genetic Apex'!$B$2:$B889)-2, AJ607="A1a", XLOOKUP(AH607, 'Mythical Island'!$C$2:$C889, 'Mythical Island'!$B$2:$B889)-2, OR(AJ607="A2-Dialga", AJ607="A2-Palkia", AJ607="A2"), XLOOKUP(AH607, 'Space-Time Smackdown'!$C$2:$C889, 'Space-Time Smackdown'!$B$2:$B889)-2))</f>
        <v/>
      </c>
      <c r="AM607" s="444" t="str">
        <f t="shared" si="6"/>
        <v/>
      </c>
      <c r="AN607" s="448" t="str">
        <f t="shared" si="7"/>
        <v/>
      </c>
    </row>
    <row r="608">
      <c r="A608" s="277"/>
      <c r="B608" s="277"/>
      <c r="C608" s="441"/>
      <c r="D608" s="277"/>
      <c r="E608" s="277"/>
      <c r="F608" s="277"/>
      <c r="G608" s="277"/>
      <c r="H608" s="277" t="b">
        <f t="shared" si="1"/>
        <v>0</v>
      </c>
      <c r="I608" s="277"/>
      <c r="J608" s="277"/>
      <c r="K608" s="277"/>
      <c r="L608" s="277"/>
      <c r="M608" s="440" t="b">
        <f t="shared" si="2"/>
        <v>0</v>
      </c>
      <c r="N608" s="441"/>
      <c r="O608" s="277"/>
      <c r="P608" s="277"/>
      <c r="Q608" s="278"/>
      <c r="R608" s="449" t="str">
        <f t="array" ref="R608">IFERROR(IFS(OR(P608="A1-Mewtwo", P608="A1-Pikachu", P608="A1-Charizard", P608="A1"), XLOOKUP(N608, 'Genetic Apex'!$C$2:$C889, 'Genetic Apex'!$B$2:$B889)-$B$4, P608="A1a", XLOOKUP(N608, 'Mythical Island'!$C$2:$C889, 'Mythical Island'!$B$2:$B889)-$B$4, OR(P608="A2-Dialga", P608="A2-Palkia", P608="A2"), XLOOKUP(N608, 'Space-Time Smackdown'!$C$2:$C889, 'Space-Time Smackdown'!$B$2:$B889)-$B$4))</f>
        <v/>
      </c>
      <c r="S608" s="277"/>
      <c r="T608" s="277"/>
      <c r="U608" s="277"/>
      <c r="V608" s="278"/>
      <c r="W608" s="443" t="str">
        <f t="array" ref="W608">IFERROR(IFS(OR(U608="A1-Mewtwo", U608="A1-Pikachu", U608="A1-Charizard", U608="A1"), $B$5-XLOOKUP(S608, 'Genetic Apex'!$C$2:$C889, 'Genetic Apex'!$B$2:$B889), U608="A1a", $B$5-XLOOKUP(S608, 'Mythical Island'!$C$2:$C889, 'Mythical Island'!$B$2:$B889), OR(U608="A2-Dialga", U608="A2-Palkia", U608="A2"), $B$5-XLOOKUP(S608, 'Space-Time Smackdown'!$C$2:$C889, 'Space-Time Smackdown'!$B$2:$B889)))</f>
        <v/>
      </c>
      <c r="X608" s="444" t="str">
        <f t="shared" si="3"/>
        <v/>
      </c>
      <c r="Y608" s="445" t="str">
        <f t="shared" si="4"/>
        <v/>
      </c>
      <c r="Z608" s="278"/>
      <c r="AA608" s="466"/>
      <c r="AB608" s="278"/>
      <c r="AC608" s="278"/>
      <c r="AD608" s="278"/>
      <c r="AE608" s="278"/>
      <c r="AF608" s="278"/>
      <c r="AG608" s="278" t="b">
        <f t="shared" si="5"/>
        <v>0</v>
      </c>
      <c r="AH608" s="454"/>
      <c r="AI608" s="278"/>
      <c r="AJ608" s="278"/>
      <c r="AK608" s="278"/>
      <c r="AL608" s="444" t="str">
        <f t="array" ref="AL608">IFERROR(IFS(OR(AJ608="A1-Mewtwo", AJ608="A1-Pikachu", AJ608="A1-Charizard", AJ608="A1"), XLOOKUP(AH608, 'Genetic Apex'!$C$2:$C889, 'Genetic Apex'!$B$2:$B889)-2, AJ608="A1a", XLOOKUP(AH608, 'Mythical Island'!$C$2:$C889, 'Mythical Island'!$B$2:$B889)-2, OR(AJ608="A2-Dialga", AJ608="A2-Palkia", AJ608="A2"), XLOOKUP(AH608, 'Space-Time Smackdown'!$C$2:$C889, 'Space-Time Smackdown'!$B$2:$B889)-2))</f>
        <v/>
      </c>
      <c r="AM608" s="444" t="str">
        <f t="shared" si="6"/>
        <v/>
      </c>
      <c r="AN608" s="448" t="str">
        <f t="shared" si="7"/>
        <v/>
      </c>
    </row>
    <row r="609">
      <c r="A609" s="277"/>
      <c r="B609" s="277"/>
      <c r="C609" s="441"/>
      <c r="D609" s="277"/>
      <c r="E609" s="277"/>
      <c r="F609" s="277"/>
      <c r="G609" s="277"/>
      <c r="H609" s="277" t="b">
        <f t="shared" si="1"/>
        <v>0</v>
      </c>
      <c r="I609" s="277"/>
      <c r="J609" s="277"/>
      <c r="K609" s="277"/>
      <c r="L609" s="277"/>
      <c r="M609" s="440" t="b">
        <f t="shared" si="2"/>
        <v>0</v>
      </c>
      <c r="N609" s="441"/>
      <c r="O609" s="277"/>
      <c r="P609" s="277"/>
      <c r="Q609" s="278"/>
      <c r="R609" s="449" t="str">
        <f t="array" ref="R609">IFERROR(IFS(OR(P609="A1-Mewtwo", P609="A1-Pikachu", P609="A1-Charizard", P609="A1"), XLOOKUP(N609, 'Genetic Apex'!$C$2:$C889, 'Genetic Apex'!$B$2:$B889)-$B$4, P609="A1a", XLOOKUP(N609, 'Mythical Island'!$C$2:$C889, 'Mythical Island'!$B$2:$B889)-$B$4, OR(P609="A2-Dialga", P609="A2-Palkia", P609="A2"), XLOOKUP(N609, 'Space-Time Smackdown'!$C$2:$C889, 'Space-Time Smackdown'!$B$2:$B889)-$B$4))</f>
        <v/>
      </c>
      <c r="S609" s="277"/>
      <c r="T609" s="277"/>
      <c r="U609" s="277"/>
      <c r="V609" s="278"/>
      <c r="W609" s="443" t="str">
        <f t="array" ref="W609">IFERROR(IFS(OR(U609="A1-Mewtwo", U609="A1-Pikachu", U609="A1-Charizard", U609="A1"), $B$5-XLOOKUP(S609, 'Genetic Apex'!$C$2:$C889, 'Genetic Apex'!$B$2:$B889), U609="A1a", $B$5-XLOOKUP(S609, 'Mythical Island'!$C$2:$C889, 'Mythical Island'!$B$2:$B889), OR(U609="A2-Dialga", U609="A2-Palkia", U609="A2"), $B$5-XLOOKUP(S609, 'Space-Time Smackdown'!$C$2:$C889, 'Space-Time Smackdown'!$B$2:$B889)))</f>
        <v/>
      </c>
      <c r="X609" s="444" t="str">
        <f t="shared" si="3"/>
        <v/>
      </c>
      <c r="Y609" s="445" t="str">
        <f t="shared" si="4"/>
        <v/>
      </c>
      <c r="Z609" s="278"/>
      <c r="AA609" s="466"/>
      <c r="AB609" s="278"/>
      <c r="AC609" s="278"/>
      <c r="AD609" s="278"/>
      <c r="AE609" s="278"/>
      <c r="AF609" s="278"/>
      <c r="AG609" s="278" t="b">
        <f t="shared" si="5"/>
        <v>0</v>
      </c>
      <c r="AH609" s="454"/>
      <c r="AI609" s="278"/>
      <c r="AJ609" s="278"/>
      <c r="AK609" s="278"/>
      <c r="AL609" s="444" t="str">
        <f t="array" ref="AL609">IFERROR(IFS(OR(AJ609="A1-Mewtwo", AJ609="A1-Pikachu", AJ609="A1-Charizard", AJ609="A1"), XLOOKUP(AH609, 'Genetic Apex'!$C$2:$C889, 'Genetic Apex'!$B$2:$B889)-2, AJ609="A1a", XLOOKUP(AH609, 'Mythical Island'!$C$2:$C889, 'Mythical Island'!$B$2:$B889)-2, OR(AJ609="A2-Dialga", AJ609="A2-Palkia", AJ609="A2"), XLOOKUP(AH609, 'Space-Time Smackdown'!$C$2:$C889, 'Space-Time Smackdown'!$B$2:$B889)-2))</f>
        <v/>
      </c>
      <c r="AM609" s="444" t="str">
        <f t="shared" si="6"/>
        <v/>
      </c>
      <c r="AN609" s="448" t="str">
        <f t="shared" si="7"/>
        <v/>
      </c>
    </row>
    <row r="610">
      <c r="A610" s="277"/>
      <c r="B610" s="277"/>
      <c r="C610" s="441"/>
      <c r="D610" s="277"/>
      <c r="E610" s="277"/>
      <c r="F610" s="277"/>
      <c r="G610" s="277"/>
      <c r="H610" s="277" t="b">
        <f t="shared" si="1"/>
        <v>0</v>
      </c>
      <c r="I610" s="277"/>
      <c r="J610" s="277"/>
      <c r="K610" s="277"/>
      <c r="L610" s="277"/>
      <c r="M610" s="440" t="b">
        <f t="shared" si="2"/>
        <v>0</v>
      </c>
      <c r="N610" s="441"/>
      <c r="O610" s="277"/>
      <c r="P610" s="277"/>
      <c r="Q610" s="278"/>
      <c r="R610" s="449" t="str">
        <f t="array" ref="R610">IFERROR(IFS(OR(P610="A1-Mewtwo", P610="A1-Pikachu", P610="A1-Charizard", P610="A1"), XLOOKUP(N610, 'Genetic Apex'!$C$2:$C889, 'Genetic Apex'!$B$2:$B889)-$B$4, P610="A1a", XLOOKUP(N610, 'Mythical Island'!$C$2:$C889, 'Mythical Island'!$B$2:$B889)-$B$4, OR(P610="A2-Dialga", P610="A2-Palkia", P610="A2"), XLOOKUP(N610, 'Space-Time Smackdown'!$C$2:$C889, 'Space-Time Smackdown'!$B$2:$B889)-$B$4))</f>
        <v/>
      </c>
      <c r="S610" s="277"/>
      <c r="T610" s="277"/>
      <c r="U610" s="277"/>
      <c r="V610" s="278"/>
      <c r="W610" s="443" t="str">
        <f t="array" ref="W610">IFERROR(IFS(OR(U610="A1-Mewtwo", U610="A1-Pikachu", U610="A1-Charizard", U610="A1"), $B$5-XLOOKUP(S610, 'Genetic Apex'!$C$2:$C889, 'Genetic Apex'!$B$2:$B889), U610="A1a", $B$5-XLOOKUP(S610, 'Mythical Island'!$C$2:$C889, 'Mythical Island'!$B$2:$B889), OR(U610="A2-Dialga", U610="A2-Palkia", U610="A2"), $B$5-XLOOKUP(S610, 'Space-Time Smackdown'!$C$2:$C889, 'Space-Time Smackdown'!$B$2:$B889)))</f>
        <v/>
      </c>
      <c r="X610" s="444" t="str">
        <f t="shared" si="3"/>
        <v/>
      </c>
      <c r="Y610" s="445" t="str">
        <f t="shared" si="4"/>
        <v/>
      </c>
      <c r="Z610" s="278"/>
      <c r="AA610" s="466"/>
      <c r="AB610" s="278"/>
      <c r="AC610" s="278"/>
      <c r="AD610" s="278"/>
      <c r="AE610" s="278"/>
      <c r="AF610" s="278"/>
      <c r="AG610" s="278" t="b">
        <f t="shared" si="5"/>
        <v>0</v>
      </c>
      <c r="AH610" s="454"/>
      <c r="AI610" s="278"/>
      <c r="AJ610" s="278"/>
      <c r="AK610" s="278"/>
      <c r="AL610" s="444" t="str">
        <f t="array" ref="AL610">IFERROR(IFS(OR(AJ610="A1-Mewtwo", AJ610="A1-Pikachu", AJ610="A1-Charizard", AJ610="A1"), XLOOKUP(AH610, 'Genetic Apex'!$C$2:$C889, 'Genetic Apex'!$B$2:$B889)-2, AJ610="A1a", XLOOKUP(AH610, 'Mythical Island'!$C$2:$C889, 'Mythical Island'!$B$2:$B889)-2, OR(AJ610="A2-Dialga", AJ610="A2-Palkia", AJ610="A2"), XLOOKUP(AH610, 'Space-Time Smackdown'!$C$2:$C889, 'Space-Time Smackdown'!$B$2:$B889)-2))</f>
        <v/>
      </c>
      <c r="AM610" s="444" t="str">
        <f t="shared" si="6"/>
        <v/>
      </c>
      <c r="AN610" s="448" t="str">
        <f t="shared" si="7"/>
        <v/>
      </c>
    </row>
    <row r="611">
      <c r="A611" s="277"/>
      <c r="B611" s="277"/>
      <c r="C611" s="441"/>
      <c r="D611" s="277"/>
      <c r="E611" s="277"/>
      <c r="F611" s="277"/>
      <c r="G611" s="277"/>
      <c r="H611" s="277" t="b">
        <f t="shared" si="1"/>
        <v>0</v>
      </c>
      <c r="I611" s="277"/>
      <c r="J611" s="277"/>
      <c r="K611" s="277"/>
      <c r="L611" s="277"/>
      <c r="M611" s="440" t="b">
        <f t="shared" si="2"/>
        <v>0</v>
      </c>
      <c r="N611" s="441"/>
      <c r="O611" s="277"/>
      <c r="P611" s="277"/>
      <c r="Q611" s="278"/>
      <c r="R611" s="449" t="str">
        <f t="array" ref="R611">IFERROR(IFS(OR(P611="A1-Mewtwo", P611="A1-Pikachu", P611="A1-Charizard", P611="A1"), XLOOKUP(N611, 'Genetic Apex'!$C$2:$C889, 'Genetic Apex'!$B$2:$B889)-$B$4, P611="A1a", XLOOKUP(N611, 'Mythical Island'!$C$2:$C889, 'Mythical Island'!$B$2:$B889)-$B$4, OR(P611="A2-Dialga", P611="A2-Palkia", P611="A2"), XLOOKUP(N611, 'Space-Time Smackdown'!$C$2:$C889, 'Space-Time Smackdown'!$B$2:$B889)-$B$4))</f>
        <v/>
      </c>
      <c r="S611" s="277"/>
      <c r="T611" s="277"/>
      <c r="U611" s="277"/>
      <c r="V611" s="278"/>
      <c r="W611" s="443" t="str">
        <f t="array" ref="W611">IFERROR(IFS(OR(U611="A1-Mewtwo", U611="A1-Pikachu", U611="A1-Charizard", U611="A1"), $B$5-XLOOKUP(S611, 'Genetic Apex'!$C$2:$C889, 'Genetic Apex'!$B$2:$B889), U611="A1a", $B$5-XLOOKUP(S611, 'Mythical Island'!$C$2:$C889, 'Mythical Island'!$B$2:$B889), OR(U611="A2-Dialga", U611="A2-Palkia", U611="A2"), $B$5-XLOOKUP(S611, 'Space-Time Smackdown'!$C$2:$C889, 'Space-Time Smackdown'!$B$2:$B889)))</f>
        <v/>
      </c>
      <c r="X611" s="444" t="str">
        <f t="shared" si="3"/>
        <v/>
      </c>
      <c r="Y611" s="445" t="str">
        <f t="shared" si="4"/>
        <v/>
      </c>
      <c r="Z611" s="278"/>
      <c r="AA611" s="466"/>
      <c r="AB611" s="278"/>
      <c r="AC611" s="278"/>
      <c r="AD611" s="278"/>
      <c r="AE611" s="278"/>
      <c r="AF611" s="278"/>
      <c r="AG611" s="278" t="b">
        <f t="shared" si="5"/>
        <v>0</v>
      </c>
      <c r="AH611" s="454"/>
      <c r="AI611" s="278"/>
      <c r="AJ611" s="278"/>
      <c r="AK611" s="278"/>
      <c r="AL611" s="444" t="str">
        <f t="array" ref="AL611">IFERROR(IFS(OR(AJ611="A1-Mewtwo", AJ611="A1-Pikachu", AJ611="A1-Charizard", AJ611="A1"), XLOOKUP(AH611, 'Genetic Apex'!$C$2:$C889, 'Genetic Apex'!$B$2:$B889)-2, AJ611="A1a", XLOOKUP(AH611, 'Mythical Island'!$C$2:$C889, 'Mythical Island'!$B$2:$B889)-2, OR(AJ611="A2-Dialga", AJ611="A2-Palkia", AJ611="A2"), XLOOKUP(AH611, 'Space-Time Smackdown'!$C$2:$C889, 'Space-Time Smackdown'!$B$2:$B889)-2))</f>
        <v/>
      </c>
      <c r="AM611" s="444" t="str">
        <f t="shared" si="6"/>
        <v/>
      </c>
      <c r="AN611" s="448" t="str">
        <f t="shared" si="7"/>
        <v/>
      </c>
    </row>
    <row r="612">
      <c r="A612" s="277"/>
      <c r="B612" s="277"/>
      <c r="C612" s="441"/>
      <c r="D612" s="277"/>
      <c r="E612" s="277"/>
      <c r="F612" s="277"/>
      <c r="G612" s="277"/>
      <c r="H612" s="277" t="b">
        <f t="shared" si="1"/>
        <v>0</v>
      </c>
      <c r="I612" s="277"/>
      <c r="J612" s="277"/>
      <c r="K612" s="277"/>
      <c r="L612" s="277"/>
      <c r="M612" s="440" t="b">
        <f t="shared" si="2"/>
        <v>0</v>
      </c>
      <c r="N612" s="441"/>
      <c r="O612" s="277"/>
      <c r="P612" s="277"/>
      <c r="Q612" s="278"/>
      <c r="R612" s="449" t="str">
        <f t="array" ref="R612">IFERROR(IFS(OR(P612="A1-Mewtwo", P612="A1-Pikachu", P612="A1-Charizard", P612="A1"), XLOOKUP(N612, 'Genetic Apex'!$C$2:$C889, 'Genetic Apex'!$B$2:$B889)-$B$4, P612="A1a", XLOOKUP(N612, 'Mythical Island'!$C$2:$C889, 'Mythical Island'!$B$2:$B889)-$B$4, OR(P612="A2-Dialga", P612="A2-Palkia", P612="A2"), XLOOKUP(N612, 'Space-Time Smackdown'!$C$2:$C889, 'Space-Time Smackdown'!$B$2:$B889)-$B$4))</f>
        <v/>
      </c>
      <c r="S612" s="277"/>
      <c r="T612" s="277"/>
      <c r="U612" s="277"/>
      <c r="V612" s="278"/>
      <c r="W612" s="443" t="str">
        <f t="array" ref="W612">IFERROR(IFS(OR(U612="A1-Mewtwo", U612="A1-Pikachu", U612="A1-Charizard", U612="A1"), $B$5-XLOOKUP(S612, 'Genetic Apex'!$C$2:$C889, 'Genetic Apex'!$B$2:$B889), U612="A1a", $B$5-XLOOKUP(S612, 'Mythical Island'!$C$2:$C889, 'Mythical Island'!$B$2:$B889), OR(U612="A2-Dialga", U612="A2-Palkia", U612="A2"), $B$5-XLOOKUP(S612, 'Space-Time Smackdown'!$C$2:$C889, 'Space-Time Smackdown'!$B$2:$B889)))</f>
        <v/>
      </c>
      <c r="X612" s="444" t="str">
        <f t="shared" si="3"/>
        <v/>
      </c>
      <c r="Y612" s="445" t="str">
        <f t="shared" si="4"/>
        <v/>
      </c>
      <c r="Z612" s="278"/>
      <c r="AA612" s="466"/>
      <c r="AB612" s="278"/>
      <c r="AC612" s="278"/>
      <c r="AD612" s="278"/>
      <c r="AE612" s="278"/>
      <c r="AF612" s="278"/>
      <c r="AG612" s="278" t="b">
        <f t="shared" si="5"/>
        <v>0</v>
      </c>
      <c r="AH612" s="454"/>
      <c r="AI612" s="278"/>
      <c r="AJ612" s="278"/>
      <c r="AK612" s="278"/>
      <c r="AL612" s="444" t="str">
        <f t="array" ref="AL612">IFERROR(IFS(OR(AJ612="A1-Mewtwo", AJ612="A1-Pikachu", AJ612="A1-Charizard", AJ612="A1"), XLOOKUP(AH612, 'Genetic Apex'!$C$2:$C889, 'Genetic Apex'!$B$2:$B889)-2, AJ612="A1a", XLOOKUP(AH612, 'Mythical Island'!$C$2:$C889, 'Mythical Island'!$B$2:$B889)-2, OR(AJ612="A2-Dialga", AJ612="A2-Palkia", AJ612="A2"), XLOOKUP(AH612, 'Space-Time Smackdown'!$C$2:$C889, 'Space-Time Smackdown'!$B$2:$B889)-2))</f>
        <v/>
      </c>
      <c r="AM612" s="444" t="str">
        <f t="shared" si="6"/>
        <v/>
      </c>
      <c r="AN612" s="448" t="str">
        <f t="shared" si="7"/>
        <v/>
      </c>
    </row>
    <row r="613">
      <c r="A613" s="277"/>
      <c r="B613" s="277"/>
      <c r="C613" s="441"/>
      <c r="D613" s="277"/>
      <c r="E613" s="277"/>
      <c r="F613" s="277"/>
      <c r="G613" s="277"/>
      <c r="H613" s="277" t="b">
        <f t="shared" si="1"/>
        <v>0</v>
      </c>
      <c r="I613" s="277"/>
      <c r="J613" s="277"/>
      <c r="K613" s="277"/>
      <c r="L613" s="277"/>
      <c r="M613" s="440" t="b">
        <f t="shared" si="2"/>
        <v>0</v>
      </c>
      <c r="N613" s="441"/>
      <c r="O613" s="277"/>
      <c r="P613" s="277"/>
      <c r="Q613" s="278"/>
      <c r="R613" s="449" t="str">
        <f t="array" ref="R613">IFERROR(IFS(OR(P613="A1-Mewtwo", P613="A1-Pikachu", P613="A1-Charizard", P613="A1"), XLOOKUP(N613, 'Genetic Apex'!$C$2:$C889, 'Genetic Apex'!$B$2:$B889)-$B$4, P613="A1a", XLOOKUP(N613, 'Mythical Island'!$C$2:$C889, 'Mythical Island'!$B$2:$B889)-$B$4, OR(P613="A2-Dialga", P613="A2-Palkia", P613="A2"), XLOOKUP(N613, 'Space-Time Smackdown'!$C$2:$C889, 'Space-Time Smackdown'!$B$2:$B889)-$B$4))</f>
        <v/>
      </c>
      <c r="S613" s="277"/>
      <c r="T613" s="277"/>
      <c r="U613" s="277"/>
      <c r="V613" s="278"/>
      <c r="W613" s="443" t="str">
        <f t="array" ref="W613">IFERROR(IFS(OR(U613="A1-Mewtwo", U613="A1-Pikachu", U613="A1-Charizard", U613="A1"), $B$5-XLOOKUP(S613, 'Genetic Apex'!$C$2:$C889, 'Genetic Apex'!$B$2:$B889), U613="A1a", $B$5-XLOOKUP(S613, 'Mythical Island'!$C$2:$C889, 'Mythical Island'!$B$2:$B889), OR(U613="A2-Dialga", U613="A2-Palkia", U613="A2"), $B$5-XLOOKUP(S613, 'Space-Time Smackdown'!$C$2:$C889, 'Space-Time Smackdown'!$B$2:$B889)))</f>
        <v/>
      </c>
      <c r="X613" s="444" t="str">
        <f t="shared" si="3"/>
        <v/>
      </c>
      <c r="Y613" s="445" t="str">
        <f t="shared" si="4"/>
        <v/>
      </c>
      <c r="Z613" s="278"/>
      <c r="AA613" s="466"/>
      <c r="AB613" s="278"/>
      <c r="AC613" s="278"/>
      <c r="AD613" s="278"/>
      <c r="AE613" s="278"/>
      <c r="AF613" s="278"/>
      <c r="AG613" s="278" t="b">
        <f t="shared" si="5"/>
        <v>0</v>
      </c>
      <c r="AH613" s="454"/>
      <c r="AI613" s="278"/>
      <c r="AJ613" s="278"/>
      <c r="AK613" s="278"/>
      <c r="AL613" s="444" t="str">
        <f t="array" ref="AL613">IFERROR(IFS(OR(AJ613="A1-Mewtwo", AJ613="A1-Pikachu", AJ613="A1-Charizard", AJ613="A1"), XLOOKUP(AH613, 'Genetic Apex'!$C$2:$C889, 'Genetic Apex'!$B$2:$B889)-2, AJ613="A1a", XLOOKUP(AH613, 'Mythical Island'!$C$2:$C889, 'Mythical Island'!$B$2:$B889)-2, OR(AJ613="A2-Dialga", AJ613="A2-Palkia", AJ613="A2"), XLOOKUP(AH613, 'Space-Time Smackdown'!$C$2:$C889, 'Space-Time Smackdown'!$B$2:$B889)-2))</f>
        <v/>
      </c>
      <c r="AM613" s="444" t="str">
        <f t="shared" si="6"/>
        <v/>
      </c>
      <c r="AN613" s="448" t="str">
        <f t="shared" si="7"/>
        <v/>
      </c>
    </row>
    <row r="614">
      <c r="A614" s="277"/>
      <c r="B614" s="277"/>
      <c r="C614" s="441"/>
      <c r="D614" s="277"/>
      <c r="E614" s="277"/>
      <c r="F614" s="277"/>
      <c r="G614" s="277"/>
      <c r="H614" s="277" t="b">
        <f t="shared" si="1"/>
        <v>0</v>
      </c>
      <c r="I614" s="277"/>
      <c r="J614" s="277"/>
      <c r="K614" s="277"/>
      <c r="L614" s="277"/>
      <c r="M614" s="440" t="b">
        <f t="shared" si="2"/>
        <v>0</v>
      </c>
      <c r="N614" s="441"/>
      <c r="O614" s="277"/>
      <c r="P614" s="277"/>
      <c r="Q614" s="278"/>
      <c r="R614" s="449" t="str">
        <f t="array" ref="R614">IFERROR(IFS(OR(P614="A1-Mewtwo", P614="A1-Pikachu", P614="A1-Charizard", P614="A1"), XLOOKUP(N614, 'Genetic Apex'!$C$2:$C889, 'Genetic Apex'!$B$2:$B889)-$B$4, P614="A1a", XLOOKUP(N614, 'Mythical Island'!$C$2:$C889, 'Mythical Island'!$B$2:$B889)-$B$4, OR(P614="A2-Dialga", P614="A2-Palkia", P614="A2"), XLOOKUP(N614, 'Space-Time Smackdown'!$C$2:$C889, 'Space-Time Smackdown'!$B$2:$B889)-$B$4))</f>
        <v/>
      </c>
      <c r="S614" s="277"/>
      <c r="T614" s="277"/>
      <c r="U614" s="277"/>
      <c r="V614" s="278"/>
      <c r="W614" s="443" t="str">
        <f t="array" ref="W614">IFERROR(IFS(OR(U614="A1-Mewtwo", U614="A1-Pikachu", U614="A1-Charizard", U614="A1"), $B$5-XLOOKUP(S614, 'Genetic Apex'!$C$2:$C889, 'Genetic Apex'!$B$2:$B889), U614="A1a", $B$5-XLOOKUP(S614, 'Mythical Island'!$C$2:$C889, 'Mythical Island'!$B$2:$B889), OR(U614="A2-Dialga", U614="A2-Palkia", U614="A2"), $B$5-XLOOKUP(S614, 'Space-Time Smackdown'!$C$2:$C889, 'Space-Time Smackdown'!$B$2:$B889)))</f>
        <v/>
      </c>
      <c r="X614" s="444" t="str">
        <f t="shared" si="3"/>
        <v/>
      </c>
      <c r="Y614" s="445" t="str">
        <f t="shared" si="4"/>
        <v/>
      </c>
      <c r="Z614" s="278"/>
      <c r="AA614" s="466"/>
      <c r="AB614" s="278"/>
      <c r="AC614" s="278"/>
      <c r="AD614" s="278"/>
      <c r="AE614" s="278"/>
      <c r="AF614" s="278"/>
      <c r="AG614" s="278" t="b">
        <f t="shared" si="5"/>
        <v>0</v>
      </c>
      <c r="AH614" s="454"/>
      <c r="AI614" s="278"/>
      <c r="AJ614" s="278"/>
      <c r="AK614" s="278"/>
      <c r="AL614" s="444" t="str">
        <f t="array" ref="AL614">IFERROR(IFS(OR(AJ614="A1-Mewtwo", AJ614="A1-Pikachu", AJ614="A1-Charizard", AJ614="A1"), XLOOKUP(AH614, 'Genetic Apex'!$C$2:$C889, 'Genetic Apex'!$B$2:$B889)-2, AJ614="A1a", XLOOKUP(AH614, 'Mythical Island'!$C$2:$C889, 'Mythical Island'!$B$2:$B889)-2, OR(AJ614="A2-Dialga", AJ614="A2-Palkia", AJ614="A2"), XLOOKUP(AH614, 'Space-Time Smackdown'!$C$2:$C889, 'Space-Time Smackdown'!$B$2:$B889)-2))</f>
        <v/>
      </c>
      <c r="AM614" s="444" t="str">
        <f t="shared" si="6"/>
        <v/>
      </c>
      <c r="AN614" s="448" t="str">
        <f t="shared" si="7"/>
        <v/>
      </c>
    </row>
    <row r="615">
      <c r="A615" s="277"/>
      <c r="B615" s="277"/>
      <c r="C615" s="441"/>
      <c r="D615" s="277"/>
      <c r="E615" s="277"/>
      <c r="F615" s="277"/>
      <c r="G615" s="277"/>
      <c r="H615" s="277" t="b">
        <f t="shared" si="1"/>
        <v>0</v>
      </c>
      <c r="I615" s="277"/>
      <c r="J615" s="277"/>
      <c r="K615" s="277"/>
      <c r="L615" s="277"/>
      <c r="M615" s="440" t="b">
        <f t="shared" si="2"/>
        <v>0</v>
      </c>
      <c r="N615" s="441"/>
      <c r="O615" s="277"/>
      <c r="P615" s="277"/>
      <c r="Q615" s="278"/>
      <c r="R615" s="449" t="str">
        <f t="array" ref="R615">IFERROR(IFS(OR(P615="A1-Mewtwo", P615="A1-Pikachu", P615="A1-Charizard", P615="A1"), XLOOKUP(N615, 'Genetic Apex'!$C$2:$C889, 'Genetic Apex'!$B$2:$B889)-$B$4, P615="A1a", XLOOKUP(N615, 'Mythical Island'!$C$2:$C889, 'Mythical Island'!$B$2:$B889)-$B$4, OR(P615="A2-Dialga", P615="A2-Palkia", P615="A2"), XLOOKUP(N615, 'Space-Time Smackdown'!$C$2:$C889, 'Space-Time Smackdown'!$B$2:$B889)-$B$4))</f>
        <v/>
      </c>
      <c r="S615" s="277"/>
      <c r="T615" s="277"/>
      <c r="U615" s="277"/>
      <c r="V615" s="278"/>
      <c r="W615" s="443" t="str">
        <f t="array" ref="W615">IFERROR(IFS(OR(U615="A1-Mewtwo", U615="A1-Pikachu", U615="A1-Charizard", U615="A1"), $B$5-XLOOKUP(S615, 'Genetic Apex'!$C$2:$C889, 'Genetic Apex'!$B$2:$B889), U615="A1a", $B$5-XLOOKUP(S615, 'Mythical Island'!$C$2:$C889, 'Mythical Island'!$B$2:$B889), OR(U615="A2-Dialga", U615="A2-Palkia", U615="A2"), $B$5-XLOOKUP(S615, 'Space-Time Smackdown'!$C$2:$C889, 'Space-Time Smackdown'!$B$2:$B889)))</f>
        <v/>
      </c>
      <c r="X615" s="444" t="str">
        <f t="shared" si="3"/>
        <v/>
      </c>
      <c r="Y615" s="445" t="str">
        <f t="shared" si="4"/>
        <v/>
      </c>
      <c r="Z615" s="278"/>
      <c r="AA615" s="466"/>
      <c r="AB615" s="278"/>
      <c r="AC615" s="278"/>
      <c r="AD615" s="278"/>
      <c r="AE615" s="278"/>
      <c r="AF615" s="278"/>
      <c r="AG615" s="278" t="b">
        <f t="shared" si="5"/>
        <v>0</v>
      </c>
      <c r="AH615" s="454"/>
      <c r="AI615" s="278"/>
      <c r="AJ615" s="278"/>
      <c r="AK615" s="278"/>
      <c r="AL615" s="444" t="str">
        <f t="array" ref="AL615">IFERROR(IFS(OR(AJ615="A1-Mewtwo", AJ615="A1-Pikachu", AJ615="A1-Charizard", AJ615="A1"), XLOOKUP(AH615, 'Genetic Apex'!$C$2:$C889, 'Genetic Apex'!$B$2:$B889)-2, AJ615="A1a", XLOOKUP(AH615, 'Mythical Island'!$C$2:$C889, 'Mythical Island'!$B$2:$B889)-2, OR(AJ615="A2-Dialga", AJ615="A2-Palkia", AJ615="A2"), XLOOKUP(AH615, 'Space-Time Smackdown'!$C$2:$C889, 'Space-Time Smackdown'!$B$2:$B889)-2))</f>
        <v/>
      </c>
      <c r="AM615" s="444" t="str">
        <f t="shared" si="6"/>
        <v/>
      </c>
      <c r="AN615" s="448" t="str">
        <f t="shared" si="7"/>
        <v/>
      </c>
    </row>
    <row r="616">
      <c r="A616" s="277"/>
      <c r="B616" s="277"/>
      <c r="C616" s="441"/>
      <c r="D616" s="277"/>
      <c r="E616" s="277"/>
      <c r="F616" s="277"/>
      <c r="G616" s="277"/>
      <c r="H616" s="277" t="b">
        <f t="shared" si="1"/>
        <v>0</v>
      </c>
      <c r="I616" s="277"/>
      <c r="J616" s="277"/>
      <c r="K616" s="277"/>
      <c r="L616" s="277"/>
      <c r="M616" s="440" t="b">
        <f t="shared" si="2"/>
        <v>0</v>
      </c>
      <c r="N616" s="441"/>
      <c r="O616" s="277"/>
      <c r="P616" s="277"/>
      <c r="Q616" s="278"/>
      <c r="R616" s="449" t="str">
        <f t="array" ref="R616">IFERROR(IFS(OR(P616="A1-Mewtwo", P616="A1-Pikachu", P616="A1-Charizard", P616="A1"), XLOOKUP(N616, 'Genetic Apex'!$C$2:$C889, 'Genetic Apex'!$B$2:$B889)-$B$4, P616="A1a", XLOOKUP(N616, 'Mythical Island'!$C$2:$C889, 'Mythical Island'!$B$2:$B889)-$B$4, OR(P616="A2-Dialga", P616="A2-Palkia", P616="A2"), XLOOKUP(N616, 'Space-Time Smackdown'!$C$2:$C889, 'Space-Time Smackdown'!$B$2:$B889)-$B$4))</f>
        <v/>
      </c>
      <c r="S616" s="277"/>
      <c r="T616" s="277"/>
      <c r="U616" s="277"/>
      <c r="V616" s="278"/>
      <c r="W616" s="443" t="str">
        <f t="array" ref="W616">IFERROR(IFS(OR(U616="A1-Mewtwo", U616="A1-Pikachu", U616="A1-Charizard", U616="A1"), $B$5-XLOOKUP(S616, 'Genetic Apex'!$C$2:$C889, 'Genetic Apex'!$B$2:$B889), U616="A1a", $B$5-XLOOKUP(S616, 'Mythical Island'!$C$2:$C889, 'Mythical Island'!$B$2:$B889), OR(U616="A2-Dialga", U616="A2-Palkia", U616="A2"), $B$5-XLOOKUP(S616, 'Space-Time Smackdown'!$C$2:$C889, 'Space-Time Smackdown'!$B$2:$B889)))</f>
        <v/>
      </c>
      <c r="X616" s="444" t="str">
        <f t="shared" si="3"/>
        <v/>
      </c>
      <c r="Y616" s="445" t="str">
        <f t="shared" si="4"/>
        <v/>
      </c>
      <c r="Z616" s="278"/>
      <c r="AA616" s="466"/>
      <c r="AB616" s="278"/>
      <c r="AC616" s="278"/>
      <c r="AD616" s="278"/>
      <c r="AE616" s="278"/>
      <c r="AF616" s="278"/>
      <c r="AG616" s="278" t="b">
        <f t="shared" si="5"/>
        <v>0</v>
      </c>
      <c r="AH616" s="454"/>
      <c r="AI616" s="278"/>
      <c r="AJ616" s="278"/>
      <c r="AK616" s="278"/>
      <c r="AL616" s="444" t="str">
        <f t="array" ref="AL616">IFERROR(IFS(OR(AJ616="A1-Mewtwo", AJ616="A1-Pikachu", AJ616="A1-Charizard", AJ616="A1"), XLOOKUP(AH616, 'Genetic Apex'!$C$2:$C889, 'Genetic Apex'!$B$2:$B889)-2, AJ616="A1a", XLOOKUP(AH616, 'Mythical Island'!$C$2:$C889, 'Mythical Island'!$B$2:$B889)-2, OR(AJ616="A2-Dialga", AJ616="A2-Palkia", AJ616="A2"), XLOOKUP(AH616, 'Space-Time Smackdown'!$C$2:$C889, 'Space-Time Smackdown'!$B$2:$B889)-2))</f>
        <v/>
      </c>
      <c r="AM616" s="444" t="str">
        <f t="shared" si="6"/>
        <v/>
      </c>
      <c r="AN616" s="448" t="str">
        <f t="shared" si="7"/>
        <v/>
      </c>
    </row>
    <row r="617">
      <c r="A617" s="277"/>
      <c r="B617" s="277"/>
      <c r="C617" s="441"/>
      <c r="D617" s="277"/>
      <c r="E617" s="277"/>
      <c r="F617" s="277"/>
      <c r="G617" s="277"/>
      <c r="H617" s="277" t="b">
        <f t="shared" si="1"/>
        <v>0</v>
      </c>
      <c r="I617" s="277"/>
      <c r="J617" s="277"/>
      <c r="K617" s="277"/>
      <c r="L617" s="277"/>
      <c r="M617" s="440" t="b">
        <f t="shared" si="2"/>
        <v>0</v>
      </c>
      <c r="N617" s="441"/>
      <c r="O617" s="277"/>
      <c r="P617" s="277"/>
      <c r="Q617" s="278"/>
      <c r="R617" s="449" t="str">
        <f t="array" ref="R617">IFERROR(IFS(OR(P617="A1-Mewtwo", P617="A1-Pikachu", P617="A1-Charizard", P617="A1"), XLOOKUP(N617, 'Genetic Apex'!$C$2:$C889, 'Genetic Apex'!$B$2:$B889)-$B$4, P617="A1a", XLOOKUP(N617, 'Mythical Island'!$C$2:$C889, 'Mythical Island'!$B$2:$B889)-$B$4, OR(P617="A2-Dialga", P617="A2-Palkia", P617="A2"), XLOOKUP(N617, 'Space-Time Smackdown'!$C$2:$C889, 'Space-Time Smackdown'!$B$2:$B889)-$B$4))</f>
        <v/>
      </c>
      <c r="S617" s="277"/>
      <c r="T617" s="277"/>
      <c r="U617" s="277"/>
      <c r="V617" s="278"/>
      <c r="W617" s="443" t="str">
        <f t="array" ref="W617">IFERROR(IFS(OR(U617="A1-Mewtwo", U617="A1-Pikachu", U617="A1-Charizard", U617="A1"), $B$5-XLOOKUP(S617, 'Genetic Apex'!$C$2:$C889, 'Genetic Apex'!$B$2:$B889), U617="A1a", $B$5-XLOOKUP(S617, 'Mythical Island'!$C$2:$C889, 'Mythical Island'!$B$2:$B889), OR(U617="A2-Dialga", U617="A2-Palkia", U617="A2"), $B$5-XLOOKUP(S617, 'Space-Time Smackdown'!$C$2:$C889, 'Space-Time Smackdown'!$B$2:$B889)))</f>
        <v/>
      </c>
      <c r="X617" s="444" t="str">
        <f t="shared" si="3"/>
        <v/>
      </c>
      <c r="Y617" s="445" t="str">
        <f t="shared" si="4"/>
        <v/>
      </c>
      <c r="Z617" s="278"/>
      <c r="AA617" s="466"/>
      <c r="AB617" s="278"/>
      <c r="AC617" s="278"/>
      <c r="AD617" s="278"/>
      <c r="AE617" s="278"/>
      <c r="AF617" s="278"/>
      <c r="AG617" s="278" t="b">
        <f t="shared" si="5"/>
        <v>0</v>
      </c>
      <c r="AH617" s="454"/>
      <c r="AI617" s="278"/>
      <c r="AJ617" s="278"/>
      <c r="AK617" s="278"/>
      <c r="AL617" s="444" t="str">
        <f t="array" ref="AL617">IFERROR(IFS(OR(AJ617="A1-Mewtwo", AJ617="A1-Pikachu", AJ617="A1-Charizard", AJ617="A1"), XLOOKUP(AH617, 'Genetic Apex'!$C$2:$C889, 'Genetic Apex'!$B$2:$B889)-2, AJ617="A1a", XLOOKUP(AH617, 'Mythical Island'!$C$2:$C889, 'Mythical Island'!$B$2:$B889)-2, OR(AJ617="A2-Dialga", AJ617="A2-Palkia", AJ617="A2"), XLOOKUP(AH617, 'Space-Time Smackdown'!$C$2:$C889, 'Space-Time Smackdown'!$B$2:$B889)-2))</f>
        <v/>
      </c>
      <c r="AM617" s="444" t="str">
        <f t="shared" si="6"/>
        <v/>
      </c>
      <c r="AN617" s="448" t="str">
        <f t="shared" si="7"/>
        <v/>
      </c>
    </row>
    <row r="618">
      <c r="A618" s="277"/>
      <c r="B618" s="277"/>
      <c r="C618" s="441"/>
      <c r="D618" s="277"/>
      <c r="E618" s="277"/>
      <c r="F618" s="277"/>
      <c r="G618" s="277"/>
      <c r="H618" s="277" t="b">
        <f t="shared" si="1"/>
        <v>0</v>
      </c>
      <c r="I618" s="277"/>
      <c r="J618" s="277"/>
      <c r="K618" s="277"/>
      <c r="L618" s="277"/>
      <c r="M618" s="440" t="b">
        <f t="shared" si="2"/>
        <v>0</v>
      </c>
      <c r="N618" s="441"/>
      <c r="O618" s="277"/>
      <c r="P618" s="277"/>
      <c r="Q618" s="278"/>
      <c r="R618" s="449" t="str">
        <f t="array" ref="R618">IFERROR(IFS(OR(P618="A1-Mewtwo", P618="A1-Pikachu", P618="A1-Charizard", P618="A1"), XLOOKUP(N618, 'Genetic Apex'!$C$2:$C889, 'Genetic Apex'!$B$2:$B889)-$B$4, P618="A1a", XLOOKUP(N618, 'Mythical Island'!$C$2:$C889, 'Mythical Island'!$B$2:$B889)-$B$4, OR(P618="A2-Dialga", P618="A2-Palkia", P618="A2"), XLOOKUP(N618, 'Space-Time Smackdown'!$C$2:$C889, 'Space-Time Smackdown'!$B$2:$B889)-$B$4))</f>
        <v/>
      </c>
      <c r="S618" s="277"/>
      <c r="T618" s="277"/>
      <c r="U618" s="277"/>
      <c r="V618" s="278"/>
      <c r="W618" s="443" t="str">
        <f t="array" ref="W618">IFERROR(IFS(OR(U618="A1-Mewtwo", U618="A1-Pikachu", U618="A1-Charizard", U618="A1"), $B$5-XLOOKUP(S618, 'Genetic Apex'!$C$2:$C889, 'Genetic Apex'!$B$2:$B889), U618="A1a", $B$5-XLOOKUP(S618, 'Mythical Island'!$C$2:$C889, 'Mythical Island'!$B$2:$B889), OR(U618="A2-Dialga", U618="A2-Palkia", U618="A2"), $B$5-XLOOKUP(S618, 'Space-Time Smackdown'!$C$2:$C889, 'Space-Time Smackdown'!$B$2:$B889)))</f>
        <v/>
      </c>
      <c r="X618" s="444" t="str">
        <f t="shared" si="3"/>
        <v/>
      </c>
      <c r="Y618" s="445" t="str">
        <f t="shared" si="4"/>
        <v/>
      </c>
      <c r="Z618" s="278"/>
      <c r="AA618" s="466"/>
      <c r="AB618" s="278"/>
      <c r="AC618" s="278"/>
      <c r="AD618" s="278"/>
      <c r="AE618" s="278"/>
      <c r="AF618" s="278"/>
      <c r="AG618" s="278" t="b">
        <f t="shared" si="5"/>
        <v>0</v>
      </c>
      <c r="AH618" s="454"/>
      <c r="AI618" s="278"/>
      <c r="AJ618" s="278"/>
      <c r="AK618" s="278"/>
      <c r="AL618" s="444" t="str">
        <f t="array" ref="AL618">IFERROR(IFS(OR(AJ618="A1-Mewtwo", AJ618="A1-Pikachu", AJ618="A1-Charizard", AJ618="A1"), XLOOKUP(AH618, 'Genetic Apex'!$C$2:$C889, 'Genetic Apex'!$B$2:$B889)-2, AJ618="A1a", XLOOKUP(AH618, 'Mythical Island'!$C$2:$C889, 'Mythical Island'!$B$2:$B889)-2, OR(AJ618="A2-Dialga", AJ618="A2-Palkia", AJ618="A2"), XLOOKUP(AH618, 'Space-Time Smackdown'!$C$2:$C889, 'Space-Time Smackdown'!$B$2:$B889)-2))</f>
        <v/>
      </c>
      <c r="AM618" s="444" t="str">
        <f t="shared" si="6"/>
        <v/>
      </c>
      <c r="AN618" s="448" t="str">
        <f t="shared" si="7"/>
        <v/>
      </c>
    </row>
    <row r="619">
      <c r="A619" s="277"/>
      <c r="B619" s="277"/>
      <c r="C619" s="441"/>
      <c r="D619" s="277"/>
      <c r="E619" s="277"/>
      <c r="F619" s="277"/>
      <c r="G619" s="277"/>
      <c r="H619" s="277" t="b">
        <f t="shared" si="1"/>
        <v>0</v>
      </c>
      <c r="I619" s="277"/>
      <c r="J619" s="277"/>
      <c r="K619" s="277"/>
      <c r="L619" s="277"/>
      <c r="M619" s="440" t="b">
        <f t="shared" si="2"/>
        <v>0</v>
      </c>
      <c r="N619" s="441"/>
      <c r="O619" s="277"/>
      <c r="P619" s="277"/>
      <c r="Q619" s="278"/>
      <c r="R619" s="449" t="str">
        <f t="array" ref="R619">IFERROR(IFS(OR(P619="A1-Mewtwo", P619="A1-Pikachu", P619="A1-Charizard", P619="A1"), XLOOKUP(N619, 'Genetic Apex'!$C$2:$C889, 'Genetic Apex'!$B$2:$B889)-$B$4, P619="A1a", XLOOKUP(N619, 'Mythical Island'!$C$2:$C889, 'Mythical Island'!$B$2:$B889)-$B$4, OR(P619="A2-Dialga", P619="A2-Palkia", P619="A2"), XLOOKUP(N619, 'Space-Time Smackdown'!$C$2:$C889, 'Space-Time Smackdown'!$B$2:$B889)-$B$4))</f>
        <v/>
      </c>
      <c r="S619" s="277"/>
      <c r="T619" s="277"/>
      <c r="U619" s="277"/>
      <c r="V619" s="278"/>
      <c r="W619" s="443" t="str">
        <f t="array" ref="W619">IFERROR(IFS(OR(U619="A1-Mewtwo", U619="A1-Pikachu", U619="A1-Charizard", U619="A1"), $B$5-XLOOKUP(S619, 'Genetic Apex'!$C$2:$C889, 'Genetic Apex'!$B$2:$B889), U619="A1a", $B$5-XLOOKUP(S619, 'Mythical Island'!$C$2:$C889, 'Mythical Island'!$B$2:$B889), OR(U619="A2-Dialga", U619="A2-Palkia", U619="A2"), $B$5-XLOOKUP(S619, 'Space-Time Smackdown'!$C$2:$C889, 'Space-Time Smackdown'!$B$2:$B889)))</f>
        <v/>
      </c>
      <c r="X619" s="444" t="str">
        <f t="shared" si="3"/>
        <v/>
      </c>
      <c r="Y619" s="445" t="str">
        <f t="shared" si="4"/>
        <v/>
      </c>
      <c r="Z619" s="278"/>
      <c r="AA619" s="466"/>
      <c r="AB619" s="278"/>
      <c r="AC619" s="278"/>
      <c r="AD619" s="278"/>
      <c r="AE619" s="278"/>
      <c r="AF619" s="278"/>
      <c r="AG619" s="278" t="b">
        <f t="shared" si="5"/>
        <v>0</v>
      </c>
      <c r="AH619" s="454"/>
      <c r="AI619" s="278"/>
      <c r="AJ619" s="278"/>
      <c r="AK619" s="278"/>
      <c r="AL619" s="444" t="str">
        <f t="array" ref="AL619">IFERROR(IFS(OR(AJ619="A1-Mewtwo", AJ619="A1-Pikachu", AJ619="A1-Charizard", AJ619="A1"), XLOOKUP(AH619, 'Genetic Apex'!$C$2:$C889, 'Genetic Apex'!$B$2:$B889)-2, AJ619="A1a", XLOOKUP(AH619, 'Mythical Island'!$C$2:$C889, 'Mythical Island'!$B$2:$B889)-2, OR(AJ619="A2-Dialga", AJ619="A2-Palkia", AJ619="A2"), XLOOKUP(AH619, 'Space-Time Smackdown'!$C$2:$C889, 'Space-Time Smackdown'!$B$2:$B889)-2))</f>
        <v/>
      </c>
      <c r="AM619" s="444" t="str">
        <f t="shared" si="6"/>
        <v/>
      </c>
      <c r="AN619" s="448" t="str">
        <f t="shared" si="7"/>
        <v/>
      </c>
    </row>
    <row r="620">
      <c r="A620" s="277"/>
      <c r="B620" s="277"/>
      <c r="C620" s="441"/>
      <c r="D620" s="277"/>
      <c r="E620" s="277"/>
      <c r="F620" s="277"/>
      <c r="G620" s="277"/>
      <c r="H620" s="277" t="b">
        <f t="shared" si="1"/>
        <v>0</v>
      </c>
      <c r="I620" s="277"/>
      <c r="J620" s="277"/>
      <c r="K620" s="277"/>
      <c r="L620" s="277"/>
      <c r="M620" s="440" t="b">
        <f t="shared" si="2"/>
        <v>0</v>
      </c>
      <c r="N620" s="441"/>
      <c r="O620" s="277"/>
      <c r="P620" s="277"/>
      <c r="Q620" s="278"/>
      <c r="R620" s="449" t="str">
        <f t="array" ref="R620">IFERROR(IFS(OR(P620="A1-Mewtwo", P620="A1-Pikachu", P620="A1-Charizard", P620="A1"), XLOOKUP(N620, 'Genetic Apex'!$C$2:$C889, 'Genetic Apex'!$B$2:$B889)-$B$4, P620="A1a", XLOOKUP(N620, 'Mythical Island'!$C$2:$C889, 'Mythical Island'!$B$2:$B889)-$B$4, OR(P620="A2-Dialga", P620="A2-Palkia", P620="A2"), XLOOKUP(N620, 'Space-Time Smackdown'!$C$2:$C889, 'Space-Time Smackdown'!$B$2:$B889)-$B$4))</f>
        <v/>
      </c>
      <c r="S620" s="277"/>
      <c r="T620" s="277"/>
      <c r="U620" s="277"/>
      <c r="V620" s="278"/>
      <c r="W620" s="443" t="str">
        <f t="array" ref="W620">IFERROR(IFS(OR(U620="A1-Mewtwo", U620="A1-Pikachu", U620="A1-Charizard", U620="A1"), $B$5-XLOOKUP(S620, 'Genetic Apex'!$C$2:$C889, 'Genetic Apex'!$B$2:$B889), U620="A1a", $B$5-XLOOKUP(S620, 'Mythical Island'!$C$2:$C889, 'Mythical Island'!$B$2:$B889), OR(U620="A2-Dialga", U620="A2-Palkia", U620="A2"), $B$5-XLOOKUP(S620, 'Space-Time Smackdown'!$C$2:$C889, 'Space-Time Smackdown'!$B$2:$B889)))</f>
        <v/>
      </c>
      <c r="X620" s="444" t="str">
        <f t="shared" si="3"/>
        <v/>
      </c>
      <c r="Y620" s="445" t="str">
        <f t="shared" si="4"/>
        <v/>
      </c>
      <c r="Z620" s="278"/>
      <c r="AA620" s="466"/>
      <c r="AB620" s="278"/>
      <c r="AC620" s="278"/>
      <c r="AD620" s="278"/>
      <c r="AE620" s="278"/>
      <c r="AF620" s="278"/>
      <c r="AG620" s="278" t="b">
        <f t="shared" si="5"/>
        <v>0</v>
      </c>
      <c r="AH620" s="454"/>
      <c r="AI620" s="278"/>
      <c r="AJ620" s="278"/>
      <c r="AK620" s="278"/>
      <c r="AL620" s="444" t="str">
        <f t="array" ref="AL620">IFERROR(IFS(OR(AJ620="A1-Mewtwo", AJ620="A1-Pikachu", AJ620="A1-Charizard", AJ620="A1"), XLOOKUP(AH620, 'Genetic Apex'!$C$2:$C889, 'Genetic Apex'!$B$2:$B889)-2, AJ620="A1a", XLOOKUP(AH620, 'Mythical Island'!$C$2:$C889, 'Mythical Island'!$B$2:$B889)-2, OR(AJ620="A2-Dialga", AJ620="A2-Palkia", AJ620="A2"), XLOOKUP(AH620, 'Space-Time Smackdown'!$C$2:$C889, 'Space-Time Smackdown'!$B$2:$B889)-2))</f>
        <v/>
      </c>
      <c r="AM620" s="444" t="str">
        <f t="shared" si="6"/>
        <v/>
      </c>
      <c r="AN620" s="448" t="str">
        <f t="shared" si="7"/>
        <v/>
      </c>
    </row>
    <row r="621">
      <c r="A621" s="277"/>
      <c r="B621" s="277"/>
      <c r="C621" s="441"/>
      <c r="D621" s="277"/>
      <c r="E621" s="277"/>
      <c r="F621" s="277"/>
      <c r="G621" s="277"/>
      <c r="H621" s="277" t="b">
        <f t="shared" si="1"/>
        <v>0</v>
      </c>
      <c r="I621" s="277"/>
      <c r="J621" s="277"/>
      <c r="K621" s="277"/>
      <c r="L621" s="277"/>
      <c r="M621" s="440" t="b">
        <f t="shared" si="2"/>
        <v>0</v>
      </c>
      <c r="N621" s="441"/>
      <c r="O621" s="277"/>
      <c r="P621" s="277"/>
      <c r="Q621" s="278"/>
      <c r="R621" s="449" t="str">
        <f t="array" ref="R621">IFERROR(IFS(OR(P621="A1-Mewtwo", P621="A1-Pikachu", P621="A1-Charizard", P621="A1"), XLOOKUP(N621, 'Genetic Apex'!$C$2:$C889, 'Genetic Apex'!$B$2:$B889)-$B$4, P621="A1a", XLOOKUP(N621, 'Mythical Island'!$C$2:$C889, 'Mythical Island'!$B$2:$B889)-$B$4, OR(P621="A2-Dialga", P621="A2-Palkia", P621="A2"), XLOOKUP(N621, 'Space-Time Smackdown'!$C$2:$C889, 'Space-Time Smackdown'!$B$2:$B889)-$B$4))</f>
        <v/>
      </c>
      <c r="S621" s="277"/>
      <c r="T621" s="277"/>
      <c r="U621" s="277"/>
      <c r="V621" s="278"/>
      <c r="W621" s="443" t="str">
        <f t="array" ref="W621">IFERROR(IFS(OR(U621="A1-Mewtwo", U621="A1-Pikachu", U621="A1-Charizard", U621="A1"), $B$5-XLOOKUP(S621, 'Genetic Apex'!$C$2:$C889, 'Genetic Apex'!$B$2:$B889), U621="A1a", $B$5-XLOOKUP(S621, 'Mythical Island'!$C$2:$C889, 'Mythical Island'!$B$2:$B889), OR(U621="A2-Dialga", U621="A2-Palkia", U621="A2"), $B$5-XLOOKUP(S621, 'Space-Time Smackdown'!$C$2:$C889, 'Space-Time Smackdown'!$B$2:$B889)))</f>
        <v/>
      </c>
      <c r="X621" s="444" t="str">
        <f t="shared" si="3"/>
        <v/>
      </c>
      <c r="Y621" s="445" t="str">
        <f t="shared" si="4"/>
        <v/>
      </c>
      <c r="Z621" s="278"/>
      <c r="AA621" s="466"/>
      <c r="AB621" s="278"/>
      <c r="AC621" s="278"/>
      <c r="AD621" s="278"/>
      <c r="AE621" s="278"/>
      <c r="AF621" s="278"/>
      <c r="AG621" s="278" t="b">
        <f t="shared" si="5"/>
        <v>0</v>
      </c>
      <c r="AH621" s="454"/>
      <c r="AI621" s="278"/>
      <c r="AJ621" s="278"/>
      <c r="AK621" s="278"/>
      <c r="AL621" s="444" t="str">
        <f t="array" ref="AL621">IFERROR(IFS(OR(AJ621="A1-Mewtwo", AJ621="A1-Pikachu", AJ621="A1-Charizard", AJ621="A1"), XLOOKUP(AH621, 'Genetic Apex'!$C$2:$C889, 'Genetic Apex'!$B$2:$B889)-2, AJ621="A1a", XLOOKUP(AH621, 'Mythical Island'!$C$2:$C889, 'Mythical Island'!$B$2:$B889)-2, OR(AJ621="A2-Dialga", AJ621="A2-Palkia", AJ621="A2"), XLOOKUP(AH621, 'Space-Time Smackdown'!$C$2:$C889, 'Space-Time Smackdown'!$B$2:$B889)-2))</f>
        <v/>
      </c>
      <c r="AM621" s="444" t="str">
        <f t="shared" si="6"/>
        <v/>
      </c>
      <c r="AN621" s="448" t="str">
        <f t="shared" si="7"/>
        <v/>
      </c>
    </row>
    <row r="622">
      <c r="A622" s="277"/>
      <c r="B622" s="277"/>
      <c r="C622" s="441"/>
      <c r="D622" s="277"/>
      <c r="E622" s="277"/>
      <c r="F622" s="277"/>
      <c r="G622" s="277"/>
      <c r="H622" s="277" t="b">
        <f t="shared" si="1"/>
        <v>0</v>
      </c>
      <c r="I622" s="277"/>
      <c r="J622" s="277"/>
      <c r="K622" s="277"/>
      <c r="L622" s="277"/>
      <c r="M622" s="440" t="b">
        <f t="shared" si="2"/>
        <v>0</v>
      </c>
      <c r="N622" s="441"/>
      <c r="O622" s="277"/>
      <c r="P622" s="277"/>
      <c r="Q622" s="278"/>
      <c r="R622" s="449" t="str">
        <f t="array" ref="R622">IFERROR(IFS(OR(P622="A1-Mewtwo", P622="A1-Pikachu", P622="A1-Charizard", P622="A1"), XLOOKUP(N622, 'Genetic Apex'!$C$2:$C889, 'Genetic Apex'!$B$2:$B889)-$B$4, P622="A1a", XLOOKUP(N622, 'Mythical Island'!$C$2:$C889, 'Mythical Island'!$B$2:$B889)-$B$4, OR(P622="A2-Dialga", P622="A2-Palkia", P622="A2"), XLOOKUP(N622, 'Space-Time Smackdown'!$C$2:$C889, 'Space-Time Smackdown'!$B$2:$B889)-$B$4))</f>
        <v/>
      </c>
      <c r="S622" s="277"/>
      <c r="T622" s="277"/>
      <c r="U622" s="277"/>
      <c r="V622" s="278"/>
      <c r="W622" s="443" t="str">
        <f t="array" ref="W622">IFERROR(IFS(OR(U622="A1-Mewtwo", U622="A1-Pikachu", U622="A1-Charizard", U622="A1"), $B$5-XLOOKUP(S622, 'Genetic Apex'!$C$2:$C889, 'Genetic Apex'!$B$2:$B889), U622="A1a", $B$5-XLOOKUP(S622, 'Mythical Island'!$C$2:$C889, 'Mythical Island'!$B$2:$B889), OR(U622="A2-Dialga", U622="A2-Palkia", U622="A2"), $B$5-XLOOKUP(S622, 'Space-Time Smackdown'!$C$2:$C889, 'Space-Time Smackdown'!$B$2:$B889)))</f>
        <v/>
      </c>
      <c r="X622" s="444" t="str">
        <f t="shared" si="3"/>
        <v/>
      </c>
      <c r="Y622" s="445" t="str">
        <f t="shared" si="4"/>
        <v/>
      </c>
      <c r="Z622" s="278"/>
      <c r="AA622" s="466"/>
      <c r="AB622" s="278"/>
      <c r="AC622" s="278"/>
      <c r="AD622" s="278"/>
      <c r="AE622" s="278"/>
      <c r="AF622" s="278"/>
      <c r="AG622" s="278" t="b">
        <f t="shared" si="5"/>
        <v>0</v>
      </c>
      <c r="AH622" s="454"/>
      <c r="AI622" s="278"/>
      <c r="AJ622" s="278"/>
      <c r="AK622" s="278"/>
      <c r="AL622" s="444" t="str">
        <f t="array" ref="AL622">IFERROR(IFS(OR(AJ622="A1-Mewtwo", AJ622="A1-Pikachu", AJ622="A1-Charizard", AJ622="A1"), XLOOKUP(AH622, 'Genetic Apex'!$C$2:$C889, 'Genetic Apex'!$B$2:$B889)-2, AJ622="A1a", XLOOKUP(AH622, 'Mythical Island'!$C$2:$C889, 'Mythical Island'!$B$2:$B889)-2, OR(AJ622="A2-Dialga", AJ622="A2-Palkia", AJ622="A2"), XLOOKUP(AH622, 'Space-Time Smackdown'!$C$2:$C889, 'Space-Time Smackdown'!$B$2:$B889)-2))</f>
        <v/>
      </c>
      <c r="AM622" s="444" t="str">
        <f t="shared" si="6"/>
        <v/>
      </c>
      <c r="AN622" s="448" t="str">
        <f t="shared" si="7"/>
        <v/>
      </c>
    </row>
    <row r="623">
      <c r="A623" s="277"/>
      <c r="B623" s="277"/>
      <c r="C623" s="441"/>
      <c r="D623" s="277"/>
      <c r="E623" s="277"/>
      <c r="F623" s="277"/>
      <c r="G623" s="277"/>
      <c r="H623" s="277" t="b">
        <f t="shared" si="1"/>
        <v>0</v>
      </c>
      <c r="I623" s="277"/>
      <c r="J623" s="277"/>
      <c r="K623" s="277"/>
      <c r="L623" s="277"/>
      <c r="M623" s="440" t="b">
        <f t="shared" si="2"/>
        <v>0</v>
      </c>
      <c r="N623" s="441"/>
      <c r="O623" s="277"/>
      <c r="P623" s="277"/>
      <c r="Q623" s="278"/>
      <c r="R623" s="449" t="str">
        <f t="array" ref="R623">IFERROR(IFS(OR(P623="A1-Mewtwo", P623="A1-Pikachu", P623="A1-Charizard", P623="A1"), XLOOKUP(N623, 'Genetic Apex'!$C$2:$C889, 'Genetic Apex'!$B$2:$B889)-$B$4, P623="A1a", XLOOKUP(N623, 'Mythical Island'!$C$2:$C889, 'Mythical Island'!$B$2:$B889)-$B$4, OR(P623="A2-Dialga", P623="A2-Palkia", P623="A2"), XLOOKUP(N623, 'Space-Time Smackdown'!$C$2:$C889, 'Space-Time Smackdown'!$B$2:$B889)-$B$4))</f>
        <v/>
      </c>
      <c r="S623" s="277"/>
      <c r="T623" s="277"/>
      <c r="U623" s="277"/>
      <c r="V623" s="278"/>
      <c r="W623" s="443" t="str">
        <f t="array" ref="W623">IFERROR(IFS(OR(U623="A1-Mewtwo", U623="A1-Pikachu", U623="A1-Charizard", U623="A1"), $B$5-XLOOKUP(S623, 'Genetic Apex'!$C$2:$C889, 'Genetic Apex'!$B$2:$B889), U623="A1a", $B$5-XLOOKUP(S623, 'Mythical Island'!$C$2:$C889, 'Mythical Island'!$B$2:$B889), OR(U623="A2-Dialga", U623="A2-Palkia", U623="A2"), $B$5-XLOOKUP(S623, 'Space-Time Smackdown'!$C$2:$C889, 'Space-Time Smackdown'!$B$2:$B889)))</f>
        <v/>
      </c>
      <c r="X623" s="444" t="str">
        <f t="shared" si="3"/>
        <v/>
      </c>
      <c r="Y623" s="445" t="str">
        <f t="shared" si="4"/>
        <v/>
      </c>
      <c r="Z623" s="278"/>
      <c r="AA623" s="466"/>
      <c r="AB623" s="278"/>
      <c r="AC623" s="278"/>
      <c r="AD623" s="278"/>
      <c r="AE623" s="278"/>
      <c r="AF623" s="278"/>
      <c r="AG623" s="278" t="b">
        <f t="shared" si="5"/>
        <v>0</v>
      </c>
      <c r="AH623" s="454"/>
      <c r="AI623" s="278"/>
      <c r="AJ623" s="278"/>
      <c r="AK623" s="278"/>
      <c r="AL623" s="444" t="str">
        <f t="array" ref="AL623">IFERROR(IFS(OR(AJ623="A1-Mewtwo", AJ623="A1-Pikachu", AJ623="A1-Charizard", AJ623="A1"), XLOOKUP(AH623, 'Genetic Apex'!$C$2:$C889, 'Genetic Apex'!$B$2:$B889)-2, AJ623="A1a", XLOOKUP(AH623, 'Mythical Island'!$C$2:$C889, 'Mythical Island'!$B$2:$B889)-2, OR(AJ623="A2-Dialga", AJ623="A2-Palkia", AJ623="A2"), XLOOKUP(AH623, 'Space-Time Smackdown'!$C$2:$C889, 'Space-Time Smackdown'!$B$2:$B889)-2))</f>
        <v/>
      </c>
      <c r="AM623" s="444" t="str">
        <f t="shared" si="6"/>
        <v/>
      </c>
      <c r="AN623" s="448" t="str">
        <f t="shared" si="7"/>
        <v/>
      </c>
    </row>
    <row r="624">
      <c r="A624" s="277"/>
      <c r="B624" s="277"/>
      <c r="C624" s="441"/>
      <c r="D624" s="277"/>
      <c r="E624" s="277"/>
      <c r="F624" s="277"/>
      <c r="G624" s="277"/>
      <c r="H624" s="277" t="b">
        <f t="shared" si="1"/>
        <v>0</v>
      </c>
      <c r="I624" s="277"/>
      <c r="J624" s="277"/>
      <c r="K624" s="277"/>
      <c r="L624" s="277"/>
      <c r="M624" s="440" t="b">
        <f t="shared" si="2"/>
        <v>0</v>
      </c>
      <c r="N624" s="441"/>
      <c r="O624" s="277"/>
      <c r="P624" s="277"/>
      <c r="Q624" s="278"/>
      <c r="R624" s="449" t="str">
        <f t="array" ref="R624">IFERROR(IFS(OR(P624="A1-Mewtwo", P624="A1-Pikachu", P624="A1-Charizard", P624="A1"), XLOOKUP(N624, 'Genetic Apex'!$C$2:$C889, 'Genetic Apex'!$B$2:$B889)-$B$4, P624="A1a", XLOOKUP(N624, 'Mythical Island'!$C$2:$C889, 'Mythical Island'!$B$2:$B889)-$B$4, OR(P624="A2-Dialga", P624="A2-Palkia", P624="A2"), XLOOKUP(N624, 'Space-Time Smackdown'!$C$2:$C889, 'Space-Time Smackdown'!$B$2:$B889)-$B$4))</f>
        <v/>
      </c>
      <c r="S624" s="277"/>
      <c r="T624" s="277"/>
      <c r="U624" s="277"/>
      <c r="V624" s="278"/>
      <c r="W624" s="443" t="str">
        <f t="array" ref="W624">IFERROR(IFS(OR(U624="A1-Mewtwo", U624="A1-Pikachu", U624="A1-Charizard", U624="A1"), $B$5-XLOOKUP(S624, 'Genetic Apex'!$C$2:$C889, 'Genetic Apex'!$B$2:$B889), U624="A1a", $B$5-XLOOKUP(S624, 'Mythical Island'!$C$2:$C889, 'Mythical Island'!$B$2:$B889), OR(U624="A2-Dialga", U624="A2-Palkia", U624="A2"), $B$5-XLOOKUP(S624, 'Space-Time Smackdown'!$C$2:$C889, 'Space-Time Smackdown'!$B$2:$B889)))</f>
        <v/>
      </c>
      <c r="X624" s="444" t="str">
        <f t="shared" si="3"/>
        <v/>
      </c>
      <c r="Y624" s="445" t="str">
        <f t="shared" si="4"/>
        <v/>
      </c>
      <c r="Z624" s="278"/>
      <c r="AA624" s="466"/>
      <c r="AB624" s="278"/>
      <c r="AC624" s="278"/>
      <c r="AD624" s="278"/>
      <c r="AE624" s="278"/>
      <c r="AF624" s="278"/>
      <c r="AG624" s="278" t="b">
        <f t="shared" si="5"/>
        <v>0</v>
      </c>
      <c r="AH624" s="454"/>
      <c r="AI624" s="278"/>
      <c r="AJ624" s="278"/>
      <c r="AK624" s="278"/>
      <c r="AL624" s="444" t="str">
        <f t="array" ref="AL624">IFERROR(IFS(OR(AJ624="A1-Mewtwo", AJ624="A1-Pikachu", AJ624="A1-Charizard", AJ624="A1"), XLOOKUP(AH624, 'Genetic Apex'!$C$2:$C889, 'Genetic Apex'!$B$2:$B889)-2, AJ624="A1a", XLOOKUP(AH624, 'Mythical Island'!$C$2:$C889, 'Mythical Island'!$B$2:$B889)-2, OR(AJ624="A2-Dialga", AJ624="A2-Palkia", AJ624="A2"), XLOOKUP(AH624, 'Space-Time Smackdown'!$C$2:$C889, 'Space-Time Smackdown'!$B$2:$B889)-2))</f>
        <v/>
      </c>
      <c r="AM624" s="444" t="str">
        <f t="shared" si="6"/>
        <v/>
      </c>
      <c r="AN624" s="448" t="str">
        <f t="shared" si="7"/>
        <v/>
      </c>
    </row>
    <row r="625">
      <c r="A625" s="277"/>
      <c r="B625" s="277"/>
      <c r="C625" s="441"/>
      <c r="D625" s="277"/>
      <c r="E625" s="277"/>
      <c r="F625" s="277"/>
      <c r="G625" s="277"/>
      <c r="H625" s="277" t="b">
        <f t="shared" si="1"/>
        <v>0</v>
      </c>
      <c r="I625" s="277"/>
      <c r="J625" s="277"/>
      <c r="K625" s="277"/>
      <c r="L625" s="277"/>
      <c r="M625" s="440" t="b">
        <f t="shared" si="2"/>
        <v>0</v>
      </c>
      <c r="N625" s="441"/>
      <c r="O625" s="277"/>
      <c r="P625" s="277"/>
      <c r="Q625" s="278"/>
      <c r="R625" s="449" t="str">
        <f t="array" ref="R625">IFERROR(IFS(OR(P625="A1-Mewtwo", P625="A1-Pikachu", P625="A1-Charizard", P625="A1"), XLOOKUP(N625, 'Genetic Apex'!$C$2:$C889, 'Genetic Apex'!$B$2:$B889)-$B$4, P625="A1a", XLOOKUP(N625, 'Mythical Island'!$C$2:$C889, 'Mythical Island'!$B$2:$B889)-$B$4, OR(P625="A2-Dialga", P625="A2-Palkia", P625="A2"), XLOOKUP(N625, 'Space-Time Smackdown'!$C$2:$C889, 'Space-Time Smackdown'!$B$2:$B889)-$B$4))</f>
        <v/>
      </c>
      <c r="S625" s="277"/>
      <c r="T625" s="277"/>
      <c r="U625" s="277"/>
      <c r="V625" s="278"/>
      <c r="W625" s="443" t="str">
        <f t="array" ref="W625">IFERROR(IFS(OR(U625="A1-Mewtwo", U625="A1-Pikachu", U625="A1-Charizard", U625="A1"), $B$5-XLOOKUP(S625, 'Genetic Apex'!$C$2:$C889, 'Genetic Apex'!$B$2:$B889), U625="A1a", $B$5-XLOOKUP(S625, 'Mythical Island'!$C$2:$C889, 'Mythical Island'!$B$2:$B889), OR(U625="A2-Dialga", U625="A2-Palkia", U625="A2"), $B$5-XLOOKUP(S625, 'Space-Time Smackdown'!$C$2:$C889, 'Space-Time Smackdown'!$B$2:$B889)))</f>
        <v/>
      </c>
      <c r="X625" s="444" t="str">
        <f t="shared" si="3"/>
        <v/>
      </c>
      <c r="Y625" s="445" t="str">
        <f t="shared" si="4"/>
        <v/>
      </c>
      <c r="Z625" s="278"/>
      <c r="AA625" s="466"/>
      <c r="AB625" s="278"/>
      <c r="AC625" s="278"/>
      <c r="AD625" s="278"/>
      <c r="AE625" s="278"/>
      <c r="AF625" s="278"/>
      <c r="AG625" s="278" t="b">
        <f t="shared" si="5"/>
        <v>0</v>
      </c>
      <c r="AH625" s="454"/>
      <c r="AI625" s="278"/>
      <c r="AJ625" s="278"/>
      <c r="AK625" s="278"/>
      <c r="AL625" s="444" t="str">
        <f t="array" ref="AL625">IFERROR(IFS(OR(AJ625="A1-Mewtwo", AJ625="A1-Pikachu", AJ625="A1-Charizard", AJ625="A1"), XLOOKUP(AH625, 'Genetic Apex'!$C$2:$C889, 'Genetic Apex'!$B$2:$B889)-2, AJ625="A1a", XLOOKUP(AH625, 'Mythical Island'!$C$2:$C889, 'Mythical Island'!$B$2:$B889)-2, OR(AJ625="A2-Dialga", AJ625="A2-Palkia", AJ625="A2"), XLOOKUP(AH625, 'Space-Time Smackdown'!$C$2:$C889, 'Space-Time Smackdown'!$B$2:$B889)-2))</f>
        <v/>
      </c>
      <c r="AM625" s="444" t="str">
        <f t="shared" si="6"/>
        <v/>
      </c>
      <c r="AN625" s="448" t="str">
        <f t="shared" si="7"/>
        <v/>
      </c>
    </row>
    <row r="626">
      <c r="A626" s="277"/>
      <c r="B626" s="277"/>
      <c r="C626" s="441"/>
      <c r="D626" s="277"/>
      <c r="E626" s="277"/>
      <c r="F626" s="277"/>
      <c r="G626" s="277"/>
      <c r="H626" s="277" t="b">
        <f t="shared" si="1"/>
        <v>0</v>
      </c>
      <c r="I626" s="277"/>
      <c r="J626" s="277"/>
      <c r="K626" s="277"/>
      <c r="L626" s="277"/>
      <c r="M626" s="440" t="b">
        <f t="shared" si="2"/>
        <v>0</v>
      </c>
      <c r="N626" s="441"/>
      <c r="O626" s="277"/>
      <c r="P626" s="277"/>
      <c r="Q626" s="278"/>
      <c r="R626" s="449" t="str">
        <f t="array" ref="R626">IFERROR(IFS(OR(P626="A1-Mewtwo", P626="A1-Pikachu", P626="A1-Charizard", P626="A1"), XLOOKUP(N626, 'Genetic Apex'!$C$2:$C889, 'Genetic Apex'!$B$2:$B889)-$B$4, P626="A1a", XLOOKUP(N626, 'Mythical Island'!$C$2:$C889, 'Mythical Island'!$B$2:$B889)-$B$4, OR(P626="A2-Dialga", P626="A2-Palkia", P626="A2"), XLOOKUP(N626, 'Space-Time Smackdown'!$C$2:$C889, 'Space-Time Smackdown'!$B$2:$B889)-$B$4))</f>
        <v/>
      </c>
      <c r="S626" s="277"/>
      <c r="T626" s="277"/>
      <c r="U626" s="277"/>
      <c r="V626" s="278"/>
      <c r="W626" s="443" t="str">
        <f t="array" ref="W626">IFERROR(IFS(OR(U626="A1-Mewtwo", U626="A1-Pikachu", U626="A1-Charizard", U626="A1"), $B$5-XLOOKUP(S626, 'Genetic Apex'!$C$2:$C889, 'Genetic Apex'!$B$2:$B889), U626="A1a", $B$5-XLOOKUP(S626, 'Mythical Island'!$C$2:$C889, 'Mythical Island'!$B$2:$B889), OR(U626="A2-Dialga", U626="A2-Palkia", U626="A2"), $B$5-XLOOKUP(S626, 'Space-Time Smackdown'!$C$2:$C889, 'Space-Time Smackdown'!$B$2:$B889)))</f>
        <v/>
      </c>
      <c r="X626" s="444" t="str">
        <f t="shared" si="3"/>
        <v/>
      </c>
      <c r="Y626" s="445" t="str">
        <f t="shared" si="4"/>
        <v/>
      </c>
      <c r="Z626" s="278"/>
      <c r="AA626" s="466"/>
      <c r="AB626" s="278"/>
      <c r="AC626" s="278"/>
      <c r="AD626" s="278"/>
      <c r="AE626" s="278"/>
      <c r="AF626" s="278"/>
      <c r="AG626" s="278" t="b">
        <f t="shared" si="5"/>
        <v>0</v>
      </c>
      <c r="AH626" s="454"/>
      <c r="AI626" s="278"/>
      <c r="AJ626" s="278"/>
      <c r="AK626" s="278"/>
      <c r="AL626" s="444" t="str">
        <f t="array" ref="AL626">IFERROR(IFS(OR(AJ626="A1-Mewtwo", AJ626="A1-Pikachu", AJ626="A1-Charizard", AJ626="A1"), XLOOKUP(AH626, 'Genetic Apex'!$C$2:$C889, 'Genetic Apex'!$B$2:$B889)-2, AJ626="A1a", XLOOKUP(AH626, 'Mythical Island'!$C$2:$C889, 'Mythical Island'!$B$2:$B889)-2, OR(AJ626="A2-Dialga", AJ626="A2-Palkia", AJ626="A2"), XLOOKUP(AH626, 'Space-Time Smackdown'!$C$2:$C889, 'Space-Time Smackdown'!$B$2:$B889)-2))</f>
        <v/>
      </c>
      <c r="AM626" s="444" t="str">
        <f t="shared" si="6"/>
        <v/>
      </c>
      <c r="AN626" s="448" t="str">
        <f t="shared" si="7"/>
        <v/>
      </c>
    </row>
    <row r="627">
      <c r="A627" s="277"/>
      <c r="B627" s="277"/>
      <c r="C627" s="441"/>
      <c r="D627" s="277"/>
      <c r="E627" s="277"/>
      <c r="F627" s="277"/>
      <c r="G627" s="277"/>
      <c r="H627" s="277" t="b">
        <f t="shared" si="1"/>
        <v>0</v>
      </c>
      <c r="I627" s="277"/>
      <c r="J627" s="277"/>
      <c r="K627" s="277"/>
      <c r="L627" s="277"/>
      <c r="M627" s="440" t="b">
        <f t="shared" si="2"/>
        <v>0</v>
      </c>
      <c r="N627" s="441"/>
      <c r="O627" s="277"/>
      <c r="P627" s="277"/>
      <c r="Q627" s="278"/>
      <c r="R627" s="449" t="str">
        <f t="array" ref="R627">IFERROR(IFS(OR(P627="A1-Mewtwo", P627="A1-Pikachu", P627="A1-Charizard", P627="A1"), XLOOKUP(N627, 'Genetic Apex'!$C$2:$C889, 'Genetic Apex'!$B$2:$B889)-$B$4, P627="A1a", XLOOKUP(N627, 'Mythical Island'!$C$2:$C889, 'Mythical Island'!$B$2:$B889)-$B$4, OR(P627="A2-Dialga", P627="A2-Palkia", P627="A2"), XLOOKUP(N627, 'Space-Time Smackdown'!$C$2:$C889, 'Space-Time Smackdown'!$B$2:$B889)-$B$4))</f>
        <v/>
      </c>
      <c r="S627" s="277"/>
      <c r="T627" s="277"/>
      <c r="U627" s="277"/>
      <c r="V627" s="278"/>
      <c r="W627" s="443" t="str">
        <f t="array" ref="W627">IFERROR(IFS(OR(U627="A1-Mewtwo", U627="A1-Pikachu", U627="A1-Charizard", U627="A1"), $B$5-XLOOKUP(S627, 'Genetic Apex'!$C$2:$C889, 'Genetic Apex'!$B$2:$B889), U627="A1a", $B$5-XLOOKUP(S627, 'Mythical Island'!$C$2:$C889, 'Mythical Island'!$B$2:$B889), OR(U627="A2-Dialga", U627="A2-Palkia", U627="A2"), $B$5-XLOOKUP(S627, 'Space-Time Smackdown'!$C$2:$C889, 'Space-Time Smackdown'!$B$2:$B889)))</f>
        <v/>
      </c>
      <c r="X627" s="444" t="str">
        <f t="shared" si="3"/>
        <v/>
      </c>
      <c r="Y627" s="445" t="str">
        <f t="shared" si="4"/>
        <v/>
      </c>
      <c r="Z627" s="278"/>
      <c r="AA627" s="466"/>
      <c r="AB627" s="278"/>
      <c r="AC627" s="278"/>
      <c r="AD627" s="278"/>
      <c r="AE627" s="278"/>
      <c r="AF627" s="278"/>
      <c r="AG627" s="278" t="b">
        <f t="shared" si="5"/>
        <v>0</v>
      </c>
      <c r="AH627" s="454"/>
      <c r="AI627" s="278"/>
      <c r="AJ627" s="278"/>
      <c r="AK627" s="278"/>
      <c r="AL627" s="444" t="str">
        <f t="array" ref="AL627">IFERROR(IFS(OR(AJ627="A1-Mewtwo", AJ627="A1-Pikachu", AJ627="A1-Charizard", AJ627="A1"), XLOOKUP(AH627, 'Genetic Apex'!$C$2:$C889, 'Genetic Apex'!$B$2:$B889)-2, AJ627="A1a", XLOOKUP(AH627, 'Mythical Island'!$C$2:$C889, 'Mythical Island'!$B$2:$B889)-2, OR(AJ627="A2-Dialga", AJ627="A2-Palkia", AJ627="A2"), XLOOKUP(AH627, 'Space-Time Smackdown'!$C$2:$C889, 'Space-Time Smackdown'!$B$2:$B889)-2))</f>
        <v/>
      </c>
      <c r="AM627" s="444" t="str">
        <f t="shared" si="6"/>
        <v/>
      </c>
      <c r="AN627" s="448" t="str">
        <f t="shared" si="7"/>
        <v/>
      </c>
    </row>
    <row r="628">
      <c r="A628" s="277"/>
      <c r="B628" s="277"/>
      <c r="C628" s="441"/>
      <c r="D628" s="277"/>
      <c r="E628" s="277"/>
      <c r="F628" s="277"/>
      <c r="G628" s="277"/>
      <c r="H628" s="277" t="b">
        <f t="shared" si="1"/>
        <v>0</v>
      </c>
      <c r="I628" s="277"/>
      <c r="J628" s="277"/>
      <c r="K628" s="277"/>
      <c r="L628" s="277"/>
      <c r="M628" s="440" t="b">
        <f t="shared" si="2"/>
        <v>0</v>
      </c>
      <c r="N628" s="441"/>
      <c r="O628" s="277"/>
      <c r="P628" s="277"/>
      <c r="Q628" s="278"/>
      <c r="R628" s="449" t="str">
        <f t="array" ref="R628">IFERROR(IFS(OR(P628="A1-Mewtwo", P628="A1-Pikachu", P628="A1-Charizard", P628="A1"), XLOOKUP(N628, 'Genetic Apex'!$C$2:$C889, 'Genetic Apex'!$B$2:$B889)-$B$4, P628="A1a", XLOOKUP(N628, 'Mythical Island'!$C$2:$C889, 'Mythical Island'!$B$2:$B889)-$B$4, OR(P628="A2-Dialga", P628="A2-Palkia", P628="A2"), XLOOKUP(N628, 'Space-Time Smackdown'!$C$2:$C889, 'Space-Time Smackdown'!$B$2:$B889)-$B$4))</f>
        <v/>
      </c>
      <c r="S628" s="277"/>
      <c r="T628" s="277"/>
      <c r="U628" s="277"/>
      <c r="V628" s="278"/>
      <c r="W628" s="443" t="str">
        <f t="array" ref="W628">IFERROR(IFS(OR(U628="A1-Mewtwo", U628="A1-Pikachu", U628="A1-Charizard", U628="A1"), $B$5-XLOOKUP(S628, 'Genetic Apex'!$C$2:$C889, 'Genetic Apex'!$B$2:$B889), U628="A1a", $B$5-XLOOKUP(S628, 'Mythical Island'!$C$2:$C889, 'Mythical Island'!$B$2:$B889), OR(U628="A2-Dialga", U628="A2-Palkia", U628="A2"), $B$5-XLOOKUP(S628, 'Space-Time Smackdown'!$C$2:$C889, 'Space-Time Smackdown'!$B$2:$B889)))</f>
        <v/>
      </c>
      <c r="X628" s="444" t="str">
        <f t="shared" si="3"/>
        <v/>
      </c>
      <c r="Y628" s="445" t="str">
        <f t="shared" si="4"/>
        <v/>
      </c>
      <c r="Z628" s="278"/>
      <c r="AA628" s="466"/>
      <c r="AB628" s="278"/>
      <c r="AC628" s="278"/>
      <c r="AD628" s="278"/>
      <c r="AE628" s="278"/>
      <c r="AF628" s="278"/>
      <c r="AG628" s="278" t="b">
        <f t="shared" si="5"/>
        <v>0</v>
      </c>
      <c r="AH628" s="454"/>
      <c r="AI628" s="278"/>
      <c r="AJ628" s="278"/>
      <c r="AK628" s="278"/>
      <c r="AL628" s="444" t="str">
        <f t="array" ref="AL628">IFERROR(IFS(OR(AJ628="A1-Mewtwo", AJ628="A1-Pikachu", AJ628="A1-Charizard", AJ628="A1"), XLOOKUP(AH628, 'Genetic Apex'!$C$2:$C889, 'Genetic Apex'!$B$2:$B889)-2, AJ628="A1a", XLOOKUP(AH628, 'Mythical Island'!$C$2:$C889, 'Mythical Island'!$B$2:$B889)-2, OR(AJ628="A2-Dialga", AJ628="A2-Palkia", AJ628="A2"), XLOOKUP(AH628, 'Space-Time Smackdown'!$C$2:$C889, 'Space-Time Smackdown'!$B$2:$B889)-2))</f>
        <v/>
      </c>
      <c r="AM628" s="444" t="str">
        <f t="shared" si="6"/>
        <v/>
      </c>
      <c r="AN628" s="448" t="str">
        <f t="shared" si="7"/>
        <v/>
      </c>
    </row>
    <row r="629">
      <c r="A629" s="277"/>
      <c r="B629" s="277"/>
      <c r="C629" s="441"/>
      <c r="D629" s="277"/>
      <c r="E629" s="277"/>
      <c r="F629" s="277"/>
      <c r="G629" s="277"/>
      <c r="H629" s="277" t="b">
        <f t="shared" si="1"/>
        <v>0</v>
      </c>
      <c r="I629" s="277"/>
      <c r="J629" s="277"/>
      <c r="K629" s="277"/>
      <c r="L629" s="277"/>
      <c r="M629" s="440" t="b">
        <f t="shared" si="2"/>
        <v>0</v>
      </c>
      <c r="N629" s="441"/>
      <c r="O629" s="277"/>
      <c r="P629" s="277"/>
      <c r="Q629" s="278"/>
      <c r="R629" s="449" t="str">
        <f t="array" ref="R629">IFERROR(IFS(OR(P629="A1-Mewtwo", P629="A1-Pikachu", P629="A1-Charizard", P629="A1"), XLOOKUP(N629, 'Genetic Apex'!$C$2:$C889, 'Genetic Apex'!$B$2:$B889)-$B$4, P629="A1a", XLOOKUP(N629, 'Mythical Island'!$C$2:$C889, 'Mythical Island'!$B$2:$B889)-$B$4, OR(P629="A2-Dialga", P629="A2-Palkia", P629="A2"), XLOOKUP(N629, 'Space-Time Smackdown'!$C$2:$C889, 'Space-Time Smackdown'!$B$2:$B889)-$B$4))</f>
        <v/>
      </c>
      <c r="S629" s="277"/>
      <c r="T629" s="277"/>
      <c r="U629" s="277"/>
      <c r="V629" s="278"/>
      <c r="W629" s="443" t="str">
        <f t="array" ref="W629">IFERROR(IFS(OR(U629="A1-Mewtwo", U629="A1-Pikachu", U629="A1-Charizard", U629="A1"), $B$5-XLOOKUP(S629, 'Genetic Apex'!$C$2:$C889, 'Genetic Apex'!$B$2:$B889), U629="A1a", $B$5-XLOOKUP(S629, 'Mythical Island'!$C$2:$C889, 'Mythical Island'!$B$2:$B889), OR(U629="A2-Dialga", U629="A2-Palkia", U629="A2"), $B$5-XLOOKUP(S629, 'Space-Time Smackdown'!$C$2:$C889, 'Space-Time Smackdown'!$B$2:$B889)))</f>
        <v/>
      </c>
      <c r="X629" s="444" t="str">
        <f t="shared" si="3"/>
        <v/>
      </c>
      <c r="Y629" s="445" t="str">
        <f t="shared" si="4"/>
        <v/>
      </c>
      <c r="Z629" s="278"/>
      <c r="AA629" s="466"/>
      <c r="AB629" s="278"/>
      <c r="AC629" s="278"/>
      <c r="AD629" s="278"/>
      <c r="AE629" s="278"/>
      <c r="AF629" s="278"/>
      <c r="AG629" s="278" t="b">
        <f t="shared" si="5"/>
        <v>0</v>
      </c>
      <c r="AH629" s="454"/>
      <c r="AI629" s="278"/>
      <c r="AJ629" s="278"/>
      <c r="AK629" s="278"/>
      <c r="AL629" s="444" t="str">
        <f t="array" ref="AL629">IFERROR(IFS(OR(AJ629="A1-Mewtwo", AJ629="A1-Pikachu", AJ629="A1-Charizard", AJ629="A1"), XLOOKUP(AH629, 'Genetic Apex'!$C$2:$C889, 'Genetic Apex'!$B$2:$B889)-2, AJ629="A1a", XLOOKUP(AH629, 'Mythical Island'!$C$2:$C889, 'Mythical Island'!$B$2:$B889)-2, OR(AJ629="A2-Dialga", AJ629="A2-Palkia", AJ629="A2"), XLOOKUP(AH629, 'Space-Time Smackdown'!$C$2:$C889, 'Space-Time Smackdown'!$B$2:$B889)-2))</f>
        <v/>
      </c>
      <c r="AM629" s="444" t="str">
        <f t="shared" si="6"/>
        <v/>
      </c>
      <c r="AN629" s="448" t="str">
        <f t="shared" si="7"/>
        <v/>
      </c>
    </row>
    <row r="630">
      <c r="A630" s="277"/>
      <c r="B630" s="277"/>
      <c r="C630" s="441"/>
      <c r="D630" s="277"/>
      <c r="E630" s="277"/>
      <c r="F630" s="277"/>
      <c r="G630" s="277"/>
      <c r="H630" s="277" t="b">
        <f t="shared" si="1"/>
        <v>0</v>
      </c>
      <c r="I630" s="277"/>
      <c r="J630" s="277"/>
      <c r="K630" s="277"/>
      <c r="L630" s="277"/>
      <c r="M630" s="440" t="b">
        <f t="shared" si="2"/>
        <v>0</v>
      </c>
      <c r="N630" s="441"/>
      <c r="O630" s="277"/>
      <c r="P630" s="277"/>
      <c r="Q630" s="278"/>
      <c r="R630" s="449" t="str">
        <f t="array" ref="R630">IFERROR(IFS(OR(P630="A1-Mewtwo", P630="A1-Pikachu", P630="A1-Charizard", P630="A1"), XLOOKUP(N630, 'Genetic Apex'!$C$2:$C889, 'Genetic Apex'!$B$2:$B889)-$B$4, P630="A1a", XLOOKUP(N630, 'Mythical Island'!$C$2:$C889, 'Mythical Island'!$B$2:$B889)-$B$4, OR(P630="A2-Dialga", P630="A2-Palkia", P630="A2"), XLOOKUP(N630, 'Space-Time Smackdown'!$C$2:$C889, 'Space-Time Smackdown'!$B$2:$B889)-$B$4))</f>
        <v/>
      </c>
      <c r="S630" s="277"/>
      <c r="T630" s="277"/>
      <c r="U630" s="277"/>
      <c r="V630" s="278"/>
      <c r="W630" s="443" t="str">
        <f t="array" ref="W630">IFERROR(IFS(OR(U630="A1-Mewtwo", U630="A1-Pikachu", U630="A1-Charizard", U630="A1"), $B$5-XLOOKUP(S630, 'Genetic Apex'!$C$2:$C889, 'Genetic Apex'!$B$2:$B889), U630="A1a", $B$5-XLOOKUP(S630, 'Mythical Island'!$C$2:$C889, 'Mythical Island'!$B$2:$B889), OR(U630="A2-Dialga", U630="A2-Palkia", U630="A2"), $B$5-XLOOKUP(S630, 'Space-Time Smackdown'!$C$2:$C889, 'Space-Time Smackdown'!$B$2:$B889)))</f>
        <v/>
      </c>
      <c r="X630" s="444" t="str">
        <f t="shared" si="3"/>
        <v/>
      </c>
      <c r="Y630" s="445" t="str">
        <f t="shared" si="4"/>
        <v/>
      </c>
      <c r="Z630" s="278"/>
      <c r="AA630" s="466"/>
      <c r="AB630" s="278"/>
      <c r="AC630" s="278"/>
      <c r="AD630" s="278"/>
      <c r="AE630" s="278"/>
      <c r="AF630" s="278"/>
      <c r="AG630" s="278" t="b">
        <f t="shared" si="5"/>
        <v>0</v>
      </c>
      <c r="AH630" s="454"/>
      <c r="AI630" s="278"/>
      <c r="AJ630" s="278"/>
      <c r="AK630" s="278"/>
      <c r="AL630" s="444" t="str">
        <f t="array" ref="AL630">IFERROR(IFS(OR(AJ630="A1-Mewtwo", AJ630="A1-Pikachu", AJ630="A1-Charizard", AJ630="A1"), XLOOKUP(AH630, 'Genetic Apex'!$C$2:$C889, 'Genetic Apex'!$B$2:$B889)-2, AJ630="A1a", XLOOKUP(AH630, 'Mythical Island'!$C$2:$C889, 'Mythical Island'!$B$2:$B889)-2, OR(AJ630="A2-Dialga", AJ630="A2-Palkia", AJ630="A2"), XLOOKUP(AH630, 'Space-Time Smackdown'!$C$2:$C889, 'Space-Time Smackdown'!$B$2:$B889)-2))</f>
        <v/>
      </c>
      <c r="AM630" s="444" t="str">
        <f t="shared" si="6"/>
        <v/>
      </c>
      <c r="AN630" s="448" t="str">
        <f t="shared" si="7"/>
        <v/>
      </c>
    </row>
    <row r="631">
      <c r="A631" s="277"/>
      <c r="B631" s="277"/>
      <c r="C631" s="441"/>
      <c r="D631" s="277"/>
      <c r="E631" s="277"/>
      <c r="F631" s="277"/>
      <c r="G631" s="277"/>
      <c r="H631" s="277" t="b">
        <f t="shared" si="1"/>
        <v>0</v>
      </c>
      <c r="I631" s="277"/>
      <c r="J631" s="277"/>
      <c r="K631" s="277"/>
      <c r="L631" s="277"/>
      <c r="M631" s="440" t="b">
        <f t="shared" si="2"/>
        <v>0</v>
      </c>
      <c r="N631" s="441"/>
      <c r="O631" s="277"/>
      <c r="P631" s="277"/>
      <c r="Q631" s="278"/>
      <c r="R631" s="449" t="str">
        <f t="array" ref="R631">IFERROR(IFS(OR(P631="A1-Mewtwo", P631="A1-Pikachu", P631="A1-Charizard", P631="A1"), XLOOKUP(N631, 'Genetic Apex'!$C$2:$C889, 'Genetic Apex'!$B$2:$B889)-$B$4, P631="A1a", XLOOKUP(N631, 'Mythical Island'!$C$2:$C889, 'Mythical Island'!$B$2:$B889)-$B$4, OR(P631="A2-Dialga", P631="A2-Palkia", P631="A2"), XLOOKUP(N631, 'Space-Time Smackdown'!$C$2:$C889, 'Space-Time Smackdown'!$B$2:$B889)-$B$4))</f>
        <v/>
      </c>
      <c r="S631" s="277"/>
      <c r="T631" s="277"/>
      <c r="U631" s="277"/>
      <c r="V631" s="278"/>
      <c r="W631" s="443" t="str">
        <f t="array" ref="W631">IFERROR(IFS(OR(U631="A1-Mewtwo", U631="A1-Pikachu", U631="A1-Charizard", U631="A1"), $B$5-XLOOKUP(S631, 'Genetic Apex'!$C$2:$C889, 'Genetic Apex'!$B$2:$B889), U631="A1a", $B$5-XLOOKUP(S631, 'Mythical Island'!$C$2:$C889, 'Mythical Island'!$B$2:$B889), OR(U631="A2-Dialga", U631="A2-Palkia", U631="A2"), $B$5-XLOOKUP(S631, 'Space-Time Smackdown'!$C$2:$C889, 'Space-Time Smackdown'!$B$2:$B889)))</f>
        <v/>
      </c>
      <c r="X631" s="444" t="str">
        <f t="shared" si="3"/>
        <v/>
      </c>
      <c r="Y631" s="445" t="str">
        <f t="shared" si="4"/>
        <v/>
      </c>
      <c r="Z631" s="278"/>
      <c r="AA631" s="466"/>
      <c r="AB631" s="278"/>
      <c r="AC631" s="278"/>
      <c r="AD631" s="278"/>
      <c r="AE631" s="278"/>
      <c r="AF631" s="278"/>
      <c r="AG631" s="278" t="b">
        <f t="shared" si="5"/>
        <v>0</v>
      </c>
      <c r="AH631" s="454"/>
      <c r="AI631" s="278"/>
      <c r="AJ631" s="278"/>
      <c r="AK631" s="278"/>
      <c r="AL631" s="444" t="str">
        <f t="array" ref="AL631">IFERROR(IFS(OR(AJ631="A1-Mewtwo", AJ631="A1-Pikachu", AJ631="A1-Charizard", AJ631="A1"), XLOOKUP(AH631, 'Genetic Apex'!$C$2:$C889, 'Genetic Apex'!$B$2:$B889)-2, AJ631="A1a", XLOOKUP(AH631, 'Mythical Island'!$C$2:$C889, 'Mythical Island'!$B$2:$B889)-2, OR(AJ631="A2-Dialga", AJ631="A2-Palkia", AJ631="A2"), XLOOKUP(AH631, 'Space-Time Smackdown'!$C$2:$C889, 'Space-Time Smackdown'!$B$2:$B889)-2))</f>
        <v/>
      </c>
      <c r="AM631" s="444" t="str">
        <f t="shared" si="6"/>
        <v/>
      </c>
      <c r="AN631" s="448" t="str">
        <f t="shared" si="7"/>
        <v/>
      </c>
    </row>
    <row r="632">
      <c r="A632" s="277"/>
      <c r="B632" s="277"/>
      <c r="C632" s="441"/>
      <c r="D632" s="277"/>
      <c r="E632" s="277"/>
      <c r="F632" s="277"/>
      <c r="G632" s="277"/>
      <c r="H632" s="277" t="b">
        <f t="shared" si="1"/>
        <v>0</v>
      </c>
      <c r="I632" s="277"/>
      <c r="J632" s="277"/>
      <c r="K632" s="277"/>
      <c r="L632" s="277"/>
      <c r="M632" s="440" t="b">
        <f t="shared" si="2"/>
        <v>0</v>
      </c>
      <c r="N632" s="441"/>
      <c r="O632" s="277"/>
      <c r="P632" s="277"/>
      <c r="Q632" s="278"/>
      <c r="R632" s="449" t="str">
        <f t="array" ref="R632">IFERROR(IFS(OR(P632="A1-Mewtwo", P632="A1-Pikachu", P632="A1-Charizard", P632="A1"), XLOOKUP(N632, 'Genetic Apex'!$C$2:$C889, 'Genetic Apex'!$B$2:$B889)-$B$4, P632="A1a", XLOOKUP(N632, 'Mythical Island'!$C$2:$C889, 'Mythical Island'!$B$2:$B889)-$B$4, OR(P632="A2-Dialga", P632="A2-Palkia", P632="A2"), XLOOKUP(N632, 'Space-Time Smackdown'!$C$2:$C889, 'Space-Time Smackdown'!$B$2:$B889)-$B$4))</f>
        <v/>
      </c>
      <c r="S632" s="277"/>
      <c r="T632" s="277"/>
      <c r="U632" s="277"/>
      <c r="V632" s="278"/>
      <c r="W632" s="443" t="str">
        <f t="array" ref="W632">IFERROR(IFS(OR(U632="A1-Mewtwo", U632="A1-Pikachu", U632="A1-Charizard", U632="A1"), $B$5-XLOOKUP(S632, 'Genetic Apex'!$C$2:$C889, 'Genetic Apex'!$B$2:$B889), U632="A1a", $B$5-XLOOKUP(S632, 'Mythical Island'!$C$2:$C889, 'Mythical Island'!$B$2:$B889), OR(U632="A2-Dialga", U632="A2-Palkia", U632="A2"), $B$5-XLOOKUP(S632, 'Space-Time Smackdown'!$C$2:$C889, 'Space-Time Smackdown'!$B$2:$B889)))</f>
        <v/>
      </c>
      <c r="X632" s="444" t="str">
        <f t="shared" si="3"/>
        <v/>
      </c>
      <c r="Y632" s="445" t="str">
        <f t="shared" si="4"/>
        <v/>
      </c>
      <c r="Z632" s="278"/>
      <c r="AA632" s="466"/>
      <c r="AB632" s="278"/>
      <c r="AC632" s="278"/>
      <c r="AD632" s="278"/>
      <c r="AE632" s="278"/>
      <c r="AF632" s="278"/>
      <c r="AG632" s="278" t="b">
        <f t="shared" si="5"/>
        <v>0</v>
      </c>
      <c r="AH632" s="454"/>
      <c r="AI632" s="278"/>
      <c r="AJ632" s="278"/>
      <c r="AK632" s="278"/>
      <c r="AL632" s="444" t="str">
        <f t="array" ref="AL632">IFERROR(IFS(OR(AJ632="A1-Mewtwo", AJ632="A1-Pikachu", AJ632="A1-Charizard", AJ632="A1"), XLOOKUP(AH632, 'Genetic Apex'!$C$2:$C889, 'Genetic Apex'!$B$2:$B889)-2, AJ632="A1a", XLOOKUP(AH632, 'Mythical Island'!$C$2:$C889, 'Mythical Island'!$B$2:$B889)-2, OR(AJ632="A2-Dialga", AJ632="A2-Palkia", AJ632="A2"), XLOOKUP(AH632, 'Space-Time Smackdown'!$C$2:$C889, 'Space-Time Smackdown'!$B$2:$B889)-2))</f>
        <v/>
      </c>
      <c r="AM632" s="444" t="str">
        <f t="shared" si="6"/>
        <v/>
      </c>
      <c r="AN632" s="448" t="str">
        <f t="shared" si="7"/>
        <v/>
      </c>
    </row>
    <row r="633">
      <c r="A633" s="277"/>
      <c r="B633" s="277"/>
      <c r="C633" s="441"/>
      <c r="D633" s="277"/>
      <c r="E633" s="277"/>
      <c r="F633" s="277"/>
      <c r="G633" s="277"/>
      <c r="H633" s="277" t="b">
        <f t="shared" si="1"/>
        <v>0</v>
      </c>
      <c r="I633" s="277"/>
      <c r="J633" s="277"/>
      <c r="K633" s="277"/>
      <c r="L633" s="277"/>
      <c r="M633" s="440" t="b">
        <f t="shared" si="2"/>
        <v>0</v>
      </c>
      <c r="N633" s="441"/>
      <c r="O633" s="277"/>
      <c r="P633" s="277"/>
      <c r="Q633" s="278"/>
      <c r="R633" s="449" t="str">
        <f t="array" ref="R633">IFERROR(IFS(OR(P633="A1-Mewtwo", P633="A1-Pikachu", P633="A1-Charizard", P633="A1"), XLOOKUP(N633, 'Genetic Apex'!$C$2:$C889, 'Genetic Apex'!$B$2:$B889)-$B$4, P633="A1a", XLOOKUP(N633, 'Mythical Island'!$C$2:$C889, 'Mythical Island'!$B$2:$B889)-$B$4, OR(P633="A2-Dialga", P633="A2-Palkia", P633="A2"), XLOOKUP(N633, 'Space-Time Smackdown'!$C$2:$C889, 'Space-Time Smackdown'!$B$2:$B889)-$B$4))</f>
        <v/>
      </c>
      <c r="S633" s="277"/>
      <c r="T633" s="277"/>
      <c r="U633" s="277"/>
      <c r="V633" s="278"/>
      <c r="W633" s="443" t="str">
        <f t="array" ref="W633">IFERROR(IFS(OR(U633="A1-Mewtwo", U633="A1-Pikachu", U633="A1-Charizard", U633="A1"), $B$5-XLOOKUP(S633, 'Genetic Apex'!$C$2:$C889, 'Genetic Apex'!$B$2:$B889), U633="A1a", $B$5-XLOOKUP(S633, 'Mythical Island'!$C$2:$C889, 'Mythical Island'!$B$2:$B889), OR(U633="A2-Dialga", U633="A2-Palkia", U633="A2"), $B$5-XLOOKUP(S633, 'Space-Time Smackdown'!$C$2:$C889, 'Space-Time Smackdown'!$B$2:$B889)))</f>
        <v/>
      </c>
      <c r="X633" s="444" t="str">
        <f t="shared" si="3"/>
        <v/>
      </c>
      <c r="Y633" s="445" t="str">
        <f t="shared" si="4"/>
        <v/>
      </c>
      <c r="Z633" s="278"/>
      <c r="AA633" s="466"/>
      <c r="AB633" s="278"/>
      <c r="AC633" s="278"/>
      <c r="AD633" s="278"/>
      <c r="AE633" s="278"/>
      <c r="AF633" s="278"/>
      <c r="AG633" s="278" t="b">
        <f t="shared" si="5"/>
        <v>0</v>
      </c>
      <c r="AH633" s="454"/>
      <c r="AI633" s="278"/>
      <c r="AJ633" s="278"/>
      <c r="AK633" s="278"/>
      <c r="AL633" s="444" t="str">
        <f t="array" ref="AL633">IFERROR(IFS(OR(AJ633="A1-Mewtwo", AJ633="A1-Pikachu", AJ633="A1-Charizard", AJ633="A1"), XLOOKUP(AH633, 'Genetic Apex'!$C$2:$C889, 'Genetic Apex'!$B$2:$B889)-2, AJ633="A1a", XLOOKUP(AH633, 'Mythical Island'!$C$2:$C889, 'Mythical Island'!$B$2:$B889)-2, OR(AJ633="A2-Dialga", AJ633="A2-Palkia", AJ633="A2"), XLOOKUP(AH633, 'Space-Time Smackdown'!$C$2:$C889, 'Space-Time Smackdown'!$B$2:$B889)-2))</f>
        <v/>
      </c>
      <c r="AM633" s="444" t="str">
        <f t="shared" si="6"/>
        <v/>
      </c>
      <c r="AN633" s="448" t="str">
        <f t="shared" si="7"/>
        <v/>
      </c>
    </row>
    <row r="634">
      <c r="A634" s="277"/>
      <c r="B634" s="277"/>
      <c r="C634" s="441"/>
      <c r="D634" s="277"/>
      <c r="E634" s="277"/>
      <c r="F634" s="277"/>
      <c r="G634" s="277"/>
      <c r="H634" s="277" t="b">
        <f t="shared" si="1"/>
        <v>0</v>
      </c>
      <c r="I634" s="277"/>
      <c r="J634" s="277"/>
      <c r="K634" s="277"/>
      <c r="L634" s="277"/>
      <c r="M634" s="440" t="b">
        <f t="shared" si="2"/>
        <v>0</v>
      </c>
      <c r="N634" s="441"/>
      <c r="O634" s="277"/>
      <c r="P634" s="277"/>
      <c r="Q634" s="278"/>
      <c r="R634" s="449" t="str">
        <f t="array" ref="R634">IFERROR(IFS(OR(P634="A1-Mewtwo", P634="A1-Pikachu", P634="A1-Charizard", P634="A1"), XLOOKUP(N634, 'Genetic Apex'!$C$2:$C889, 'Genetic Apex'!$B$2:$B889)-$B$4, P634="A1a", XLOOKUP(N634, 'Mythical Island'!$C$2:$C889, 'Mythical Island'!$B$2:$B889)-$B$4, OR(P634="A2-Dialga", P634="A2-Palkia", P634="A2"), XLOOKUP(N634, 'Space-Time Smackdown'!$C$2:$C889, 'Space-Time Smackdown'!$B$2:$B889)-$B$4))</f>
        <v/>
      </c>
      <c r="S634" s="277"/>
      <c r="T634" s="277"/>
      <c r="U634" s="277"/>
      <c r="V634" s="278"/>
      <c r="W634" s="443" t="str">
        <f t="array" ref="W634">IFERROR(IFS(OR(U634="A1-Mewtwo", U634="A1-Pikachu", U634="A1-Charizard", U634="A1"), $B$5-XLOOKUP(S634, 'Genetic Apex'!$C$2:$C889, 'Genetic Apex'!$B$2:$B889), U634="A1a", $B$5-XLOOKUP(S634, 'Mythical Island'!$C$2:$C889, 'Mythical Island'!$B$2:$B889), OR(U634="A2-Dialga", U634="A2-Palkia", U634="A2"), $B$5-XLOOKUP(S634, 'Space-Time Smackdown'!$C$2:$C889, 'Space-Time Smackdown'!$B$2:$B889)))</f>
        <v/>
      </c>
      <c r="X634" s="444" t="str">
        <f t="shared" si="3"/>
        <v/>
      </c>
      <c r="Y634" s="445" t="str">
        <f t="shared" si="4"/>
        <v/>
      </c>
      <c r="Z634" s="278"/>
      <c r="AA634" s="466"/>
      <c r="AB634" s="278"/>
      <c r="AC634" s="278"/>
      <c r="AD634" s="278"/>
      <c r="AE634" s="278"/>
      <c r="AF634" s="278"/>
      <c r="AG634" s="278" t="b">
        <f t="shared" si="5"/>
        <v>0</v>
      </c>
      <c r="AH634" s="454"/>
      <c r="AI634" s="278"/>
      <c r="AJ634" s="278"/>
      <c r="AK634" s="278"/>
      <c r="AL634" s="444" t="str">
        <f t="array" ref="AL634">IFERROR(IFS(OR(AJ634="A1-Mewtwo", AJ634="A1-Pikachu", AJ634="A1-Charizard", AJ634="A1"), XLOOKUP(AH634, 'Genetic Apex'!$C$2:$C889, 'Genetic Apex'!$B$2:$B889)-2, AJ634="A1a", XLOOKUP(AH634, 'Mythical Island'!$C$2:$C889, 'Mythical Island'!$B$2:$B889)-2, OR(AJ634="A2-Dialga", AJ634="A2-Palkia", AJ634="A2"), XLOOKUP(AH634, 'Space-Time Smackdown'!$C$2:$C889, 'Space-Time Smackdown'!$B$2:$B889)-2))</f>
        <v/>
      </c>
      <c r="AM634" s="444" t="str">
        <f t="shared" si="6"/>
        <v/>
      </c>
      <c r="AN634" s="448" t="str">
        <f t="shared" si="7"/>
        <v/>
      </c>
    </row>
    <row r="635">
      <c r="A635" s="277"/>
      <c r="B635" s="277"/>
      <c r="C635" s="441"/>
      <c r="D635" s="277"/>
      <c r="E635" s="277"/>
      <c r="F635" s="277"/>
      <c r="G635" s="277"/>
      <c r="H635" s="277" t="b">
        <f t="shared" si="1"/>
        <v>0</v>
      </c>
      <c r="I635" s="277"/>
      <c r="J635" s="277"/>
      <c r="K635" s="277"/>
      <c r="L635" s="277"/>
      <c r="M635" s="440" t="b">
        <f t="shared" si="2"/>
        <v>0</v>
      </c>
      <c r="N635" s="441"/>
      <c r="O635" s="277"/>
      <c r="P635" s="277"/>
      <c r="Q635" s="278"/>
      <c r="R635" s="449" t="str">
        <f t="array" ref="R635">IFERROR(IFS(OR(P635="A1-Mewtwo", P635="A1-Pikachu", P635="A1-Charizard", P635="A1"), XLOOKUP(N635, 'Genetic Apex'!$C$2:$C889, 'Genetic Apex'!$B$2:$B889)-$B$4, P635="A1a", XLOOKUP(N635, 'Mythical Island'!$C$2:$C889, 'Mythical Island'!$B$2:$B889)-$B$4, OR(P635="A2-Dialga", P635="A2-Palkia", P635="A2"), XLOOKUP(N635, 'Space-Time Smackdown'!$C$2:$C889, 'Space-Time Smackdown'!$B$2:$B889)-$B$4))</f>
        <v/>
      </c>
      <c r="S635" s="277"/>
      <c r="T635" s="277"/>
      <c r="U635" s="277"/>
      <c r="V635" s="278"/>
      <c r="W635" s="443" t="str">
        <f t="array" ref="W635">IFERROR(IFS(OR(U635="A1-Mewtwo", U635="A1-Pikachu", U635="A1-Charizard", U635="A1"), $B$5-XLOOKUP(S635, 'Genetic Apex'!$C$2:$C889, 'Genetic Apex'!$B$2:$B889), U635="A1a", $B$5-XLOOKUP(S635, 'Mythical Island'!$C$2:$C889, 'Mythical Island'!$B$2:$B889), OR(U635="A2-Dialga", U635="A2-Palkia", U635="A2"), $B$5-XLOOKUP(S635, 'Space-Time Smackdown'!$C$2:$C889, 'Space-Time Smackdown'!$B$2:$B889)))</f>
        <v/>
      </c>
      <c r="X635" s="444" t="str">
        <f t="shared" si="3"/>
        <v/>
      </c>
      <c r="Y635" s="445" t="str">
        <f t="shared" si="4"/>
        <v/>
      </c>
      <c r="Z635" s="278"/>
      <c r="AA635" s="466"/>
      <c r="AB635" s="278"/>
      <c r="AC635" s="278"/>
      <c r="AD635" s="278"/>
      <c r="AE635" s="278"/>
      <c r="AF635" s="278"/>
      <c r="AG635" s="278" t="b">
        <f t="shared" si="5"/>
        <v>0</v>
      </c>
      <c r="AH635" s="454"/>
      <c r="AI635" s="278"/>
      <c r="AJ635" s="278"/>
      <c r="AK635" s="278"/>
      <c r="AL635" s="444" t="str">
        <f t="array" ref="AL635">IFERROR(IFS(OR(AJ635="A1-Mewtwo", AJ635="A1-Pikachu", AJ635="A1-Charizard", AJ635="A1"), XLOOKUP(AH635, 'Genetic Apex'!$C$2:$C889, 'Genetic Apex'!$B$2:$B889)-2, AJ635="A1a", XLOOKUP(AH635, 'Mythical Island'!$C$2:$C889, 'Mythical Island'!$B$2:$B889)-2, OR(AJ635="A2-Dialga", AJ635="A2-Palkia", AJ635="A2"), XLOOKUP(AH635, 'Space-Time Smackdown'!$C$2:$C889, 'Space-Time Smackdown'!$B$2:$B889)-2))</f>
        <v/>
      </c>
      <c r="AM635" s="444" t="str">
        <f t="shared" si="6"/>
        <v/>
      </c>
      <c r="AN635" s="448" t="str">
        <f t="shared" si="7"/>
        <v/>
      </c>
    </row>
    <row r="636">
      <c r="A636" s="277"/>
      <c r="B636" s="277"/>
      <c r="C636" s="441"/>
      <c r="D636" s="277"/>
      <c r="E636" s="277"/>
      <c r="F636" s="277"/>
      <c r="G636" s="277"/>
      <c r="H636" s="277" t="b">
        <f t="shared" si="1"/>
        <v>0</v>
      </c>
      <c r="I636" s="277"/>
      <c r="J636" s="277"/>
      <c r="K636" s="277"/>
      <c r="L636" s="277"/>
      <c r="M636" s="440" t="b">
        <f t="shared" si="2"/>
        <v>0</v>
      </c>
      <c r="N636" s="441"/>
      <c r="O636" s="277"/>
      <c r="P636" s="277"/>
      <c r="Q636" s="278"/>
      <c r="R636" s="449" t="str">
        <f t="array" ref="R636">IFERROR(IFS(OR(P636="A1-Mewtwo", P636="A1-Pikachu", P636="A1-Charizard", P636="A1"), XLOOKUP(N636, 'Genetic Apex'!$C$2:$C889, 'Genetic Apex'!$B$2:$B889)-$B$4, P636="A1a", XLOOKUP(N636, 'Mythical Island'!$C$2:$C889, 'Mythical Island'!$B$2:$B889)-$B$4, OR(P636="A2-Dialga", P636="A2-Palkia", P636="A2"), XLOOKUP(N636, 'Space-Time Smackdown'!$C$2:$C889, 'Space-Time Smackdown'!$B$2:$B889)-$B$4))</f>
        <v/>
      </c>
      <c r="S636" s="277"/>
      <c r="T636" s="277"/>
      <c r="U636" s="277"/>
      <c r="V636" s="278"/>
      <c r="W636" s="443" t="str">
        <f t="array" ref="W636">IFERROR(IFS(OR(U636="A1-Mewtwo", U636="A1-Pikachu", U636="A1-Charizard", U636="A1"), $B$5-XLOOKUP(S636, 'Genetic Apex'!$C$2:$C889, 'Genetic Apex'!$B$2:$B889), U636="A1a", $B$5-XLOOKUP(S636, 'Mythical Island'!$C$2:$C889, 'Mythical Island'!$B$2:$B889), OR(U636="A2-Dialga", U636="A2-Palkia", U636="A2"), $B$5-XLOOKUP(S636, 'Space-Time Smackdown'!$C$2:$C889, 'Space-Time Smackdown'!$B$2:$B889)))</f>
        <v/>
      </c>
      <c r="X636" s="444" t="str">
        <f t="shared" si="3"/>
        <v/>
      </c>
      <c r="Y636" s="445" t="str">
        <f t="shared" si="4"/>
        <v/>
      </c>
      <c r="Z636" s="278"/>
      <c r="AA636" s="466"/>
      <c r="AB636" s="278"/>
      <c r="AC636" s="278"/>
      <c r="AD636" s="278"/>
      <c r="AE636" s="278"/>
      <c r="AF636" s="278"/>
      <c r="AG636" s="278" t="b">
        <f t="shared" si="5"/>
        <v>0</v>
      </c>
      <c r="AH636" s="454"/>
      <c r="AI636" s="278"/>
      <c r="AJ636" s="278"/>
      <c r="AK636" s="278"/>
      <c r="AL636" s="444" t="str">
        <f t="array" ref="AL636">IFERROR(IFS(OR(AJ636="A1-Mewtwo", AJ636="A1-Pikachu", AJ636="A1-Charizard", AJ636="A1"), XLOOKUP(AH636, 'Genetic Apex'!$C$2:$C889, 'Genetic Apex'!$B$2:$B889)-2, AJ636="A1a", XLOOKUP(AH636, 'Mythical Island'!$C$2:$C889, 'Mythical Island'!$B$2:$B889)-2, OR(AJ636="A2-Dialga", AJ636="A2-Palkia", AJ636="A2"), XLOOKUP(AH636, 'Space-Time Smackdown'!$C$2:$C889, 'Space-Time Smackdown'!$B$2:$B889)-2))</f>
        <v/>
      </c>
      <c r="AM636" s="444" t="str">
        <f t="shared" si="6"/>
        <v/>
      </c>
      <c r="AN636" s="448" t="str">
        <f t="shared" si="7"/>
        <v/>
      </c>
    </row>
    <row r="637">
      <c r="A637" s="277"/>
      <c r="B637" s="277"/>
      <c r="C637" s="441"/>
      <c r="D637" s="277"/>
      <c r="E637" s="277"/>
      <c r="F637" s="277"/>
      <c r="G637" s="277"/>
      <c r="H637" s="277" t="b">
        <f t="shared" si="1"/>
        <v>0</v>
      </c>
      <c r="I637" s="277"/>
      <c r="J637" s="277"/>
      <c r="K637" s="277"/>
      <c r="L637" s="277"/>
      <c r="M637" s="440" t="b">
        <f t="shared" si="2"/>
        <v>0</v>
      </c>
      <c r="N637" s="441"/>
      <c r="O637" s="277"/>
      <c r="P637" s="277"/>
      <c r="Q637" s="278"/>
      <c r="R637" s="449" t="str">
        <f t="array" ref="R637">IFERROR(IFS(OR(P637="A1-Mewtwo", P637="A1-Pikachu", P637="A1-Charizard", P637="A1"), XLOOKUP(N637, 'Genetic Apex'!$C$2:$C889, 'Genetic Apex'!$B$2:$B889)-$B$4, P637="A1a", XLOOKUP(N637, 'Mythical Island'!$C$2:$C889, 'Mythical Island'!$B$2:$B889)-$B$4, OR(P637="A2-Dialga", P637="A2-Palkia", P637="A2"), XLOOKUP(N637, 'Space-Time Smackdown'!$C$2:$C889, 'Space-Time Smackdown'!$B$2:$B889)-$B$4))</f>
        <v/>
      </c>
      <c r="S637" s="277"/>
      <c r="T637" s="277"/>
      <c r="U637" s="277"/>
      <c r="V637" s="278"/>
      <c r="W637" s="443" t="str">
        <f t="array" ref="W637">IFERROR(IFS(OR(U637="A1-Mewtwo", U637="A1-Pikachu", U637="A1-Charizard", U637="A1"), $B$5-XLOOKUP(S637, 'Genetic Apex'!$C$2:$C889, 'Genetic Apex'!$B$2:$B889), U637="A1a", $B$5-XLOOKUP(S637, 'Mythical Island'!$C$2:$C889, 'Mythical Island'!$B$2:$B889), OR(U637="A2-Dialga", U637="A2-Palkia", U637="A2"), $B$5-XLOOKUP(S637, 'Space-Time Smackdown'!$C$2:$C889, 'Space-Time Smackdown'!$B$2:$B889)))</f>
        <v/>
      </c>
      <c r="X637" s="444" t="str">
        <f t="shared" si="3"/>
        <v/>
      </c>
      <c r="Y637" s="445" t="str">
        <f t="shared" si="4"/>
        <v/>
      </c>
      <c r="Z637" s="278"/>
      <c r="AA637" s="466"/>
      <c r="AB637" s="278"/>
      <c r="AC637" s="278"/>
      <c r="AD637" s="278"/>
      <c r="AE637" s="278"/>
      <c r="AF637" s="278"/>
      <c r="AG637" s="278" t="b">
        <f t="shared" si="5"/>
        <v>0</v>
      </c>
      <c r="AH637" s="454"/>
      <c r="AI637" s="278"/>
      <c r="AJ637" s="278"/>
      <c r="AK637" s="278"/>
      <c r="AL637" s="444" t="str">
        <f t="array" ref="AL637">IFERROR(IFS(OR(AJ637="A1-Mewtwo", AJ637="A1-Pikachu", AJ637="A1-Charizard", AJ637="A1"), XLOOKUP(AH637, 'Genetic Apex'!$C$2:$C889, 'Genetic Apex'!$B$2:$B889)-2, AJ637="A1a", XLOOKUP(AH637, 'Mythical Island'!$C$2:$C889, 'Mythical Island'!$B$2:$B889)-2, OR(AJ637="A2-Dialga", AJ637="A2-Palkia", AJ637="A2"), XLOOKUP(AH637, 'Space-Time Smackdown'!$C$2:$C889, 'Space-Time Smackdown'!$B$2:$B889)-2))</f>
        <v/>
      </c>
      <c r="AM637" s="444" t="str">
        <f t="shared" si="6"/>
        <v/>
      </c>
      <c r="AN637" s="448" t="str">
        <f t="shared" si="7"/>
        <v/>
      </c>
    </row>
    <row r="638">
      <c r="A638" s="277"/>
      <c r="B638" s="277"/>
      <c r="C638" s="441"/>
      <c r="D638" s="277"/>
      <c r="E638" s="277"/>
      <c r="F638" s="277"/>
      <c r="G638" s="277"/>
      <c r="H638" s="277" t="b">
        <f t="shared" si="1"/>
        <v>0</v>
      </c>
      <c r="I638" s="277"/>
      <c r="J638" s="277"/>
      <c r="K638" s="277"/>
      <c r="L638" s="277"/>
      <c r="M638" s="440" t="b">
        <f t="shared" si="2"/>
        <v>0</v>
      </c>
      <c r="N638" s="441"/>
      <c r="O638" s="277"/>
      <c r="P638" s="277"/>
      <c r="Q638" s="278"/>
      <c r="R638" s="449" t="str">
        <f t="array" ref="R638">IFERROR(IFS(OR(P638="A1-Mewtwo", P638="A1-Pikachu", P638="A1-Charizard", P638="A1"), XLOOKUP(N638, 'Genetic Apex'!$C$2:$C889, 'Genetic Apex'!$B$2:$B889)-$B$4, P638="A1a", XLOOKUP(N638, 'Mythical Island'!$C$2:$C889, 'Mythical Island'!$B$2:$B889)-$B$4, OR(P638="A2-Dialga", P638="A2-Palkia", P638="A2"), XLOOKUP(N638, 'Space-Time Smackdown'!$C$2:$C889, 'Space-Time Smackdown'!$B$2:$B889)-$B$4))</f>
        <v/>
      </c>
      <c r="S638" s="277"/>
      <c r="T638" s="277"/>
      <c r="U638" s="277"/>
      <c r="V638" s="278"/>
      <c r="W638" s="443" t="str">
        <f t="array" ref="W638">IFERROR(IFS(OR(U638="A1-Mewtwo", U638="A1-Pikachu", U638="A1-Charizard", U638="A1"), $B$5-XLOOKUP(S638, 'Genetic Apex'!$C$2:$C889, 'Genetic Apex'!$B$2:$B889), U638="A1a", $B$5-XLOOKUP(S638, 'Mythical Island'!$C$2:$C889, 'Mythical Island'!$B$2:$B889), OR(U638="A2-Dialga", U638="A2-Palkia", U638="A2"), $B$5-XLOOKUP(S638, 'Space-Time Smackdown'!$C$2:$C889, 'Space-Time Smackdown'!$B$2:$B889)))</f>
        <v/>
      </c>
      <c r="X638" s="444" t="str">
        <f t="shared" si="3"/>
        <v/>
      </c>
      <c r="Y638" s="445" t="str">
        <f t="shared" si="4"/>
        <v/>
      </c>
      <c r="Z638" s="278"/>
      <c r="AA638" s="466"/>
      <c r="AB638" s="278"/>
      <c r="AC638" s="278"/>
      <c r="AD638" s="278"/>
      <c r="AE638" s="278"/>
      <c r="AF638" s="278"/>
      <c r="AG638" s="278" t="b">
        <f t="shared" si="5"/>
        <v>0</v>
      </c>
      <c r="AH638" s="454"/>
      <c r="AI638" s="278"/>
      <c r="AJ638" s="278"/>
      <c r="AK638" s="278"/>
      <c r="AL638" s="444" t="str">
        <f t="array" ref="AL638">IFERROR(IFS(OR(AJ638="A1-Mewtwo", AJ638="A1-Pikachu", AJ638="A1-Charizard", AJ638="A1"), XLOOKUP(AH638, 'Genetic Apex'!$C$2:$C889, 'Genetic Apex'!$B$2:$B889)-2, AJ638="A1a", XLOOKUP(AH638, 'Mythical Island'!$C$2:$C889, 'Mythical Island'!$B$2:$B889)-2, OR(AJ638="A2-Dialga", AJ638="A2-Palkia", AJ638="A2"), XLOOKUP(AH638, 'Space-Time Smackdown'!$C$2:$C889, 'Space-Time Smackdown'!$B$2:$B889)-2))</f>
        <v/>
      </c>
      <c r="AM638" s="444" t="str">
        <f t="shared" si="6"/>
        <v/>
      </c>
      <c r="AN638" s="448" t="str">
        <f t="shared" si="7"/>
        <v/>
      </c>
    </row>
    <row r="639">
      <c r="A639" s="277"/>
      <c r="B639" s="277"/>
      <c r="C639" s="441"/>
      <c r="D639" s="277"/>
      <c r="E639" s="277"/>
      <c r="F639" s="277"/>
      <c r="G639" s="277"/>
      <c r="H639" s="277" t="b">
        <f t="shared" si="1"/>
        <v>0</v>
      </c>
      <c r="I639" s="277"/>
      <c r="J639" s="277"/>
      <c r="K639" s="277"/>
      <c r="L639" s="277"/>
      <c r="M639" s="440" t="b">
        <f t="shared" si="2"/>
        <v>0</v>
      </c>
      <c r="N639" s="441"/>
      <c r="O639" s="277"/>
      <c r="P639" s="277"/>
      <c r="Q639" s="278"/>
      <c r="R639" s="449" t="str">
        <f t="array" ref="R639">IFERROR(IFS(OR(P639="A1-Mewtwo", P639="A1-Pikachu", P639="A1-Charizard", P639="A1"), XLOOKUP(N639, 'Genetic Apex'!$C$2:$C889, 'Genetic Apex'!$B$2:$B889)-$B$4, P639="A1a", XLOOKUP(N639, 'Mythical Island'!$C$2:$C889, 'Mythical Island'!$B$2:$B889)-$B$4, OR(P639="A2-Dialga", P639="A2-Palkia", P639="A2"), XLOOKUP(N639, 'Space-Time Smackdown'!$C$2:$C889, 'Space-Time Smackdown'!$B$2:$B889)-$B$4))</f>
        <v/>
      </c>
      <c r="S639" s="277"/>
      <c r="T639" s="277"/>
      <c r="U639" s="277"/>
      <c r="V639" s="278"/>
      <c r="W639" s="443" t="str">
        <f t="array" ref="W639">IFERROR(IFS(OR(U639="A1-Mewtwo", U639="A1-Pikachu", U639="A1-Charizard", U639="A1"), $B$5-XLOOKUP(S639, 'Genetic Apex'!$C$2:$C889, 'Genetic Apex'!$B$2:$B889), U639="A1a", $B$5-XLOOKUP(S639, 'Mythical Island'!$C$2:$C889, 'Mythical Island'!$B$2:$B889), OR(U639="A2-Dialga", U639="A2-Palkia", U639="A2"), $B$5-XLOOKUP(S639, 'Space-Time Smackdown'!$C$2:$C889, 'Space-Time Smackdown'!$B$2:$B889)))</f>
        <v/>
      </c>
      <c r="X639" s="444" t="str">
        <f t="shared" si="3"/>
        <v/>
      </c>
      <c r="Y639" s="445" t="str">
        <f t="shared" si="4"/>
        <v/>
      </c>
      <c r="Z639" s="278"/>
      <c r="AA639" s="466"/>
      <c r="AB639" s="278"/>
      <c r="AC639" s="278"/>
      <c r="AD639" s="278"/>
      <c r="AE639" s="278"/>
      <c r="AF639" s="278"/>
      <c r="AG639" s="278" t="b">
        <f t="shared" si="5"/>
        <v>0</v>
      </c>
      <c r="AH639" s="454"/>
      <c r="AI639" s="278"/>
      <c r="AJ639" s="278"/>
      <c r="AK639" s="278"/>
      <c r="AL639" s="444" t="str">
        <f t="array" ref="AL639">IFERROR(IFS(OR(AJ639="A1-Mewtwo", AJ639="A1-Pikachu", AJ639="A1-Charizard", AJ639="A1"), XLOOKUP(AH639, 'Genetic Apex'!$C$2:$C889, 'Genetic Apex'!$B$2:$B889)-2, AJ639="A1a", XLOOKUP(AH639, 'Mythical Island'!$C$2:$C889, 'Mythical Island'!$B$2:$B889)-2, OR(AJ639="A2-Dialga", AJ639="A2-Palkia", AJ639="A2"), XLOOKUP(AH639, 'Space-Time Smackdown'!$C$2:$C889, 'Space-Time Smackdown'!$B$2:$B889)-2))</f>
        <v/>
      </c>
      <c r="AM639" s="444" t="str">
        <f t="shared" si="6"/>
        <v/>
      </c>
      <c r="AN639" s="448" t="str">
        <f t="shared" si="7"/>
        <v/>
      </c>
    </row>
    <row r="640">
      <c r="A640" s="277"/>
      <c r="B640" s="277"/>
      <c r="C640" s="441"/>
      <c r="D640" s="277"/>
      <c r="E640" s="277"/>
      <c r="F640" s="277"/>
      <c r="G640" s="277"/>
      <c r="H640" s="277" t="b">
        <f t="shared" si="1"/>
        <v>0</v>
      </c>
      <c r="I640" s="277"/>
      <c r="J640" s="277"/>
      <c r="K640" s="277"/>
      <c r="L640" s="277"/>
      <c r="M640" s="440" t="b">
        <f t="shared" si="2"/>
        <v>0</v>
      </c>
      <c r="N640" s="441"/>
      <c r="O640" s="277"/>
      <c r="P640" s="277"/>
      <c r="Q640" s="278"/>
      <c r="R640" s="449" t="str">
        <f t="array" ref="R640">IFERROR(IFS(OR(P640="A1-Mewtwo", P640="A1-Pikachu", P640="A1-Charizard", P640="A1"), XLOOKUP(N640, 'Genetic Apex'!$C$2:$C889, 'Genetic Apex'!$B$2:$B889)-$B$4, P640="A1a", XLOOKUP(N640, 'Mythical Island'!$C$2:$C889, 'Mythical Island'!$B$2:$B889)-$B$4, OR(P640="A2-Dialga", P640="A2-Palkia", P640="A2"), XLOOKUP(N640, 'Space-Time Smackdown'!$C$2:$C889, 'Space-Time Smackdown'!$B$2:$B889)-$B$4))</f>
        <v/>
      </c>
      <c r="S640" s="277"/>
      <c r="T640" s="277"/>
      <c r="U640" s="277"/>
      <c r="V640" s="278"/>
      <c r="W640" s="443" t="str">
        <f t="array" ref="W640">IFERROR(IFS(OR(U640="A1-Mewtwo", U640="A1-Pikachu", U640="A1-Charizard", U640="A1"), $B$5-XLOOKUP(S640, 'Genetic Apex'!$C$2:$C889, 'Genetic Apex'!$B$2:$B889), U640="A1a", $B$5-XLOOKUP(S640, 'Mythical Island'!$C$2:$C889, 'Mythical Island'!$B$2:$B889), OR(U640="A2-Dialga", U640="A2-Palkia", U640="A2"), $B$5-XLOOKUP(S640, 'Space-Time Smackdown'!$C$2:$C889, 'Space-Time Smackdown'!$B$2:$B889)))</f>
        <v/>
      </c>
      <c r="X640" s="444" t="str">
        <f t="shared" si="3"/>
        <v/>
      </c>
      <c r="Y640" s="445" t="str">
        <f t="shared" si="4"/>
        <v/>
      </c>
      <c r="Z640" s="278"/>
      <c r="AA640" s="466"/>
      <c r="AB640" s="278"/>
      <c r="AC640" s="278"/>
      <c r="AD640" s="278"/>
      <c r="AE640" s="278"/>
      <c r="AF640" s="278"/>
      <c r="AG640" s="278" t="b">
        <f t="shared" si="5"/>
        <v>0</v>
      </c>
      <c r="AH640" s="454"/>
      <c r="AI640" s="278"/>
      <c r="AJ640" s="278"/>
      <c r="AK640" s="278"/>
      <c r="AL640" s="444" t="str">
        <f t="array" ref="AL640">IFERROR(IFS(OR(AJ640="A1-Mewtwo", AJ640="A1-Pikachu", AJ640="A1-Charizard", AJ640="A1"), XLOOKUP(AH640, 'Genetic Apex'!$C$2:$C889, 'Genetic Apex'!$B$2:$B889)-2, AJ640="A1a", XLOOKUP(AH640, 'Mythical Island'!$C$2:$C889, 'Mythical Island'!$B$2:$B889)-2, OR(AJ640="A2-Dialga", AJ640="A2-Palkia", AJ640="A2"), XLOOKUP(AH640, 'Space-Time Smackdown'!$C$2:$C889, 'Space-Time Smackdown'!$B$2:$B889)-2))</f>
        <v/>
      </c>
      <c r="AM640" s="444" t="str">
        <f t="shared" si="6"/>
        <v/>
      </c>
      <c r="AN640" s="448" t="str">
        <f t="shared" si="7"/>
        <v/>
      </c>
    </row>
    <row r="641">
      <c r="A641" s="277"/>
      <c r="B641" s="277"/>
      <c r="C641" s="441"/>
      <c r="D641" s="277"/>
      <c r="E641" s="277"/>
      <c r="F641" s="277"/>
      <c r="G641" s="277"/>
      <c r="H641" s="277" t="b">
        <f t="shared" si="1"/>
        <v>0</v>
      </c>
      <c r="I641" s="277"/>
      <c r="J641" s="277"/>
      <c r="K641" s="277"/>
      <c r="L641" s="277"/>
      <c r="M641" s="440" t="b">
        <f t="shared" si="2"/>
        <v>0</v>
      </c>
      <c r="N641" s="441"/>
      <c r="O641" s="277"/>
      <c r="P641" s="277"/>
      <c r="Q641" s="278"/>
      <c r="R641" s="449" t="str">
        <f t="array" ref="R641">IFERROR(IFS(OR(P641="A1-Mewtwo", P641="A1-Pikachu", P641="A1-Charizard", P641="A1"), XLOOKUP(N641, 'Genetic Apex'!$C$2:$C889, 'Genetic Apex'!$B$2:$B889)-$B$4, P641="A1a", XLOOKUP(N641, 'Mythical Island'!$C$2:$C889, 'Mythical Island'!$B$2:$B889)-$B$4, OR(P641="A2-Dialga", P641="A2-Palkia", P641="A2"), XLOOKUP(N641, 'Space-Time Smackdown'!$C$2:$C889, 'Space-Time Smackdown'!$B$2:$B889)-$B$4))</f>
        <v/>
      </c>
      <c r="S641" s="277"/>
      <c r="T641" s="277"/>
      <c r="U641" s="277"/>
      <c r="V641" s="278"/>
      <c r="W641" s="443" t="str">
        <f t="array" ref="W641">IFERROR(IFS(OR(U641="A1-Mewtwo", U641="A1-Pikachu", U641="A1-Charizard", U641="A1"), $B$5-XLOOKUP(S641, 'Genetic Apex'!$C$2:$C889, 'Genetic Apex'!$B$2:$B889), U641="A1a", $B$5-XLOOKUP(S641, 'Mythical Island'!$C$2:$C889, 'Mythical Island'!$B$2:$B889), OR(U641="A2-Dialga", U641="A2-Palkia", U641="A2"), $B$5-XLOOKUP(S641, 'Space-Time Smackdown'!$C$2:$C889, 'Space-Time Smackdown'!$B$2:$B889)))</f>
        <v/>
      </c>
      <c r="X641" s="444" t="str">
        <f t="shared" si="3"/>
        <v/>
      </c>
      <c r="Y641" s="445" t="str">
        <f t="shared" si="4"/>
        <v/>
      </c>
      <c r="Z641" s="278"/>
      <c r="AA641" s="466"/>
      <c r="AB641" s="278"/>
      <c r="AC641" s="278"/>
      <c r="AD641" s="278"/>
      <c r="AE641" s="278"/>
      <c r="AF641" s="278"/>
      <c r="AG641" s="278" t="b">
        <f t="shared" si="5"/>
        <v>0</v>
      </c>
      <c r="AH641" s="454"/>
      <c r="AI641" s="278"/>
      <c r="AJ641" s="278"/>
      <c r="AK641" s="278"/>
      <c r="AL641" s="444" t="str">
        <f t="array" ref="AL641">IFERROR(IFS(OR(AJ641="A1-Mewtwo", AJ641="A1-Pikachu", AJ641="A1-Charizard", AJ641="A1"), XLOOKUP(AH641, 'Genetic Apex'!$C$2:$C889, 'Genetic Apex'!$B$2:$B889)-2, AJ641="A1a", XLOOKUP(AH641, 'Mythical Island'!$C$2:$C889, 'Mythical Island'!$B$2:$B889)-2, OR(AJ641="A2-Dialga", AJ641="A2-Palkia", AJ641="A2"), XLOOKUP(AH641, 'Space-Time Smackdown'!$C$2:$C889, 'Space-Time Smackdown'!$B$2:$B889)-2))</f>
        <v/>
      </c>
      <c r="AM641" s="444" t="str">
        <f t="shared" si="6"/>
        <v/>
      </c>
      <c r="AN641" s="448" t="str">
        <f t="shared" si="7"/>
        <v/>
      </c>
    </row>
    <row r="642">
      <c r="A642" s="277"/>
      <c r="B642" s="277"/>
      <c r="C642" s="441"/>
      <c r="D642" s="277"/>
      <c r="E642" s="277"/>
      <c r="F642" s="277"/>
      <c r="G642" s="277"/>
      <c r="H642" s="277" t="b">
        <f t="shared" si="1"/>
        <v>0</v>
      </c>
      <c r="I642" s="277"/>
      <c r="J642" s="277"/>
      <c r="K642" s="277"/>
      <c r="L642" s="277"/>
      <c r="M642" s="440" t="b">
        <f t="shared" si="2"/>
        <v>0</v>
      </c>
      <c r="N642" s="441"/>
      <c r="O642" s="277"/>
      <c r="P642" s="277"/>
      <c r="Q642" s="278"/>
      <c r="R642" s="449" t="str">
        <f t="array" ref="R642">IFERROR(IFS(OR(P642="A1-Mewtwo", P642="A1-Pikachu", P642="A1-Charizard", P642="A1"), XLOOKUP(N642, 'Genetic Apex'!$C$2:$C889, 'Genetic Apex'!$B$2:$B889)-$B$4, P642="A1a", XLOOKUP(N642, 'Mythical Island'!$C$2:$C889, 'Mythical Island'!$B$2:$B889)-$B$4, OR(P642="A2-Dialga", P642="A2-Palkia", P642="A2"), XLOOKUP(N642, 'Space-Time Smackdown'!$C$2:$C889, 'Space-Time Smackdown'!$B$2:$B889)-$B$4))</f>
        <v/>
      </c>
      <c r="S642" s="277"/>
      <c r="T642" s="277"/>
      <c r="U642" s="277"/>
      <c r="V642" s="278"/>
      <c r="W642" s="443" t="str">
        <f t="array" ref="W642">IFERROR(IFS(OR(U642="A1-Mewtwo", U642="A1-Pikachu", U642="A1-Charizard", U642="A1"), $B$5-XLOOKUP(S642, 'Genetic Apex'!$C$2:$C889, 'Genetic Apex'!$B$2:$B889), U642="A1a", $B$5-XLOOKUP(S642, 'Mythical Island'!$C$2:$C889, 'Mythical Island'!$B$2:$B889), OR(U642="A2-Dialga", U642="A2-Palkia", U642="A2"), $B$5-XLOOKUP(S642, 'Space-Time Smackdown'!$C$2:$C889, 'Space-Time Smackdown'!$B$2:$B889)))</f>
        <v/>
      </c>
      <c r="X642" s="444" t="str">
        <f t="shared" si="3"/>
        <v/>
      </c>
      <c r="Y642" s="445" t="str">
        <f t="shared" si="4"/>
        <v/>
      </c>
      <c r="Z642" s="278"/>
      <c r="AA642" s="466"/>
      <c r="AB642" s="278"/>
      <c r="AC642" s="278"/>
      <c r="AD642" s="278"/>
      <c r="AE642" s="278"/>
      <c r="AF642" s="278"/>
      <c r="AG642" s="278" t="b">
        <f t="shared" si="5"/>
        <v>0</v>
      </c>
      <c r="AH642" s="454"/>
      <c r="AI642" s="278"/>
      <c r="AJ642" s="278"/>
      <c r="AK642" s="278"/>
      <c r="AL642" s="444" t="str">
        <f t="array" ref="AL642">IFERROR(IFS(OR(AJ642="A1-Mewtwo", AJ642="A1-Pikachu", AJ642="A1-Charizard", AJ642="A1"), XLOOKUP(AH642, 'Genetic Apex'!$C$2:$C889, 'Genetic Apex'!$B$2:$B889)-2, AJ642="A1a", XLOOKUP(AH642, 'Mythical Island'!$C$2:$C889, 'Mythical Island'!$B$2:$B889)-2, OR(AJ642="A2-Dialga", AJ642="A2-Palkia", AJ642="A2"), XLOOKUP(AH642, 'Space-Time Smackdown'!$C$2:$C889, 'Space-Time Smackdown'!$B$2:$B889)-2))</f>
        <v/>
      </c>
      <c r="AM642" s="444" t="str">
        <f t="shared" si="6"/>
        <v/>
      </c>
      <c r="AN642" s="448" t="str">
        <f t="shared" si="7"/>
        <v/>
      </c>
    </row>
    <row r="643">
      <c r="A643" s="277"/>
      <c r="B643" s="277"/>
      <c r="C643" s="441"/>
      <c r="D643" s="277"/>
      <c r="E643" s="277"/>
      <c r="F643" s="277"/>
      <c r="G643" s="277"/>
      <c r="H643" s="277" t="b">
        <f t="shared" si="1"/>
        <v>0</v>
      </c>
      <c r="I643" s="277"/>
      <c r="J643" s="277"/>
      <c r="K643" s="277"/>
      <c r="L643" s="277"/>
      <c r="M643" s="440" t="b">
        <f t="shared" si="2"/>
        <v>0</v>
      </c>
      <c r="N643" s="441"/>
      <c r="O643" s="277"/>
      <c r="P643" s="277"/>
      <c r="Q643" s="278"/>
      <c r="R643" s="449" t="str">
        <f t="array" ref="R643">IFERROR(IFS(OR(P643="A1-Mewtwo", P643="A1-Pikachu", P643="A1-Charizard", P643="A1"), XLOOKUP(N643, 'Genetic Apex'!$C$2:$C889, 'Genetic Apex'!$B$2:$B889)-$B$4, P643="A1a", XLOOKUP(N643, 'Mythical Island'!$C$2:$C889, 'Mythical Island'!$B$2:$B889)-$B$4, OR(P643="A2-Dialga", P643="A2-Palkia", P643="A2"), XLOOKUP(N643, 'Space-Time Smackdown'!$C$2:$C889, 'Space-Time Smackdown'!$B$2:$B889)-$B$4))</f>
        <v/>
      </c>
      <c r="S643" s="277"/>
      <c r="T643" s="277"/>
      <c r="U643" s="277"/>
      <c r="V643" s="278"/>
      <c r="W643" s="443" t="str">
        <f t="array" ref="W643">IFERROR(IFS(OR(U643="A1-Mewtwo", U643="A1-Pikachu", U643="A1-Charizard", U643="A1"), $B$5-XLOOKUP(S643, 'Genetic Apex'!$C$2:$C889, 'Genetic Apex'!$B$2:$B889), U643="A1a", $B$5-XLOOKUP(S643, 'Mythical Island'!$C$2:$C889, 'Mythical Island'!$B$2:$B889), OR(U643="A2-Dialga", U643="A2-Palkia", U643="A2"), $B$5-XLOOKUP(S643, 'Space-Time Smackdown'!$C$2:$C889, 'Space-Time Smackdown'!$B$2:$B889)))</f>
        <v/>
      </c>
      <c r="X643" s="444" t="str">
        <f t="shared" si="3"/>
        <v/>
      </c>
      <c r="Y643" s="445" t="str">
        <f t="shared" si="4"/>
        <v/>
      </c>
      <c r="Z643" s="278"/>
      <c r="AA643" s="466"/>
      <c r="AB643" s="278"/>
      <c r="AC643" s="278"/>
      <c r="AD643" s="278"/>
      <c r="AE643" s="278"/>
      <c r="AF643" s="278"/>
      <c r="AG643" s="278" t="b">
        <f t="shared" si="5"/>
        <v>0</v>
      </c>
      <c r="AH643" s="454"/>
      <c r="AI643" s="278"/>
      <c r="AJ643" s="278"/>
      <c r="AK643" s="278"/>
      <c r="AL643" s="444" t="str">
        <f t="array" ref="AL643">IFERROR(IFS(OR(AJ643="A1-Mewtwo", AJ643="A1-Pikachu", AJ643="A1-Charizard", AJ643="A1"), XLOOKUP(AH643, 'Genetic Apex'!$C$2:$C889, 'Genetic Apex'!$B$2:$B889)-2, AJ643="A1a", XLOOKUP(AH643, 'Mythical Island'!$C$2:$C889, 'Mythical Island'!$B$2:$B889)-2, OR(AJ643="A2-Dialga", AJ643="A2-Palkia", AJ643="A2"), XLOOKUP(AH643, 'Space-Time Smackdown'!$C$2:$C889, 'Space-Time Smackdown'!$B$2:$B889)-2))</f>
        <v/>
      </c>
      <c r="AM643" s="444" t="str">
        <f t="shared" si="6"/>
        <v/>
      </c>
      <c r="AN643" s="448" t="str">
        <f t="shared" si="7"/>
        <v/>
      </c>
    </row>
    <row r="644">
      <c r="A644" s="277"/>
      <c r="B644" s="277"/>
      <c r="C644" s="441"/>
      <c r="D644" s="277"/>
      <c r="E644" s="277"/>
      <c r="F644" s="277"/>
      <c r="G644" s="277"/>
      <c r="H644" s="277" t="b">
        <f t="shared" si="1"/>
        <v>0</v>
      </c>
      <c r="I644" s="277"/>
      <c r="J644" s="277"/>
      <c r="K644" s="277"/>
      <c r="L644" s="277"/>
      <c r="M644" s="440" t="b">
        <f t="shared" si="2"/>
        <v>0</v>
      </c>
      <c r="N644" s="441"/>
      <c r="O644" s="277"/>
      <c r="P644" s="277"/>
      <c r="Q644" s="278"/>
      <c r="R644" s="449" t="str">
        <f t="array" ref="R644">IFERROR(IFS(OR(P644="A1-Mewtwo", P644="A1-Pikachu", P644="A1-Charizard", P644="A1"), XLOOKUP(N644, 'Genetic Apex'!$C$2:$C889, 'Genetic Apex'!$B$2:$B889)-$B$4, P644="A1a", XLOOKUP(N644, 'Mythical Island'!$C$2:$C889, 'Mythical Island'!$B$2:$B889)-$B$4, OR(P644="A2-Dialga", P644="A2-Palkia", P644="A2"), XLOOKUP(N644, 'Space-Time Smackdown'!$C$2:$C889, 'Space-Time Smackdown'!$B$2:$B889)-$B$4))</f>
        <v/>
      </c>
      <c r="S644" s="277"/>
      <c r="T644" s="277"/>
      <c r="U644" s="277"/>
      <c r="V644" s="278"/>
      <c r="W644" s="443" t="str">
        <f t="array" ref="W644">IFERROR(IFS(OR(U644="A1-Mewtwo", U644="A1-Pikachu", U644="A1-Charizard", U644="A1"), $B$5-XLOOKUP(S644, 'Genetic Apex'!$C$2:$C889, 'Genetic Apex'!$B$2:$B889), U644="A1a", $B$5-XLOOKUP(S644, 'Mythical Island'!$C$2:$C889, 'Mythical Island'!$B$2:$B889), OR(U644="A2-Dialga", U644="A2-Palkia", U644="A2"), $B$5-XLOOKUP(S644, 'Space-Time Smackdown'!$C$2:$C889, 'Space-Time Smackdown'!$B$2:$B889)))</f>
        <v/>
      </c>
      <c r="X644" s="444" t="str">
        <f t="shared" si="3"/>
        <v/>
      </c>
      <c r="Y644" s="445" t="str">
        <f t="shared" si="4"/>
        <v/>
      </c>
      <c r="Z644" s="278"/>
      <c r="AA644" s="466"/>
      <c r="AB644" s="278"/>
      <c r="AC644" s="278"/>
      <c r="AD644" s="278"/>
      <c r="AE644" s="278"/>
      <c r="AF644" s="278"/>
      <c r="AG644" s="278" t="b">
        <f t="shared" si="5"/>
        <v>0</v>
      </c>
      <c r="AH644" s="454"/>
      <c r="AI644" s="278"/>
      <c r="AJ644" s="278"/>
      <c r="AK644" s="278"/>
      <c r="AL644" s="444" t="str">
        <f t="array" ref="AL644">IFERROR(IFS(OR(AJ644="A1-Mewtwo", AJ644="A1-Pikachu", AJ644="A1-Charizard", AJ644="A1"), XLOOKUP(AH644, 'Genetic Apex'!$C$2:$C889, 'Genetic Apex'!$B$2:$B889)-2, AJ644="A1a", XLOOKUP(AH644, 'Mythical Island'!$C$2:$C889, 'Mythical Island'!$B$2:$B889)-2, OR(AJ644="A2-Dialga", AJ644="A2-Palkia", AJ644="A2"), XLOOKUP(AH644, 'Space-Time Smackdown'!$C$2:$C889, 'Space-Time Smackdown'!$B$2:$B889)-2))</f>
        <v/>
      </c>
      <c r="AM644" s="444" t="str">
        <f t="shared" si="6"/>
        <v/>
      </c>
      <c r="AN644" s="448" t="str">
        <f t="shared" si="7"/>
        <v/>
      </c>
    </row>
    <row r="645">
      <c r="A645" s="277"/>
      <c r="B645" s="277"/>
      <c r="C645" s="441"/>
      <c r="D645" s="277"/>
      <c r="E645" s="277"/>
      <c r="F645" s="277"/>
      <c r="G645" s="277"/>
      <c r="H645" s="277" t="b">
        <f t="shared" si="1"/>
        <v>0</v>
      </c>
      <c r="I645" s="277"/>
      <c r="J645" s="277"/>
      <c r="K645" s="277"/>
      <c r="L645" s="277"/>
      <c r="M645" s="440" t="b">
        <f t="shared" si="2"/>
        <v>0</v>
      </c>
      <c r="N645" s="441"/>
      <c r="O645" s="277"/>
      <c r="P645" s="277"/>
      <c r="Q645" s="278"/>
      <c r="R645" s="449" t="str">
        <f t="array" ref="R645">IFERROR(IFS(OR(P645="A1-Mewtwo", P645="A1-Pikachu", P645="A1-Charizard", P645="A1"), XLOOKUP(N645, 'Genetic Apex'!$C$2:$C889, 'Genetic Apex'!$B$2:$B889)-$B$4, P645="A1a", XLOOKUP(N645, 'Mythical Island'!$C$2:$C889, 'Mythical Island'!$B$2:$B889)-$B$4, OR(P645="A2-Dialga", P645="A2-Palkia", P645="A2"), XLOOKUP(N645, 'Space-Time Smackdown'!$C$2:$C889, 'Space-Time Smackdown'!$B$2:$B889)-$B$4))</f>
        <v/>
      </c>
      <c r="S645" s="277"/>
      <c r="T645" s="277"/>
      <c r="U645" s="277"/>
      <c r="V645" s="278"/>
      <c r="W645" s="443" t="str">
        <f t="array" ref="W645">IFERROR(IFS(OR(U645="A1-Mewtwo", U645="A1-Pikachu", U645="A1-Charizard", U645="A1"), $B$5-XLOOKUP(S645, 'Genetic Apex'!$C$2:$C889, 'Genetic Apex'!$B$2:$B889), U645="A1a", $B$5-XLOOKUP(S645, 'Mythical Island'!$C$2:$C889, 'Mythical Island'!$B$2:$B889), OR(U645="A2-Dialga", U645="A2-Palkia", U645="A2"), $B$5-XLOOKUP(S645, 'Space-Time Smackdown'!$C$2:$C889, 'Space-Time Smackdown'!$B$2:$B889)))</f>
        <v/>
      </c>
      <c r="X645" s="444" t="str">
        <f t="shared" si="3"/>
        <v/>
      </c>
      <c r="Y645" s="445" t="str">
        <f t="shared" si="4"/>
        <v/>
      </c>
      <c r="Z645" s="278"/>
      <c r="AA645" s="466"/>
      <c r="AB645" s="278"/>
      <c r="AC645" s="278"/>
      <c r="AD645" s="278"/>
      <c r="AE645" s="278"/>
      <c r="AF645" s="278"/>
      <c r="AG645" s="278" t="b">
        <f t="shared" si="5"/>
        <v>0</v>
      </c>
      <c r="AH645" s="454"/>
      <c r="AI645" s="278"/>
      <c r="AJ645" s="278"/>
      <c r="AK645" s="278"/>
      <c r="AL645" s="444" t="str">
        <f t="array" ref="AL645">IFERROR(IFS(OR(AJ645="A1-Mewtwo", AJ645="A1-Pikachu", AJ645="A1-Charizard", AJ645="A1"), XLOOKUP(AH645, 'Genetic Apex'!$C$2:$C889, 'Genetic Apex'!$B$2:$B889)-2, AJ645="A1a", XLOOKUP(AH645, 'Mythical Island'!$C$2:$C889, 'Mythical Island'!$B$2:$B889)-2, OR(AJ645="A2-Dialga", AJ645="A2-Palkia", AJ645="A2"), XLOOKUP(AH645, 'Space-Time Smackdown'!$C$2:$C889, 'Space-Time Smackdown'!$B$2:$B889)-2))</f>
        <v/>
      </c>
      <c r="AM645" s="444" t="str">
        <f t="shared" si="6"/>
        <v/>
      </c>
      <c r="AN645" s="448" t="str">
        <f t="shared" si="7"/>
        <v/>
      </c>
    </row>
    <row r="646">
      <c r="A646" s="277"/>
      <c r="B646" s="277"/>
      <c r="C646" s="441"/>
      <c r="D646" s="277"/>
      <c r="E646" s="277"/>
      <c r="F646" s="277"/>
      <c r="G646" s="277"/>
      <c r="H646" s="277" t="b">
        <f t="shared" si="1"/>
        <v>0</v>
      </c>
      <c r="I646" s="277"/>
      <c r="J646" s="277"/>
      <c r="K646" s="277"/>
      <c r="L646" s="277"/>
      <c r="M646" s="440" t="b">
        <f t="shared" si="2"/>
        <v>0</v>
      </c>
      <c r="N646" s="441"/>
      <c r="O646" s="277"/>
      <c r="P646" s="277"/>
      <c r="Q646" s="278"/>
      <c r="R646" s="449" t="str">
        <f t="array" ref="R646">IFERROR(IFS(OR(P646="A1-Mewtwo", P646="A1-Pikachu", P646="A1-Charizard", P646="A1"), XLOOKUP(N646, 'Genetic Apex'!$C$2:$C889, 'Genetic Apex'!$B$2:$B889)-$B$4, P646="A1a", XLOOKUP(N646, 'Mythical Island'!$C$2:$C889, 'Mythical Island'!$B$2:$B889)-$B$4, OR(P646="A2-Dialga", P646="A2-Palkia", P646="A2"), XLOOKUP(N646, 'Space-Time Smackdown'!$C$2:$C889, 'Space-Time Smackdown'!$B$2:$B889)-$B$4))</f>
        <v/>
      </c>
      <c r="S646" s="277"/>
      <c r="T646" s="277"/>
      <c r="U646" s="277"/>
      <c r="V646" s="278"/>
      <c r="W646" s="443" t="str">
        <f t="array" ref="W646">IFERROR(IFS(OR(U646="A1-Mewtwo", U646="A1-Pikachu", U646="A1-Charizard", U646="A1"), $B$5-XLOOKUP(S646, 'Genetic Apex'!$C$2:$C889, 'Genetic Apex'!$B$2:$B889), U646="A1a", $B$5-XLOOKUP(S646, 'Mythical Island'!$C$2:$C889, 'Mythical Island'!$B$2:$B889), OR(U646="A2-Dialga", U646="A2-Palkia", U646="A2"), $B$5-XLOOKUP(S646, 'Space-Time Smackdown'!$C$2:$C889, 'Space-Time Smackdown'!$B$2:$B889)))</f>
        <v/>
      </c>
      <c r="X646" s="444" t="str">
        <f t="shared" si="3"/>
        <v/>
      </c>
      <c r="Y646" s="445" t="str">
        <f t="shared" si="4"/>
        <v/>
      </c>
      <c r="Z646" s="278"/>
      <c r="AA646" s="466"/>
      <c r="AB646" s="278"/>
      <c r="AC646" s="278"/>
      <c r="AD646" s="278"/>
      <c r="AE646" s="278"/>
      <c r="AF646" s="278"/>
      <c r="AG646" s="278" t="b">
        <f t="shared" si="5"/>
        <v>0</v>
      </c>
      <c r="AH646" s="454"/>
      <c r="AI646" s="278"/>
      <c r="AJ646" s="278"/>
      <c r="AK646" s="278"/>
      <c r="AL646" s="444" t="str">
        <f t="array" ref="AL646">IFERROR(IFS(OR(AJ646="A1-Mewtwo", AJ646="A1-Pikachu", AJ646="A1-Charizard", AJ646="A1"), XLOOKUP(AH646, 'Genetic Apex'!$C$2:$C889, 'Genetic Apex'!$B$2:$B889)-2, AJ646="A1a", XLOOKUP(AH646, 'Mythical Island'!$C$2:$C889, 'Mythical Island'!$B$2:$B889)-2, OR(AJ646="A2-Dialga", AJ646="A2-Palkia", AJ646="A2"), XLOOKUP(AH646, 'Space-Time Smackdown'!$C$2:$C889, 'Space-Time Smackdown'!$B$2:$B889)-2))</f>
        <v/>
      </c>
      <c r="AM646" s="444" t="str">
        <f t="shared" si="6"/>
        <v/>
      </c>
      <c r="AN646" s="448" t="str">
        <f t="shared" si="7"/>
        <v/>
      </c>
    </row>
    <row r="647">
      <c r="A647" s="277"/>
      <c r="B647" s="277"/>
      <c r="C647" s="441"/>
      <c r="D647" s="277"/>
      <c r="E647" s="277"/>
      <c r="F647" s="277"/>
      <c r="G647" s="277"/>
      <c r="H647" s="277" t="b">
        <f t="shared" si="1"/>
        <v>0</v>
      </c>
      <c r="I647" s="277"/>
      <c r="J647" s="277"/>
      <c r="K647" s="277"/>
      <c r="L647" s="277"/>
      <c r="M647" s="440" t="b">
        <f t="shared" si="2"/>
        <v>0</v>
      </c>
      <c r="N647" s="441"/>
      <c r="O647" s="277"/>
      <c r="P647" s="277"/>
      <c r="Q647" s="278"/>
      <c r="R647" s="449" t="str">
        <f t="array" ref="R647">IFERROR(IFS(OR(P647="A1-Mewtwo", P647="A1-Pikachu", P647="A1-Charizard", P647="A1"), XLOOKUP(N647, 'Genetic Apex'!$C$2:$C889, 'Genetic Apex'!$B$2:$B889)-$B$4, P647="A1a", XLOOKUP(N647, 'Mythical Island'!$C$2:$C889, 'Mythical Island'!$B$2:$B889)-$B$4, OR(P647="A2-Dialga", P647="A2-Palkia", P647="A2"), XLOOKUP(N647, 'Space-Time Smackdown'!$C$2:$C889, 'Space-Time Smackdown'!$B$2:$B889)-$B$4))</f>
        <v/>
      </c>
      <c r="S647" s="277"/>
      <c r="T647" s="277"/>
      <c r="U647" s="277"/>
      <c r="V647" s="278"/>
      <c r="W647" s="443" t="str">
        <f t="array" ref="W647">IFERROR(IFS(OR(U647="A1-Mewtwo", U647="A1-Pikachu", U647="A1-Charizard", U647="A1"), $B$5-XLOOKUP(S647, 'Genetic Apex'!$C$2:$C889, 'Genetic Apex'!$B$2:$B889), U647="A1a", $B$5-XLOOKUP(S647, 'Mythical Island'!$C$2:$C889, 'Mythical Island'!$B$2:$B889), OR(U647="A2-Dialga", U647="A2-Palkia", U647="A2"), $B$5-XLOOKUP(S647, 'Space-Time Smackdown'!$C$2:$C889, 'Space-Time Smackdown'!$B$2:$B889)))</f>
        <v/>
      </c>
      <c r="X647" s="444" t="str">
        <f t="shared" si="3"/>
        <v/>
      </c>
      <c r="Y647" s="445" t="str">
        <f t="shared" si="4"/>
        <v/>
      </c>
      <c r="Z647" s="278"/>
      <c r="AA647" s="466"/>
      <c r="AB647" s="278"/>
      <c r="AC647" s="278"/>
      <c r="AD647" s="278"/>
      <c r="AE647" s="278"/>
      <c r="AF647" s="278"/>
      <c r="AG647" s="278" t="b">
        <f t="shared" si="5"/>
        <v>0</v>
      </c>
      <c r="AH647" s="454"/>
      <c r="AI647" s="278"/>
      <c r="AJ647" s="278"/>
      <c r="AK647" s="278"/>
      <c r="AL647" s="444" t="str">
        <f t="array" ref="AL647">IFERROR(IFS(OR(AJ647="A1-Mewtwo", AJ647="A1-Pikachu", AJ647="A1-Charizard", AJ647="A1"), XLOOKUP(AH647, 'Genetic Apex'!$C$2:$C889, 'Genetic Apex'!$B$2:$B889)-2, AJ647="A1a", XLOOKUP(AH647, 'Mythical Island'!$C$2:$C889, 'Mythical Island'!$B$2:$B889)-2, OR(AJ647="A2-Dialga", AJ647="A2-Palkia", AJ647="A2"), XLOOKUP(AH647, 'Space-Time Smackdown'!$C$2:$C889, 'Space-Time Smackdown'!$B$2:$B889)-2))</f>
        <v/>
      </c>
      <c r="AM647" s="444" t="str">
        <f t="shared" si="6"/>
        <v/>
      </c>
      <c r="AN647" s="448" t="str">
        <f t="shared" si="7"/>
        <v/>
      </c>
    </row>
    <row r="648">
      <c r="A648" s="277"/>
      <c r="B648" s="277"/>
      <c r="C648" s="441"/>
      <c r="D648" s="277"/>
      <c r="E648" s="277"/>
      <c r="F648" s="277"/>
      <c r="G648" s="277"/>
      <c r="H648" s="277" t="b">
        <f t="shared" si="1"/>
        <v>0</v>
      </c>
      <c r="I648" s="277"/>
      <c r="J648" s="277"/>
      <c r="K648" s="277"/>
      <c r="L648" s="277"/>
      <c r="M648" s="440" t="b">
        <f t="shared" si="2"/>
        <v>0</v>
      </c>
      <c r="N648" s="441"/>
      <c r="O648" s="277"/>
      <c r="P648" s="277"/>
      <c r="Q648" s="278"/>
      <c r="R648" s="449" t="str">
        <f t="array" ref="R648">IFERROR(IFS(OR(P648="A1-Mewtwo", P648="A1-Pikachu", P648="A1-Charizard", P648="A1"), XLOOKUP(N648, 'Genetic Apex'!$C$2:$C889, 'Genetic Apex'!$B$2:$B889)-$B$4, P648="A1a", XLOOKUP(N648, 'Mythical Island'!$C$2:$C889, 'Mythical Island'!$B$2:$B889)-$B$4, OR(P648="A2-Dialga", P648="A2-Palkia", P648="A2"), XLOOKUP(N648, 'Space-Time Smackdown'!$C$2:$C889, 'Space-Time Smackdown'!$B$2:$B889)-$B$4))</f>
        <v/>
      </c>
      <c r="S648" s="277"/>
      <c r="T648" s="277"/>
      <c r="U648" s="277"/>
      <c r="V648" s="278"/>
      <c r="W648" s="443" t="str">
        <f t="array" ref="W648">IFERROR(IFS(OR(U648="A1-Mewtwo", U648="A1-Pikachu", U648="A1-Charizard", U648="A1"), $B$5-XLOOKUP(S648, 'Genetic Apex'!$C$2:$C889, 'Genetic Apex'!$B$2:$B889), U648="A1a", $B$5-XLOOKUP(S648, 'Mythical Island'!$C$2:$C889, 'Mythical Island'!$B$2:$B889), OR(U648="A2-Dialga", U648="A2-Palkia", U648="A2"), $B$5-XLOOKUP(S648, 'Space-Time Smackdown'!$C$2:$C889, 'Space-Time Smackdown'!$B$2:$B889)))</f>
        <v/>
      </c>
      <c r="X648" s="444" t="str">
        <f t="shared" si="3"/>
        <v/>
      </c>
      <c r="Y648" s="445" t="str">
        <f t="shared" si="4"/>
        <v/>
      </c>
      <c r="Z648" s="278"/>
      <c r="AA648" s="466"/>
      <c r="AB648" s="278"/>
      <c r="AC648" s="278"/>
      <c r="AD648" s="278"/>
      <c r="AE648" s="278"/>
      <c r="AF648" s="278"/>
      <c r="AG648" s="278" t="b">
        <f t="shared" si="5"/>
        <v>0</v>
      </c>
      <c r="AH648" s="454"/>
      <c r="AI648" s="278"/>
      <c r="AJ648" s="278"/>
      <c r="AK648" s="278"/>
      <c r="AL648" s="444" t="str">
        <f t="array" ref="AL648">IFERROR(IFS(OR(AJ648="A1-Mewtwo", AJ648="A1-Pikachu", AJ648="A1-Charizard", AJ648="A1"), XLOOKUP(AH648, 'Genetic Apex'!$C$2:$C889, 'Genetic Apex'!$B$2:$B889)-2, AJ648="A1a", XLOOKUP(AH648, 'Mythical Island'!$C$2:$C889, 'Mythical Island'!$B$2:$B889)-2, OR(AJ648="A2-Dialga", AJ648="A2-Palkia", AJ648="A2"), XLOOKUP(AH648, 'Space-Time Smackdown'!$C$2:$C889, 'Space-Time Smackdown'!$B$2:$B889)-2))</f>
        <v/>
      </c>
      <c r="AM648" s="444" t="str">
        <f t="shared" si="6"/>
        <v/>
      </c>
      <c r="AN648" s="448" t="str">
        <f t="shared" si="7"/>
        <v/>
      </c>
    </row>
    <row r="649">
      <c r="A649" s="277"/>
      <c r="B649" s="277"/>
      <c r="C649" s="441"/>
      <c r="D649" s="277"/>
      <c r="E649" s="277"/>
      <c r="F649" s="277"/>
      <c r="G649" s="277"/>
      <c r="H649" s="277" t="b">
        <f t="shared" si="1"/>
        <v>0</v>
      </c>
      <c r="I649" s="277"/>
      <c r="J649" s="277"/>
      <c r="K649" s="277"/>
      <c r="L649" s="277"/>
      <c r="M649" s="440" t="b">
        <f t="shared" si="2"/>
        <v>0</v>
      </c>
      <c r="N649" s="441"/>
      <c r="O649" s="277"/>
      <c r="P649" s="277"/>
      <c r="Q649" s="278"/>
      <c r="R649" s="449" t="str">
        <f t="array" ref="R649">IFERROR(IFS(OR(P649="A1-Mewtwo", P649="A1-Pikachu", P649="A1-Charizard", P649="A1"), XLOOKUP(N649, 'Genetic Apex'!$C$2:$C889, 'Genetic Apex'!$B$2:$B889)-$B$4, P649="A1a", XLOOKUP(N649, 'Mythical Island'!$C$2:$C889, 'Mythical Island'!$B$2:$B889)-$B$4, OR(P649="A2-Dialga", P649="A2-Palkia", P649="A2"), XLOOKUP(N649, 'Space-Time Smackdown'!$C$2:$C889, 'Space-Time Smackdown'!$B$2:$B889)-$B$4))</f>
        <v/>
      </c>
      <c r="S649" s="277"/>
      <c r="T649" s="277"/>
      <c r="U649" s="277"/>
      <c r="V649" s="278"/>
      <c r="W649" s="443" t="str">
        <f t="array" ref="W649">IFERROR(IFS(OR(U649="A1-Mewtwo", U649="A1-Pikachu", U649="A1-Charizard", U649="A1"), $B$5-XLOOKUP(S649, 'Genetic Apex'!$C$2:$C889, 'Genetic Apex'!$B$2:$B889), U649="A1a", $B$5-XLOOKUP(S649, 'Mythical Island'!$C$2:$C889, 'Mythical Island'!$B$2:$B889), OR(U649="A2-Dialga", U649="A2-Palkia", U649="A2"), $B$5-XLOOKUP(S649, 'Space-Time Smackdown'!$C$2:$C889, 'Space-Time Smackdown'!$B$2:$B889)))</f>
        <v/>
      </c>
      <c r="X649" s="444" t="str">
        <f t="shared" si="3"/>
        <v/>
      </c>
      <c r="Y649" s="445" t="str">
        <f t="shared" si="4"/>
        <v/>
      </c>
      <c r="Z649" s="278"/>
      <c r="AA649" s="466"/>
      <c r="AB649" s="278"/>
      <c r="AC649" s="278"/>
      <c r="AD649" s="278"/>
      <c r="AE649" s="278"/>
      <c r="AF649" s="278"/>
      <c r="AG649" s="278" t="b">
        <f t="shared" si="5"/>
        <v>0</v>
      </c>
      <c r="AH649" s="454"/>
      <c r="AI649" s="278"/>
      <c r="AJ649" s="278"/>
      <c r="AK649" s="278"/>
      <c r="AL649" s="444" t="str">
        <f t="array" ref="AL649">IFERROR(IFS(OR(AJ649="A1-Mewtwo", AJ649="A1-Pikachu", AJ649="A1-Charizard", AJ649="A1"), XLOOKUP(AH649, 'Genetic Apex'!$C$2:$C889, 'Genetic Apex'!$B$2:$B889)-2, AJ649="A1a", XLOOKUP(AH649, 'Mythical Island'!$C$2:$C889, 'Mythical Island'!$B$2:$B889)-2, OR(AJ649="A2-Dialga", AJ649="A2-Palkia", AJ649="A2"), XLOOKUP(AH649, 'Space-Time Smackdown'!$C$2:$C889, 'Space-Time Smackdown'!$B$2:$B889)-2))</f>
        <v/>
      </c>
      <c r="AM649" s="444" t="str">
        <f t="shared" si="6"/>
        <v/>
      </c>
      <c r="AN649" s="448" t="str">
        <f t="shared" si="7"/>
        <v/>
      </c>
    </row>
    <row r="650">
      <c r="A650" s="277"/>
      <c r="B650" s="277"/>
      <c r="C650" s="441"/>
      <c r="D650" s="277"/>
      <c r="E650" s="277"/>
      <c r="F650" s="277"/>
      <c r="G650" s="277"/>
      <c r="H650" s="277" t="b">
        <f t="shared" si="1"/>
        <v>0</v>
      </c>
      <c r="I650" s="277"/>
      <c r="J650" s="277"/>
      <c r="K650" s="277"/>
      <c r="L650" s="277"/>
      <c r="M650" s="440" t="b">
        <f t="shared" si="2"/>
        <v>0</v>
      </c>
      <c r="N650" s="441"/>
      <c r="O650" s="277"/>
      <c r="P650" s="277"/>
      <c r="Q650" s="278"/>
      <c r="R650" s="449" t="str">
        <f t="array" ref="R650">IFERROR(IFS(OR(P650="A1-Mewtwo", P650="A1-Pikachu", P650="A1-Charizard", P650="A1"), XLOOKUP(N650, 'Genetic Apex'!$C$2:$C889, 'Genetic Apex'!$B$2:$B889)-$B$4, P650="A1a", XLOOKUP(N650, 'Mythical Island'!$C$2:$C889, 'Mythical Island'!$B$2:$B889)-$B$4, OR(P650="A2-Dialga", P650="A2-Palkia", P650="A2"), XLOOKUP(N650, 'Space-Time Smackdown'!$C$2:$C889, 'Space-Time Smackdown'!$B$2:$B889)-$B$4))</f>
        <v/>
      </c>
      <c r="S650" s="277"/>
      <c r="T650" s="277"/>
      <c r="U650" s="277"/>
      <c r="V650" s="278"/>
      <c r="W650" s="443" t="str">
        <f t="array" ref="W650">IFERROR(IFS(OR(U650="A1-Mewtwo", U650="A1-Pikachu", U650="A1-Charizard", U650="A1"), $B$5-XLOOKUP(S650, 'Genetic Apex'!$C$2:$C889, 'Genetic Apex'!$B$2:$B889), U650="A1a", $B$5-XLOOKUP(S650, 'Mythical Island'!$C$2:$C889, 'Mythical Island'!$B$2:$B889), OR(U650="A2-Dialga", U650="A2-Palkia", U650="A2"), $B$5-XLOOKUP(S650, 'Space-Time Smackdown'!$C$2:$C889, 'Space-Time Smackdown'!$B$2:$B889)))</f>
        <v/>
      </c>
      <c r="X650" s="444" t="str">
        <f t="shared" si="3"/>
        <v/>
      </c>
      <c r="Y650" s="445" t="str">
        <f t="shared" si="4"/>
        <v/>
      </c>
      <c r="Z650" s="278"/>
      <c r="AA650" s="466"/>
      <c r="AB650" s="278"/>
      <c r="AC650" s="278"/>
      <c r="AD650" s="278"/>
      <c r="AE650" s="278"/>
      <c r="AF650" s="278"/>
      <c r="AG650" s="278" t="b">
        <f t="shared" si="5"/>
        <v>0</v>
      </c>
      <c r="AH650" s="454"/>
      <c r="AI650" s="278"/>
      <c r="AJ650" s="278"/>
      <c r="AK650" s="278"/>
      <c r="AL650" s="444" t="str">
        <f t="array" ref="AL650">IFERROR(IFS(OR(AJ650="A1-Mewtwo", AJ650="A1-Pikachu", AJ650="A1-Charizard", AJ650="A1"), XLOOKUP(AH650, 'Genetic Apex'!$C$2:$C889, 'Genetic Apex'!$B$2:$B889)-2, AJ650="A1a", XLOOKUP(AH650, 'Mythical Island'!$C$2:$C889, 'Mythical Island'!$B$2:$B889)-2, OR(AJ650="A2-Dialga", AJ650="A2-Palkia", AJ650="A2"), XLOOKUP(AH650, 'Space-Time Smackdown'!$C$2:$C889, 'Space-Time Smackdown'!$B$2:$B889)-2))</f>
        <v/>
      </c>
      <c r="AM650" s="444" t="str">
        <f t="shared" si="6"/>
        <v/>
      </c>
      <c r="AN650" s="448" t="str">
        <f t="shared" si="7"/>
        <v/>
      </c>
    </row>
    <row r="651">
      <c r="A651" s="277"/>
      <c r="B651" s="277"/>
      <c r="C651" s="441"/>
      <c r="D651" s="277"/>
      <c r="E651" s="277"/>
      <c r="F651" s="277"/>
      <c r="G651" s="277"/>
      <c r="H651" s="277" t="b">
        <f t="shared" si="1"/>
        <v>0</v>
      </c>
      <c r="I651" s="277"/>
      <c r="J651" s="277"/>
      <c r="K651" s="277"/>
      <c r="L651" s="277"/>
      <c r="M651" s="440" t="b">
        <f t="shared" si="2"/>
        <v>0</v>
      </c>
      <c r="N651" s="441"/>
      <c r="O651" s="277"/>
      <c r="P651" s="277"/>
      <c r="Q651" s="278"/>
      <c r="R651" s="449" t="str">
        <f t="array" ref="R651">IFERROR(IFS(OR(P651="A1-Mewtwo", P651="A1-Pikachu", P651="A1-Charizard", P651="A1"), XLOOKUP(N651, 'Genetic Apex'!$C$2:$C889, 'Genetic Apex'!$B$2:$B889)-$B$4, P651="A1a", XLOOKUP(N651, 'Mythical Island'!$C$2:$C889, 'Mythical Island'!$B$2:$B889)-$B$4, OR(P651="A2-Dialga", P651="A2-Palkia", P651="A2"), XLOOKUP(N651, 'Space-Time Smackdown'!$C$2:$C889, 'Space-Time Smackdown'!$B$2:$B889)-$B$4))</f>
        <v/>
      </c>
      <c r="S651" s="277"/>
      <c r="T651" s="277"/>
      <c r="U651" s="277"/>
      <c r="V651" s="278"/>
      <c r="W651" s="443" t="str">
        <f t="array" ref="W651">IFERROR(IFS(OR(U651="A1-Mewtwo", U651="A1-Pikachu", U651="A1-Charizard", U651="A1"), $B$5-XLOOKUP(S651, 'Genetic Apex'!$C$2:$C889, 'Genetic Apex'!$B$2:$B889), U651="A1a", $B$5-XLOOKUP(S651, 'Mythical Island'!$C$2:$C889, 'Mythical Island'!$B$2:$B889), OR(U651="A2-Dialga", U651="A2-Palkia", U651="A2"), $B$5-XLOOKUP(S651, 'Space-Time Smackdown'!$C$2:$C889, 'Space-Time Smackdown'!$B$2:$B889)))</f>
        <v/>
      </c>
      <c r="X651" s="444" t="str">
        <f t="shared" si="3"/>
        <v/>
      </c>
      <c r="Y651" s="445" t="str">
        <f t="shared" si="4"/>
        <v/>
      </c>
      <c r="Z651" s="278"/>
      <c r="AA651" s="466"/>
      <c r="AB651" s="278"/>
      <c r="AC651" s="278"/>
      <c r="AD651" s="278"/>
      <c r="AE651" s="278"/>
      <c r="AF651" s="278"/>
      <c r="AG651" s="278" t="b">
        <f t="shared" si="5"/>
        <v>0</v>
      </c>
      <c r="AH651" s="454"/>
      <c r="AI651" s="278"/>
      <c r="AJ651" s="278"/>
      <c r="AK651" s="278"/>
      <c r="AL651" s="444" t="str">
        <f t="array" ref="AL651">IFERROR(IFS(OR(AJ651="A1-Mewtwo", AJ651="A1-Pikachu", AJ651="A1-Charizard", AJ651="A1"), XLOOKUP(AH651, 'Genetic Apex'!$C$2:$C889, 'Genetic Apex'!$B$2:$B889)-2, AJ651="A1a", XLOOKUP(AH651, 'Mythical Island'!$C$2:$C889, 'Mythical Island'!$B$2:$B889)-2, OR(AJ651="A2-Dialga", AJ651="A2-Palkia", AJ651="A2"), XLOOKUP(AH651, 'Space-Time Smackdown'!$C$2:$C889, 'Space-Time Smackdown'!$B$2:$B889)-2))</f>
        <v/>
      </c>
      <c r="AM651" s="444" t="str">
        <f t="shared" si="6"/>
        <v/>
      </c>
      <c r="AN651" s="448" t="str">
        <f t="shared" si="7"/>
        <v/>
      </c>
    </row>
    <row r="652">
      <c r="A652" s="277"/>
      <c r="B652" s="277"/>
      <c r="C652" s="441"/>
      <c r="D652" s="277"/>
      <c r="E652" s="277"/>
      <c r="F652" s="277"/>
      <c r="G652" s="277"/>
      <c r="H652" s="277" t="b">
        <f t="shared" si="1"/>
        <v>0</v>
      </c>
      <c r="I652" s="277"/>
      <c r="J652" s="277"/>
      <c r="K652" s="277"/>
      <c r="L652" s="277"/>
      <c r="M652" s="440" t="b">
        <f t="shared" si="2"/>
        <v>0</v>
      </c>
      <c r="N652" s="441"/>
      <c r="O652" s="277"/>
      <c r="P652" s="277"/>
      <c r="Q652" s="278"/>
      <c r="R652" s="449" t="str">
        <f t="array" ref="R652">IFERROR(IFS(OR(P652="A1-Mewtwo", P652="A1-Pikachu", P652="A1-Charizard", P652="A1"), XLOOKUP(N652, 'Genetic Apex'!$C$2:$C889, 'Genetic Apex'!$B$2:$B889)-$B$4, P652="A1a", XLOOKUP(N652, 'Mythical Island'!$C$2:$C889, 'Mythical Island'!$B$2:$B889)-$B$4, OR(P652="A2-Dialga", P652="A2-Palkia", P652="A2"), XLOOKUP(N652, 'Space-Time Smackdown'!$C$2:$C889, 'Space-Time Smackdown'!$B$2:$B889)-$B$4))</f>
        <v/>
      </c>
      <c r="S652" s="277"/>
      <c r="T652" s="277"/>
      <c r="U652" s="277"/>
      <c r="V652" s="278"/>
      <c r="W652" s="443" t="str">
        <f t="array" ref="W652">IFERROR(IFS(OR(U652="A1-Mewtwo", U652="A1-Pikachu", U652="A1-Charizard", U652="A1"), $B$5-XLOOKUP(S652, 'Genetic Apex'!$C$2:$C889, 'Genetic Apex'!$B$2:$B889), U652="A1a", $B$5-XLOOKUP(S652, 'Mythical Island'!$C$2:$C889, 'Mythical Island'!$B$2:$B889), OR(U652="A2-Dialga", U652="A2-Palkia", U652="A2"), $B$5-XLOOKUP(S652, 'Space-Time Smackdown'!$C$2:$C889, 'Space-Time Smackdown'!$B$2:$B889)))</f>
        <v/>
      </c>
      <c r="X652" s="444" t="str">
        <f t="shared" si="3"/>
        <v/>
      </c>
      <c r="Y652" s="445" t="str">
        <f t="shared" si="4"/>
        <v/>
      </c>
      <c r="Z652" s="278"/>
      <c r="AA652" s="466"/>
      <c r="AB652" s="278"/>
      <c r="AC652" s="278"/>
      <c r="AD652" s="278"/>
      <c r="AE652" s="278"/>
      <c r="AF652" s="278"/>
      <c r="AG652" s="278" t="b">
        <f t="shared" si="5"/>
        <v>0</v>
      </c>
      <c r="AH652" s="454"/>
      <c r="AI652" s="278"/>
      <c r="AJ652" s="278"/>
      <c r="AK652" s="278"/>
      <c r="AL652" s="444" t="str">
        <f t="array" ref="AL652">IFERROR(IFS(OR(AJ652="A1-Mewtwo", AJ652="A1-Pikachu", AJ652="A1-Charizard", AJ652="A1"), XLOOKUP(AH652, 'Genetic Apex'!$C$2:$C889, 'Genetic Apex'!$B$2:$B889)-2, AJ652="A1a", XLOOKUP(AH652, 'Mythical Island'!$C$2:$C889, 'Mythical Island'!$B$2:$B889)-2, OR(AJ652="A2-Dialga", AJ652="A2-Palkia", AJ652="A2"), XLOOKUP(AH652, 'Space-Time Smackdown'!$C$2:$C889, 'Space-Time Smackdown'!$B$2:$B889)-2))</f>
        <v/>
      </c>
      <c r="AM652" s="444" t="str">
        <f t="shared" si="6"/>
        <v/>
      </c>
      <c r="AN652" s="448" t="str">
        <f t="shared" si="7"/>
        <v/>
      </c>
    </row>
    <row r="653">
      <c r="A653" s="277"/>
      <c r="B653" s="277"/>
      <c r="C653" s="441"/>
      <c r="D653" s="277"/>
      <c r="E653" s="277"/>
      <c r="F653" s="277"/>
      <c r="G653" s="277"/>
      <c r="H653" s="277" t="b">
        <f t="shared" si="1"/>
        <v>0</v>
      </c>
      <c r="I653" s="277"/>
      <c r="J653" s="277"/>
      <c r="K653" s="277"/>
      <c r="L653" s="277"/>
      <c r="M653" s="440" t="b">
        <f t="shared" si="2"/>
        <v>0</v>
      </c>
      <c r="N653" s="441"/>
      <c r="O653" s="277"/>
      <c r="P653" s="277"/>
      <c r="Q653" s="278"/>
      <c r="R653" s="449" t="str">
        <f t="array" ref="R653">IFERROR(IFS(OR(P653="A1-Mewtwo", P653="A1-Pikachu", P653="A1-Charizard", P653="A1"), XLOOKUP(N653, 'Genetic Apex'!$C$2:$C889, 'Genetic Apex'!$B$2:$B889)-$B$4, P653="A1a", XLOOKUP(N653, 'Mythical Island'!$C$2:$C889, 'Mythical Island'!$B$2:$B889)-$B$4, OR(P653="A2-Dialga", P653="A2-Palkia", P653="A2"), XLOOKUP(N653, 'Space-Time Smackdown'!$C$2:$C889, 'Space-Time Smackdown'!$B$2:$B889)-$B$4))</f>
        <v/>
      </c>
      <c r="S653" s="277"/>
      <c r="T653" s="277"/>
      <c r="U653" s="277"/>
      <c r="V653" s="278"/>
      <c r="W653" s="443" t="str">
        <f t="array" ref="W653">IFERROR(IFS(OR(U653="A1-Mewtwo", U653="A1-Pikachu", U653="A1-Charizard", U653="A1"), $B$5-XLOOKUP(S653, 'Genetic Apex'!$C$2:$C889, 'Genetic Apex'!$B$2:$B889), U653="A1a", $B$5-XLOOKUP(S653, 'Mythical Island'!$C$2:$C889, 'Mythical Island'!$B$2:$B889), OR(U653="A2-Dialga", U653="A2-Palkia", U653="A2"), $B$5-XLOOKUP(S653, 'Space-Time Smackdown'!$C$2:$C889, 'Space-Time Smackdown'!$B$2:$B889)))</f>
        <v/>
      </c>
      <c r="X653" s="444" t="str">
        <f t="shared" si="3"/>
        <v/>
      </c>
      <c r="Y653" s="445" t="str">
        <f t="shared" si="4"/>
        <v/>
      </c>
      <c r="Z653" s="278"/>
      <c r="AA653" s="466"/>
      <c r="AB653" s="278"/>
      <c r="AC653" s="278"/>
      <c r="AD653" s="278"/>
      <c r="AE653" s="278"/>
      <c r="AF653" s="278"/>
      <c r="AG653" s="278" t="b">
        <f t="shared" si="5"/>
        <v>0</v>
      </c>
      <c r="AH653" s="454"/>
      <c r="AI653" s="278"/>
      <c r="AJ653" s="278"/>
      <c r="AK653" s="278"/>
      <c r="AL653" s="444" t="str">
        <f t="array" ref="AL653">IFERROR(IFS(OR(AJ653="A1-Mewtwo", AJ653="A1-Pikachu", AJ653="A1-Charizard", AJ653="A1"), XLOOKUP(AH653, 'Genetic Apex'!$C$2:$C889, 'Genetic Apex'!$B$2:$B889)-2, AJ653="A1a", XLOOKUP(AH653, 'Mythical Island'!$C$2:$C889, 'Mythical Island'!$B$2:$B889)-2, OR(AJ653="A2-Dialga", AJ653="A2-Palkia", AJ653="A2"), XLOOKUP(AH653, 'Space-Time Smackdown'!$C$2:$C889, 'Space-Time Smackdown'!$B$2:$B889)-2))</f>
        <v/>
      </c>
      <c r="AM653" s="444" t="str">
        <f t="shared" si="6"/>
        <v/>
      </c>
      <c r="AN653" s="448" t="str">
        <f t="shared" si="7"/>
        <v/>
      </c>
    </row>
    <row r="654">
      <c r="A654" s="277"/>
      <c r="B654" s="277"/>
      <c r="C654" s="441"/>
      <c r="D654" s="277"/>
      <c r="E654" s="277"/>
      <c r="F654" s="277"/>
      <c r="G654" s="277"/>
      <c r="H654" s="277" t="b">
        <f t="shared" si="1"/>
        <v>0</v>
      </c>
      <c r="I654" s="277"/>
      <c r="J654" s="277"/>
      <c r="K654" s="277"/>
      <c r="L654" s="277"/>
      <c r="M654" s="440" t="b">
        <f t="shared" si="2"/>
        <v>0</v>
      </c>
      <c r="N654" s="441"/>
      <c r="O654" s="277"/>
      <c r="P654" s="277"/>
      <c r="Q654" s="278"/>
      <c r="R654" s="449" t="str">
        <f t="array" ref="R654">IFERROR(IFS(OR(P654="A1-Mewtwo", P654="A1-Pikachu", P654="A1-Charizard", P654="A1"), XLOOKUP(N654, 'Genetic Apex'!$C$2:$C889, 'Genetic Apex'!$B$2:$B889)-$B$4, P654="A1a", XLOOKUP(N654, 'Mythical Island'!$C$2:$C889, 'Mythical Island'!$B$2:$B889)-$B$4, OR(P654="A2-Dialga", P654="A2-Palkia", P654="A2"), XLOOKUP(N654, 'Space-Time Smackdown'!$C$2:$C889, 'Space-Time Smackdown'!$B$2:$B889)-$B$4))</f>
        <v/>
      </c>
      <c r="S654" s="277"/>
      <c r="T654" s="277"/>
      <c r="U654" s="277"/>
      <c r="V654" s="278"/>
      <c r="W654" s="443" t="str">
        <f t="array" ref="W654">IFERROR(IFS(OR(U654="A1-Mewtwo", U654="A1-Pikachu", U654="A1-Charizard", U654="A1"), $B$5-XLOOKUP(S654, 'Genetic Apex'!$C$2:$C889, 'Genetic Apex'!$B$2:$B889), U654="A1a", $B$5-XLOOKUP(S654, 'Mythical Island'!$C$2:$C889, 'Mythical Island'!$B$2:$B889), OR(U654="A2-Dialga", U654="A2-Palkia", U654="A2"), $B$5-XLOOKUP(S654, 'Space-Time Smackdown'!$C$2:$C889, 'Space-Time Smackdown'!$B$2:$B889)))</f>
        <v/>
      </c>
      <c r="X654" s="444" t="str">
        <f t="shared" si="3"/>
        <v/>
      </c>
      <c r="Y654" s="445" t="str">
        <f t="shared" si="4"/>
        <v/>
      </c>
      <c r="Z654" s="278"/>
      <c r="AA654" s="466"/>
      <c r="AB654" s="278"/>
      <c r="AC654" s="278"/>
      <c r="AD654" s="278"/>
      <c r="AE654" s="278"/>
      <c r="AF654" s="278"/>
      <c r="AG654" s="278" t="b">
        <f t="shared" si="5"/>
        <v>0</v>
      </c>
      <c r="AH654" s="454"/>
      <c r="AI654" s="278"/>
      <c r="AJ654" s="278"/>
      <c r="AK654" s="278"/>
      <c r="AL654" s="444" t="str">
        <f t="array" ref="AL654">IFERROR(IFS(OR(AJ654="A1-Mewtwo", AJ654="A1-Pikachu", AJ654="A1-Charizard", AJ654="A1"), XLOOKUP(AH654, 'Genetic Apex'!$C$2:$C889, 'Genetic Apex'!$B$2:$B889)-2, AJ654="A1a", XLOOKUP(AH654, 'Mythical Island'!$C$2:$C889, 'Mythical Island'!$B$2:$B889)-2, OR(AJ654="A2-Dialga", AJ654="A2-Palkia", AJ654="A2"), XLOOKUP(AH654, 'Space-Time Smackdown'!$C$2:$C889, 'Space-Time Smackdown'!$B$2:$B889)-2))</f>
        <v/>
      </c>
      <c r="AM654" s="444" t="str">
        <f t="shared" si="6"/>
        <v/>
      </c>
      <c r="AN654" s="448" t="str">
        <f t="shared" si="7"/>
        <v/>
      </c>
    </row>
    <row r="655">
      <c r="A655" s="277"/>
      <c r="B655" s="277"/>
      <c r="C655" s="441"/>
      <c r="D655" s="277"/>
      <c r="E655" s="277"/>
      <c r="F655" s="277"/>
      <c r="G655" s="277"/>
      <c r="H655" s="277" t="b">
        <f t="shared" si="1"/>
        <v>0</v>
      </c>
      <c r="I655" s="277"/>
      <c r="J655" s="277"/>
      <c r="K655" s="277"/>
      <c r="L655" s="277"/>
      <c r="M655" s="440" t="b">
        <f t="shared" si="2"/>
        <v>0</v>
      </c>
      <c r="N655" s="441"/>
      <c r="O655" s="277"/>
      <c r="P655" s="277"/>
      <c r="Q655" s="278"/>
      <c r="R655" s="449" t="str">
        <f t="array" ref="R655">IFERROR(IFS(OR(P655="A1-Mewtwo", P655="A1-Pikachu", P655="A1-Charizard", P655="A1"), XLOOKUP(N655, 'Genetic Apex'!$C$2:$C889, 'Genetic Apex'!$B$2:$B889)-$B$4, P655="A1a", XLOOKUP(N655, 'Mythical Island'!$C$2:$C889, 'Mythical Island'!$B$2:$B889)-$B$4, OR(P655="A2-Dialga", P655="A2-Palkia", P655="A2"), XLOOKUP(N655, 'Space-Time Smackdown'!$C$2:$C889, 'Space-Time Smackdown'!$B$2:$B889)-$B$4))</f>
        <v/>
      </c>
      <c r="S655" s="277"/>
      <c r="T655" s="277"/>
      <c r="U655" s="277"/>
      <c r="V655" s="278"/>
      <c r="W655" s="443" t="str">
        <f t="array" ref="W655">IFERROR(IFS(OR(U655="A1-Mewtwo", U655="A1-Pikachu", U655="A1-Charizard", U655="A1"), $B$5-XLOOKUP(S655, 'Genetic Apex'!$C$2:$C889, 'Genetic Apex'!$B$2:$B889), U655="A1a", $B$5-XLOOKUP(S655, 'Mythical Island'!$C$2:$C889, 'Mythical Island'!$B$2:$B889), OR(U655="A2-Dialga", U655="A2-Palkia", U655="A2"), $B$5-XLOOKUP(S655, 'Space-Time Smackdown'!$C$2:$C889, 'Space-Time Smackdown'!$B$2:$B889)))</f>
        <v/>
      </c>
      <c r="X655" s="444" t="str">
        <f t="shared" si="3"/>
        <v/>
      </c>
      <c r="Y655" s="445" t="str">
        <f t="shared" si="4"/>
        <v/>
      </c>
      <c r="Z655" s="278"/>
      <c r="AA655" s="466"/>
      <c r="AB655" s="278"/>
      <c r="AC655" s="278"/>
      <c r="AD655" s="278"/>
      <c r="AE655" s="278"/>
      <c r="AF655" s="278"/>
      <c r="AG655" s="278" t="b">
        <f t="shared" si="5"/>
        <v>0</v>
      </c>
      <c r="AH655" s="454"/>
      <c r="AI655" s="278"/>
      <c r="AJ655" s="278"/>
      <c r="AK655" s="278"/>
      <c r="AL655" s="444" t="str">
        <f t="array" ref="AL655">IFERROR(IFS(OR(AJ655="A1-Mewtwo", AJ655="A1-Pikachu", AJ655="A1-Charizard", AJ655="A1"), XLOOKUP(AH655, 'Genetic Apex'!$C$2:$C889, 'Genetic Apex'!$B$2:$B889)-2, AJ655="A1a", XLOOKUP(AH655, 'Mythical Island'!$C$2:$C889, 'Mythical Island'!$B$2:$B889)-2, OR(AJ655="A2-Dialga", AJ655="A2-Palkia", AJ655="A2"), XLOOKUP(AH655, 'Space-Time Smackdown'!$C$2:$C889, 'Space-Time Smackdown'!$B$2:$B889)-2))</f>
        <v/>
      </c>
      <c r="AM655" s="444" t="str">
        <f t="shared" si="6"/>
        <v/>
      </c>
      <c r="AN655" s="448" t="str">
        <f t="shared" si="7"/>
        <v/>
      </c>
    </row>
    <row r="656">
      <c r="A656" s="277"/>
      <c r="B656" s="277"/>
      <c r="C656" s="441"/>
      <c r="D656" s="277"/>
      <c r="E656" s="277"/>
      <c r="F656" s="277"/>
      <c r="G656" s="277"/>
      <c r="H656" s="277" t="b">
        <f t="shared" si="1"/>
        <v>0</v>
      </c>
      <c r="I656" s="277"/>
      <c r="J656" s="277"/>
      <c r="K656" s="277"/>
      <c r="L656" s="277"/>
      <c r="M656" s="440" t="b">
        <f t="shared" si="2"/>
        <v>0</v>
      </c>
      <c r="N656" s="441"/>
      <c r="O656" s="277"/>
      <c r="P656" s="277"/>
      <c r="Q656" s="278"/>
      <c r="R656" s="449" t="str">
        <f t="array" ref="R656">IFERROR(IFS(OR(P656="A1-Mewtwo", P656="A1-Pikachu", P656="A1-Charizard", P656="A1"), XLOOKUP(N656, 'Genetic Apex'!$C$2:$C889, 'Genetic Apex'!$B$2:$B889)-$B$4, P656="A1a", XLOOKUP(N656, 'Mythical Island'!$C$2:$C889, 'Mythical Island'!$B$2:$B889)-$B$4, OR(P656="A2-Dialga", P656="A2-Palkia", P656="A2"), XLOOKUP(N656, 'Space-Time Smackdown'!$C$2:$C889, 'Space-Time Smackdown'!$B$2:$B889)-$B$4))</f>
        <v/>
      </c>
      <c r="S656" s="277"/>
      <c r="T656" s="277"/>
      <c r="U656" s="277"/>
      <c r="V656" s="278"/>
      <c r="W656" s="443" t="str">
        <f t="array" ref="W656">IFERROR(IFS(OR(U656="A1-Mewtwo", U656="A1-Pikachu", U656="A1-Charizard", U656="A1"), $B$5-XLOOKUP(S656, 'Genetic Apex'!$C$2:$C889, 'Genetic Apex'!$B$2:$B889), U656="A1a", $B$5-XLOOKUP(S656, 'Mythical Island'!$C$2:$C889, 'Mythical Island'!$B$2:$B889), OR(U656="A2-Dialga", U656="A2-Palkia", U656="A2"), $B$5-XLOOKUP(S656, 'Space-Time Smackdown'!$C$2:$C889, 'Space-Time Smackdown'!$B$2:$B889)))</f>
        <v/>
      </c>
      <c r="X656" s="444" t="str">
        <f t="shared" si="3"/>
        <v/>
      </c>
      <c r="Y656" s="445" t="str">
        <f t="shared" si="4"/>
        <v/>
      </c>
      <c r="Z656" s="278"/>
      <c r="AA656" s="466"/>
      <c r="AB656" s="278"/>
      <c r="AC656" s="278"/>
      <c r="AD656" s="278"/>
      <c r="AE656" s="278"/>
      <c r="AF656" s="278"/>
      <c r="AG656" s="278" t="b">
        <f t="shared" si="5"/>
        <v>0</v>
      </c>
      <c r="AH656" s="454"/>
      <c r="AI656" s="278"/>
      <c r="AJ656" s="278"/>
      <c r="AK656" s="278"/>
      <c r="AL656" s="444" t="str">
        <f t="array" ref="AL656">IFERROR(IFS(OR(AJ656="A1-Mewtwo", AJ656="A1-Pikachu", AJ656="A1-Charizard", AJ656="A1"), XLOOKUP(AH656, 'Genetic Apex'!$C$2:$C889, 'Genetic Apex'!$B$2:$B889)-2, AJ656="A1a", XLOOKUP(AH656, 'Mythical Island'!$C$2:$C889, 'Mythical Island'!$B$2:$B889)-2, OR(AJ656="A2-Dialga", AJ656="A2-Palkia", AJ656="A2"), XLOOKUP(AH656, 'Space-Time Smackdown'!$C$2:$C889, 'Space-Time Smackdown'!$B$2:$B889)-2))</f>
        <v/>
      </c>
      <c r="AM656" s="444" t="str">
        <f t="shared" si="6"/>
        <v/>
      </c>
      <c r="AN656" s="448" t="str">
        <f t="shared" si="7"/>
        <v/>
      </c>
    </row>
    <row r="657">
      <c r="A657" s="277"/>
      <c r="B657" s="277"/>
      <c r="C657" s="441"/>
      <c r="D657" s="277"/>
      <c r="E657" s="277"/>
      <c r="F657" s="277"/>
      <c r="G657" s="277"/>
      <c r="H657" s="277" t="b">
        <f t="shared" si="1"/>
        <v>0</v>
      </c>
      <c r="I657" s="277"/>
      <c r="J657" s="277"/>
      <c r="K657" s="277"/>
      <c r="L657" s="277"/>
      <c r="M657" s="440" t="b">
        <f t="shared" si="2"/>
        <v>0</v>
      </c>
      <c r="N657" s="441"/>
      <c r="O657" s="277"/>
      <c r="P657" s="277"/>
      <c r="Q657" s="278"/>
      <c r="R657" s="449" t="str">
        <f t="array" ref="R657">IFERROR(IFS(OR(P657="A1-Mewtwo", P657="A1-Pikachu", P657="A1-Charizard", P657="A1"), XLOOKUP(N657, 'Genetic Apex'!$C$2:$C889, 'Genetic Apex'!$B$2:$B889)-$B$4, P657="A1a", XLOOKUP(N657, 'Mythical Island'!$C$2:$C889, 'Mythical Island'!$B$2:$B889)-$B$4, OR(P657="A2-Dialga", P657="A2-Palkia", P657="A2"), XLOOKUP(N657, 'Space-Time Smackdown'!$C$2:$C889, 'Space-Time Smackdown'!$B$2:$B889)-$B$4))</f>
        <v/>
      </c>
      <c r="S657" s="277"/>
      <c r="T657" s="277"/>
      <c r="U657" s="277"/>
      <c r="V657" s="278"/>
      <c r="W657" s="443" t="str">
        <f t="array" ref="W657">IFERROR(IFS(OR(U657="A1-Mewtwo", U657="A1-Pikachu", U657="A1-Charizard", U657="A1"), $B$5-XLOOKUP(S657, 'Genetic Apex'!$C$2:$C889, 'Genetic Apex'!$B$2:$B889), U657="A1a", $B$5-XLOOKUP(S657, 'Mythical Island'!$C$2:$C889, 'Mythical Island'!$B$2:$B889), OR(U657="A2-Dialga", U657="A2-Palkia", U657="A2"), $B$5-XLOOKUP(S657, 'Space-Time Smackdown'!$C$2:$C889, 'Space-Time Smackdown'!$B$2:$B889)))</f>
        <v/>
      </c>
      <c r="X657" s="444" t="str">
        <f t="shared" si="3"/>
        <v/>
      </c>
      <c r="Y657" s="445" t="str">
        <f t="shared" si="4"/>
        <v/>
      </c>
      <c r="Z657" s="278"/>
      <c r="AA657" s="466"/>
      <c r="AB657" s="278"/>
      <c r="AC657" s="278"/>
      <c r="AD657" s="278"/>
      <c r="AE657" s="278"/>
      <c r="AF657" s="278"/>
      <c r="AG657" s="278" t="b">
        <f t="shared" si="5"/>
        <v>0</v>
      </c>
      <c r="AH657" s="454"/>
      <c r="AI657" s="278"/>
      <c r="AJ657" s="278"/>
      <c r="AK657" s="278"/>
      <c r="AL657" s="444" t="str">
        <f t="array" ref="AL657">IFERROR(IFS(OR(AJ657="A1-Mewtwo", AJ657="A1-Pikachu", AJ657="A1-Charizard", AJ657="A1"), XLOOKUP(AH657, 'Genetic Apex'!$C$2:$C889, 'Genetic Apex'!$B$2:$B889)-2, AJ657="A1a", XLOOKUP(AH657, 'Mythical Island'!$C$2:$C889, 'Mythical Island'!$B$2:$B889)-2, OR(AJ657="A2-Dialga", AJ657="A2-Palkia", AJ657="A2"), XLOOKUP(AH657, 'Space-Time Smackdown'!$C$2:$C889, 'Space-Time Smackdown'!$B$2:$B889)-2))</f>
        <v/>
      </c>
      <c r="AM657" s="444" t="str">
        <f t="shared" si="6"/>
        <v/>
      </c>
      <c r="AN657" s="448" t="str">
        <f t="shared" si="7"/>
        <v/>
      </c>
    </row>
    <row r="658">
      <c r="A658" s="277"/>
      <c r="B658" s="277"/>
      <c r="C658" s="441"/>
      <c r="D658" s="277"/>
      <c r="E658" s="277"/>
      <c r="F658" s="277"/>
      <c r="G658" s="277"/>
      <c r="H658" s="277" t="b">
        <f t="shared" si="1"/>
        <v>0</v>
      </c>
      <c r="I658" s="277"/>
      <c r="J658" s="277"/>
      <c r="K658" s="277"/>
      <c r="L658" s="277"/>
      <c r="M658" s="440" t="b">
        <f t="shared" si="2"/>
        <v>0</v>
      </c>
      <c r="N658" s="441"/>
      <c r="O658" s="277"/>
      <c r="P658" s="277"/>
      <c r="Q658" s="278"/>
      <c r="R658" s="449" t="str">
        <f t="array" ref="R658">IFERROR(IFS(OR(P658="A1-Mewtwo", P658="A1-Pikachu", P658="A1-Charizard", P658="A1"), XLOOKUP(N658, 'Genetic Apex'!$C$2:$C889, 'Genetic Apex'!$B$2:$B889)-$B$4, P658="A1a", XLOOKUP(N658, 'Mythical Island'!$C$2:$C889, 'Mythical Island'!$B$2:$B889)-$B$4, OR(P658="A2-Dialga", P658="A2-Palkia", P658="A2"), XLOOKUP(N658, 'Space-Time Smackdown'!$C$2:$C889, 'Space-Time Smackdown'!$B$2:$B889)-$B$4))</f>
        <v/>
      </c>
      <c r="S658" s="277"/>
      <c r="T658" s="277"/>
      <c r="U658" s="277"/>
      <c r="V658" s="278"/>
      <c r="W658" s="443" t="str">
        <f t="array" ref="W658">IFERROR(IFS(OR(U658="A1-Mewtwo", U658="A1-Pikachu", U658="A1-Charizard", U658="A1"), $B$5-XLOOKUP(S658, 'Genetic Apex'!$C$2:$C889, 'Genetic Apex'!$B$2:$B889), U658="A1a", $B$5-XLOOKUP(S658, 'Mythical Island'!$C$2:$C889, 'Mythical Island'!$B$2:$B889), OR(U658="A2-Dialga", U658="A2-Palkia", U658="A2"), $B$5-XLOOKUP(S658, 'Space-Time Smackdown'!$C$2:$C889, 'Space-Time Smackdown'!$B$2:$B889)))</f>
        <v/>
      </c>
      <c r="X658" s="444" t="str">
        <f t="shared" si="3"/>
        <v/>
      </c>
      <c r="Y658" s="445" t="str">
        <f t="shared" si="4"/>
        <v/>
      </c>
      <c r="Z658" s="278"/>
      <c r="AA658" s="466"/>
      <c r="AB658" s="278"/>
      <c r="AC658" s="278"/>
      <c r="AD658" s="278"/>
      <c r="AE658" s="278"/>
      <c r="AF658" s="278"/>
      <c r="AG658" s="278" t="b">
        <f t="shared" si="5"/>
        <v>0</v>
      </c>
      <c r="AH658" s="454"/>
      <c r="AI658" s="278"/>
      <c r="AJ658" s="278"/>
      <c r="AK658" s="278"/>
      <c r="AL658" s="444" t="str">
        <f t="array" ref="AL658">IFERROR(IFS(OR(AJ658="A1-Mewtwo", AJ658="A1-Pikachu", AJ658="A1-Charizard", AJ658="A1"), XLOOKUP(AH658, 'Genetic Apex'!$C$2:$C889, 'Genetic Apex'!$B$2:$B889)-2, AJ658="A1a", XLOOKUP(AH658, 'Mythical Island'!$C$2:$C889, 'Mythical Island'!$B$2:$B889)-2, OR(AJ658="A2-Dialga", AJ658="A2-Palkia", AJ658="A2"), XLOOKUP(AH658, 'Space-Time Smackdown'!$C$2:$C889, 'Space-Time Smackdown'!$B$2:$B889)-2))</f>
        <v/>
      </c>
      <c r="AM658" s="444" t="str">
        <f t="shared" si="6"/>
        <v/>
      </c>
      <c r="AN658" s="448" t="str">
        <f t="shared" si="7"/>
        <v/>
      </c>
    </row>
    <row r="659">
      <c r="A659" s="277"/>
      <c r="B659" s="277"/>
      <c r="C659" s="441"/>
      <c r="D659" s="277"/>
      <c r="E659" s="277"/>
      <c r="F659" s="277"/>
      <c r="G659" s="277"/>
      <c r="H659" s="277" t="b">
        <f t="shared" si="1"/>
        <v>0</v>
      </c>
      <c r="I659" s="277"/>
      <c r="J659" s="277"/>
      <c r="K659" s="277"/>
      <c r="L659" s="277"/>
      <c r="M659" s="440" t="b">
        <f t="shared" si="2"/>
        <v>0</v>
      </c>
      <c r="N659" s="441"/>
      <c r="O659" s="277"/>
      <c r="P659" s="277"/>
      <c r="Q659" s="278"/>
      <c r="R659" s="449" t="str">
        <f t="array" ref="R659">IFERROR(IFS(OR(P659="A1-Mewtwo", P659="A1-Pikachu", P659="A1-Charizard", P659="A1"), XLOOKUP(N659, 'Genetic Apex'!$C$2:$C889, 'Genetic Apex'!$B$2:$B889)-$B$4, P659="A1a", XLOOKUP(N659, 'Mythical Island'!$C$2:$C889, 'Mythical Island'!$B$2:$B889)-$B$4, OR(P659="A2-Dialga", P659="A2-Palkia", P659="A2"), XLOOKUP(N659, 'Space-Time Smackdown'!$C$2:$C889, 'Space-Time Smackdown'!$B$2:$B889)-$B$4))</f>
        <v/>
      </c>
      <c r="S659" s="277"/>
      <c r="T659" s="277"/>
      <c r="U659" s="277"/>
      <c r="V659" s="278"/>
      <c r="W659" s="443" t="str">
        <f t="array" ref="W659">IFERROR(IFS(OR(U659="A1-Mewtwo", U659="A1-Pikachu", U659="A1-Charizard", U659="A1"), $B$5-XLOOKUP(S659, 'Genetic Apex'!$C$2:$C889, 'Genetic Apex'!$B$2:$B889), U659="A1a", $B$5-XLOOKUP(S659, 'Mythical Island'!$C$2:$C889, 'Mythical Island'!$B$2:$B889), OR(U659="A2-Dialga", U659="A2-Palkia", U659="A2"), $B$5-XLOOKUP(S659, 'Space-Time Smackdown'!$C$2:$C889, 'Space-Time Smackdown'!$B$2:$B889)))</f>
        <v/>
      </c>
      <c r="X659" s="444" t="str">
        <f t="shared" si="3"/>
        <v/>
      </c>
      <c r="Y659" s="445" t="str">
        <f t="shared" si="4"/>
        <v/>
      </c>
      <c r="Z659" s="278"/>
      <c r="AA659" s="466"/>
      <c r="AB659" s="278"/>
      <c r="AC659" s="278"/>
      <c r="AD659" s="278"/>
      <c r="AE659" s="278"/>
      <c r="AF659" s="278"/>
      <c r="AG659" s="278" t="b">
        <f t="shared" si="5"/>
        <v>0</v>
      </c>
      <c r="AH659" s="454"/>
      <c r="AI659" s="278"/>
      <c r="AJ659" s="278"/>
      <c r="AK659" s="278"/>
      <c r="AL659" s="444" t="str">
        <f t="array" ref="AL659">IFERROR(IFS(OR(AJ659="A1-Mewtwo", AJ659="A1-Pikachu", AJ659="A1-Charizard", AJ659="A1"), XLOOKUP(AH659, 'Genetic Apex'!$C$2:$C889, 'Genetic Apex'!$B$2:$B889)-2, AJ659="A1a", XLOOKUP(AH659, 'Mythical Island'!$C$2:$C889, 'Mythical Island'!$B$2:$B889)-2, OR(AJ659="A2-Dialga", AJ659="A2-Palkia", AJ659="A2"), XLOOKUP(AH659, 'Space-Time Smackdown'!$C$2:$C889, 'Space-Time Smackdown'!$B$2:$B889)-2))</f>
        <v/>
      </c>
      <c r="AM659" s="444" t="str">
        <f t="shared" si="6"/>
        <v/>
      </c>
      <c r="AN659" s="448" t="str">
        <f t="shared" si="7"/>
        <v/>
      </c>
    </row>
    <row r="660">
      <c r="A660" s="277"/>
      <c r="B660" s="277"/>
      <c r="C660" s="441"/>
      <c r="D660" s="277"/>
      <c r="E660" s="277"/>
      <c r="F660" s="277"/>
      <c r="G660" s="277"/>
      <c r="H660" s="277" t="b">
        <f t="shared" si="1"/>
        <v>0</v>
      </c>
      <c r="I660" s="277"/>
      <c r="J660" s="277"/>
      <c r="K660" s="277"/>
      <c r="L660" s="277"/>
      <c r="M660" s="440" t="b">
        <f t="shared" si="2"/>
        <v>0</v>
      </c>
      <c r="N660" s="441"/>
      <c r="O660" s="277"/>
      <c r="P660" s="277"/>
      <c r="Q660" s="278"/>
      <c r="R660" s="449" t="str">
        <f t="array" ref="R660">IFERROR(IFS(OR(P660="A1-Mewtwo", P660="A1-Pikachu", P660="A1-Charizard", P660="A1"), XLOOKUP(N660, 'Genetic Apex'!$C$2:$C889, 'Genetic Apex'!$B$2:$B889)-$B$4, P660="A1a", XLOOKUP(N660, 'Mythical Island'!$C$2:$C889, 'Mythical Island'!$B$2:$B889)-$B$4, OR(P660="A2-Dialga", P660="A2-Palkia", P660="A2"), XLOOKUP(N660, 'Space-Time Smackdown'!$C$2:$C889, 'Space-Time Smackdown'!$B$2:$B889)-$B$4))</f>
        <v/>
      </c>
      <c r="S660" s="277"/>
      <c r="T660" s="277"/>
      <c r="U660" s="277"/>
      <c r="V660" s="278"/>
      <c r="W660" s="443" t="str">
        <f t="array" ref="W660">IFERROR(IFS(OR(U660="A1-Mewtwo", U660="A1-Pikachu", U660="A1-Charizard", U660="A1"), $B$5-XLOOKUP(S660, 'Genetic Apex'!$C$2:$C889, 'Genetic Apex'!$B$2:$B889), U660="A1a", $B$5-XLOOKUP(S660, 'Mythical Island'!$C$2:$C889, 'Mythical Island'!$B$2:$B889), OR(U660="A2-Dialga", U660="A2-Palkia", U660="A2"), $B$5-XLOOKUP(S660, 'Space-Time Smackdown'!$C$2:$C889, 'Space-Time Smackdown'!$B$2:$B889)))</f>
        <v/>
      </c>
      <c r="X660" s="444" t="str">
        <f t="shared" si="3"/>
        <v/>
      </c>
      <c r="Y660" s="445" t="str">
        <f t="shared" si="4"/>
        <v/>
      </c>
      <c r="Z660" s="278"/>
      <c r="AA660" s="466"/>
      <c r="AB660" s="278"/>
      <c r="AC660" s="278"/>
      <c r="AD660" s="278"/>
      <c r="AE660" s="278"/>
      <c r="AF660" s="278"/>
      <c r="AG660" s="278" t="b">
        <f t="shared" si="5"/>
        <v>0</v>
      </c>
      <c r="AH660" s="454"/>
      <c r="AI660" s="278"/>
      <c r="AJ660" s="278"/>
      <c r="AK660" s="278"/>
      <c r="AL660" s="444" t="str">
        <f t="array" ref="AL660">IFERROR(IFS(OR(AJ660="A1-Mewtwo", AJ660="A1-Pikachu", AJ660="A1-Charizard", AJ660="A1"), XLOOKUP(AH660, 'Genetic Apex'!$C$2:$C889, 'Genetic Apex'!$B$2:$B889)-2, AJ660="A1a", XLOOKUP(AH660, 'Mythical Island'!$C$2:$C889, 'Mythical Island'!$B$2:$B889)-2, OR(AJ660="A2-Dialga", AJ660="A2-Palkia", AJ660="A2"), XLOOKUP(AH660, 'Space-Time Smackdown'!$C$2:$C889, 'Space-Time Smackdown'!$B$2:$B889)-2))</f>
        <v/>
      </c>
      <c r="AM660" s="444" t="str">
        <f t="shared" si="6"/>
        <v/>
      </c>
      <c r="AN660" s="448" t="str">
        <f t="shared" si="7"/>
        <v/>
      </c>
    </row>
    <row r="661">
      <c r="A661" s="277"/>
      <c r="B661" s="277"/>
      <c r="C661" s="441"/>
      <c r="D661" s="277"/>
      <c r="E661" s="277"/>
      <c r="F661" s="277"/>
      <c r="G661" s="277"/>
      <c r="H661" s="277" t="b">
        <f t="shared" si="1"/>
        <v>0</v>
      </c>
      <c r="I661" s="277"/>
      <c r="J661" s="277"/>
      <c r="K661" s="277"/>
      <c r="L661" s="277"/>
      <c r="M661" s="440" t="b">
        <f t="shared" si="2"/>
        <v>0</v>
      </c>
      <c r="N661" s="441"/>
      <c r="O661" s="277"/>
      <c r="P661" s="277"/>
      <c r="Q661" s="278"/>
      <c r="R661" s="449" t="str">
        <f t="array" ref="R661">IFERROR(IFS(OR(P661="A1-Mewtwo", P661="A1-Pikachu", P661="A1-Charizard", P661="A1"), XLOOKUP(N661, 'Genetic Apex'!$C$2:$C889, 'Genetic Apex'!$B$2:$B889)-$B$4, P661="A1a", XLOOKUP(N661, 'Mythical Island'!$C$2:$C889, 'Mythical Island'!$B$2:$B889)-$B$4, OR(P661="A2-Dialga", P661="A2-Palkia", P661="A2"), XLOOKUP(N661, 'Space-Time Smackdown'!$C$2:$C889, 'Space-Time Smackdown'!$B$2:$B889)-$B$4))</f>
        <v/>
      </c>
      <c r="S661" s="277"/>
      <c r="T661" s="277"/>
      <c r="U661" s="277"/>
      <c r="V661" s="278"/>
      <c r="W661" s="443" t="str">
        <f t="array" ref="W661">IFERROR(IFS(OR(U661="A1-Mewtwo", U661="A1-Pikachu", U661="A1-Charizard", U661="A1"), $B$5-XLOOKUP(S661, 'Genetic Apex'!$C$2:$C889, 'Genetic Apex'!$B$2:$B889), U661="A1a", $B$5-XLOOKUP(S661, 'Mythical Island'!$C$2:$C889, 'Mythical Island'!$B$2:$B889), OR(U661="A2-Dialga", U661="A2-Palkia", U661="A2"), $B$5-XLOOKUP(S661, 'Space-Time Smackdown'!$C$2:$C889, 'Space-Time Smackdown'!$B$2:$B889)))</f>
        <v/>
      </c>
      <c r="X661" s="444" t="str">
        <f t="shared" si="3"/>
        <v/>
      </c>
      <c r="Y661" s="445" t="str">
        <f t="shared" si="4"/>
        <v/>
      </c>
      <c r="Z661" s="278"/>
      <c r="AA661" s="466"/>
      <c r="AB661" s="278"/>
      <c r="AC661" s="278"/>
      <c r="AD661" s="278"/>
      <c r="AE661" s="278"/>
      <c r="AF661" s="278"/>
      <c r="AG661" s="278" t="b">
        <f t="shared" si="5"/>
        <v>0</v>
      </c>
      <c r="AH661" s="454"/>
      <c r="AI661" s="278"/>
      <c r="AJ661" s="278"/>
      <c r="AK661" s="278"/>
      <c r="AL661" s="444" t="str">
        <f t="array" ref="AL661">IFERROR(IFS(OR(AJ661="A1-Mewtwo", AJ661="A1-Pikachu", AJ661="A1-Charizard", AJ661="A1"), XLOOKUP(AH661, 'Genetic Apex'!$C$2:$C889, 'Genetic Apex'!$B$2:$B889)-2, AJ661="A1a", XLOOKUP(AH661, 'Mythical Island'!$C$2:$C889, 'Mythical Island'!$B$2:$B889)-2, OR(AJ661="A2-Dialga", AJ661="A2-Palkia", AJ661="A2"), XLOOKUP(AH661, 'Space-Time Smackdown'!$C$2:$C889, 'Space-Time Smackdown'!$B$2:$B889)-2))</f>
        <v/>
      </c>
      <c r="AM661" s="444" t="str">
        <f t="shared" si="6"/>
        <v/>
      </c>
      <c r="AN661" s="448" t="str">
        <f t="shared" si="7"/>
        <v/>
      </c>
    </row>
    <row r="662">
      <c r="A662" s="277"/>
      <c r="B662" s="277"/>
      <c r="C662" s="441"/>
      <c r="D662" s="277"/>
      <c r="E662" s="277"/>
      <c r="F662" s="277"/>
      <c r="G662" s="277"/>
      <c r="H662" s="277" t="b">
        <f t="shared" si="1"/>
        <v>0</v>
      </c>
      <c r="I662" s="277"/>
      <c r="J662" s="277"/>
      <c r="K662" s="277"/>
      <c r="L662" s="277"/>
      <c r="M662" s="440" t="b">
        <f t="shared" si="2"/>
        <v>0</v>
      </c>
      <c r="N662" s="441"/>
      <c r="O662" s="277"/>
      <c r="P662" s="277"/>
      <c r="Q662" s="278"/>
      <c r="R662" s="449" t="str">
        <f t="array" ref="R662">IFERROR(IFS(OR(P662="A1-Mewtwo", P662="A1-Pikachu", P662="A1-Charizard", P662="A1"), XLOOKUP(N662, 'Genetic Apex'!$C$2:$C889, 'Genetic Apex'!$B$2:$B889)-$B$4, P662="A1a", XLOOKUP(N662, 'Mythical Island'!$C$2:$C889, 'Mythical Island'!$B$2:$B889)-$B$4, OR(P662="A2-Dialga", P662="A2-Palkia", P662="A2"), XLOOKUP(N662, 'Space-Time Smackdown'!$C$2:$C889, 'Space-Time Smackdown'!$B$2:$B889)-$B$4))</f>
        <v/>
      </c>
      <c r="S662" s="277"/>
      <c r="T662" s="277"/>
      <c r="U662" s="277"/>
      <c r="V662" s="278"/>
      <c r="W662" s="443" t="str">
        <f t="array" ref="W662">IFERROR(IFS(OR(U662="A1-Mewtwo", U662="A1-Pikachu", U662="A1-Charizard", U662="A1"), $B$5-XLOOKUP(S662, 'Genetic Apex'!$C$2:$C889, 'Genetic Apex'!$B$2:$B889), U662="A1a", $B$5-XLOOKUP(S662, 'Mythical Island'!$C$2:$C889, 'Mythical Island'!$B$2:$B889), OR(U662="A2-Dialga", U662="A2-Palkia", U662="A2"), $B$5-XLOOKUP(S662, 'Space-Time Smackdown'!$C$2:$C889, 'Space-Time Smackdown'!$B$2:$B889)))</f>
        <v/>
      </c>
      <c r="X662" s="444" t="str">
        <f t="shared" si="3"/>
        <v/>
      </c>
      <c r="Y662" s="445" t="str">
        <f t="shared" si="4"/>
        <v/>
      </c>
      <c r="Z662" s="278"/>
      <c r="AA662" s="466"/>
      <c r="AB662" s="278"/>
      <c r="AC662" s="278"/>
      <c r="AD662" s="278"/>
      <c r="AE662" s="278"/>
      <c r="AF662" s="278"/>
      <c r="AG662" s="278" t="b">
        <f t="shared" si="5"/>
        <v>0</v>
      </c>
      <c r="AH662" s="454"/>
      <c r="AI662" s="278"/>
      <c r="AJ662" s="278"/>
      <c r="AK662" s="278"/>
      <c r="AL662" s="444" t="str">
        <f t="array" ref="AL662">IFERROR(IFS(OR(AJ662="A1-Mewtwo", AJ662="A1-Pikachu", AJ662="A1-Charizard", AJ662="A1"), XLOOKUP(AH662, 'Genetic Apex'!$C$2:$C889, 'Genetic Apex'!$B$2:$B889)-2, AJ662="A1a", XLOOKUP(AH662, 'Mythical Island'!$C$2:$C889, 'Mythical Island'!$B$2:$B889)-2, OR(AJ662="A2-Dialga", AJ662="A2-Palkia", AJ662="A2"), XLOOKUP(AH662, 'Space-Time Smackdown'!$C$2:$C889, 'Space-Time Smackdown'!$B$2:$B889)-2))</f>
        <v/>
      </c>
      <c r="AM662" s="444" t="str">
        <f t="shared" si="6"/>
        <v/>
      </c>
      <c r="AN662" s="448" t="str">
        <f t="shared" si="7"/>
        <v/>
      </c>
    </row>
    <row r="663">
      <c r="A663" s="277"/>
      <c r="B663" s="277"/>
      <c r="C663" s="441"/>
      <c r="D663" s="277"/>
      <c r="E663" s="277"/>
      <c r="F663" s="277"/>
      <c r="G663" s="277"/>
      <c r="H663" s="277" t="b">
        <f t="shared" si="1"/>
        <v>0</v>
      </c>
      <c r="I663" s="277"/>
      <c r="J663" s="277"/>
      <c r="K663" s="277"/>
      <c r="L663" s="277"/>
      <c r="M663" s="440" t="b">
        <f t="shared" si="2"/>
        <v>0</v>
      </c>
      <c r="N663" s="441"/>
      <c r="O663" s="277"/>
      <c r="P663" s="277"/>
      <c r="Q663" s="278"/>
      <c r="R663" s="449" t="str">
        <f t="array" ref="R663">IFERROR(IFS(OR(P663="A1-Mewtwo", P663="A1-Pikachu", P663="A1-Charizard", P663="A1"), XLOOKUP(N663, 'Genetic Apex'!$C$2:$C889, 'Genetic Apex'!$B$2:$B889)-$B$4, P663="A1a", XLOOKUP(N663, 'Mythical Island'!$C$2:$C889, 'Mythical Island'!$B$2:$B889)-$B$4, OR(P663="A2-Dialga", P663="A2-Palkia", P663="A2"), XLOOKUP(N663, 'Space-Time Smackdown'!$C$2:$C889, 'Space-Time Smackdown'!$B$2:$B889)-$B$4))</f>
        <v/>
      </c>
      <c r="S663" s="277"/>
      <c r="T663" s="277"/>
      <c r="U663" s="277"/>
      <c r="V663" s="278"/>
      <c r="W663" s="443" t="str">
        <f t="array" ref="W663">IFERROR(IFS(OR(U663="A1-Mewtwo", U663="A1-Pikachu", U663="A1-Charizard", U663="A1"), $B$5-XLOOKUP(S663, 'Genetic Apex'!$C$2:$C889, 'Genetic Apex'!$B$2:$B889), U663="A1a", $B$5-XLOOKUP(S663, 'Mythical Island'!$C$2:$C889, 'Mythical Island'!$B$2:$B889), OR(U663="A2-Dialga", U663="A2-Palkia", U663="A2"), $B$5-XLOOKUP(S663, 'Space-Time Smackdown'!$C$2:$C889, 'Space-Time Smackdown'!$B$2:$B889)))</f>
        <v/>
      </c>
      <c r="X663" s="444" t="str">
        <f t="shared" si="3"/>
        <v/>
      </c>
      <c r="Y663" s="445" t="str">
        <f t="shared" si="4"/>
        <v/>
      </c>
      <c r="Z663" s="278"/>
      <c r="AA663" s="466"/>
      <c r="AB663" s="278"/>
      <c r="AC663" s="278"/>
      <c r="AD663" s="278"/>
      <c r="AE663" s="278"/>
      <c r="AF663" s="278"/>
      <c r="AG663" s="278" t="b">
        <f t="shared" si="5"/>
        <v>0</v>
      </c>
      <c r="AH663" s="454"/>
      <c r="AI663" s="278"/>
      <c r="AJ663" s="278"/>
      <c r="AK663" s="278"/>
      <c r="AL663" s="444" t="str">
        <f t="array" ref="AL663">IFERROR(IFS(OR(AJ663="A1-Mewtwo", AJ663="A1-Pikachu", AJ663="A1-Charizard", AJ663="A1"), XLOOKUP(AH663, 'Genetic Apex'!$C$2:$C889, 'Genetic Apex'!$B$2:$B889)-2, AJ663="A1a", XLOOKUP(AH663, 'Mythical Island'!$C$2:$C889, 'Mythical Island'!$B$2:$B889)-2, OR(AJ663="A2-Dialga", AJ663="A2-Palkia", AJ663="A2"), XLOOKUP(AH663, 'Space-Time Smackdown'!$C$2:$C889, 'Space-Time Smackdown'!$B$2:$B889)-2))</f>
        <v/>
      </c>
      <c r="AM663" s="444" t="str">
        <f t="shared" si="6"/>
        <v/>
      </c>
      <c r="AN663" s="448" t="str">
        <f t="shared" si="7"/>
        <v/>
      </c>
    </row>
    <row r="664">
      <c r="A664" s="277"/>
      <c r="B664" s="277"/>
      <c r="C664" s="441"/>
      <c r="D664" s="277"/>
      <c r="E664" s="277"/>
      <c r="F664" s="277"/>
      <c r="G664" s="277"/>
      <c r="H664" s="277" t="b">
        <f t="shared" si="1"/>
        <v>0</v>
      </c>
      <c r="I664" s="277"/>
      <c r="J664" s="277"/>
      <c r="K664" s="277"/>
      <c r="L664" s="277"/>
      <c r="M664" s="440" t="b">
        <f t="shared" si="2"/>
        <v>0</v>
      </c>
      <c r="N664" s="441"/>
      <c r="O664" s="277"/>
      <c r="P664" s="277"/>
      <c r="Q664" s="278"/>
      <c r="R664" s="449" t="str">
        <f t="array" ref="R664">IFERROR(IFS(OR(P664="A1-Mewtwo", P664="A1-Pikachu", P664="A1-Charizard", P664="A1"), XLOOKUP(N664, 'Genetic Apex'!$C$2:$C889, 'Genetic Apex'!$B$2:$B889)-$B$4, P664="A1a", XLOOKUP(N664, 'Mythical Island'!$C$2:$C889, 'Mythical Island'!$B$2:$B889)-$B$4, OR(P664="A2-Dialga", P664="A2-Palkia", P664="A2"), XLOOKUP(N664, 'Space-Time Smackdown'!$C$2:$C889, 'Space-Time Smackdown'!$B$2:$B889)-$B$4))</f>
        <v/>
      </c>
      <c r="S664" s="277"/>
      <c r="T664" s="277"/>
      <c r="U664" s="277"/>
      <c r="V664" s="278"/>
      <c r="W664" s="443" t="str">
        <f t="array" ref="W664">IFERROR(IFS(OR(U664="A1-Mewtwo", U664="A1-Pikachu", U664="A1-Charizard", U664="A1"), $B$5-XLOOKUP(S664, 'Genetic Apex'!$C$2:$C889, 'Genetic Apex'!$B$2:$B889), U664="A1a", $B$5-XLOOKUP(S664, 'Mythical Island'!$C$2:$C889, 'Mythical Island'!$B$2:$B889), OR(U664="A2-Dialga", U664="A2-Palkia", U664="A2"), $B$5-XLOOKUP(S664, 'Space-Time Smackdown'!$C$2:$C889, 'Space-Time Smackdown'!$B$2:$B889)))</f>
        <v/>
      </c>
      <c r="X664" s="444" t="str">
        <f t="shared" si="3"/>
        <v/>
      </c>
      <c r="Y664" s="445" t="str">
        <f t="shared" si="4"/>
        <v/>
      </c>
      <c r="Z664" s="278"/>
      <c r="AA664" s="466"/>
      <c r="AB664" s="278"/>
      <c r="AC664" s="278"/>
      <c r="AD664" s="278"/>
      <c r="AE664" s="278"/>
      <c r="AF664" s="278"/>
      <c r="AG664" s="278" t="b">
        <f t="shared" si="5"/>
        <v>0</v>
      </c>
      <c r="AH664" s="454"/>
      <c r="AI664" s="278"/>
      <c r="AJ664" s="278"/>
      <c r="AK664" s="278"/>
      <c r="AL664" s="444" t="str">
        <f t="array" ref="AL664">IFERROR(IFS(OR(AJ664="A1-Mewtwo", AJ664="A1-Pikachu", AJ664="A1-Charizard", AJ664="A1"), XLOOKUP(AH664, 'Genetic Apex'!$C$2:$C889, 'Genetic Apex'!$B$2:$B889)-2, AJ664="A1a", XLOOKUP(AH664, 'Mythical Island'!$C$2:$C889, 'Mythical Island'!$B$2:$B889)-2, OR(AJ664="A2-Dialga", AJ664="A2-Palkia", AJ664="A2"), XLOOKUP(AH664, 'Space-Time Smackdown'!$C$2:$C889, 'Space-Time Smackdown'!$B$2:$B889)-2))</f>
        <v/>
      </c>
      <c r="AM664" s="444" t="str">
        <f t="shared" si="6"/>
        <v/>
      </c>
      <c r="AN664" s="448" t="str">
        <f t="shared" si="7"/>
        <v/>
      </c>
    </row>
    <row r="665">
      <c r="A665" s="277"/>
      <c r="B665" s="277"/>
      <c r="C665" s="441"/>
      <c r="D665" s="277"/>
      <c r="E665" s="277"/>
      <c r="F665" s="277"/>
      <c r="G665" s="277"/>
      <c r="H665" s="277" t="b">
        <f t="shared" si="1"/>
        <v>0</v>
      </c>
      <c r="I665" s="277"/>
      <c r="J665" s="277"/>
      <c r="K665" s="277"/>
      <c r="L665" s="277"/>
      <c r="M665" s="440" t="b">
        <f t="shared" si="2"/>
        <v>0</v>
      </c>
      <c r="N665" s="441"/>
      <c r="O665" s="277"/>
      <c r="P665" s="277"/>
      <c r="Q665" s="278"/>
      <c r="R665" s="449" t="str">
        <f t="array" ref="R665">IFERROR(IFS(OR(P665="A1-Mewtwo", P665="A1-Pikachu", P665="A1-Charizard", P665="A1"), XLOOKUP(N665, 'Genetic Apex'!$C$2:$C889, 'Genetic Apex'!$B$2:$B889)-$B$4, P665="A1a", XLOOKUP(N665, 'Mythical Island'!$C$2:$C889, 'Mythical Island'!$B$2:$B889)-$B$4, OR(P665="A2-Dialga", P665="A2-Palkia", P665="A2"), XLOOKUP(N665, 'Space-Time Smackdown'!$C$2:$C889, 'Space-Time Smackdown'!$B$2:$B889)-$B$4))</f>
        <v/>
      </c>
      <c r="S665" s="277"/>
      <c r="T665" s="277"/>
      <c r="U665" s="277"/>
      <c r="V665" s="278"/>
      <c r="W665" s="443" t="str">
        <f t="array" ref="W665">IFERROR(IFS(OR(U665="A1-Mewtwo", U665="A1-Pikachu", U665="A1-Charizard", U665="A1"), $B$5-XLOOKUP(S665, 'Genetic Apex'!$C$2:$C889, 'Genetic Apex'!$B$2:$B889), U665="A1a", $B$5-XLOOKUP(S665, 'Mythical Island'!$C$2:$C889, 'Mythical Island'!$B$2:$B889), OR(U665="A2-Dialga", U665="A2-Palkia", U665="A2"), $B$5-XLOOKUP(S665, 'Space-Time Smackdown'!$C$2:$C889, 'Space-Time Smackdown'!$B$2:$B889)))</f>
        <v/>
      </c>
      <c r="X665" s="444" t="str">
        <f t="shared" si="3"/>
        <v/>
      </c>
      <c r="Y665" s="445" t="str">
        <f t="shared" si="4"/>
        <v/>
      </c>
      <c r="Z665" s="278"/>
      <c r="AA665" s="466"/>
      <c r="AB665" s="278"/>
      <c r="AC665" s="278"/>
      <c r="AD665" s="278"/>
      <c r="AE665" s="278"/>
      <c r="AF665" s="278"/>
      <c r="AG665" s="278" t="b">
        <f t="shared" si="5"/>
        <v>0</v>
      </c>
      <c r="AH665" s="454"/>
      <c r="AI665" s="278"/>
      <c r="AJ665" s="278"/>
      <c r="AK665" s="278"/>
      <c r="AL665" s="444" t="str">
        <f t="array" ref="AL665">IFERROR(IFS(OR(AJ665="A1-Mewtwo", AJ665="A1-Pikachu", AJ665="A1-Charizard", AJ665="A1"), XLOOKUP(AH665, 'Genetic Apex'!$C$2:$C889, 'Genetic Apex'!$B$2:$B889)-2, AJ665="A1a", XLOOKUP(AH665, 'Mythical Island'!$C$2:$C889, 'Mythical Island'!$B$2:$B889)-2, OR(AJ665="A2-Dialga", AJ665="A2-Palkia", AJ665="A2"), XLOOKUP(AH665, 'Space-Time Smackdown'!$C$2:$C889, 'Space-Time Smackdown'!$B$2:$B889)-2))</f>
        <v/>
      </c>
      <c r="AM665" s="444" t="str">
        <f t="shared" si="6"/>
        <v/>
      </c>
      <c r="AN665" s="448" t="str">
        <f t="shared" si="7"/>
        <v/>
      </c>
    </row>
    <row r="666">
      <c r="A666" s="277"/>
      <c r="B666" s="277"/>
      <c r="C666" s="441"/>
      <c r="D666" s="277"/>
      <c r="E666" s="277"/>
      <c r="F666" s="277"/>
      <c r="G666" s="277"/>
      <c r="H666" s="277" t="b">
        <f t="shared" si="1"/>
        <v>0</v>
      </c>
      <c r="I666" s="277"/>
      <c r="J666" s="277"/>
      <c r="K666" s="277"/>
      <c r="L666" s="277"/>
      <c r="M666" s="440" t="b">
        <f t="shared" si="2"/>
        <v>0</v>
      </c>
      <c r="N666" s="441"/>
      <c r="O666" s="277"/>
      <c r="P666" s="277"/>
      <c r="Q666" s="278"/>
      <c r="R666" s="449" t="str">
        <f t="array" ref="R666">IFERROR(IFS(OR(P666="A1-Mewtwo", P666="A1-Pikachu", P666="A1-Charizard", P666="A1"), XLOOKUP(N666, 'Genetic Apex'!$C$2:$C889, 'Genetic Apex'!$B$2:$B889)-$B$4, P666="A1a", XLOOKUP(N666, 'Mythical Island'!$C$2:$C889, 'Mythical Island'!$B$2:$B889)-$B$4, OR(P666="A2-Dialga", P666="A2-Palkia", P666="A2"), XLOOKUP(N666, 'Space-Time Smackdown'!$C$2:$C889, 'Space-Time Smackdown'!$B$2:$B889)-$B$4))</f>
        <v/>
      </c>
      <c r="S666" s="277"/>
      <c r="T666" s="277"/>
      <c r="U666" s="277"/>
      <c r="V666" s="278"/>
      <c r="W666" s="443" t="str">
        <f t="array" ref="W666">IFERROR(IFS(OR(U666="A1-Mewtwo", U666="A1-Pikachu", U666="A1-Charizard", U666="A1"), $B$5-XLOOKUP(S666, 'Genetic Apex'!$C$2:$C889, 'Genetic Apex'!$B$2:$B889), U666="A1a", $B$5-XLOOKUP(S666, 'Mythical Island'!$C$2:$C889, 'Mythical Island'!$B$2:$B889), OR(U666="A2-Dialga", U666="A2-Palkia", U666="A2"), $B$5-XLOOKUP(S666, 'Space-Time Smackdown'!$C$2:$C889, 'Space-Time Smackdown'!$B$2:$B889)))</f>
        <v/>
      </c>
      <c r="X666" s="444" t="str">
        <f t="shared" si="3"/>
        <v/>
      </c>
      <c r="Y666" s="445" t="str">
        <f t="shared" si="4"/>
        <v/>
      </c>
      <c r="Z666" s="278"/>
      <c r="AA666" s="466"/>
      <c r="AB666" s="278"/>
      <c r="AC666" s="278"/>
      <c r="AD666" s="278"/>
      <c r="AE666" s="278"/>
      <c r="AF666" s="278"/>
      <c r="AG666" s="278" t="b">
        <f t="shared" si="5"/>
        <v>0</v>
      </c>
      <c r="AH666" s="454"/>
      <c r="AI666" s="278"/>
      <c r="AJ666" s="278"/>
      <c r="AK666" s="278"/>
      <c r="AL666" s="444" t="str">
        <f t="array" ref="AL666">IFERROR(IFS(OR(AJ666="A1-Mewtwo", AJ666="A1-Pikachu", AJ666="A1-Charizard", AJ666="A1"), XLOOKUP(AH666, 'Genetic Apex'!$C$2:$C889, 'Genetic Apex'!$B$2:$B889)-2, AJ666="A1a", XLOOKUP(AH666, 'Mythical Island'!$C$2:$C889, 'Mythical Island'!$B$2:$B889)-2, OR(AJ666="A2-Dialga", AJ666="A2-Palkia", AJ666="A2"), XLOOKUP(AH666, 'Space-Time Smackdown'!$C$2:$C889, 'Space-Time Smackdown'!$B$2:$B889)-2))</f>
        <v/>
      </c>
      <c r="AM666" s="444" t="str">
        <f t="shared" si="6"/>
        <v/>
      </c>
      <c r="AN666" s="448" t="str">
        <f t="shared" si="7"/>
        <v/>
      </c>
    </row>
    <row r="667">
      <c r="A667" s="277"/>
      <c r="B667" s="277"/>
      <c r="C667" s="441"/>
      <c r="D667" s="277"/>
      <c r="E667" s="277"/>
      <c r="F667" s="277"/>
      <c r="G667" s="277"/>
      <c r="H667" s="277" t="b">
        <f t="shared" si="1"/>
        <v>0</v>
      </c>
      <c r="I667" s="277"/>
      <c r="J667" s="277"/>
      <c r="K667" s="277"/>
      <c r="L667" s="277"/>
      <c r="M667" s="440" t="b">
        <f t="shared" si="2"/>
        <v>0</v>
      </c>
      <c r="N667" s="441"/>
      <c r="O667" s="277"/>
      <c r="P667" s="277"/>
      <c r="Q667" s="278"/>
      <c r="R667" s="449" t="str">
        <f t="array" ref="R667">IFERROR(IFS(OR(P667="A1-Mewtwo", P667="A1-Pikachu", P667="A1-Charizard", P667="A1"), XLOOKUP(N667, 'Genetic Apex'!$C$2:$C889, 'Genetic Apex'!$B$2:$B889)-$B$4, P667="A1a", XLOOKUP(N667, 'Mythical Island'!$C$2:$C889, 'Mythical Island'!$B$2:$B889)-$B$4, OR(P667="A2-Dialga", P667="A2-Palkia", P667="A2"), XLOOKUP(N667, 'Space-Time Smackdown'!$C$2:$C889, 'Space-Time Smackdown'!$B$2:$B889)-$B$4))</f>
        <v/>
      </c>
      <c r="S667" s="277"/>
      <c r="T667" s="277"/>
      <c r="U667" s="277"/>
      <c r="V667" s="278"/>
      <c r="W667" s="443" t="str">
        <f t="array" ref="W667">IFERROR(IFS(OR(U667="A1-Mewtwo", U667="A1-Pikachu", U667="A1-Charizard", U667="A1"), $B$5-XLOOKUP(S667, 'Genetic Apex'!$C$2:$C889, 'Genetic Apex'!$B$2:$B889), U667="A1a", $B$5-XLOOKUP(S667, 'Mythical Island'!$C$2:$C889, 'Mythical Island'!$B$2:$B889), OR(U667="A2-Dialga", U667="A2-Palkia", U667="A2"), $B$5-XLOOKUP(S667, 'Space-Time Smackdown'!$C$2:$C889, 'Space-Time Smackdown'!$B$2:$B889)))</f>
        <v/>
      </c>
      <c r="X667" s="444" t="str">
        <f t="shared" si="3"/>
        <v/>
      </c>
      <c r="Y667" s="445" t="str">
        <f t="shared" si="4"/>
        <v/>
      </c>
      <c r="Z667" s="278"/>
      <c r="AA667" s="466"/>
      <c r="AB667" s="278"/>
      <c r="AC667" s="278"/>
      <c r="AD667" s="278"/>
      <c r="AE667" s="278"/>
      <c r="AF667" s="278"/>
      <c r="AG667" s="278" t="b">
        <f t="shared" si="5"/>
        <v>0</v>
      </c>
      <c r="AH667" s="454"/>
      <c r="AI667" s="278"/>
      <c r="AJ667" s="278"/>
      <c r="AK667" s="278"/>
      <c r="AL667" s="444" t="str">
        <f t="array" ref="AL667">IFERROR(IFS(OR(AJ667="A1-Mewtwo", AJ667="A1-Pikachu", AJ667="A1-Charizard", AJ667="A1"), XLOOKUP(AH667, 'Genetic Apex'!$C$2:$C889, 'Genetic Apex'!$B$2:$B889)-2, AJ667="A1a", XLOOKUP(AH667, 'Mythical Island'!$C$2:$C889, 'Mythical Island'!$B$2:$B889)-2, OR(AJ667="A2-Dialga", AJ667="A2-Palkia", AJ667="A2"), XLOOKUP(AH667, 'Space-Time Smackdown'!$C$2:$C889, 'Space-Time Smackdown'!$B$2:$B889)-2))</f>
        <v/>
      </c>
      <c r="AM667" s="444" t="str">
        <f t="shared" si="6"/>
        <v/>
      </c>
      <c r="AN667" s="448" t="str">
        <f t="shared" si="7"/>
        <v/>
      </c>
    </row>
    <row r="668">
      <c r="A668" s="277"/>
      <c r="B668" s="277"/>
      <c r="C668" s="441"/>
      <c r="D668" s="277"/>
      <c r="E668" s="277"/>
      <c r="F668" s="277"/>
      <c r="G668" s="277"/>
      <c r="H668" s="277" t="b">
        <f t="shared" si="1"/>
        <v>0</v>
      </c>
      <c r="I668" s="277"/>
      <c r="J668" s="277"/>
      <c r="K668" s="277"/>
      <c r="L668" s="277"/>
      <c r="M668" s="440" t="b">
        <f t="shared" si="2"/>
        <v>0</v>
      </c>
      <c r="N668" s="441"/>
      <c r="O668" s="277"/>
      <c r="P668" s="277"/>
      <c r="Q668" s="278"/>
      <c r="R668" s="449" t="str">
        <f t="array" ref="R668">IFERROR(IFS(OR(P668="A1-Mewtwo", P668="A1-Pikachu", P668="A1-Charizard", P668="A1"), XLOOKUP(N668, 'Genetic Apex'!$C$2:$C889, 'Genetic Apex'!$B$2:$B889)-$B$4, P668="A1a", XLOOKUP(N668, 'Mythical Island'!$C$2:$C889, 'Mythical Island'!$B$2:$B889)-$B$4, OR(P668="A2-Dialga", P668="A2-Palkia", P668="A2"), XLOOKUP(N668, 'Space-Time Smackdown'!$C$2:$C889, 'Space-Time Smackdown'!$B$2:$B889)-$B$4))</f>
        <v/>
      </c>
      <c r="S668" s="277"/>
      <c r="T668" s="277"/>
      <c r="U668" s="277"/>
      <c r="V668" s="278"/>
      <c r="W668" s="443" t="str">
        <f t="array" ref="W668">IFERROR(IFS(OR(U668="A1-Mewtwo", U668="A1-Pikachu", U668="A1-Charizard", U668="A1"), $B$5-XLOOKUP(S668, 'Genetic Apex'!$C$2:$C889, 'Genetic Apex'!$B$2:$B889), U668="A1a", $B$5-XLOOKUP(S668, 'Mythical Island'!$C$2:$C889, 'Mythical Island'!$B$2:$B889), OR(U668="A2-Dialga", U668="A2-Palkia", U668="A2"), $B$5-XLOOKUP(S668, 'Space-Time Smackdown'!$C$2:$C889, 'Space-Time Smackdown'!$B$2:$B889)))</f>
        <v/>
      </c>
      <c r="X668" s="444" t="str">
        <f t="shared" si="3"/>
        <v/>
      </c>
      <c r="Y668" s="445" t="str">
        <f t="shared" si="4"/>
        <v/>
      </c>
      <c r="Z668" s="278"/>
      <c r="AA668" s="466"/>
      <c r="AB668" s="278"/>
      <c r="AC668" s="278"/>
      <c r="AD668" s="278"/>
      <c r="AE668" s="278"/>
      <c r="AF668" s="278"/>
      <c r="AG668" s="278" t="b">
        <f t="shared" si="5"/>
        <v>0</v>
      </c>
      <c r="AH668" s="454"/>
      <c r="AI668" s="278"/>
      <c r="AJ668" s="278"/>
      <c r="AK668" s="278"/>
      <c r="AL668" s="444" t="str">
        <f t="array" ref="AL668">IFERROR(IFS(OR(AJ668="A1-Mewtwo", AJ668="A1-Pikachu", AJ668="A1-Charizard", AJ668="A1"), XLOOKUP(AH668, 'Genetic Apex'!$C$2:$C889, 'Genetic Apex'!$B$2:$B889)-2, AJ668="A1a", XLOOKUP(AH668, 'Mythical Island'!$C$2:$C889, 'Mythical Island'!$B$2:$B889)-2, OR(AJ668="A2-Dialga", AJ668="A2-Palkia", AJ668="A2"), XLOOKUP(AH668, 'Space-Time Smackdown'!$C$2:$C889, 'Space-Time Smackdown'!$B$2:$B889)-2))</f>
        <v/>
      </c>
      <c r="AM668" s="444" t="str">
        <f t="shared" si="6"/>
        <v/>
      </c>
      <c r="AN668" s="448" t="str">
        <f t="shared" si="7"/>
        <v/>
      </c>
    </row>
    <row r="669">
      <c r="A669" s="277"/>
      <c r="B669" s="277"/>
      <c r="C669" s="441"/>
      <c r="D669" s="277"/>
      <c r="E669" s="277"/>
      <c r="F669" s="277"/>
      <c r="G669" s="277"/>
      <c r="H669" s="277" t="b">
        <f t="shared" si="1"/>
        <v>0</v>
      </c>
      <c r="I669" s="277"/>
      <c r="J669" s="277"/>
      <c r="K669" s="277"/>
      <c r="L669" s="277"/>
      <c r="M669" s="440" t="b">
        <f t="shared" si="2"/>
        <v>0</v>
      </c>
      <c r="N669" s="441"/>
      <c r="O669" s="277"/>
      <c r="P669" s="277"/>
      <c r="Q669" s="278"/>
      <c r="R669" s="449" t="str">
        <f t="array" ref="R669">IFERROR(IFS(OR(P669="A1-Mewtwo", P669="A1-Pikachu", P669="A1-Charizard", P669="A1"), XLOOKUP(N669, 'Genetic Apex'!$C$2:$C889, 'Genetic Apex'!$B$2:$B889)-$B$4, P669="A1a", XLOOKUP(N669, 'Mythical Island'!$C$2:$C889, 'Mythical Island'!$B$2:$B889)-$B$4, OR(P669="A2-Dialga", P669="A2-Palkia", P669="A2"), XLOOKUP(N669, 'Space-Time Smackdown'!$C$2:$C889, 'Space-Time Smackdown'!$B$2:$B889)-$B$4))</f>
        <v/>
      </c>
      <c r="S669" s="277"/>
      <c r="T669" s="277"/>
      <c r="U669" s="277"/>
      <c r="V669" s="278"/>
      <c r="W669" s="443" t="str">
        <f t="array" ref="W669">IFERROR(IFS(OR(U669="A1-Mewtwo", U669="A1-Pikachu", U669="A1-Charizard", U669="A1"), $B$5-XLOOKUP(S669, 'Genetic Apex'!$C$2:$C889, 'Genetic Apex'!$B$2:$B889), U669="A1a", $B$5-XLOOKUP(S669, 'Mythical Island'!$C$2:$C889, 'Mythical Island'!$B$2:$B889), OR(U669="A2-Dialga", U669="A2-Palkia", U669="A2"), $B$5-XLOOKUP(S669, 'Space-Time Smackdown'!$C$2:$C889, 'Space-Time Smackdown'!$B$2:$B889)))</f>
        <v/>
      </c>
      <c r="X669" s="444" t="str">
        <f t="shared" si="3"/>
        <v/>
      </c>
      <c r="Y669" s="445" t="str">
        <f t="shared" si="4"/>
        <v/>
      </c>
      <c r="Z669" s="278"/>
      <c r="AA669" s="466"/>
      <c r="AB669" s="278"/>
      <c r="AC669" s="278"/>
      <c r="AD669" s="278"/>
      <c r="AE669" s="278"/>
      <c r="AF669" s="278"/>
      <c r="AG669" s="278" t="b">
        <f t="shared" si="5"/>
        <v>0</v>
      </c>
      <c r="AH669" s="454"/>
      <c r="AI669" s="278"/>
      <c r="AJ669" s="278"/>
      <c r="AK669" s="278"/>
      <c r="AL669" s="444" t="str">
        <f t="array" ref="AL669">IFERROR(IFS(OR(AJ669="A1-Mewtwo", AJ669="A1-Pikachu", AJ669="A1-Charizard", AJ669="A1"), XLOOKUP(AH669, 'Genetic Apex'!$C$2:$C889, 'Genetic Apex'!$B$2:$B889)-2, AJ669="A1a", XLOOKUP(AH669, 'Mythical Island'!$C$2:$C889, 'Mythical Island'!$B$2:$B889)-2, OR(AJ669="A2-Dialga", AJ669="A2-Palkia", AJ669="A2"), XLOOKUP(AH669, 'Space-Time Smackdown'!$C$2:$C889, 'Space-Time Smackdown'!$B$2:$B889)-2))</f>
        <v/>
      </c>
      <c r="AM669" s="444" t="str">
        <f t="shared" si="6"/>
        <v/>
      </c>
      <c r="AN669" s="448" t="str">
        <f t="shared" si="7"/>
        <v/>
      </c>
    </row>
    <row r="670">
      <c r="A670" s="277"/>
      <c r="B670" s="277"/>
      <c r="C670" s="441"/>
      <c r="D670" s="277"/>
      <c r="E670" s="277"/>
      <c r="F670" s="277"/>
      <c r="G670" s="277"/>
      <c r="H670" s="277" t="b">
        <f t="shared" si="1"/>
        <v>0</v>
      </c>
      <c r="I670" s="277"/>
      <c r="J670" s="277"/>
      <c r="K670" s="277"/>
      <c r="L670" s="277"/>
      <c r="M670" s="440" t="b">
        <f t="shared" si="2"/>
        <v>0</v>
      </c>
      <c r="N670" s="441"/>
      <c r="O670" s="277"/>
      <c r="P670" s="277"/>
      <c r="Q670" s="278"/>
      <c r="R670" s="449" t="str">
        <f t="array" ref="R670">IFERROR(IFS(OR(P670="A1-Mewtwo", P670="A1-Pikachu", P670="A1-Charizard", P670="A1"), XLOOKUP(N670, 'Genetic Apex'!$C$2:$C889, 'Genetic Apex'!$B$2:$B889)-$B$4, P670="A1a", XLOOKUP(N670, 'Mythical Island'!$C$2:$C889, 'Mythical Island'!$B$2:$B889)-$B$4, OR(P670="A2-Dialga", P670="A2-Palkia", P670="A2"), XLOOKUP(N670, 'Space-Time Smackdown'!$C$2:$C889, 'Space-Time Smackdown'!$B$2:$B889)-$B$4))</f>
        <v/>
      </c>
      <c r="S670" s="277"/>
      <c r="T670" s="277"/>
      <c r="U670" s="277"/>
      <c r="V670" s="278"/>
      <c r="W670" s="443" t="str">
        <f t="array" ref="W670">IFERROR(IFS(OR(U670="A1-Mewtwo", U670="A1-Pikachu", U670="A1-Charizard", U670="A1"), $B$5-XLOOKUP(S670, 'Genetic Apex'!$C$2:$C889, 'Genetic Apex'!$B$2:$B889), U670="A1a", $B$5-XLOOKUP(S670, 'Mythical Island'!$C$2:$C889, 'Mythical Island'!$B$2:$B889), OR(U670="A2-Dialga", U670="A2-Palkia", U670="A2"), $B$5-XLOOKUP(S670, 'Space-Time Smackdown'!$C$2:$C889, 'Space-Time Smackdown'!$B$2:$B889)))</f>
        <v/>
      </c>
      <c r="X670" s="444" t="str">
        <f t="shared" si="3"/>
        <v/>
      </c>
      <c r="Y670" s="445" t="str">
        <f t="shared" si="4"/>
        <v/>
      </c>
      <c r="Z670" s="278"/>
      <c r="AA670" s="466"/>
      <c r="AB670" s="278"/>
      <c r="AC670" s="278"/>
      <c r="AD670" s="278"/>
      <c r="AE670" s="278"/>
      <c r="AF670" s="278"/>
      <c r="AG670" s="278" t="b">
        <f t="shared" si="5"/>
        <v>0</v>
      </c>
      <c r="AH670" s="454"/>
      <c r="AI670" s="278"/>
      <c r="AJ670" s="278"/>
      <c r="AK670" s="278"/>
      <c r="AL670" s="444" t="str">
        <f t="array" ref="AL670">IFERROR(IFS(OR(AJ670="A1-Mewtwo", AJ670="A1-Pikachu", AJ670="A1-Charizard", AJ670="A1"), XLOOKUP(AH670, 'Genetic Apex'!$C$2:$C889, 'Genetic Apex'!$B$2:$B889)-2, AJ670="A1a", XLOOKUP(AH670, 'Mythical Island'!$C$2:$C889, 'Mythical Island'!$B$2:$B889)-2, OR(AJ670="A2-Dialga", AJ670="A2-Palkia", AJ670="A2"), XLOOKUP(AH670, 'Space-Time Smackdown'!$C$2:$C889, 'Space-Time Smackdown'!$B$2:$B889)-2))</f>
        <v/>
      </c>
      <c r="AM670" s="444" t="str">
        <f t="shared" si="6"/>
        <v/>
      </c>
      <c r="AN670" s="448" t="str">
        <f t="shared" si="7"/>
        <v/>
      </c>
    </row>
    <row r="671">
      <c r="A671" s="277"/>
      <c r="B671" s="277"/>
      <c r="C671" s="441"/>
      <c r="D671" s="277"/>
      <c r="E671" s="277"/>
      <c r="F671" s="277"/>
      <c r="G671" s="277"/>
      <c r="H671" s="277" t="b">
        <f t="shared" si="1"/>
        <v>0</v>
      </c>
      <c r="I671" s="277"/>
      <c r="J671" s="277"/>
      <c r="K671" s="277"/>
      <c r="L671" s="277"/>
      <c r="M671" s="440" t="b">
        <f t="shared" si="2"/>
        <v>0</v>
      </c>
      <c r="N671" s="441"/>
      <c r="O671" s="277"/>
      <c r="P671" s="277"/>
      <c r="Q671" s="278"/>
      <c r="R671" s="449" t="str">
        <f t="array" ref="R671">IFERROR(IFS(OR(P671="A1-Mewtwo", P671="A1-Pikachu", P671="A1-Charizard", P671="A1"), XLOOKUP(N671, 'Genetic Apex'!$C$2:$C889, 'Genetic Apex'!$B$2:$B889)-$B$4, P671="A1a", XLOOKUP(N671, 'Mythical Island'!$C$2:$C889, 'Mythical Island'!$B$2:$B889)-$B$4, OR(P671="A2-Dialga", P671="A2-Palkia", P671="A2"), XLOOKUP(N671, 'Space-Time Smackdown'!$C$2:$C889, 'Space-Time Smackdown'!$B$2:$B889)-$B$4))</f>
        <v/>
      </c>
      <c r="S671" s="277"/>
      <c r="T671" s="277"/>
      <c r="U671" s="277"/>
      <c r="V671" s="278"/>
      <c r="W671" s="443" t="str">
        <f t="array" ref="W671">IFERROR(IFS(OR(U671="A1-Mewtwo", U671="A1-Pikachu", U671="A1-Charizard", U671="A1"), $B$5-XLOOKUP(S671, 'Genetic Apex'!$C$2:$C889, 'Genetic Apex'!$B$2:$B889), U671="A1a", $B$5-XLOOKUP(S671, 'Mythical Island'!$C$2:$C889, 'Mythical Island'!$B$2:$B889), OR(U671="A2-Dialga", U671="A2-Palkia", U671="A2"), $B$5-XLOOKUP(S671, 'Space-Time Smackdown'!$C$2:$C889, 'Space-Time Smackdown'!$B$2:$B889)))</f>
        <v/>
      </c>
      <c r="X671" s="444" t="str">
        <f t="shared" si="3"/>
        <v/>
      </c>
      <c r="Y671" s="445" t="str">
        <f t="shared" si="4"/>
        <v/>
      </c>
      <c r="Z671" s="278"/>
      <c r="AA671" s="466"/>
      <c r="AB671" s="278"/>
      <c r="AC671" s="278"/>
      <c r="AD671" s="278"/>
      <c r="AE671" s="278"/>
      <c r="AF671" s="278"/>
      <c r="AG671" s="278" t="b">
        <f t="shared" si="5"/>
        <v>0</v>
      </c>
      <c r="AH671" s="454"/>
      <c r="AI671" s="278"/>
      <c r="AJ671" s="278"/>
      <c r="AK671" s="278"/>
      <c r="AL671" s="444" t="str">
        <f t="array" ref="AL671">IFERROR(IFS(OR(AJ671="A1-Mewtwo", AJ671="A1-Pikachu", AJ671="A1-Charizard", AJ671="A1"), XLOOKUP(AH671, 'Genetic Apex'!$C$2:$C889, 'Genetic Apex'!$B$2:$B889)-2, AJ671="A1a", XLOOKUP(AH671, 'Mythical Island'!$C$2:$C889, 'Mythical Island'!$B$2:$B889)-2, OR(AJ671="A2-Dialga", AJ671="A2-Palkia", AJ671="A2"), XLOOKUP(AH671, 'Space-Time Smackdown'!$C$2:$C889, 'Space-Time Smackdown'!$B$2:$B889)-2))</f>
        <v/>
      </c>
      <c r="AM671" s="444" t="str">
        <f t="shared" si="6"/>
        <v/>
      </c>
      <c r="AN671" s="448" t="str">
        <f t="shared" si="7"/>
        <v/>
      </c>
    </row>
    <row r="672">
      <c r="A672" s="277"/>
      <c r="B672" s="277"/>
      <c r="C672" s="441"/>
      <c r="D672" s="277"/>
      <c r="E672" s="277"/>
      <c r="F672" s="277"/>
      <c r="G672" s="277"/>
      <c r="H672" s="277" t="b">
        <f t="shared" si="1"/>
        <v>0</v>
      </c>
      <c r="I672" s="277"/>
      <c r="J672" s="277"/>
      <c r="K672" s="277"/>
      <c r="L672" s="277"/>
      <c r="M672" s="440" t="b">
        <f t="shared" si="2"/>
        <v>0</v>
      </c>
      <c r="N672" s="441"/>
      <c r="O672" s="277"/>
      <c r="P672" s="277"/>
      <c r="Q672" s="278"/>
      <c r="R672" s="449" t="str">
        <f t="array" ref="R672">IFERROR(IFS(OR(P672="A1-Mewtwo", P672="A1-Pikachu", P672="A1-Charizard", P672="A1"), XLOOKUP(N672, 'Genetic Apex'!$C$2:$C889, 'Genetic Apex'!$B$2:$B889)-$B$4, P672="A1a", XLOOKUP(N672, 'Mythical Island'!$C$2:$C889, 'Mythical Island'!$B$2:$B889)-$B$4, OR(P672="A2-Dialga", P672="A2-Palkia", P672="A2"), XLOOKUP(N672, 'Space-Time Smackdown'!$C$2:$C889, 'Space-Time Smackdown'!$B$2:$B889)-$B$4))</f>
        <v/>
      </c>
      <c r="S672" s="277"/>
      <c r="T672" s="277"/>
      <c r="U672" s="277"/>
      <c r="V672" s="278"/>
      <c r="W672" s="443" t="str">
        <f t="array" ref="W672">IFERROR(IFS(OR(U672="A1-Mewtwo", U672="A1-Pikachu", U672="A1-Charizard", U672="A1"), $B$5-XLOOKUP(S672, 'Genetic Apex'!$C$2:$C889, 'Genetic Apex'!$B$2:$B889), U672="A1a", $B$5-XLOOKUP(S672, 'Mythical Island'!$C$2:$C889, 'Mythical Island'!$B$2:$B889), OR(U672="A2-Dialga", U672="A2-Palkia", U672="A2"), $B$5-XLOOKUP(S672, 'Space-Time Smackdown'!$C$2:$C889, 'Space-Time Smackdown'!$B$2:$B889)))</f>
        <v/>
      </c>
      <c r="X672" s="444" t="str">
        <f t="shared" si="3"/>
        <v/>
      </c>
      <c r="Y672" s="445" t="str">
        <f t="shared" si="4"/>
        <v/>
      </c>
      <c r="Z672" s="278"/>
      <c r="AA672" s="466"/>
      <c r="AB672" s="278"/>
      <c r="AC672" s="278"/>
      <c r="AD672" s="278"/>
      <c r="AE672" s="278"/>
      <c r="AF672" s="278"/>
      <c r="AG672" s="278" t="b">
        <f t="shared" si="5"/>
        <v>0</v>
      </c>
      <c r="AH672" s="454"/>
      <c r="AI672" s="278"/>
      <c r="AJ672" s="278"/>
      <c r="AK672" s="278"/>
      <c r="AL672" s="444" t="str">
        <f t="array" ref="AL672">IFERROR(IFS(OR(AJ672="A1-Mewtwo", AJ672="A1-Pikachu", AJ672="A1-Charizard", AJ672="A1"), XLOOKUP(AH672, 'Genetic Apex'!$C$2:$C889, 'Genetic Apex'!$B$2:$B889)-2, AJ672="A1a", XLOOKUP(AH672, 'Mythical Island'!$C$2:$C889, 'Mythical Island'!$B$2:$B889)-2, OR(AJ672="A2-Dialga", AJ672="A2-Palkia", AJ672="A2"), XLOOKUP(AH672, 'Space-Time Smackdown'!$C$2:$C889, 'Space-Time Smackdown'!$B$2:$B889)-2))</f>
        <v/>
      </c>
      <c r="AM672" s="444" t="str">
        <f t="shared" si="6"/>
        <v/>
      </c>
      <c r="AN672" s="448" t="str">
        <f t="shared" si="7"/>
        <v/>
      </c>
    </row>
    <row r="673">
      <c r="A673" s="277"/>
      <c r="B673" s="277"/>
      <c r="C673" s="441"/>
      <c r="D673" s="277"/>
      <c r="E673" s="277"/>
      <c r="F673" s="277"/>
      <c r="G673" s="277"/>
      <c r="H673" s="277" t="b">
        <f t="shared" si="1"/>
        <v>0</v>
      </c>
      <c r="I673" s="277"/>
      <c r="J673" s="277"/>
      <c r="K673" s="277"/>
      <c r="L673" s="277"/>
      <c r="M673" s="440" t="b">
        <f t="shared" si="2"/>
        <v>0</v>
      </c>
      <c r="N673" s="441"/>
      <c r="O673" s="277"/>
      <c r="P673" s="277"/>
      <c r="Q673" s="278"/>
      <c r="R673" s="449" t="str">
        <f t="array" ref="R673">IFERROR(IFS(OR(P673="A1-Mewtwo", P673="A1-Pikachu", P673="A1-Charizard", P673="A1"), XLOOKUP(N673, 'Genetic Apex'!$C$2:$C889, 'Genetic Apex'!$B$2:$B889)-$B$4, P673="A1a", XLOOKUP(N673, 'Mythical Island'!$C$2:$C889, 'Mythical Island'!$B$2:$B889)-$B$4, OR(P673="A2-Dialga", P673="A2-Palkia", P673="A2"), XLOOKUP(N673, 'Space-Time Smackdown'!$C$2:$C889, 'Space-Time Smackdown'!$B$2:$B889)-$B$4))</f>
        <v/>
      </c>
      <c r="S673" s="277"/>
      <c r="T673" s="277"/>
      <c r="U673" s="277"/>
      <c r="V673" s="278"/>
      <c r="W673" s="443" t="str">
        <f t="array" ref="W673">IFERROR(IFS(OR(U673="A1-Mewtwo", U673="A1-Pikachu", U673="A1-Charizard", U673="A1"), $B$5-XLOOKUP(S673, 'Genetic Apex'!$C$2:$C889, 'Genetic Apex'!$B$2:$B889), U673="A1a", $B$5-XLOOKUP(S673, 'Mythical Island'!$C$2:$C889, 'Mythical Island'!$B$2:$B889), OR(U673="A2-Dialga", U673="A2-Palkia", U673="A2"), $B$5-XLOOKUP(S673, 'Space-Time Smackdown'!$C$2:$C889, 'Space-Time Smackdown'!$B$2:$B889)))</f>
        <v/>
      </c>
      <c r="X673" s="444" t="str">
        <f t="shared" si="3"/>
        <v/>
      </c>
      <c r="Y673" s="445" t="str">
        <f t="shared" si="4"/>
        <v/>
      </c>
      <c r="Z673" s="278"/>
      <c r="AA673" s="466"/>
      <c r="AB673" s="278"/>
      <c r="AC673" s="278"/>
      <c r="AD673" s="278"/>
      <c r="AE673" s="278"/>
      <c r="AF673" s="278"/>
      <c r="AG673" s="278" t="b">
        <f t="shared" si="5"/>
        <v>0</v>
      </c>
      <c r="AH673" s="454"/>
      <c r="AI673" s="278"/>
      <c r="AJ673" s="278"/>
      <c r="AK673" s="278"/>
      <c r="AL673" s="444" t="str">
        <f t="array" ref="AL673">IFERROR(IFS(OR(AJ673="A1-Mewtwo", AJ673="A1-Pikachu", AJ673="A1-Charizard", AJ673="A1"), XLOOKUP(AH673, 'Genetic Apex'!$C$2:$C889, 'Genetic Apex'!$B$2:$B889)-2, AJ673="A1a", XLOOKUP(AH673, 'Mythical Island'!$C$2:$C889, 'Mythical Island'!$B$2:$B889)-2, OR(AJ673="A2-Dialga", AJ673="A2-Palkia", AJ673="A2"), XLOOKUP(AH673, 'Space-Time Smackdown'!$C$2:$C889, 'Space-Time Smackdown'!$B$2:$B889)-2))</f>
        <v/>
      </c>
      <c r="AM673" s="444" t="str">
        <f t="shared" si="6"/>
        <v/>
      </c>
      <c r="AN673" s="448" t="str">
        <f t="shared" si="7"/>
        <v/>
      </c>
    </row>
    <row r="674">
      <c r="A674" s="277"/>
      <c r="B674" s="277"/>
      <c r="C674" s="441"/>
      <c r="D674" s="277"/>
      <c r="E674" s="277"/>
      <c r="F674" s="277"/>
      <c r="G674" s="277"/>
      <c r="H674" s="277" t="b">
        <f t="shared" si="1"/>
        <v>0</v>
      </c>
      <c r="I674" s="277"/>
      <c r="J674" s="277"/>
      <c r="K674" s="277"/>
      <c r="L674" s="277"/>
      <c r="M674" s="440" t="b">
        <f t="shared" si="2"/>
        <v>0</v>
      </c>
      <c r="N674" s="441"/>
      <c r="O674" s="277"/>
      <c r="P674" s="277"/>
      <c r="Q674" s="278"/>
      <c r="R674" s="449" t="str">
        <f t="array" ref="R674">IFERROR(IFS(OR(P674="A1-Mewtwo", P674="A1-Pikachu", P674="A1-Charizard", P674="A1"), XLOOKUP(N674, 'Genetic Apex'!$C$2:$C889, 'Genetic Apex'!$B$2:$B889)-$B$4, P674="A1a", XLOOKUP(N674, 'Mythical Island'!$C$2:$C889, 'Mythical Island'!$B$2:$B889)-$B$4, OR(P674="A2-Dialga", P674="A2-Palkia", P674="A2"), XLOOKUP(N674, 'Space-Time Smackdown'!$C$2:$C889, 'Space-Time Smackdown'!$B$2:$B889)-$B$4))</f>
        <v/>
      </c>
      <c r="S674" s="277"/>
      <c r="T674" s="277"/>
      <c r="U674" s="277"/>
      <c r="V674" s="278"/>
      <c r="W674" s="443" t="str">
        <f t="array" ref="W674">IFERROR(IFS(OR(U674="A1-Mewtwo", U674="A1-Pikachu", U674="A1-Charizard", U674="A1"), $B$5-XLOOKUP(S674, 'Genetic Apex'!$C$2:$C889, 'Genetic Apex'!$B$2:$B889), U674="A1a", $B$5-XLOOKUP(S674, 'Mythical Island'!$C$2:$C889, 'Mythical Island'!$B$2:$B889), OR(U674="A2-Dialga", U674="A2-Palkia", U674="A2"), $B$5-XLOOKUP(S674, 'Space-Time Smackdown'!$C$2:$C889, 'Space-Time Smackdown'!$B$2:$B889)))</f>
        <v/>
      </c>
      <c r="X674" s="444" t="str">
        <f t="shared" si="3"/>
        <v/>
      </c>
      <c r="Y674" s="445" t="str">
        <f t="shared" si="4"/>
        <v/>
      </c>
      <c r="Z674" s="278"/>
      <c r="AA674" s="466"/>
      <c r="AB674" s="278"/>
      <c r="AC674" s="278"/>
      <c r="AD674" s="278"/>
      <c r="AE674" s="278"/>
      <c r="AF674" s="278"/>
      <c r="AG674" s="278" t="b">
        <f t="shared" si="5"/>
        <v>0</v>
      </c>
      <c r="AH674" s="454"/>
      <c r="AI674" s="278"/>
      <c r="AJ674" s="278"/>
      <c r="AK674" s="278"/>
      <c r="AL674" s="444" t="str">
        <f t="array" ref="AL674">IFERROR(IFS(OR(AJ674="A1-Mewtwo", AJ674="A1-Pikachu", AJ674="A1-Charizard", AJ674="A1"), XLOOKUP(AH674, 'Genetic Apex'!$C$2:$C889, 'Genetic Apex'!$B$2:$B889)-2, AJ674="A1a", XLOOKUP(AH674, 'Mythical Island'!$C$2:$C889, 'Mythical Island'!$B$2:$B889)-2, OR(AJ674="A2-Dialga", AJ674="A2-Palkia", AJ674="A2"), XLOOKUP(AH674, 'Space-Time Smackdown'!$C$2:$C889, 'Space-Time Smackdown'!$B$2:$B889)-2))</f>
        <v/>
      </c>
      <c r="AM674" s="444" t="str">
        <f t="shared" si="6"/>
        <v/>
      </c>
      <c r="AN674" s="448" t="str">
        <f t="shared" si="7"/>
        <v/>
      </c>
    </row>
    <row r="675">
      <c r="A675" s="277"/>
      <c r="B675" s="277"/>
      <c r="C675" s="441"/>
      <c r="D675" s="277"/>
      <c r="E675" s="277"/>
      <c r="F675" s="277"/>
      <c r="G675" s="277"/>
      <c r="H675" s="277" t="b">
        <f t="shared" si="1"/>
        <v>0</v>
      </c>
      <c r="I675" s="277"/>
      <c r="J675" s="277"/>
      <c r="K675" s="277"/>
      <c r="L675" s="277"/>
      <c r="M675" s="440" t="b">
        <f t="shared" si="2"/>
        <v>0</v>
      </c>
      <c r="N675" s="441"/>
      <c r="O675" s="277"/>
      <c r="P675" s="277"/>
      <c r="Q675" s="278"/>
      <c r="R675" s="449" t="str">
        <f t="array" ref="R675">IFERROR(IFS(OR(P675="A1-Mewtwo", P675="A1-Pikachu", P675="A1-Charizard", P675="A1"), XLOOKUP(N675, 'Genetic Apex'!$C$2:$C889, 'Genetic Apex'!$B$2:$B889)-$B$4, P675="A1a", XLOOKUP(N675, 'Mythical Island'!$C$2:$C889, 'Mythical Island'!$B$2:$B889)-$B$4, OR(P675="A2-Dialga", P675="A2-Palkia", P675="A2"), XLOOKUP(N675, 'Space-Time Smackdown'!$C$2:$C889, 'Space-Time Smackdown'!$B$2:$B889)-$B$4))</f>
        <v/>
      </c>
      <c r="S675" s="277"/>
      <c r="T675" s="277"/>
      <c r="U675" s="277"/>
      <c r="V675" s="278"/>
      <c r="W675" s="443" t="str">
        <f t="array" ref="W675">IFERROR(IFS(OR(U675="A1-Mewtwo", U675="A1-Pikachu", U675="A1-Charizard", U675="A1"), $B$5-XLOOKUP(S675, 'Genetic Apex'!$C$2:$C889, 'Genetic Apex'!$B$2:$B889), U675="A1a", $B$5-XLOOKUP(S675, 'Mythical Island'!$C$2:$C889, 'Mythical Island'!$B$2:$B889), OR(U675="A2-Dialga", U675="A2-Palkia", U675="A2"), $B$5-XLOOKUP(S675, 'Space-Time Smackdown'!$C$2:$C889, 'Space-Time Smackdown'!$B$2:$B889)))</f>
        <v/>
      </c>
      <c r="X675" s="444" t="str">
        <f t="shared" si="3"/>
        <v/>
      </c>
      <c r="Y675" s="445" t="str">
        <f t="shared" si="4"/>
        <v/>
      </c>
      <c r="Z675" s="278"/>
      <c r="AA675" s="466"/>
      <c r="AB675" s="278"/>
      <c r="AC675" s="278"/>
      <c r="AD675" s="278"/>
      <c r="AE675" s="278"/>
      <c r="AF675" s="278"/>
      <c r="AG675" s="278" t="b">
        <f t="shared" si="5"/>
        <v>0</v>
      </c>
      <c r="AH675" s="454"/>
      <c r="AI675" s="278"/>
      <c r="AJ675" s="278"/>
      <c r="AK675" s="278"/>
      <c r="AL675" s="444" t="str">
        <f t="array" ref="AL675">IFERROR(IFS(OR(AJ675="A1-Mewtwo", AJ675="A1-Pikachu", AJ675="A1-Charizard", AJ675="A1"), XLOOKUP(AH675, 'Genetic Apex'!$C$2:$C889, 'Genetic Apex'!$B$2:$B889)-2, AJ675="A1a", XLOOKUP(AH675, 'Mythical Island'!$C$2:$C889, 'Mythical Island'!$B$2:$B889)-2, OR(AJ675="A2-Dialga", AJ675="A2-Palkia", AJ675="A2"), XLOOKUP(AH675, 'Space-Time Smackdown'!$C$2:$C889, 'Space-Time Smackdown'!$B$2:$B889)-2))</f>
        <v/>
      </c>
      <c r="AM675" s="444" t="str">
        <f t="shared" si="6"/>
        <v/>
      </c>
      <c r="AN675" s="448" t="str">
        <f t="shared" si="7"/>
        <v/>
      </c>
    </row>
    <row r="676">
      <c r="A676" s="277"/>
      <c r="B676" s="277"/>
      <c r="C676" s="441"/>
      <c r="D676" s="277"/>
      <c r="E676" s="277"/>
      <c r="F676" s="277"/>
      <c r="G676" s="277"/>
      <c r="H676" s="277" t="b">
        <f t="shared" si="1"/>
        <v>0</v>
      </c>
      <c r="I676" s="277"/>
      <c r="J676" s="277"/>
      <c r="K676" s="277"/>
      <c r="L676" s="277"/>
      <c r="M676" s="440" t="b">
        <f t="shared" si="2"/>
        <v>0</v>
      </c>
      <c r="N676" s="441"/>
      <c r="O676" s="277"/>
      <c r="P676" s="277"/>
      <c r="Q676" s="278"/>
      <c r="R676" s="449" t="str">
        <f t="array" ref="R676">IFERROR(IFS(OR(P676="A1-Mewtwo", P676="A1-Pikachu", P676="A1-Charizard", P676="A1"), XLOOKUP(N676, 'Genetic Apex'!$C$2:$C889, 'Genetic Apex'!$B$2:$B889)-$B$4, P676="A1a", XLOOKUP(N676, 'Mythical Island'!$C$2:$C889, 'Mythical Island'!$B$2:$B889)-$B$4, OR(P676="A2-Dialga", P676="A2-Palkia", P676="A2"), XLOOKUP(N676, 'Space-Time Smackdown'!$C$2:$C889, 'Space-Time Smackdown'!$B$2:$B889)-$B$4))</f>
        <v/>
      </c>
      <c r="S676" s="277"/>
      <c r="T676" s="277"/>
      <c r="U676" s="277"/>
      <c r="V676" s="278"/>
      <c r="W676" s="443" t="str">
        <f t="array" ref="W676">IFERROR(IFS(OR(U676="A1-Mewtwo", U676="A1-Pikachu", U676="A1-Charizard", U676="A1"), $B$5-XLOOKUP(S676, 'Genetic Apex'!$C$2:$C889, 'Genetic Apex'!$B$2:$B889), U676="A1a", $B$5-XLOOKUP(S676, 'Mythical Island'!$C$2:$C889, 'Mythical Island'!$B$2:$B889), OR(U676="A2-Dialga", U676="A2-Palkia", U676="A2"), $B$5-XLOOKUP(S676, 'Space-Time Smackdown'!$C$2:$C889, 'Space-Time Smackdown'!$B$2:$B889)))</f>
        <v/>
      </c>
      <c r="X676" s="444" t="str">
        <f t="shared" si="3"/>
        <v/>
      </c>
      <c r="Y676" s="445" t="str">
        <f t="shared" si="4"/>
        <v/>
      </c>
      <c r="Z676" s="278"/>
      <c r="AA676" s="466"/>
      <c r="AB676" s="278"/>
      <c r="AC676" s="278"/>
      <c r="AD676" s="278"/>
      <c r="AE676" s="278"/>
      <c r="AF676" s="278"/>
      <c r="AG676" s="278" t="b">
        <f t="shared" si="5"/>
        <v>0</v>
      </c>
      <c r="AH676" s="454"/>
      <c r="AI676" s="278"/>
      <c r="AJ676" s="278"/>
      <c r="AK676" s="278"/>
      <c r="AL676" s="444" t="str">
        <f t="array" ref="AL676">IFERROR(IFS(OR(AJ676="A1-Mewtwo", AJ676="A1-Pikachu", AJ676="A1-Charizard", AJ676="A1"), XLOOKUP(AH676, 'Genetic Apex'!$C$2:$C889, 'Genetic Apex'!$B$2:$B889)-2, AJ676="A1a", XLOOKUP(AH676, 'Mythical Island'!$C$2:$C889, 'Mythical Island'!$B$2:$B889)-2, OR(AJ676="A2-Dialga", AJ676="A2-Palkia", AJ676="A2"), XLOOKUP(AH676, 'Space-Time Smackdown'!$C$2:$C889, 'Space-Time Smackdown'!$B$2:$B889)-2))</f>
        <v/>
      </c>
      <c r="AM676" s="444" t="str">
        <f t="shared" si="6"/>
        <v/>
      </c>
      <c r="AN676" s="448" t="str">
        <f t="shared" si="7"/>
        <v/>
      </c>
    </row>
    <row r="677">
      <c r="A677" s="277"/>
      <c r="B677" s="277"/>
      <c r="C677" s="441"/>
      <c r="D677" s="277"/>
      <c r="E677" s="277"/>
      <c r="F677" s="277"/>
      <c r="G677" s="277"/>
      <c r="H677" s="277" t="b">
        <f t="shared" si="1"/>
        <v>0</v>
      </c>
      <c r="I677" s="277"/>
      <c r="J677" s="277"/>
      <c r="K677" s="277"/>
      <c r="L677" s="277"/>
      <c r="M677" s="440" t="b">
        <f t="shared" si="2"/>
        <v>0</v>
      </c>
      <c r="N677" s="441"/>
      <c r="O677" s="277"/>
      <c r="P677" s="277"/>
      <c r="Q677" s="278"/>
      <c r="R677" s="449" t="str">
        <f t="array" ref="R677">IFERROR(IFS(OR(P677="A1-Mewtwo", P677="A1-Pikachu", P677="A1-Charizard", P677="A1"), XLOOKUP(N677, 'Genetic Apex'!$C$2:$C889, 'Genetic Apex'!$B$2:$B889)-$B$4, P677="A1a", XLOOKUP(N677, 'Mythical Island'!$C$2:$C889, 'Mythical Island'!$B$2:$B889)-$B$4, OR(P677="A2-Dialga", P677="A2-Palkia", P677="A2"), XLOOKUP(N677, 'Space-Time Smackdown'!$C$2:$C889, 'Space-Time Smackdown'!$B$2:$B889)-$B$4))</f>
        <v/>
      </c>
      <c r="S677" s="277"/>
      <c r="T677" s="277"/>
      <c r="U677" s="277"/>
      <c r="V677" s="278"/>
      <c r="W677" s="443" t="str">
        <f t="array" ref="W677">IFERROR(IFS(OR(U677="A1-Mewtwo", U677="A1-Pikachu", U677="A1-Charizard", U677="A1"), $B$5-XLOOKUP(S677, 'Genetic Apex'!$C$2:$C889, 'Genetic Apex'!$B$2:$B889), U677="A1a", $B$5-XLOOKUP(S677, 'Mythical Island'!$C$2:$C889, 'Mythical Island'!$B$2:$B889), OR(U677="A2-Dialga", U677="A2-Palkia", U677="A2"), $B$5-XLOOKUP(S677, 'Space-Time Smackdown'!$C$2:$C889, 'Space-Time Smackdown'!$B$2:$B889)))</f>
        <v/>
      </c>
      <c r="X677" s="444" t="str">
        <f t="shared" si="3"/>
        <v/>
      </c>
      <c r="Y677" s="445" t="str">
        <f t="shared" si="4"/>
        <v/>
      </c>
      <c r="Z677" s="278"/>
      <c r="AA677" s="466"/>
      <c r="AB677" s="278"/>
      <c r="AC677" s="278"/>
      <c r="AD677" s="278"/>
      <c r="AE677" s="278"/>
      <c r="AF677" s="278"/>
      <c r="AG677" s="278" t="b">
        <f t="shared" si="5"/>
        <v>0</v>
      </c>
      <c r="AH677" s="454"/>
      <c r="AI677" s="278"/>
      <c r="AJ677" s="278"/>
      <c r="AK677" s="278"/>
      <c r="AL677" s="444" t="str">
        <f t="array" ref="AL677">IFERROR(IFS(OR(AJ677="A1-Mewtwo", AJ677="A1-Pikachu", AJ677="A1-Charizard", AJ677="A1"), XLOOKUP(AH677, 'Genetic Apex'!$C$2:$C889, 'Genetic Apex'!$B$2:$B889)-2, AJ677="A1a", XLOOKUP(AH677, 'Mythical Island'!$C$2:$C889, 'Mythical Island'!$B$2:$B889)-2, OR(AJ677="A2-Dialga", AJ677="A2-Palkia", AJ677="A2"), XLOOKUP(AH677, 'Space-Time Smackdown'!$C$2:$C889, 'Space-Time Smackdown'!$B$2:$B889)-2))</f>
        <v/>
      </c>
      <c r="AM677" s="444" t="str">
        <f t="shared" si="6"/>
        <v/>
      </c>
      <c r="AN677" s="448" t="str">
        <f t="shared" si="7"/>
        <v/>
      </c>
    </row>
    <row r="678">
      <c r="A678" s="277"/>
      <c r="B678" s="277"/>
      <c r="C678" s="441"/>
      <c r="D678" s="277"/>
      <c r="E678" s="277"/>
      <c r="F678" s="277"/>
      <c r="G678" s="277"/>
      <c r="H678" s="277" t="b">
        <f t="shared" si="1"/>
        <v>0</v>
      </c>
      <c r="I678" s="277"/>
      <c r="J678" s="277"/>
      <c r="K678" s="277"/>
      <c r="L678" s="277"/>
      <c r="M678" s="440" t="b">
        <f t="shared" si="2"/>
        <v>0</v>
      </c>
      <c r="N678" s="441"/>
      <c r="O678" s="277"/>
      <c r="P678" s="277"/>
      <c r="Q678" s="278"/>
      <c r="R678" s="449" t="str">
        <f t="array" ref="R678">IFERROR(IFS(OR(P678="A1-Mewtwo", P678="A1-Pikachu", P678="A1-Charizard", P678="A1"), XLOOKUP(N678, 'Genetic Apex'!$C$2:$C889, 'Genetic Apex'!$B$2:$B889)-$B$4, P678="A1a", XLOOKUP(N678, 'Mythical Island'!$C$2:$C889, 'Mythical Island'!$B$2:$B889)-$B$4, OR(P678="A2-Dialga", P678="A2-Palkia", P678="A2"), XLOOKUP(N678, 'Space-Time Smackdown'!$C$2:$C889, 'Space-Time Smackdown'!$B$2:$B889)-$B$4))</f>
        <v/>
      </c>
      <c r="S678" s="277"/>
      <c r="T678" s="277"/>
      <c r="U678" s="277"/>
      <c r="V678" s="278"/>
      <c r="W678" s="443" t="str">
        <f t="array" ref="W678">IFERROR(IFS(OR(U678="A1-Mewtwo", U678="A1-Pikachu", U678="A1-Charizard", U678="A1"), $B$5-XLOOKUP(S678, 'Genetic Apex'!$C$2:$C889, 'Genetic Apex'!$B$2:$B889), U678="A1a", $B$5-XLOOKUP(S678, 'Mythical Island'!$C$2:$C889, 'Mythical Island'!$B$2:$B889), OR(U678="A2-Dialga", U678="A2-Palkia", U678="A2"), $B$5-XLOOKUP(S678, 'Space-Time Smackdown'!$C$2:$C889, 'Space-Time Smackdown'!$B$2:$B889)))</f>
        <v/>
      </c>
      <c r="X678" s="444" t="str">
        <f t="shared" si="3"/>
        <v/>
      </c>
      <c r="Y678" s="445" t="str">
        <f t="shared" si="4"/>
        <v/>
      </c>
      <c r="Z678" s="278"/>
      <c r="AA678" s="466"/>
      <c r="AB678" s="278"/>
      <c r="AC678" s="278"/>
      <c r="AD678" s="278"/>
      <c r="AE678" s="278"/>
      <c r="AF678" s="278"/>
      <c r="AG678" s="278" t="b">
        <f t="shared" si="5"/>
        <v>0</v>
      </c>
      <c r="AH678" s="454"/>
      <c r="AI678" s="278"/>
      <c r="AJ678" s="278"/>
      <c r="AK678" s="278"/>
      <c r="AL678" s="444" t="str">
        <f t="array" ref="AL678">IFERROR(IFS(OR(AJ678="A1-Mewtwo", AJ678="A1-Pikachu", AJ678="A1-Charizard", AJ678="A1"), XLOOKUP(AH678, 'Genetic Apex'!$C$2:$C889, 'Genetic Apex'!$B$2:$B889)-2, AJ678="A1a", XLOOKUP(AH678, 'Mythical Island'!$C$2:$C889, 'Mythical Island'!$B$2:$B889)-2, OR(AJ678="A2-Dialga", AJ678="A2-Palkia", AJ678="A2"), XLOOKUP(AH678, 'Space-Time Smackdown'!$C$2:$C889, 'Space-Time Smackdown'!$B$2:$B889)-2))</f>
        <v/>
      </c>
      <c r="AM678" s="444" t="str">
        <f t="shared" si="6"/>
        <v/>
      </c>
      <c r="AN678" s="448" t="str">
        <f t="shared" si="7"/>
        <v/>
      </c>
    </row>
    <row r="679">
      <c r="A679" s="277"/>
      <c r="B679" s="277"/>
      <c r="C679" s="441"/>
      <c r="D679" s="277"/>
      <c r="E679" s="277"/>
      <c r="F679" s="277"/>
      <c r="G679" s="277"/>
      <c r="H679" s="277" t="b">
        <f t="shared" si="1"/>
        <v>0</v>
      </c>
      <c r="I679" s="277"/>
      <c r="J679" s="277"/>
      <c r="K679" s="277"/>
      <c r="L679" s="277"/>
      <c r="M679" s="440" t="b">
        <f t="shared" si="2"/>
        <v>0</v>
      </c>
      <c r="N679" s="441"/>
      <c r="O679" s="277"/>
      <c r="P679" s="277"/>
      <c r="Q679" s="278"/>
      <c r="R679" s="449" t="str">
        <f t="array" ref="R679">IFERROR(IFS(OR(P679="A1-Mewtwo", P679="A1-Pikachu", P679="A1-Charizard", P679="A1"), XLOOKUP(N679, 'Genetic Apex'!$C$2:$C889, 'Genetic Apex'!$B$2:$B889)-$B$4, P679="A1a", XLOOKUP(N679, 'Mythical Island'!$C$2:$C889, 'Mythical Island'!$B$2:$B889)-$B$4, OR(P679="A2-Dialga", P679="A2-Palkia", P679="A2"), XLOOKUP(N679, 'Space-Time Smackdown'!$C$2:$C889, 'Space-Time Smackdown'!$B$2:$B889)-$B$4))</f>
        <v/>
      </c>
      <c r="S679" s="277"/>
      <c r="T679" s="277"/>
      <c r="U679" s="277"/>
      <c r="V679" s="278"/>
      <c r="W679" s="443" t="str">
        <f t="array" ref="W679">IFERROR(IFS(OR(U679="A1-Mewtwo", U679="A1-Pikachu", U679="A1-Charizard", U679="A1"), $B$5-XLOOKUP(S679, 'Genetic Apex'!$C$2:$C889, 'Genetic Apex'!$B$2:$B889), U679="A1a", $B$5-XLOOKUP(S679, 'Mythical Island'!$C$2:$C889, 'Mythical Island'!$B$2:$B889), OR(U679="A2-Dialga", U679="A2-Palkia", U679="A2"), $B$5-XLOOKUP(S679, 'Space-Time Smackdown'!$C$2:$C889, 'Space-Time Smackdown'!$B$2:$B889)))</f>
        <v/>
      </c>
      <c r="X679" s="444" t="str">
        <f t="shared" si="3"/>
        <v/>
      </c>
      <c r="Y679" s="445" t="str">
        <f t="shared" si="4"/>
        <v/>
      </c>
      <c r="Z679" s="278"/>
      <c r="AA679" s="466"/>
      <c r="AB679" s="278"/>
      <c r="AC679" s="278"/>
      <c r="AD679" s="278"/>
      <c r="AE679" s="278"/>
      <c r="AF679" s="278"/>
      <c r="AG679" s="278" t="b">
        <f t="shared" si="5"/>
        <v>0</v>
      </c>
      <c r="AH679" s="454"/>
      <c r="AI679" s="278"/>
      <c r="AJ679" s="278"/>
      <c r="AK679" s="278"/>
      <c r="AL679" s="444" t="str">
        <f t="array" ref="AL679">IFERROR(IFS(OR(AJ679="A1-Mewtwo", AJ679="A1-Pikachu", AJ679="A1-Charizard", AJ679="A1"), XLOOKUP(AH679, 'Genetic Apex'!$C$2:$C889, 'Genetic Apex'!$B$2:$B889)-2, AJ679="A1a", XLOOKUP(AH679, 'Mythical Island'!$C$2:$C889, 'Mythical Island'!$B$2:$B889)-2, OR(AJ679="A2-Dialga", AJ679="A2-Palkia", AJ679="A2"), XLOOKUP(AH679, 'Space-Time Smackdown'!$C$2:$C889, 'Space-Time Smackdown'!$B$2:$B889)-2))</f>
        <v/>
      </c>
      <c r="AM679" s="444" t="str">
        <f t="shared" si="6"/>
        <v/>
      </c>
      <c r="AN679" s="448" t="str">
        <f t="shared" si="7"/>
        <v/>
      </c>
    </row>
    <row r="680">
      <c r="A680" s="277"/>
      <c r="B680" s="277"/>
      <c r="C680" s="441"/>
      <c r="D680" s="277"/>
      <c r="E680" s="277"/>
      <c r="F680" s="277"/>
      <c r="G680" s="277"/>
      <c r="H680" s="277" t="b">
        <f t="shared" si="1"/>
        <v>0</v>
      </c>
      <c r="I680" s="277"/>
      <c r="J680" s="277"/>
      <c r="K680" s="277"/>
      <c r="L680" s="277"/>
      <c r="M680" s="440" t="b">
        <f t="shared" si="2"/>
        <v>0</v>
      </c>
      <c r="N680" s="441"/>
      <c r="O680" s="277"/>
      <c r="P680" s="277"/>
      <c r="Q680" s="278"/>
      <c r="R680" s="449" t="str">
        <f t="array" ref="R680">IFERROR(IFS(OR(P680="A1-Mewtwo", P680="A1-Pikachu", P680="A1-Charizard", P680="A1"), XLOOKUP(N680, 'Genetic Apex'!$C$2:$C889, 'Genetic Apex'!$B$2:$B889)-$B$4, P680="A1a", XLOOKUP(N680, 'Mythical Island'!$C$2:$C889, 'Mythical Island'!$B$2:$B889)-$B$4, OR(P680="A2-Dialga", P680="A2-Palkia", P680="A2"), XLOOKUP(N680, 'Space-Time Smackdown'!$C$2:$C889, 'Space-Time Smackdown'!$B$2:$B889)-$B$4))</f>
        <v/>
      </c>
      <c r="S680" s="277"/>
      <c r="T680" s="277"/>
      <c r="U680" s="277"/>
      <c r="V680" s="278"/>
      <c r="W680" s="443" t="str">
        <f t="array" ref="W680">IFERROR(IFS(OR(U680="A1-Mewtwo", U680="A1-Pikachu", U680="A1-Charizard", U680="A1"), $B$5-XLOOKUP(S680, 'Genetic Apex'!$C$2:$C889, 'Genetic Apex'!$B$2:$B889), U680="A1a", $B$5-XLOOKUP(S680, 'Mythical Island'!$C$2:$C889, 'Mythical Island'!$B$2:$B889), OR(U680="A2-Dialga", U680="A2-Palkia", U680="A2"), $B$5-XLOOKUP(S680, 'Space-Time Smackdown'!$C$2:$C889, 'Space-Time Smackdown'!$B$2:$B889)))</f>
        <v/>
      </c>
      <c r="X680" s="444" t="str">
        <f t="shared" si="3"/>
        <v/>
      </c>
      <c r="Y680" s="445" t="str">
        <f t="shared" si="4"/>
        <v/>
      </c>
      <c r="Z680" s="278"/>
      <c r="AA680" s="466"/>
      <c r="AB680" s="278"/>
      <c r="AC680" s="278"/>
      <c r="AD680" s="278"/>
      <c r="AE680" s="278"/>
      <c r="AF680" s="278"/>
      <c r="AG680" s="278" t="b">
        <f t="shared" si="5"/>
        <v>0</v>
      </c>
      <c r="AH680" s="454"/>
      <c r="AI680" s="278"/>
      <c r="AJ680" s="278"/>
      <c r="AK680" s="278"/>
      <c r="AL680" s="444" t="str">
        <f t="array" ref="AL680">IFERROR(IFS(OR(AJ680="A1-Mewtwo", AJ680="A1-Pikachu", AJ680="A1-Charizard", AJ680="A1"), XLOOKUP(AH680, 'Genetic Apex'!$C$2:$C889, 'Genetic Apex'!$B$2:$B889)-2, AJ680="A1a", XLOOKUP(AH680, 'Mythical Island'!$C$2:$C889, 'Mythical Island'!$B$2:$B889)-2, OR(AJ680="A2-Dialga", AJ680="A2-Palkia", AJ680="A2"), XLOOKUP(AH680, 'Space-Time Smackdown'!$C$2:$C889, 'Space-Time Smackdown'!$B$2:$B889)-2))</f>
        <v/>
      </c>
      <c r="AM680" s="444" t="str">
        <f t="shared" si="6"/>
        <v/>
      </c>
      <c r="AN680" s="448" t="str">
        <f t="shared" si="7"/>
        <v/>
      </c>
    </row>
    <row r="681">
      <c r="A681" s="277"/>
      <c r="B681" s="277"/>
      <c r="C681" s="441"/>
      <c r="D681" s="277"/>
      <c r="E681" s="277"/>
      <c r="F681" s="277"/>
      <c r="G681" s="277"/>
      <c r="H681" s="277" t="b">
        <f t="shared" si="1"/>
        <v>0</v>
      </c>
      <c r="I681" s="277"/>
      <c r="J681" s="277"/>
      <c r="K681" s="277"/>
      <c r="L681" s="277"/>
      <c r="M681" s="440" t="b">
        <f t="shared" si="2"/>
        <v>0</v>
      </c>
      <c r="N681" s="441"/>
      <c r="O681" s="277"/>
      <c r="P681" s="277"/>
      <c r="Q681" s="278"/>
      <c r="R681" s="449" t="str">
        <f t="array" ref="R681">IFERROR(IFS(OR(P681="A1-Mewtwo", P681="A1-Pikachu", P681="A1-Charizard", P681="A1"), XLOOKUP(N681, 'Genetic Apex'!$C$2:$C889, 'Genetic Apex'!$B$2:$B889)-$B$4, P681="A1a", XLOOKUP(N681, 'Mythical Island'!$C$2:$C889, 'Mythical Island'!$B$2:$B889)-$B$4, OR(P681="A2-Dialga", P681="A2-Palkia", P681="A2"), XLOOKUP(N681, 'Space-Time Smackdown'!$C$2:$C889, 'Space-Time Smackdown'!$B$2:$B889)-$B$4))</f>
        <v/>
      </c>
      <c r="S681" s="277"/>
      <c r="T681" s="277"/>
      <c r="U681" s="277"/>
      <c r="V681" s="278"/>
      <c r="W681" s="443" t="str">
        <f t="array" ref="W681">IFERROR(IFS(OR(U681="A1-Mewtwo", U681="A1-Pikachu", U681="A1-Charizard", U681="A1"), $B$5-XLOOKUP(S681, 'Genetic Apex'!$C$2:$C889, 'Genetic Apex'!$B$2:$B889), U681="A1a", $B$5-XLOOKUP(S681, 'Mythical Island'!$C$2:$C889, 'Mythical Island'!$B$2:$B889), OR(U681="A2-Dialga", U681="A2-Palkia", U681="A2"), $B$5-XLOOKUP(S681, 'Space-Time Smackdown'!$C$2:$C889, 'Space-Time Smackdown'!$B$2:$B889)))</f>
        <v/>
      </c>
      <c r="X681" s="444" t="str">
        <f t="shared" si="3"/>
        <v/>
      </c>
      <c r="Y681" s="445" t="str">
        <f t="shared" si="4"/>
        <v/>
      </c>
      <c r="Z681" s="278"/>
      <c r="AA681" s="466"/>
      <c r="AB681" s="278"/>
      <c r="AC681" s="278"/>
      <c r="AD681" s="278"/>
      <c r="AE681" s="278"/>
      <c r="AF681" s="278"/>
      <c r="AG681" s="278" t="b">
        <f t="shared" si="5"/>
        <v>0</v>
      </c>
      <c r="AH681" s="454"/>
      <c r="AI681" s="278"/>
      <c r="AJ681" s="278"/>
      <c r="AK681" s="278"/>
      <c r="AL681" s="444" t="str">
        <f t="array" ref="AL681">IFERROR(IFS(OR(AJ681="A1-Mewtwo", AJ681="A1-Pikachu", AJ681="A1-Charizard", AJ681="A1"), XLOOKUP(AH681, 'Genetic Apex'!$C$2:$C889, 'Genetic Apex'!$B$2:$B889)-2, AJ681="A1a", XLOOKUP(AH681, 'Mythical Island'!$C$2:$C889, 'Mythical Island'!$B$2:$B889)-2, OR(AJ681="A2-Dialga", AJ681="A2-Palkia", AJ681="A2"), XLOOKUP(AH681, 'Space-Time Smackdown'!$C$2:$C889, 'Space-Time Smackdown'!$B$2:$B889)-2))</f>
        <v/>
      </c>
      <c r="AM681" s="444" t="str">
        <f t="shared" si="6"/>
        <v/>
      </c>
      <c r="AN681" s="448" t="str">
        <f t="shared" si="7"/>
        <v/>
      </c>
    </row>
    <row r="682">
      <c r="A682" s="277"/>
      <c r="B682" s="277"/>
      <c r="C682" s="441"/>
      <c r="D682" s="277"/>
      <c r="E682" s="277"/>
      <c r="F682" s="277"/>
      <c r="G682" s="277"/>
      <c r="H682" s="277" t="b">
        <f t="shared" si="1"/>
        <v>0</v>
      </c>
      <c r="I682" s="277"/>
      <c r="J682" s="277"/>
      <c r="K682" s="277"/>
      <c r="L682" s="277"/>
      <c r="M682" s="440" t="b">
        <f t="shared" si="2"/>
        <v>0</v>
      </c>
      <c r="N682" s="441"/>
      <c r="O682" s="277"/>
      <c r="P682" s="277"/>
      <c r="Q682" s="278"/>
      <c r="R682" s="449" t="str">
        <f t="array" ref="R682">IFERROR(IFS(OR(P682="A1-Mewtwo", P682="A1-Pikachu", P682="A1-Charizard", P682="A1"), XLOOKUP(N682, 'Genetic Apex'!$C$2:$C889, 'Genetic Apex'!$B$2:$B889)-$B$4, P682="A1a", XLOOKUP(N682, 'Mythical Island'!$C$2:$C889, 'Mythical Island'!$B$2:$B889)-$B$4, OR(P682="A2-Dialga", P682="A2-Palkia", P682="A2"), XLOOKUP(N682, 'Space-Time Smackdown'!$C$2:$C889, 'Space-Time Smackdown'!$B$2:$B889)-$B$4))</f>
        <v/>
      </c>
      <c r="S682" s="277"/>
      <c r="T682" s="277"/>
      <c r="U682" s="277"/>
      <c r="V682" s="278"/>
      <c r="W682" s="443" t="str">
        <f t="array" ref="W682">IFERROR(IFS(OR(U682="A1-Mewtwo", U682="A1-Pikachu", U682="A1-Charizard", U682="A1"), $B$5-XLOOKUP(S682, 'Genetic Apex'!$C$2:$C889, 'Genetic Apex'!$B$2:$B889), U682="A1a", $B$5-XLOOKUP(S682, 'Mythical Island'!$C$2:$C889, 'Mythical Island'!$B$2:$B889), OR(U682="A2-Dialga", U682="A2-Palkia", U682="A2"), $B$5-XLOOKUP(S682, 'Space-Time Smackdown'!$C$2:$C889, 'Space-Time Smackdown'!$B$2:$B889)))</f>
        <v/>
      </c>
      <c r="X682" s="444" t="str">
        <f t="shared" si="3"/>
        <v/>
      </c>
      <c r="Y682" s="445" t="str">
        <f t="shared" si="4"/>
        <v/>
      </c>
      <c r="Z682" s="278"/>
      <c r="AA682" s="466"/>
      <c r="AB682" s="278"/>
      <c r="AC682" s="278"/>
      <c r="AD682" s="278"/>
      <c r="AE682" s="278"/>
      <c r="AF682" s="278"/>
      <c r="AG682" s="278" t="b">
        <f t="shared" si="5"/>
        <v>0</v>
      </c>
      <c r="AH682" s="454"/>
      <c r="AI682" s="278"/>
      <c r="AJ682" s="278"/>
      <c r="AK682" s="278"/>
      <c r="AL682" s="444" t="str">
        <f t="array" ref="AL682">IFERROR(IFS(OR(AJ682="A1-Mewtwo", AJ682="A1-Pikachu", AJ682="A1-Charizard", AJ682="A1"), XLOOKUP(AH682, 'Genetic Apex'!$C$2:$C889, 'Genetic Apex'!$B$2:$B889)-2, AJ682="A1a", XLOOKUP(AH682, 'Mythical Island'!$C$2:$C889, 'Mythical Island'!$B$2:$B889)-2, OR(AJ682="A2-Dialga", AJ682="A2-Palkia", AJ682="A2"), XLOOKUP(AH682, 'Space-Time Smackdown'!$C$2:$C889, 'Space-Time Smackdown'!$B$2:$B889)-2))</f>
        <v/>
      </c>
      <c r="AM682" s="444" t="str">
        <f t="shared" si="6"/>
        <v/>
      </c>
      <c r="AN682" s="448" t="str">
        <f t="shared" si="7"/>
        <v/>
      </c>
    </row>
    <row r="683">
      <c r="A683" s="277"/>
      <c r="B683" s="277"/>
      <c r="C683" s="441"/>
      <c r="D683" s="277"/>
      <c r="E683" s="277"/>
      <c r="F683" s="277"/>
      <c r="G683" s="277"/>
      <c r="H683" s="277" t="b">
        <f t="shared" si="1"/>
        <v>0</v>
      </c>
      <c r="I683" s="277"/>
      <c r="J683" s="277"/>
      <c r="K683" s="277"/>
      <c r="L683" s="277"/>
      <c r="M683" s="440" t="b">
        <f t="shared" si="2"/>
        <v>0</v>
      </c>
      <c r="N683" s="441"/>
      <c r="O683" s="277"/>
      <c r="P683" s="277"/>
      <c r="Q683" s="278"/>
      <c r="R683" s="449" t="str">
        <f t="array" ref="R683">IFERROR(IFS(OR(P683="A1-Mewtwo", P683="A1-Pikachu", P683="A1-Charizard", P683="A1"), XLOOKUP(N683, 'Genetic Apex'!$C$2:$C889, 'Genetic Apex'!$B$2:$B889)-$B$4, P683="A1a", XLOOKUP(N683, 'Mythical Island'!$C$2:$C889, 'Mythical Island'!$B$2:$B889)-$B$4, OR(P683="A2-Dialga", P683="A2-Palkia", P683="A2"), XLOOKUP(N683, 'Space-Time Smackdown'!$C$2:$C889, 'Space-Time Smackdown'!$B$2:$B889)-$B$4))</f>
        <v/>
      </c>
      <c r="S683" s="277"/>
      <c r="T683" s="277"/>
      <c r="U683" s="277"/>
      <c r="V683" s="278"/>
      <c r="W683" s="443" t="str">
        <f t="array" ref="W683">IFERROR(IFS(OR(U683="A1-Mewtwo", U683="A1-Pikachu", U683="A1-Charizard", U683="A1"), $B$5-XLOOKUP(S683, 'Genetic Apex'!$C$2:$C889, 'Genetic Apex'!$B$2:$B889), U683="A1a", $B$5-XLOOKUP(S683, 'Mythical Island'!$C$2:$C889, 'Mythical Island'!$B$2:$B889), OR(U683="A2-Dialga", U683="A2-Palkia", U683="A2"), $B$5-XLOOKUP(S683, 'Space-Time Smackdown'!$C$2:$C889, 'Space-Time Smackdown'!$B$2:$B889)))</f>
        <v/>
      </c>
      <c r="X683" s="444" t="str">
        <f t="shared" si="3"/>
        <v/>
      </c>
      <c r="Y683" s="445" t="str">
        <f t="shared" si="4"/>
        <v/>
      </c>
      <c r="Z683" s="278"/>
      <c r="AA683" s="466"/>
      <c r="AB683" s="278"/>
      <c r="AC683" s="278"/>
      <c r="AD683" s="278"/>
      <c r="AE683" s="278"/>
      <c r="AF683" s="278"/>
      <c r="AG683" s="278" t="b">
        <f t="shared" si="5"/>
        <v>0</v>
      </c>
      <c r="AH683" s="454"/>
      <c r="AI683" s="278"/>
      <c r="AJ683" s="278"/>
      <c r="AK683" s="278"/>
      <c r="AL683" s="444" t="str">
        <f t="array" ref="AL683">IFERROR(IFS(OR(AJ683="A1-Mewtwo", AJ683="A1-Pikachu", AJ683="A1-Charizard", AJ683="A1"), XLOOKUP(AH683, 'Genetic Apex'!$C$2:$C889, 'Genetic Apex'!$B$2:$B889)-2, AJ683="A1a", XLOOKUP(AH683, 'Mythical Island'!$C$2:$C889, 'Mythical Island'!$B$2:$B889)-2, OR(AJ683="A2-Dialga", AJ683="A2-Palkia", AJ683="A2"), XLOOKUP(AH683, 'Space-Time Smackdown'!$C$2:$C889, 'Space-Time Smackdown'!$B$2:$B889)-2))</f>
        <v/>
      </c>
      <c r="AM683" s="444" t="str">
        <f t="shared" si="6"/>
        <v/>
      </c>
      <c r="AN683" s="448" t="str">
        <f t="shared" si="7"/>
        <v/>
      </c>
    </row>
    <row r="684">
      <c r="A684" s="277"/>
      <c r="B684" s="277"/>
      <c r="C684" s="441"/>
      <c r="D684" s="277"/>
      <c r="E684" s="277"/>
      <c r="F684" s="277"/>
      <c r="G684" s="277"/>
      <c r="H684" s="277" t="b">
        <f t="shared" si="1"/>
        <v>0</v>
      </c>
      <c r="I684" s="277"/>
      <c r="J684" s="277"/>
      <c r="K684" s="277"/>
      <c r="L684" s="277"/>
      <c r="M684" s="440" t="b">
        <f t="shared" si="2"/>
        <v>0</v>
      </c>
      <c r="N684" s="441"/>
      <c r="O684" s="277"/>
      <c r="P684" s="277"/>
      <c r="Q684" s="278"/>
      <c r="R684" s="449" t="str">
        <f t="array" ref="R684">IFERROR(IFS(OR(P684="A1-Mewtwo", P684="A1-Pikachu", P684="A1-Charizard", P684="A1"), XLOOKUP(N684, 'Genetic Apex'!$C$2:$C889, 'Genetic Apex'!$B$2:$B889)-$B$4, P684="A1a", XLOOKUP(N684, 'Mythical Island'!$C$2:$C889, 'Mythical Island'!$B$2:$B889)-$B$4, OR(P684="A2-Dialga", P684="A2-Palkia", P684="A2"), XLOOKUP(N684, 'Space-Time Smackdown'!$C$2:$C889, 'Space-Time Smackdown'!$B$2:$B889)-$B$4))</f>
        <v/>
      </c>
      <c r="S684" s="277"/>
      <c r="T684" s="277"/>
      <c r="U684" s="277"/>
      <c r="V684" s="278"/>
      <c r="W684" s="443" t="str">
        <f t="array" ref="W684">IFERROR(IFS(OR(U684="A1-Mewtwo", U684="A1-Pikachu", U684="A1-Charizard", U684="A1"), $B$5-XLOOKUP(S684, 'Genetic Apex'!$C$2:$C889, 'Genetic Apex'!$B$2:$B889), U684="A1a", $B$5-XLOOKUP(S684, 'Mythical Island'!$C$2:$C889, 'Mythical Island'!$B$2:$B889), OR(U684="A2-Dialga", U684="A2-Palkia", U684="A2"), $B$5-XLOOKUP(S684, 'Space-Time Smackdown'!$C$2:$C889, 'Space-Time Smackdown'!$B$2:$B889)))</f>
        <v/>
      </c>
      <c r="X684" s="444" t="str">
        <f t="shared" si="3"/>
        <v/>
      </c>
      <c r="Y684" s="445" t="str">
        <f t="shared" si="4"/>
        <v/>
      </c>
      <c r="Z684" s="278"/>
      <c r="AA684" s="466"/>
      <c r="AB684" s="278"/>
      <c r="AC684" s="278"/>
      <c r="AD684" s="278"/>
      <c r="AE684" s="278"/>
      <c r="AF684" s="278"/>
      <c r="AG684" s="278" t="b">
        <f t="shared" si="5"/>
        <v>0</v>
      </c>
      <c r="AH684" s="454"/>
      <c r="AI684" s="278"/>
      <c r="AJ684" s="278"/>
      <c r="AK684" s="278"/>
      <c r="AL684" s="444" t="str">
        <f t="array" ref="AL684">IFERROR(IFS(OR(AJ684="A1-Mewtwo", AJ684="A1-Pikachu", AJ684="A1-Charizard", AJ684="A1"), XLOOKUP(AH684, 'Genetic Apex'!$C$2:$C889, 'Genetic Apex'!$B$2:$B889)-2, AJ684="A1a", XLOOKUP(AH684, 'Mythical Island'!$C$2:$C889, 'Mythical Island'!$B$2:$B889)-2, OR(AJ684="A2-Dialga", AJ684="A2-Palkia", AJ684="A2"), XLOOKUP(AH684, 'Space-Time Smackdown'!$C$2:$C889, 'Space-Time Smackdown'!$B$2:$B889)-2))</f>
        <v/>
      </c>
      <c r="AM684" s="444" t="str">
        <f t="shared" si="6"/>
        <v/>
      </c>
      <c r="AN684" s="448" t="str">
        <f t="shared" si="7"/>
        <v/>
      </c>
    </row>
    <row r="685">
      <c r="A685" s="277"/>
      <c r="B685" s="277"/>
      <c r="C685" s="441"/>
      <c r="D685" s="277"/>
      <c r="E685" s="277"/>
      <c r="F685" s="277"/>
      <c r="G685" s="277"/>
      <c r="H685" s="277" t="b">
        <f t="shared" si="1"/>
        <v>0</v>
      </c>
      <c r="I685" s="277"/>
      <c r="J685" s="277"/>
      <c r="K685" s="277"/>
      <c r="L685" s="277"/>
      <c r="M685" s="440" t="b">
        <f t="shared" si="2"/>
        <v>0</v>
      </c>
      <c r="N685" s="441"/>
      <c r="O685" s="277"/>
      <c r="P685" s="277"/>
      <c r="Q685" s="278"/>
      <c r="R685" s="449" t="str">
        <f t="array" ref="R685">IFERROR(IFS(OR(P685="A1-Mewtwo", P685="A1-Pikachu", P685="A1-Charizard", P685="A1"), XLOOKUP(N685, 'Genetic Apex'!$C$2:$C889, 'Genetic Apex'!$B$2:$B889)-$B$4, P685="A1a", XLOOKUP(N685, 'Mythical Island'!$C$2:$C889, 'Mythical Island'!$B$2:$B889)-$B$4, OR(P685="A2-Dialga", P685="A2-Palkia", P685="A2"), XLOOKUP(N685, 'Space-Time Smackdown'!$C$2:$C889, 'Space-Time Smackdown'!$B$2:$B889)-$B$4))</f>
        <v/>
      </c>
      <c r="S685" s="277"/>
      <c r="T685" s="277"/>
      <c r="U685" s="277"/>
      <c r="V685" s="278"/>
      <c r="W685" s="443" t="str">
        <f t="array" ref="W685">IFERROR(IFS(OR(U685="A1-Mewtwo", U685="A1-Pikachu", U685="A1-Charizard", U685="A1"), $B$5-XLOOKUP(S685, 'Genetic Apex'!$C$2:$C889, 'Genetic Apex'!$B$2:$B889), U685="A1a", $B$5-XLOOKUP(S685, 'Mythical Island'!$C$2:$C889, 'Mythical Island'!$B$2:$B889), OR(U685="A2-Dialga", U685="A2-Palkia", U685="A2"), $B$5-XLOOKUP(S685, 'Space-Time Smackdown'!$C$2:$C889, 'Space-Time Smackdown'!$B$2:$B889)))</f>
        <v/>
      </c>
      <c r="X685" s="444" t="str">
        <f t="shared" si="3"/>
        <v/>
      </c>
      <c r="Y685" s="445" t="str">
        <f t="shared" si="4"/>
        <v/>
      </c>
      <c r="Z685" s="278"/>
      <c r="AA685" s="466"/>
      <c r="AB685" s="278"/>
      <c r="AC685" s="278"/>
      <c r="AD685" s="278"/>
      <c r="AE685" s="278"/>
      <c r="AF685" s="278"/>
      <c r="AG685" s="278" t="b">
        <f t="shared" si="5"/>
        <v>0</v>
      </c>
      <c r="AH685" s="454"/>
      <c r="AI685" s="278"/>
      <c r="AJ685" s="278"/>
      <c r="AK685" s="278"/>
      <c r="AL685" s="444" t="str">
        <f t="array" ref="AL685">IFERROR(IFS(OR(AJ685="A1-Mewtwo", AJ685="A1-Pikachu", AJ685="A1-Charizard", AJ685="A1"), XLOOKUP(AH685, 'Genetic Apex'!$C$2:$C889, 'Genetic Apex'!$B$2:$B889)-2, AJ685="A1a", XLOOKUP(AH685, 'Mythical Island'!$C$2:$C889, 'Mythical Island'!$B$2:$B889)-2, OR(AJ685="A2-Dialga", AJ685="A2-Palkia", AJ685="A2"), XLOOKUP(AH685, 'Space-Time Smackdown'!$C$2:$C889, 'Space-Time Smackdown'!$B$2:$B889)-2))</f>
        <v/>
      </c>
      <c r="AM685" s="444" t="str">
        <f t="shared" si="6"/>
        <v/>
      </c>
      <c r="AN685" s="448" t="str">
        <f t="shared" si="7"/>
        <v/>
      </c>
    </row>
    <row r="686">
      <c r="A686" s="277"/>
      <c r="B686" s="277"/>
      <c r="C686" s="441"/>
      <c r="D686" s="277"/>
      <c r="E686" s="277"/>
      <c r="F686" s="277"/>
      <c r="G686" s="277"/>
      <c r="H686" s="277" t="b">
        <f t="shared" si="1"/>
        <v>0</v>
      </c>
      <c r="I686" s="277"/>
      <c r="J686" s="277"/>
      <c r="K686" s="277"/>
      <c r="L686" s="277"/>
      <c r="M686" s="440" t="b">
        <f t="shared" si="2"/>
        <v>0</v>
      </c>
      <c r="N686" s="441"/>
      <c r="O686" s="277"/>
      <c r="P686" s="277"/>
      <c r="Q686" s="278"/>
      <c r="R686" s="449" t="str">
        <f t="array" ref="R686">IFERROR(IFS(OR(P686="A1-Mewtwo", P686="A1-Pikachu", P686="A1-Charizard", P686="A1"), XLOOKUP(N686, 'Genetic Apex'!$C$2:$C889, 'Genetic Apex'!$B$2:$B889)-$B$4, P686="A1a", XLOOKUP(N686, 'Mythical Island'!$C$2:$C889, 'Mythical Island'!$B$2:$B889)-$B$4, OR(P686="A2-Dialga", P686="A2-Palkia", P686="A2"), XLOOKUP(N686, 'Space-Time Smackdown'!$C$2:$C889, 'Space-Time Smackdown'!$B$2:$B889)-$B$4))</f>
        <v/>
      </c>
      <c r="S686" s="277"/>
      <c r="T686" s="277"/>
      <c r="U686" s="277"/>
      <c r="V686" s="278"/>
      <c r="W686" s="443" t="str">
        <f t="array" ref="W686">IFERROR(IFS(OR(U686="A1-Mewtwo", U686="A1-Pikachu", U686="A1-Charizard", U686="A1"), $B$5-XLOOKUP(S686, 'Genetic Apex'!$C$2:$C889, 'Genetic Apex'!$B$2:$B889), U686="A1a", $B$5-XLOOKUP(S686, 'Mythical Island'!$C$2:$C889, 'Mythical Island'!$B$2:$B889), OR(U686="A2-Dialga", U686="A2-Palkia", U686="A2"), $B$5-XLOOKUP(S686, 'Space-Time Smackdown'!$C$2:$C889, 'Space-Time Smackdown'!$B$2:$B889)))</f>
        <v/>
      </c>
      <c r="X686" s="444" t="str">
        <f t="shared" si="3"/>
        <v/>
      </c>
      <c r="Y686" s="445" t="str">
        <f t="shared" si="4"/>
        <v/>
      </c>
      <c r="Z686" s="278"/>
      <c r="AA686" s="466"/>
      <c r="AB686" s="278"/>
      <c r="AC686" s="278"/>
      <c r="AD686" s="278"/>
      <c r="AE686" s="278"/>
      <c r="AF686" s="278"/>
      <c r="AG686" s="278" t="b">
        <f t="shared" si="5"/>
        <v>0</v>
      </c>
      <c r="AH686" s="454"/>
      <c r="AI686" s="278"/>
      <c r="AJ686" s="278"/>
      <c r="AK686" s="278"/>
      <c r="AL686" s="444" t="str">
        <f t="array" ref="AL686">IFERROR(IFS(OR(AJ686="A1-Mewtwo", AJ686="A1-Pikachu", AJ686="A1-Charizard", AJ686="A1"), XLOOKUP(AH686, 'Genetic Apex'!$C$2:$C889, 'Genetic Apex'!$B$2:$B889)-2, AJ686="A1a", XLOOKUP(AH686, 'Mythical Island'!$C$2:$C889, 'Mythical Island'!$B$2:$B889)-2, OR(AJ686="A2-Dialga", AJ686="A2-Palkia", AJ686="A2"), XLOOKUP(AH686, 'Space-Time Smackdown'!$C$2:$C889, 'Space-Time Smackdown'!$B$2:$B889)-2))</f>
        <v/>
      </c>
      <c r="AM686" s="444" t="str">
        <f t="shared" si="6"/>
        <v/>
      </c>
      <c r="AN686" s="448" t="str">
        <f t="shared" si="7"/>
        <v/>
      </c>
    </row>
    <row r="687">
      <c r="A687" s="277"/>
      <c r="B687" s="277"/>
      <c r="C687" s="441"/>
      <c r="D687" s="277"/>
      <c r="E687" s="277"/>
      <c r="F687" s="277"/>
      <c r="G687" s="277"/>
      <c r="H687" s="277" t="b">
        <f t="shared" si="1"/>
        <v>0</v>
      </c>
      <c r="I687" s="277"/>
      <c r="J687" s="277"/>
      <c r="K687" s="277"/>
      <c r="L687" s="277"/>
      <c r="M687" s="440" t="b">
        <f t="shared" si="2"/>
        <v>0</v>
      </c>
      <c r="N687" s="441"/>
      <c r="O687" s="277"/>
      <c r="P687" s="277"/>
      <c r="Q687" s="278"/>
      <c r="R687" s="449" t="str">
        <f t="array" ref="R687">IFERROR(IFS(OR(P687="A1-Mewtwo", P687="A1-Pikachu", P687="A1-Charizard", P687="A1"), XLOOKUP(N687, 'Genetic Apex'!$C$2:$C889, 'Genetic Apex'!$B$2:$B889)-$B$4, P687="A1a", XLOOKUP(N687, 'Mythical Island'!$C$2:$C889, 'Mythical Island'!$B$2:$B889)-$B$4, OR(P687="A2-Dialga", P687="A2-Palkia", P687="A2"), XLOOKUP(N687, 'Space-Time Smackdown'!$C$2:$C889, 'Space-Time Smackdown'!$B$2:$B889)-$B$4))</f>
        <v/>
      </c>
      <c r="S687" s="277"/>
      <c r="T687" s="277"/>
      <c r="U687" s="277"/>
      <c r="V687" s="278"/>
      <c r="W687" s="443" t="str">
        <f t="array" ref="W687">IFERROR(IFS(OR(U687="A1-Mewtwo", U687="A1-Pikachu", U687="A1-Charizard", U687="A1"), $B$5-XLOOKUP(S687, 'Genetic Apex'!$C$2:$C889, 'Genetic Apex'!$B$2:$B889), U687="A1a", $B$5-XLOOKUP(S687, 'Mythical Island'!$C$2:$C889, 'Mythical Island'!$B$2:$B889), OR(U687="A2-Dialga", U687="A2-Palkia", U687="A2"), $B$5-XLOOKUP(S687, 'Space-Time Smackdown'!$C$2:$C889, 'Space-Time Smackdown'!$B$2:$B889)))</f>
        <v/>
      </c>
      <c r="X687" s="444" t="str">
        <f t="shared" si="3"/>
        <v/>
      </c>
      <c r="Y687" s="445" t="str">
        <f t="shared" si="4"/>
        <v/>
      </c>
      <c r="Z687" s="278"/>
      <c r="AA687" s="466"/>
      <c r="AB687" s="278"/>
      <c r="AC687" s="278"/>
      <c r="AD687" s="278"/>
      <c r="AE687" s="278"/>
      <c r="AF687" s="278"/>
      <c r="AG687" s="278" t="b">
        <f t="shared" si="5"/>
        <v>0</v>
      </c>
      <c r="AH687" s="454"/>
      <c r="AI687" s="278"/>
      <c r="AJ687" s="278"/>
      <c r="AK687" s="278"/>
      <c r="AL687" s="444" t="str">
        <f t="array" ref="AL687">IFERROR(IFS(OR(AJ687="A1-Mewtwo", AJ687="A1-Pikachu", AJ687="A1-Charizard", AJ687="A1"), XLOOKUP(AH687, 'Genetic Apex'!$C$2:$C889, 'Genetic Apex'!$B$2:$B889)-2, AJ687="A1a", XLOOKUP(AH687, 'Mythical Island'!$C$2:$C889, 'Mythical Island'!$B$2:$B889)-2, OR(AJ687="A2-Dialga", AJ687="A2-Palkia", AJ687="A2"), XLOOKUP(AH687, 'Space-Time Smackdown'!$C$2:$C889, 'Space-Time Smackdown'!$B$2:$B889)-2))</f>
        <v/>
      </c>
      <c r="AM687" s="444" t="str">
        <f t="shared" si="6"/>
        <v/>
      </c>
      <c r="AN687" s="448" t="str">
        <f t="shared" si="7"/>
        <v/>
      </c>
    </row>
    <row r="688">
      <c r="A688" s="277"/>
      <c r="B688" s="277"/>
      <c r="C688" s="441"/>
      <c r="D688" s="277"/>
      <c r="E688" s="277"/>
      <c r="F688" s="277"/>
      <c r="G688" s="277"/>
      <c r="H688" s="277" t="b">
        <f t="shared" si="1"/>
        <v>0</v>
      </c>
      <c r="I688" s="277"/>
      <c r="J688" s="277"/>
      <c r="K688" s="277"/>
      <c r="L688" s="277"/>
      <c r="M688" s="440" t="b">
        <f t="shared" si="2"/>
        <v>0</v>
      </c>
      <c r="N688" s="441"/>
      <c r="O688" s="277"/>
      <c r="P688" s="277"/>
      <c r="Q688" s="278"/>
      <c r="R688" s="449" t="str">
        <f t="array" ref="R688">IFERROR(IFS(OR(P688="A1-Mewtwo", P688="A1-Pikachu", P688="A1-Charizard", P688="A1"), XLOOKUP(N688, 'Genetic Apex'!$C$2:$C889, 'Genetic Apex'!$B$2:$B889)-$B$4, P688="A1a", XLOOKUP(N688, 'Mythical Island'!$C$2:$C889, 'Mythical Island'!$B$2:$B889)-$B$4, OR(P688="A2-Dialga", P688="A2-Palkia", P688="A2"), XLOOKUP(N688, 'Space-Time Smackdown'!$C$2:$C889, 'Space-Time Smackdown'!$B$2:$B889)-$B$4))</f>
        <v/>
      </c>
      <c r="S688" s="277"/>
      <c r="T688" s="277"/>
      <c r="U688" s="277"/>
      <c r="V688" s="278"/>
      <c r="W688" s="443" t="str">
        <f t="array" ref="W688">IFERROR(IFS(OR(U688="A1-Mewtwo", U688="A1-Pikachu", U688="A1-Charizard", U688="A1"), $B$5-XLOOKUP(S688, 'Genetic Apex'!$C$2:$C889, 'Genetic Apex'!$B$2:$B889), U688="A1a", $B$5-XLOOKUP(S688, 'Mythical Island'!$C$2:$C889, 'Mythical Island'!$B$2:$B889), OR(U688="A2-Dialga", U688="A2-Palkia", U688="A2"), $B$5-XLOOKUP(S688, 'Space-Time Smackdown'!$C$2:$C889, 'Space-Time Smackdown'!$B$2:$B889)))</f>
        <v/>
      </c>
      <c r="X688" s="444" t="str">
        <f t="shared" si="3"/>
        <v/>
      </c>
      <c r="Y688" s="445" t="str">
        <f t="shared" si="4"/>
        <v/>
      </c>
      <c r="Z688" s="278"/>
      <c r="AA688" s="466"/>
      <c r="AB688" s="278"/>
      <c r="AC688" s="278"/>
      <c r="AD688" s="278"/>
      <c r="AE688" s="278"/>
      <c r="AF688" s="278"/>
      <c r="AG688" s="278" t="b">
        <f t="shared" si="5"/>
        <v>0</v>
      </c>
      <c r="AH688" s="454"/>
      <c r="AI688" s="278"/>
      <c r="AJ688" s="278"/>
      <c r="AK688" s="278"/>
      <c r="AL688" s="444" t="str">
        <f t="array" ref="AL688">IFERROR(IFS(OR(AJ688="A1-Mewtwo", AJ688="A1-Pikachu", AJ688="A1-Charizard", AJ688="A1"), XLOOKUP(AH688, 'Genetic Apex'!$C$2:$C889, 'Genetic Apex'!$B$2:$B889)-2, AJ688="A1a", XLOOKUP(AH688, 'Mythical Island'!$C$2:$C889, 'Mythical Island'!$B$2:$B889)-2, OR(AJ688="A2-Dialga", AJ688="A2-Palkia", AJ688="A2"), XLOOKUP(AH688, 'Space-Time Smackdown'!$C$2:$C889, 'Space-Time Smackdown'!$B$2:$B889)-2))</f>
        <v/>
      </c>
      <c r="AM688" s="444" t="str">
        <f t="shared" si="6"/>
        <v/>
      </c>
      <c r="AN688" s="448" t="str">
        <f t="shared" si="7"/>
        <v/>
      </c>
    </row>
    <row r="689">
      <c r="A689" s="277"/>
      <c r="B689" s="277"/>
      <c r="C689" s="441"/>
      <c r="D689" s="277"/>
      <c r="E689" s="277"/>
      <c r="F689" s="277"/>
      <c r="G689" s="277"/>
      <c r="H689" s="277" t="b">
        <f t="shared" si="1"/>
        <v>0</v>
      </c>
      <c r="I689" s="277"/>
      <c r="J689" s="277"/>
      <c r="K689" s="277"/>
      <c r="L689" s="277"/>
      <c r="M689" s="440" t="b">
        <f t="shared" si="2"/>
        <v>0</v>
      </c>
      <c r="N689" s="441"/>
      <c r="O689" s="277"/>
      <c r="P689" s="277"/>
      <c r="Q689" s="278"/>
      <c r="R689" s="449" t="str">
        <f t="array" ref="R689">IFERROR(IFS(OR(P689="A1-Mewtwo", P689="A1-Pikachu", P689="A1-Charizard", P689="A1"), XLOOKUP(N689, 'Genetic Apex'!$C$2:$C889, 'Genetic Apex'!$B$2:$B889)-$B$4, P689="A1a", XLOOKUP(N689, 'Mythical Island'!$C$2:$C889, 'Mythical Island'!$B$2:$B889)-$B$4, OR(P689="A2-Dialga", P689="A2-Palkia", P689="A2"), XLOOKUP(N689, 'Space-Time Smackdown'!$C$2:$C889, 'Space-Time Smackdown'!$B$2:$B889)-$B$4))</f>
        <v/>
      </c>
      <c r="S689" s="277"/>
      <c r="T689" s="277"/>
      <c r="U689" s="277"/>
      <c r="V689" s="278"/>
      <c r="W689" s="443" t="str">
        <f t="array" ref="W689">IFERROR(IFS(OR(U689="A1-Mewtwo", U689="A1-Pikachu", U689="A1-Charizard", U689="A1"), $B$5-XLOOKUP(S689, 'Genetic Apex'!$C$2:$C889, 'Genetic Apex'!$B$2:$B889), U689="A1a", $B$5-XLOOKUP(S689, 'Mythical Island'!$C$2:$C889, 'Mythical Island'!$B$2:$B889), OR(U689="A2-Dialga", U689="A2-Palkia", U689="A2"), $B$5-XLOOKUP(S689, 'Space-Time Smackdown'!$C$2:$C889, 'Space-Time Smackdown'!$B$2:$B889)))</f>
        <v/>
      </c>
      <c r="X689" s="444" t="str">
        <f t="shared" si="3"/>
        <v/>
      </c>
      <c r="Y689" s="445" t="str">
        <f t="shared" si="4"/>
        <v/>
      </c>
      <c r="Z689" s="278"/>
      <c r="AA689" s="466"/>
      <c r="AB689" s="278"/>
      <c r="AC689" s="278"/>
      <c r="AD689" s="278"/>
      <c r="AE689" s="278"/>
      <c r="AF689" s="278"/>
      <c r="AG689" s="278" t="b">
        <f t="shared" si="5"/>
        <v>0</v>
      </c>
      <c r="AH689" s="454"/>
      <c r="AI689" s="278"/>
      <c r="AJ689" s="278"/>
      <c r="AK689" s="278"/>
      <c r="AL689" s="444" t="str">
        <f t="array" ref="AL689">IFERROR(IFS(OR(AJ689="A1-Mewtwo", AJ689="A1-Pikachu", AJ689="A1-Charizard", AJ689="A1"), XLOOKUP(AH689, 'Genetic Apex'!$C$2:$C889, 'Genetic Apex'!$B$2:$B889)-2, AJ689="A1a", XLOOKUP(AH689, 'Mythical Island'!$C$2:$C889, 'Mythical Island'!$B$2:$B889)-2, OR(AJ689="A2-Dialga", AJ689="A2-Palkia", AJ689="A2"), XLOOKUP(AH689, 'Space-Time Smackdown'!$C$2:$C889, 'Space-Time Smackdown'!$B$2:$B889)-2))</f>
        <v/>
      </c>
      <c r="AM689" s="444" t="str">
        <f t="shared" si="6"/>
        <v/>
      </c>
      <c r="AN689" s="448" t="str">
        <f t="shared" si="7"/>
        <v/>
      </c>
    </row>
    <row r="690">
      <c r="A690" s="277"/>
      <c r="B690" s="277"/>
      <c r="C690" s="441"/>
      <c r="D690" s="277"/>
      <c r="E690" s="277"/>
      <c r="F690" s="277"/>
      <c r="G690" s="277"/>
      <c r="H690" s="277" t="b">
        <f t="shared" si="1"/>
        <v>0</v>
      </c>
      <c r="I690" s="277"/>
      <c r="J690" s="277"/>
      <c r="K690" s="277"/>
      <c r="L690" s="277"/>
      <c r="M690" s="440" t="b">
        <f t="shared" si="2"/>
        <v>0</v>
      </c>
      <c r="N690" s="441"/>
      <c r="O690" s="277"/>
      <c r="P690" s="277"/>
      <c r="Q690" s="278"/>
      <c r="R690" s="449" t="str">
        <f t="array" ref="R690">IFERROR(IFS(OR(P690="A1-Mewtwo", P690="A1-Pikachu", P690="A1-Charizard", P690="A1"), XLOOKUP(N690, 'Genetic Apex'!$C$2:$C889, 'Genetic Apex'!$B$2:$B889)-$B$4, P690="A1a", XLOOKUP(N690, 'Mythical Island'!$C$2:$C889, 'Mythical Island'!$B$2:$B889)-$B$4, OR(P690="A2-Dialga", P690="A2-Palkia", P690="A2"), XLOOKUP(N690, 'Space-Time Smackdown'!$C$2:$C889, 'Space-Time Smackdown'!$B$2:$B889)-$B$4))</f>
        <v/>
      </c>
      <c r="S690" s="277"/>
      <c r="T690" s="277"/>
      <c r="U690" s="277"/>
      <c r="V690" s="278"/>
      <c r="W690" s="443" t="str">
        <f t="array" ref="W690">IFERROR(IFS(OR(U690="A1-Mewtwo", U690="A1-Pikachu", U690="A1-Charizard", U690="A1"), $B$5-XLOOKUP(S690, 'Genetic Apex'!$C$2:$C889, 'Genetic Apex'!$B$2:$B889), U690="A1a", $B$5-XLOOKUP(S690, 'Mythical Island'!$C$2:$C889, 'Mythical Island'!$B$2:$B889), OR(U690="A2-Dialga", U690="A2-Palkia", U690="A2"), $B$5-XLOOKUP(S690, 'Space-Time Smackdown'!$C$2:$C889, 'Space-Time Smackdown'!$B$2:$B889)))</f>
        <v/>
      </c>
      <c r="X690" s="444" t="str">
        <f t="shared" si="3"/>
        <v/>
      </c>
      <c r="Y690" s="445" t="str">
        <f t="shared" si="4"/>
        <v/>
      </c>
      <c r="Z690" s="278"/>
      <c r="AA690" s="466"/>
      <c r="AB690" s="278"/>
      <c r="AC690" s="278"/>
      <c r="AD690" s="278"/>
      <c r="AE690" s="278"/>
      <c r="AF690" s="278"/>
      <c r="AG690" s="278" t="b">
        <f t="shared" si="5"/>
        <v>0</v>
      </c>
      <c r="AH690" s="454"/>
      <c r="AI690" s="278"/>
      <c r="AJ690" s="278"/>
      <c r="AK690" s="278"/>
      <c r="AL690" s="444" t="str">
        <f t="array" ref="AL690">IFERROR(IFS(OR(AJ690="A1-Mewtwo", AJ690="A1-Pikachu", AJ690="A1-Charizard", AJ690="A1"), XLOOKUP(AH690, 'Genetic Apex'!$C$2:$C889, 'Genetic Apex'!$B$2:$B889)-2, AJ690="A1a", XLOOKUP(AH690, 'Mythical Island'!$C$2:$C889, 'Mythical Island'!$B$2:$B889)-2, OR(AJ690="A2-Dialga", AJ690="A2-Palkia", AJ690="A2"), XLOOKUP(AH690, 'Space-Time Smackdown'!$C$2:$C889, 'Space-Time Smackdown'!$B$2:$B889)-2))</f>
        <v/>
      </c>
      <c r="AM690" s="444" t="str">
        <f t="shared" si="6"/>
        <v/>
      </c>
      <c r="AN690" s="448" t="str">
        <f t="shared" si="7"/>
        <v/>
      </c>
    </row>
    <row r="691">
      <c r="A691" s="277"/>
      <c r="B691" s="277"/>
      <c r="C691" s="441"/>
      <c r="D691" s="277"/>
      <c r="E691" s="277"/>
      <c r="F691" s="277"/>
      <c r="G691" s="277"/>
      <c r="H691" s="277" t="b">
        <f t="shared" si="1"/>
        <v>0</v>
      </c>
      <c r="I691" s="277"/>
      <c r="J691" s="277"/>
      <c r="K691" s="277"/>
      <c r="L691" s="277"/>
      <c r="M691" s="440" t="b">
        <f t="shared" si="2"/>
        <v>0</v>
      </c>
      <c r="N691" s="441"/>
      <c r="O691" s="277"/>
      <c r="P691" s="277"/>
      <c r="Q691" s="278"/>
      <c r="R691" s="449" t="str">
        <f t="array" ref="R691">IFERROR(IFS(OR(P691="A1-Mewtwo", P691="A1-Pikachu", P691="A1-Charizard", P691="A1"), XLOOKUP(N691, 'Genetic Apex'!$C$2:$C889, 'Genetic Apex'!$B$2:$B889)-$B$4, P691="A1a", XLOOKUP(N691, 'Mythical Island'!$C$2:$C889, 'Mythical Island'!$B$2:$B889)-$B$4, OR(P691="A2-Dialga", P691="A2-Palkia", P691="A2"), XLOOKUP(N691, 'Space-Time Smackdown'!$C$2:$C889, 'Space-Time Smackdown'!$B$2:$B889)-$B$4))</f>
        <v/>
      </c>
      <c r="S691" s="277"/>
      <c r="T691" s="277"/>
      <c r="U691" s="277"/>
      <c r="V691" s="278"/>
      <c r="W691" s="443" t="str">
        <f t="array" ref="W691">IFERROR(IFS(OR(U691="A1-Mewtwo", U691="A1-Pikachu", U691="A1-Charizard", U691="A1"), $B$5-XLOOKUP(S691, 'Genetic Apex'!$C$2:$C889, 'Genetic Apex'!$B$2:$B889), U691="A1a", $B$5-XLOOKUP(S691, 'Mythical Island'!$C$2:$C889, 'Mythical Island'!$B$2:$B889), OR(U691="A2-Dialga", U691="A2-Palkia", U691="A2"), $B$5-XLOOKUP(S691, 'Space-Time Smackdown'!$C$2:$C889, 'Space-Time Smackdown'!$B$2:$B889)))</f>
        <v/>
      </c>
      <c r="X691" s="444" t="str">
        <f t="shared" si="3"/>
        <v/>
      </c>
      <c r="Y691" s="445" t="str">
        <f t="shared" si="4"/>
        <v/>
      </c>
      <c r="Z691" s="278"/>
      <c r="AA691" s="466"/>
      <c r="AB691" s="278"/>
      <c r="AC691" s="278"/>
      <c r="AD691" s="278"/>
      <c r="AE691" s="278"/>
      <c r="AF691" s="278"/>
      <c r="AG691" s="278" t="b">
        <f t="shared" si="5"/>
        <v>0</v>
      </c>
      <c r="AH691" s="454"/>
      <c r="AI691" s="278"/>
      <c r="AJ691" s="278"/>
      <c r="AK691" s="278"/>
      <c r="AL691" s="444" t="str">
        <f t="array" ref="AL691">IFERROR(IFS(OR(AJ691="A1-Mewtwo", AJ691="A1-Pikachu", AJ691="A1-Charizard", AJ691="A1"), XLOOKUP(AH691, 'Genetic Apex'!$C$2:$C889, 'Genetic Apex'!$B$2:$B889)-2, AJ691="A1a", XLOOKUP(AH691, 'Mythical Island'!$C$2:$C889, 'Mythical Island'!$B$2:$B889)-2, OR(AJ691="A2-Dialga", AJ691="A2-Palkia", AJ691="A2"), XLOOKUP(AH691, 'Space-Time Smackdown'!$C$2:$C889, 'Space-Time Smackdown'!$B$2:$B889)-2))</f>
        <v/>
      </c>
      <c r="AM691" s="444" t="str">
        <f t="shared" si="6"/>
        <v/>
      </c>
      <c r="AN691" s="448" t="str">
        <f t="shared" si="7"/>
        <v/>
      </c>
    </row>
    <row r="692">
      <c r="A692" s="277"/>
      <c r="B692" s="277"/>
      <c r="C692" s="441"/>
      <c r="D692" s="277"/>
      <c r="E692" s="277"/>
      <c r="F692" s="277"/>
      <c r="G692" s="277"/>
      <c r="H692" s="277" t="b">
        <f t="shared" si="1"/>
        <v>0</v>
      </c>
      <c r="I692" s="277"/>
      <c r="J692" s="277"/>
      <c r="K692" s="277"/>
      <c r="L692" s="277"/>
      <c r="M692" s="440" t="b">
        <f t="shared" si="2"/>
        <v>0</v>
      </c>
      <c r="N692" s="441"/>
      <c r="O692" s="277"/>
      <c r="P692" s="277"/>
      <c r="Q692" s="278"/>
      <c r="R692" s="449" t="str">
        <f t="array" ref="R692">IFERROR(IFS(OR(P692="A1-Mewtwo", P692="A1-Pikachu", P692="A1-Charizard", P692="A1"), XLOOKUP(N692, 'Genetic Apex'!$C$2:$C889, 'Genetic Apex'!$B$2:$B889)-$B$4, P692="A1a", XLOOKUP(N692, 'Mythical Island'!$C$2:$C889, 'Mythical Island'!$B$2:$B889)-$B$4, OR(P692="A2-Dialga", P692="A2-Palkia", P692="A2"), XLOOKUP(N692, 'Space-Time Smackdown'!$C$2:$C889, 'Space-Time Smackdown'!$B$2:$B889)-$B$4))</f>
        <v/>
      </c>
      <c r="S692" s="277"/>
      <c r="T692" s="277"/>
      <c r="U692" s="277"/>
      <c r="V692" s="278"/>
      <c r="W692" s="443" t="str">
        <f t="array" ref="W692">IFERROR(IFS(OR(U692="A1-Mewtwo", U692="A1-Pikachu", U692="A1-Charizard", U692="A1"), $B$5-XLOOKUP(S692, 'Genetic Apex'!$C$2:$C889, 'Genetic Apex'!$B$2:$B889), U692="A1a", $B$5-XLOOKUP(S692, 'Mythical Island'!$C$2:$C889, 'Mythical Island'!$B$2:$B889), OR(U692="A2-Dialga", U692="A2-Palkia", U692="A2"), $B$5-XLOOKUP(S692, 'Space-Time Smackdown'!$C$2:$C889, 'Space-Time Smackdown'!$B$2:$B889)))</f>
        <v/>
      </c>
      <c r="X692" s="444" t="str">
        <f t="shared" si="3"/>
        <v/>
      </c>
      <c r="Y692" s="445" t="str">
        <f t="shared" si="4"/>
        <v/>
      </c>
      <c r="Z692" s="278"/>
      <c r="AA692" s="466"/>
      <c r="AB692" s="278"/>
      <c r="AC692" s="278"/>
      <c r="AD692" s="278"/>
      <c r="AE692" s="278"/>
      <c r="AF692" s="278"/>
      <c r="AG692" s="278" t="b">
        <f t="shared" si="5"/>
        <v>0</v>
      </c>
      <c r="AH692" s="454"/>
      <c r="AI692" s="278"/>
      <c r="AJ692" s="278"/>
      <c r="AK692" s="278"/>
      <c r="AL692" s="444" t="str">
        <f t="array" ref="AL692">IFERROR(IFS(OR(AJ692="A1-Mewtwo", AJ692="A1-Pikachu", AJ692="A1-Charizard", AJ692="A1"), XLOOKUP(AH692, 'Genetic Apex'!$C$2:$C889, 'Genetic Apex'!$B$2:$B889)-2, AJ692="A1a", XLOOKUP(AH692, 'Mythical Island'!$C$2:$C889, 'Mythical Island'!$B$2:$B889)-2, OR(AJ692="A2-Dialga", AJ692="A2-Palkia", AJ692="A2"), XLOOKUP(AH692, 'Space-Time Smackdown'!$C$2:$C889, 'Space-Time Smackdown'!$B$2:$B889)-2))</f>
        <v/>
      </c>
      <c r="AM692" s="444" t="str">
        <f t="shared" si="6"/>
        <v/>
      </c>
      <c r="AN692" s="448" t="str">
        <f t="shared" si="7"/>
        <v/>
      </c>
    </row>
    <row r="693">
      <c r="A693" s="277"/>
      <c r="B693" s="277"/>
      <c r="C693" s="441"/>
      <c r="D693" s="277"/>
      <c r="E693" s="277"/>
      <c r="F693" s="277"/>
      <c r="G693" s="277"/>
      <c r="H693" s="277" t="b">
        <f t="shared" si="1"/>
        <v>0</v>
      </c>
      <c r="I693" s="277"/>
      <c r="J693" s="277"/>
      <c r="K693" s="277"/>
      <c r="L693" s="277"/>
      <c r="M693" s="440" t="b">
        <f t="shared" si="2"/>
        <v>0</v>
      </c>
      <c r="N693" s="441"/>
      <c r="O693" s="277"/>
      <c r="P693" s="277"/>
      <c r="Q693" s="278"/>
      <c r="R693" s="449" t="str">
        <f t="array" ref="R693">IFERROR(IFS(OR(P693="A1-Mewtwo", P693="A1-Pikachu", P693="A1-Charizard", P693="A1"), XLOOKUP(N693, 'Genetic Apex'!$C$2:$C889, 'Genetic Apex'!$B$2:$B889)-$B$4, P693="A1a", XLOOKUP(N693, 'Mythical Island'!$C$2:$C889, 'Mythical Island'!$B$2:$B889)-$B$4, OR(P693="A2-Dialga", P693="A2-Palkia", P693="A2"), XLOOKUP(N693, 'Space-Time Smackdown'!$C$2:$C889, 'Space-Time Smackdown'!$B$2:$B889)-$B$4))</f>
        <v/>
      </c>
      <c r="S693" s="277"/>
      <c r="T693" s="277"/>
      <c r="U693" s="277"/>
      <c r="V693" s="278"/>
      <c r="W693" s="443" t="str">
        <f t="array" ref="W693">IFERROR(IFS(OR(U693="A1-Mewtwo", U693="A1-Pikachu", U693="A1-Charizard", U693="A1"), $B$5-XLOOKUP(S693, 'Genetic Apex'!$C$2:$C889, 'Genetic Apex'!$B$2:$B889), U693="A1a", $B$5-XLOOKUP(S693, 'Mythical Island'!$C$2:$C889, 'Mythical Island'!$B$2:$B889), OR(U693="A2-Dialga", U693="A2-Palkia", U693="A2"), $B$5-XLOOKUP(S693, 'Space-Time Smackdown'!$C$2:$C889, 'Space-Time Smackdown'!$B$2:$B889)))</f>
        <v/>
      </c>
      <c r="X693" s="444" t="str">
        <f t="shared" si="3"/>
        <v/>
      </c>
      <c r="Y693" s="445" t="str">
        <f t="shared" si="4"/>
        <v/>
      </c>
      <c r="Z693" s="278"/>
      <c r="AA693" s="466"/>
      <c r="AB693" s="278"/>
      <c r="AC693" s="278"/>
      <c r="AD693" s="278"/>
      <c r="AE693" s="278"/>
      <c r="AF693" s="278"/>
      <c r="AG693" s="278" t="b">
        <f t="shared" si="5"/>
        <v>0</v>
      </c>
      <c r="AH693" s="454"/>
      <c r="AI693" s="278"/>
      <c r="AJ693" s="278"/>
      <c r="AK693" s="278"/>
      <c r="AL693" s="444" t="str">
        <f t="array" ref="AL693">IFERROR(IFS(OR(AJ693="A1-Mewtwo", AJ693="A1-Pikachu", AJ693="A1-Charizard", AJ693="A1"), XLOOKUP(AH693, 'Genetic Apex'!$C$2:$C889, 'Genetic Apex'!$B$2:$B889)-2, AJ693="A1a", XLOOKUP(AH693, 'Mythical Island'!$C$2:$C889, 'Mythical Island'!$B$2:$B889)-2, OR(AJ693="A2-Dialga", AJ693="A2-Palkia", AJ693="A2"), XLOOKUP(AH693, 'Space-Time Smackdown'!$C$2:$C889, 'Space-Time Smackdown'!$B$2:$B889)-2))</f>
        <v/>
      </c>
      <c r="AM693" s="444" t="str">
        <f t="shared" si="6"/>
        <v/>
      </c>
      <c r="AN693" s="448" t="str">
        <f t="shared" si="7"/>
        <v/>
      </c>
    </row>
    <row r="694">
      <c r="A694" s="277"/>
      <c r="B694" s="277"/>
      <c r="C694" s="441"/>
      <c r="D694" s="277"/>
      <c r="E694" s="277"/>
      <c r="F694" s="277"/>
      <c r="G694" s="277"/>
      <c r="H694" s="277" t="b">
        <f t="shared" si="1"/>
        <v>0</v>
      </c>
      <c r="I694" s="277"/>
      <c r="J694" s="277"/>
      <c r="K694" s="277"/>
      <c r="L694" s="277"/>
      <c r="M694" s="440" t="b">
        <f t="shared" si="2"/>
        <v>0</v>
      </c>
      <c r="N694" s="441"/>
      <c r="O694" s="277"/>
      <c r="P694" s="277"/>
      <c r="Q694" s="278"/>
      <c r="R694" s="449" t="str">
        <f t="array" ref="R694">IFERROR(IFS(OR(P694="A1-Mewtwo", P694="A1-Pikachu", P694="A1-Charizard", P694="A1"), XLOOKUP(N694, 'Genetic Apex'!$C$2:$C889, 'Genetic Apex'!$B$2:$B889)-$B$4, P694="A1a", XLOOKUP(N694, 'Mythical Island'!$C$2:$C889, 'Mythical Island'!$B$2:$B889)-$B$4, OR(P694="A2-Dialga", P694="A2-Palkia", P694="A2"), XLOOKUP(N694, 'Space-Time Smackdown'!$C$2:$C889, 'Space-Time Smackdown'!$B$2:$B889)-$B$4))</f>
        <v/>
      </c>
      <c r="S694" s="277"/>
      <c r="T694" s="277"/>
      <c r="U694" s="277"/>
      <c r="V694" s="278"/>
      <c r="W694" s="443" t="str">
        <f t="array" ref="W694">IFERROR(IFS(OR(U694="A1-Mewtwo", U694="A1-Pikachu", U694="A1-Charizard", U694="A1"), $B$5-XLOOKUP(S694, 'Genetic Apex'!$C$2:$C889, 'Genetic Apex'!$B$2:$B889), U694="A1a", $B$5-XLOOKUP(S694, 'Mythical Island'!$C$2:$C889, 'Mythical Island'!$B$2:$B889), OR(U694="A2-Dialga", U694="A2-Palkia", U694="A2"), $B$5-XLOOKUP(S694, 'Space-Time Smackdown'!$C$2:$C889, 'Space-Time Smackdown'!$B$2:$B889)))</f>
        <v/>
      </c>
      <c r="X694" s="444" t="str">
        <f t="shared" si="3"/>
        <v/>
      </c>
      <c r="Y694" s="445" t="str">
        <f t="shared" si="4"/>
        <v/>
      </c>
      <c r="Z694" s="278"/>
      <c r="AA694" s="466"/>
      <c r="AB694" s="278"/>
      <c r="AC694" s="278"/>
      <c r="AD694" s="278"/>
      <c r="AE694" s="278"/>
      <c r="AF694" s="278"/>
      <c r="AG694" s="278" t="b">
        <f t="shared" si="5"/>
        <v>0</v>
      </c>
      <c r="AH694" s="454"/>
      <c r="AI694" s="278"/>
      <c r="AJ694" s="278"/>
      <c r="AK694" s="278"/>
      <c r="AL694" s="444" t="str">
        <f t="array" ref="AL694">IFERROR(IFS(OR(AJ694="A1-Mewtwo", AJ694="A1-Pikachu", AJ694="A1-Charizard", AJ694="A1"), XLOOKUP(AH694, 'Genetic Apex'!$C$2:$C889, 'Genetic Apex'!$B$2:$B889)-2, AJ694="A1a", XLOOKUP(AH694, 'Mythical Island'!$C$2:$C889, 'Mythical Island'!$B$2:$B889)-2, OR(AJ694="A2-Dialga", AJ694="A2-Palkia", AJ694="A2"), XLOOKUP(AH694, 'Space-Time Smackdown'!$C$2:$C889, 'Space-Time Smackdown'!$B$2:$B889)-2))</f>
        <v/>
      </c>
      <c r="AM694" s="444" t="str">
        <f t="shared" si="6"/>
        <v/>
      </c>
      <c r="AN694" s="448" t="str">
        <f t="shared" si="7"/>
        <v/>
      </c>
    </row>
    <row r="695">
      <c r="A695" s="277"/>
      <c r="B695" s="277"/>
      <c r="C695" s="441"/>
      <c r="D695" s="277"/>
      <c r="E695" s="277"/>
      <c r="F695" s="277"/>
      <c r="G695" s="277"/>
      <c r="H695" s="277" t="b">
        <f t="shared" si="1"/>
        <v>0</v>
      </c>
      <c r="I695" s="277"/>
      <c r="J695" s="277"/>
      <c r="K695" s="277"/>
      <c r="L695" s="277"/>
      <c r="M695" s="440" t="b">
        <f t="shared" si="2"/>
        <v>0</v>
      </c>
      <c r="N695" s="441"/>
      <c r="O695" s="277"/>
      <c r="P695" s="277"/>
      <c r="Q695" s="278"/>
      <c r="R695" s="449" t="str">
        <f t="array" ref="R695">IFERROR(IFS(OR(P695="A1-Mewtwo", P695="A1-Pikachu", P695="A1-Charizard", P695="A1"), XLOOKUP(N695, 'Genetic Apex'!$C$2:$C889, 'Genetic Apex'!$B$2:$B889)-$B$4, P695="A1a", XLOOKUP(N695, 'Mythical Island'!$C$2:$C889, 'Mythical Island'!$B$2:$B889)-$B$4, OR(P695="A2-Dialga", P695="A2-Palkia", P695="A2"), XLOOKUP(N695, 'Space-Time Smackdown'!$C$2:$C889, 'Space-Time Smackdown'!$B$2:$B889)-$B$4))</f>
        <v/>
      </c>
      <c r="S695" s="277"/>
      <c r="T695" s="277"/>
      <c r="U695" s="277"/>
      <c r="V695" s="278"/>
      <c r="W695" s="443" t="str">
        <f t="array" ref="W695">IFERROR(IFS(OR(U695="A1-Mewtwo", U695="A1-Pikachu", U695="A1-Charizard", U695="A1"), $B$5-XLOOKUP(S695, 'Genetic Apex'!$C$2:$C889, 'Genetic Apex'!$B$2:$B889), U695="A1a", $B$5-XLOOKUP(S695, 'Mythical Island'!$C$2:$C889, 'Mythical Island'!$B$2:$B889), OR(U695="A2-Dialga", U695="A2-Palkia", U695="A2"), $B$5-XLOOKUP(S695, 'Space-Time Smackdown'!$C$2:$C889, 'Space-Time Smackdown'!$B$2:$B889)))</f>
        <v/>
      </c>
      <c r="X695" s="444" t="str">
        <f t="shared" si="3"/>
        <v/>
      </c>
      <c r="Y695" s="445" t="str">
        <f t="shared" si="4"/>
        <v/>
      </c>
      <c r="Z695" s="278"/>
      <c r="AA695" s="466"/>
      <c r="AB695" s="278"/>
      <c r="AC695" s="278"/>
      <c r="AD695" s="278"/>
      <c r="AE695" s="278"/>
      <c r="AF695" s="278"/>
      <c r="AG695" s="278" t="b">
        <f t="shared" si="5"/>
        <v>0</v>
      </c>
      <c r="AH695" s="454"/>
      <c r="AI695" s="278"/>
      <c r="AJ695" s="278"/>
      <c r="AK695" s="278"/>
      <c r="AL695" s="444" t="str">
        <f t="array" ref="AL695">IFERROR(IFS(OR(AJ695="A1-Mewtwo", AJ695="A1-Pikachu", AJ695="A1-Charizard", AJ695="A1"), XLOOKUP(AH695, 'Genetic Apex'!$C$2:$C889, 'Genetic Apex'!$B$2:$B889)-2, AJ695="A1a", XLOOKUP(AH695, 'Mythical Island'!$C$2:$C889, 'Mythical Island'!$B$2:$B889)-2, OR(AJ695="A2-Dialga", AJ695="A2-Palkia", AJ695="A2"), XLOOKUP(AH695, 'Space-Time Smackdown'!$C$2:$C889, 'Space-Time Smackdown'!$B$2:$B889)-2))</f>
        <v/>
      </c>
      <c r="AM695" s="444" t="str">
        <f t="shared" si="6"/>
        <v/>
      </c>
      <c r="AN695" s="448" t="str">
        <f t="shared" si="7"/>
        <v/>
      </c>
    </row>
    <row r="696">
      <c r="A696" s="277"/>
      <c r="B696" s="277"/>
      <c r="C696" s="441"/>
      <c r="D696" s="277"/>
      <c r="E696" s="277"/>
      <c r="F696" s="277"/>
      <c r="G696" s="277"/>
      <c r="H696" s="277" t="b">
        <f t="shared" si="1"/>
        <v>0</v>
      </c>
      <c r="I696" s="277"/>
      <c r="J696" s="277"/>
      <c r="K696" s="277"/>
      <c r="L696" s="277"/>
      <c r="M696" s="440" t="b">
        <f t="shared" si="2"/>
        <v>0</v>
      </c>
      <c r="N696" s="441"/>
      <c r="O696" s="277"/>
      <c r="P696" s="277"/>
      <c r="Q696" s="278"/>
      <c r="R696" s="449" t="str">
        <f t="array" ref="R696">IFERROR(IFS(OR(P696="A1-Mewtwo", P696="A1-Pikachu", P696="A1-Charizard", P696="A1"), XLOOKUP(N696, 'Genetic Apex'!$C$2:$C889, 'Genetic Apex'!$B$2:$B889)-$B$4, P696="A1a", XLOOKUP(N696, 'Mythical Island'!$C$2:$C889, 'Mythical Island'!$B$2:$B889)-$B$4, OR(P696="A2-Dialga", P696="A2-Palkia", P696="A2"), XLOOKUP(N696, 'Space-Time Smackdown'!$C$2:$C889, 'Space-Time Smackdown'!$B$2:$B889)-$B$4))</f>
        <v/>
      </c>
      <c r="S696" s="277"/>
      <c r="T696" s="277"/>
      <c r="U696" s="277"/>
      <c r="V696" s="278"/>
      <c r="W696" s="443" t="str">
        <f t="array" ref="W696">IFERROR(IFS(OR(U696="A1-Mewtwo", U696="A1-Pikachu", U696="A1-Charizard", U696="A1"), $B$5-XLOOKUP(S696, 'Genetic Apex'!$C$2:$C889, 'Genetic Apex'!$B$2:$B889), U696="A1a", $B$5-XLOOKUP(S696, 'Mythical Island'!$C$2:$C889, 'Mythical Island'!$B$2:$B889), OR(U696="A2-Dialga", U696="A2-Palkia", U696="A2"), $B$5-XLOOKUP(S696, 'Space-Time Smackdown'!$C$2:$C889, 'Space-Time Smackdown'!$B$2:$B889)))</f>
        <v/>
      </c>
      <c r="X696" s="444" t="str">
        <f t="shared" si="3"/>
        <v/>
      </c>
      <c r="Y696" s="445" t="str">
        <f t="shared" si="4"/>
        <v/>
      </c>
      <c r="Z696" s="278"/>
      <c r="AA696" s="466"/>
      <c r="AB696" s="278"/>
      <c r="AC696" s="278"/>
      <c r="AD696" s="278"/>
      <c r="AE696" s="278"/>
      <c r="AF696" s="278"/>
      <c r="AG696" s="278" t="b">
        <f t="shared" si="5"/>
        <v>0</v>
      </c>
      <c r="AH696" s="454"/>
      <c r="AI696" s="278"/>
      <c r="AJ696" s="278"/>
      <c r="AK696" s="278"/>
      <c r="AL696" s="444" t="str">
        <f t="array" ref="AL696">IFERROR(IFS(OR(AJ696="A1-Mewtwo", AJ696="A1-Pikachu", AJ696="A1-Charizard", AJ696="A1"), XLOOKUP(AH696, 'Genetic Apex'!$C$2:$C889, 'Genetic Apex'!$B$2:$B889)-2, AJ696="A1a", XLOOKUP(AH696, 'Mythical Island'!$C$2:$C889, 'Mythical Island'!$B$2:$B889)-2, OR(AJ696="A2-Dialga", AJ696="A2-Palkia", AJ696="A2"), XLOOKUP(AH696, 'Space-Time Smackdown'!$C$2:$C889, 'Space-Time Smackdown'!$B$2:$B889)-2))</f>
        <v/>
      </c>
      <c r="AM696" s="444" t="str">
        <f t="shared" si="6"/>
        <v/>
      </c>
      <c r="AN696" s="448" t="str">
        <f t="shared" si="7"/>
        <v/>
      </c>
    </row>
    <row r="697">
      <c r="A697" s="277"/>
      <c r="B697" s="277"/>
      <c r="C697" s="441"/>
      <c r="D697" s="277"/>
      <c r="E697" s="277"/>
      <c r="F697" s="277"/>
      <c r="G697" s="277"/>
      <c r="H697" s="277" t="b">
        <f t="shared" si="1"/>
        <v>0</v>
      </c>
      <c r="I697" s="277"/>
      <c r="J697" s="277"/>
      <c r="K697" s="277"/>
      <c r="L697" s="277"/>
      <c r="M697" s="440" t="b">
        <f t="shared" si="2"/>
        <v>0</v>
      </c>
      <c r="N697" s="441"/>
      <c r="O697" s="277"/>
      <c r="P697" s="277"/>
      <c r="Q697" s="278"/>
      <c r="R697" s="449" t="str">
        <f t="array" ref="R697">IFERROR(IFS(OR(P697="A1-Mewtwo", P697="A1-Pikachu", P697="A1-Charizard", P697="A1"), XLOOKUP(N697, 'Genetic Apex'!$C$2:$C889, 'Genetic Apex'!$B$2:$B889)-$B$4, P697="A1a", XLOOKUP(N697, 'Mythical Island'!$C$2:$C889, 'Mythical Island'!$B$2:$B889)-$B$4, OR(P697="A2-Dialga", P697="A2-Palkia", P697="A2"), XLOOKUP(N697, 'Space-Time Smackdown'!$C$2:$C889, 'Space-Time Smackdown'!$B$2:$B889)-$B$4))</f>
        <v/>
      </c>
      <c r="S697" s="277"/>
      <c r="T697" s="277"/>
      <c r="U697" s="277"/>
      <c r="V697" s="278"/>
      <c r="W697" s="443" t="str">
        <f t="array" ref="W697">IFERROR(IFS(OR(U697="A1-Mewtwo", U697="A1-Pikachu", U697="A1-Charizard", U697="A1"), $B$5-XLOOKUP(S697, 'Genetic Apex'!$C$2:$C889, 'Genetic Apex'!$B$2:$B889), U697="A1a", $B$5-XLOOKUP(S697, 'Mythical Island'!$C$2:$C889, 'Mythical Island'!$B$2:$B889), OR(U697="A2-Dialga", U697="A2-Palkia", U697="A2"), $B$5-XLOOKUP(S697, 'Space-Time Smackdown'!$C$2:$C889, 'Space-Time Smackdown'!$B$2:$B889)))</f>
        <v/>
      </c>
      <c r="X697" s="444" t="str">
        <f t="shared" si="3"/>
        <v/>
      </c>
      <c r="Y697" s="445" t="str">
        <f t="shared" si="4"/>
        <v/>
      </c>
      <c r="Z697" s="278"/>
      <c r="AA697" s="466"/>
      <c r="AB697" s="278"/>
      <c r="AC697" s="278"/>
      <c r="AD697" s="278"/>
      <c r="AE697" s="278"/>
      <c r="AF697" s="278"/>
      <c r="AG697" s="278" t="b">
        <f t="shared" si="5"/>
        <v>0</v>
      </c>
      <c r="AH697" s="454"/>
      <c r="AI697" s="278"/>
      <c r="AJ697" s="278"/>
      <c r="AK697" s="278"/>
      <c r="AL697" s="444" t="str">
        <f t="array" ref="AL697">IFERROR(IFS(OR(AJ697="A1-Mewtwo", AJ697="A1-Pikachu", AJ697="A1-Charizard", AJ697="A1"), XLOOKUP(AH697, 'Genetic Apex'!$C$2:$C889, 'Genetic Apex'!$B$2:$B889)-2, AJ697="A1a", XLOOKUP(AH697, 'Mythical Island'!$C$2:$C889, 'Mythical Island'!$B$2:$B889)-2, OR(AJ697="A2-Dialga", AJ697="A2-Palkia", AJ697="A2"), XLOOKUP(AH697, 'Space-Time Smackdown'!$C$2:$C889, 'Space-Time Smackdown'!$B$2:$B889)-2))</f>
        <v/>
      </c>
      <c r="AM697" s="444" t="str">
        <f t="shared" si="6"/>
        <v/>
      </c>
      <c r="AN697" s="448" t="str">
        <f t="shared" si="7"/>
        <v/>
      </c>
    </row>
    <row r="698">
      <c r="A698" s="277"/>
      <c r="B698" s="277"/>
      <c r="C698" s="441"/>
      <c r="D698" s="277"/>
      <c r="E698" s="277"/>
      <c r="F698" s="277"/>
      <c r="G698" s="277"/>
      <c r="H698" s="277" t="b">
        <f t="shared" si="1"/>
        <v>0</v>
      </c>
      <c r="I698" s="277"/>
      <c r="J698" s="277"/>
      <c r="K698" s="277"/>
      <c r="L698" s="277"/>
      <c r="M698" s="440" t="b">
        <f t="shared" si="2"/>
        <v>0</v>
      </c>
      <c r="N698" s="441"/>
      <c r="O698" s="277"/>
      <c r="P698" s="277"/>
      <c r="Q698" s="278"/>
      <c r="R698" s="449" t="str">
        <f t="array" ref="R698">IFERROR(IFS(OR(P698="A1-Mewtwo", P698="A1-Pikachu", P698="A1-Charizard", P698="A1"), XLOOKUP(N698, 'Genetic Apex'!$C$2:$C889, 'Genetic Apex'!$B$2:$B889)-$B$4, P698="A1a", XLOOKUP(N698, 'Mythical Island'!$C$2:$C889, 'Mythical Island'!$B$2:$B889)-$B$4, OR(P698="A2-Dialga", P698="A2-Palkia", P698="A2"), XLOOKUP(N698, 'Space-Time Smackdown'!$C$2:$C889, 'Space-Time Smackdown'!$B$2:$B889)-$B$4))</f>
        <v/>
      </c>
      <c r="S698" s="277"/>
      <c r="T698" s="277"/>
      <c r="U698" s="277"/>
      <c r="V698" s="278"/>
      <c r="W698" s="443" t="str">
        <f t="array" ref="W698">IFERROR(IFS(OR(U698="A1-Mewtwo", U698="A1-Pikachu", U698="A1-Charizard", U698="A1"), $B$5-XLOOKUP(S698, 'Genetic Apex'!$C$2:$C889, 'Genetic Apex'!$B$2:$B889), U698="A1a", $B$5-XLOOKUP(S698, 'Mythical Island'!$C$2:$C889, 'Mythical Island'!$B$2:$B889), OR(U698="A2-Dialga", U698="A2-Palkia", U698="A2"), $B$5-XLOOKUP(S698, 'Space-Time Smackdown'!$C$2:$C889, 'Space-Time Smackdown'!$B$2:$B889)))</f>
        <v/>
      </c>
      <c r="X698" s="444" t="str">
        <f t="shared" si="3"/>
        <v/>
      </c>
      <c r="Y698" s="445" t="str">
        <f t="shared" si="4"/>
        <v/>
      </c>
      <c r="Z698" s="278"/>
      <c r="AA698" s="466"/>
      <c r="AB698" s="278"/>
      <c r="AC698" s="278"/>
      <c r="AD698" s="278"/>
      <c r="AE698" s="278"/>
      <c r="AF698" s="278"/>
      <c r="AG698" s="278" t="b">
        <f t="shared" si="5"/>
        <v>0</v>
      </c>
      <c r="AH698" s="454"/>
      <c r="AI698" s="278"/>
      <c r="AJ698" s="278"/>
      <c r="AK698" s="278"/>
      <c r="AL698" s="444" t="str">
        <f t="array" ref="AL698">IFERROR(IFS(OR(AJ698="A1-Mewtwo", AJ698="A1-Pikachu", AJ698="A1-Charizard", AJ698="A1"), XLOOKUP(AH698, 'Genetic Apex'!$C$2:$C889, 'Genetic Apex'!$B$2:$B889)-2, AJ698="A1a", XLOOKUP(AH698, 'Mythical Island'!$C$2:$C889, 'Mythical Island'!$B$2:$B889)-2, OR(AJ698="A2-Dialga", AJ698="A2-Palkia", AJ698="A2"), XLOOKUP(AH698, 'Space-Time Smackdown'!$C$2:$C889, 'Space-Time Smackdown'!$B$2:$B889)-2))</f>
        <v/>
      </c>
      <c r="AM698" s="444" t="str">
        <f t="shared" si="6"/>
        <v/>
      </c>
      <c r="AN698" s="448" t="str">
        <f t="shared" si="7"/>
        <v/>
      </c>
    </row>
    <row r="699">
      <c r="A699" s="277"/>
      <c r="B699" s="277"/>
      <c r="C699" s="441"/>
      <c r="D699" s="277"/>
      <c r="E699" s="277"/>
      <c r="F699" s="277"/>
      <c r="G699" s="277"/>
      <c r="H699" s="277" t="b">
        <f t="shared" si="1"/>
        <v>0</v>
      </c>
      <c r="I699" s="277"/>
      <c r="J699" s="277"/>
      <c r="K699" s="277"/>
      <c r="L699" s="277"/>
      <c r="M699" s="440" t="b">
        <f t="shared" si="2"/>
        <v>0</v>
      </c>
      <c r="N699" s="441"/>
      <c r="O699" s="277"/>
      <c r="P699" s="277"/>
      <c r="Q699" s="278"/>
      <c r="R699" s="449" t="str">
        <f t="array" ref="R699">IFERROR(IFS(OR(P699="A1-Mewtwo", P699="A1-Pikachu", P699="A1-Charizard", P699="A1"), XLOOKUP(N699, 'Genetic Apex'!$C$2:$C889, 'Genetic Apex'!$B$2:$B889)-$B$4, P699="A1a", XLOOKUP(N699, 'Mythical Island'!$C$2:$C889, 'Mythical Island'!$B$2:$B889)-$B$4, OR(P699="A2-Dialga", P699="A2-Palkia", P699="A2"), XLOOKUP(N699, 'Space-Time Smackdown'!$C$2:$C889, 'Space-Time Smackdown'!$B$2:$B889)-$B$4))</f>
        <v/>
      </c>
      <c r="S699" s="277"/>
      <c r="T699" s="277"/>
      <c r="U699" s="277"/>
      <c r="V699" s="278"/>
      <c r="W699" s="443" t="str">
        <f t="array" ref="W699">IFERROR(IFS(OR(U699="A1-Mewtwo", U699="A1-Pikachu", U699="A1-Charizard", U699="A1"), $B$5-XLOOKUP(S699, 'Genetic Apex'!$C$2:$C889, 'Genetic Apex'!$B$2:$B889), U699="A1a", $B$5-XLOOKUP(S699, 'Mythical Island'!$C$2:$C889, 'Mythical Island'!$B$2:$B889), OR(U699="A2-Dialga", U699="A2-Palkia", U699="A2"), $B$5-XLOOKUP(S699, 'Space-Time Smackdown'!$C$2:$C889, 'Space-Time Smackdown'!$B$2:$B889)))</f>
        <v/>
      </c>
      <c r="X699" s="444" t="str">
        <f t="shared" si="3"/>
        <v/>
      </c>
      <c r="Y699" s="445" t="str">
        <f t="shared" si="4"/>
        <v/>
      </c>
      <c r="Z699" s="278"/>
      <c r="AA699" s="466"/>
      <c r="AB699" s="278"/>
      <c r="AC699" s="278"/>
      <c r="AD699" s="278"/>
      <c r="AE699" s="278"/>
      <c r="AF699" s="278"/>
      <c r="AG699" s="278" t="b">
        <f t="shared" si="5"/>
        <v>0</v>
      </c>
      <c r="AH699" s="454"/>
      <c r="AI699" s="278"/>
      <c r="AJ699" s="278"/>
      <c r="AK699" s="278"/>
      <c r="AL699" s="444" t="str">
        <f t="array" ref="AL699">IFERROR(IFS(OR(AJ699="A1-Mewtwo", AJ699="A1-Pikachu", AJ699="A1-Charizard", AJ699="A1"), XLOOKUP(AH699, 'Genetic Apex'!$C$2:$C889, 'Genetic Apex'!$B$2:$B889)-2, AJ699="A1a", XLOOKUP(AH699, 'Mythical Island'!$C$2:$C889, 'Mythical Island'!$B$2:$B889)-2, OR(AJ699="A2-Dialga", AJ699="A2-Palkia", AJ699="A2"), XLOOKUP(AH699, 'Space-Time Smackdown'!$C$2:$C889, 'Space-Time Smackdown'!$B$2:$B889)-2))</f>
        <v/>
      </c>
      <c r="AM699" s="444" t="str">
        <f t="shared" si="6"/>
        <v/>
      </c>
      <c r="AN699" s="448" t="str">
        <f t="shared" si="7"/>
        <v/>
      </c>
    </row>
    <row r="700">
      <c r="A700" s="277"/>
      <c r="B700" s="277"/>
      <c r="C700" s="441"/>
      <c r="D700" s="277"/>
      <c r="E700" s="277"/>
      <c r="F700" s="277"/>
      <c r="G700" s="277"/>
      <c r="H700" s="277" t="b">
        <f t="shared" si="1"/>
        <v>0</v>
      </c>
      <c r="I700" s="277"/>
      <c r="J700" s="277"/>
      <c r="K700" s="277"/>
      <c r="L700" s="277"/>
      <c r="M700" s="440" t="b">
        <f t="shared" si="2"/>
        <v>0</v>
      </c>
      <c r="N700" s="441"/>
      <c r="O700" s="277"/>
      <c r="P700" s="277"/>
      <c r="Q700" s="278"/>
      <c r="R700" s="449" t="str">
        <f t="array" ref="R700">IFERROR(IFS(OR(P700="A1-Mewtwo", P700="A1-Pikachu", P700="A1-Charizard", P700="A1"), XLOOKUP(N700, 'Genetic Apex'!$C$2:$C889, 'Genetic Apex'!$B$2:$B889)-$B$4, P700="A1a", XLOOKUP(N700, 'Mythical Island'!$C$2:$C889, 'Mythical Island'!$B$2:$B889)-$B$4, OR(P700="A2-Dialga", P700="A2-Palkia", P700="A2"), XLOOKUP(N700, 'Space-Time Smackdown'!$C$2:$C889, 'Space-Time Smackdown'!$B$2:$B889)-$B$4))</f>
        <v/>
      </c>
      <c r="S700" s="277"/>
      <c r="T700" s="277"/>
      <c r="U700" s="277"/>
      <c r="V700" s="278"/>
      <c r="W700" s="443" t="str">
        <f t="array" ref="W700">IFERROR(IFS(OR(U700="A1-Mewtwo", U700="A1-Pikachu", U700="A1-Charizard", U700="A1"), $B$5-XLOOKUP(S700, 'Genetic Apex'!$C$2:$C889, 'Genetic Apex'!$B$2:$B889), U700="A1a", $B$5-XLOOKUP(S700, 'Mythical Island'!$C$2:$C889, 'Mythical Island'!$B$2:$B889), OR(U700="A2-Dialga", U700="A2-Palkia", U700="A2"), $B$5-XLOOKUP(S700, 'Space-Time Smackdown'!$C$2:$C889, 'Space-Time Smackdown'!$B$2:$B889)))</f>
        <v/>
      </c>
      <c r="X700" s="444" t="str">
        <f t="shared" si="3"/>
        <v/>
      </c>
      <c r="Y700" s="445" t="str">
        <f t="shared" si="4"/>
        <v/>
      </c>
      <c r="Z700" s="278"/>
      <c r="AA700" s="466"/>
      <c r="AB700" s="278"/>
      <c r="AC700" s="278"/>
      <c r="AD700" s="278"/>
      <c r="AE700" s="278"/>
      <c r="AF700" s="278"/>
      <c r="AG700" s="278" t="b">
        <f t="shared" si="5"/>
        <v>0</v>
      </c>
      <c r="AH700" s="454"/>
      <c r="AI700" s="278"/>
      <c r="AJ700" s="278"/>
      <c r="AK700" s="278"/>
      <c r="AL700" s="444" t="str">
        <f t="array" ref="AL700">IFERROR(IFS(OR(AJ700="A1-Mewtwo", AJ700="A1-Pikachu", AJ700="A1-Charizard", AJ700="A1"), XLOOKUP(AH700, 'Genetic Apex'!$C$2:$C889, 'Genetic Apex'!$B$2:$B889)-2, AJ700="A1a", XLOOKUP(AH700, 'Mythical Island'!$C$2:$C889, 'Mythical Island'!$B$2:$B889)-2, OR(AJ700="A2-Dialga", AJ700="A2-Palkia", AJ700="A2"), XLOOKUP(AH700, 'Space-Time Smackdown'!$C$2:$C889, 'Space-Time Smackdown'!$B$2:$B889)-2))</f>
        <v/>
      </c>
      <c r="AM700" s="444" t="str">
        <f t="shared" si="6"/>
        <v/>
      </c>
      <c r="AN700" s="448" t="str">
        <f t="shared" si="7"/>
        <v/>
      </c>
    </row>
    <row r="701">
      <c r="A701" s="277"/>
      <c r="B701" s="277"/>
      <c r="C701" s="441"/>
      <c r="D701" s="277"/>
      <c r="E701" s="277"/>
      <c r="F701" s="277"/>
      <c r="G701" s="277"/>
      <c r="H701" s="277" t="b">
        <f t="shared" si="1"/>
        <v>0</v>
      </c>
      <c r="I701" s="277"/>
      <c r="J701" s="277"/>
      <c r="K701" s="277"/>
      <c r="L701" s="277"/>
      <c r="M701" s="440" t="b">
        <f t="shared" si="2"/>
        <v>0</v>
      </c>
      <c r="N701" s="441"/>
      <c r="O701" s="277"/>
      <c r="P701" s="277"/>
      <c r="Q701" s="278"/>
      <c r="R701" s="449" t="str">
        <f t="array" ref="R701">IFERROR(IFS(OR(P701="A1-Mewtwo", P701="A1-Pikachu", P701="A1-Charizard", P701="A1"), XLOOKUP(N701, 'Genetic Apex'!$C$2:$C889, 'Genetic Apex'!$B$2:$B889)-$B$4, P701="A1a", XLOOKUP(N701, 'Mythical Island'!$C$2:$C889, 'Mythical Island'!$B$2:$B889)-$B$4, OR(P701="A2-Dialga", P701="A2-Palkia", P701="A2"), XLOOKUP(N701, 'Space-Time Smackdown'!$C$2:$C889, 'Space-Time Smackdown'!$B$2:$B889)-$B$4))</f>
        <v/>
      </c>
      <c r="S701" s="277"/>
      <c r="T701" s="277"/>
      <c r="U701" s="277"/>
      <c r="V701" s="278"/>
      <c r="W701" s="443" t="str">
        <f t="array" ref="W701">IFERROR(IFS(OR(U701="A1-Mewtwo", U701="A1-Pikachu", U701="A1-Charizard", U701="A1"), $B$5-XLOOKUP(S701, 'Genetic Apex'!$C$2:$C889, 'Genetic Apex'!$B$2:$B889), U701="A1a", $B$5-XLOOKUP(S701, 'Mythical Island'!$C$2:$C889, 'Mythical Island'!$B$2:$B889), OR(U701="A2-Dialga", U701="A2-Palkia", U701="A2"), $B$5-XLOOKUP(S701, 'Space-Time Smackdown'!$C$2:$C889, 'Space-Time Smackdown'!$B$2:$B889)))</f>
        <v/>
      </c>
      <c r="X701" s="444" t="str">
        <f t="shared" si="3"/>
        <v/>
      </c>
      <c r="Y701" s="445" t="str">
        <f t="shared" si="4"/>
        <v/>
      </c>
      <c r="Z701" s="278"/>
      <c r="AA701" s="466"/>
      <c r="AB701" s="278"/>
      <c r="AC701" s="278"/>
      <c r="AD701" s="278"/>
      <c r="AE701" s="278"/>
      <c r="AF701" s="278"/>
      <c r="AG701" s="278" t="b">
        <f t="shared" si="5"/>
        <v>0</v>
      </c>
      <c r="AH701" s="454"/>
      <c r="AI701" s="278"/>
      <c r="AJ701" s="278"/>
      <c r="AK701" s="278"/>
      <c r="AL701" s="444" t="str">
        <f t="array" ref="AL701">IFERROR(IFS(OR(AJ701="A1-Mewtwo", AJ701="A1-Pikachu", AJ701="A1-Charizard", AJ701="A1"), XLOOKUP(AH701, 'Genetic Apex'!$C$2:$C889, 'Genetic Apex'!$B$2:$B889)-2, AJ701="A1a", XLOOKUP(AH701, 'Mythical Island'!$C$2:$C889, 'Mythical Island'!$B$2:$B889)-2, OR(AJ701="A2-Dialga", AJ701="A2-Palkia", AJ701="A2"), XLOOKUP(AH701, 'Space-Time Smackdown'!$C$2:$C889, 'Space-Time Smackdown'!$B$2:$B889)-2))</f>
        <v/>
      </c>
      <c r="AM701" s="444" t="str">
        <f t="shared" si="6"/>
        <v/>
      </c>
      <c r="AN701" s="448" t="str">
        <f t="shared" si="7"/>
        <v/>
      </c>
    </row>
    <row r="702">
      <c r="A702" s="277"/>
      <c r="B702" s="277"/>
      <c r="C702" s="441"/>
      <c r="D702" s="277"/>
      <c r="E702" s="277"/>
      <c r="F702" s="277"/>
      <c r="G702" s="277"/>
      <c r="H702" s="277" t="b">
        <f t="shared" si="1"/>
        <v>0</v>
      </c>
      <c r="I702" s="277"/>
      <c r="J702" s="277"/>
      <c r="K702" s="277"/>
      <c r="L702" s="277"/>
      <c r="M702" s="440" t="b">
        <f t="shared" si="2"/>
        <v>0</v>
      </c>
      <c r="N702" s="441"/>
      <c r="O702" s="277"/>
      <c r="P702" s="277"/>
      <c r="Q702" s="278"/>
      <c r="R702" s="449" t="str">
        <f t="array" ref="R702">IFERROR(IFS(OR(P702="A1-Mewtwo", P702="A1-Pikachu", P702="A1-Charizard", P702="A1"), XLOOKUP(N702, 'Genetic Apex'!$C$2:$C889, 'Genetic Apex'!$B$2:$B889)-$B$4, P702="A1a", XLOOKUP(N702, 'Mythical Island'!$C$2:$C889, 'Mythical Island'!$B$2:$B889)-$B$4, OR(P702="A2-Dialga", P702="A2-Palkia", P702="A2"), XLOOKUP(N702, 'Space-Time Smackdown'!$C$2:$C889, 'Space-Time Smackdown'!$B$2:$B889)-$B$4))</f>
        <v/>
      </c>
      <c r="S702" s="277"/>
      <c r="T702" s="277"/>
      <c r="U702" s="277"/>
      <c r="V702" s="278"/>
      <c r="W702" s="443" t="str">
        <f t="array" ref="W702">IFERROR(IFS(OR(U702="A1-Mewtwo", U702="A1-Pikachu", U702="A1-Charizard", U702="A1"), $B$5-XLOOKUP(S702, 'Genetic Apex'!$C$2:$C889, 'Genetic Apex'!$B$2:$B889), U702="A1a", $B$5-XLOOKUP(S702, 'Mythical Island'!$C$2:$C889, 'Mythical Island'!$B$2:$B889), OR(U702="A2-Dialga", U702="A2-Palkia", U702="A2"), $B$5-XLOOKUP(S702, 'Space-Time Smackdown'!$C$2:$C889, 'Space-Time Smackdown'!$B$2:$B889)))</f>
        <v/>
      </c>
      <c r="X702" s="444" t="str">
        <f t="shared" si="3"/>
        <v/>
      </c>
      <c r="Y702" s="445" t="str">
        <f t="shared" si="4"/>
        <v/>
      </c>
      <c r="Z702" s="278"/>
      <c r="AA702" s="466"/>
      <c r="AB702" s="278"/>
      <c r="AC702" s="278"/>
      <c r="AD702" s="278"/>
      <c r="AE702" s="278"/>
      <c r="AF702" s="278"/>
      <c r="AG702" s="278" t="b">
        <f t="shared" si="5"/>
        <v>0</v>
      </c>
      <c r="AH702" s="454"/>
      <c r="AI702" s="278"/>
      <c r="AJ702" s="278"/>
      <c r="AK702" s="278"/>
      <c r="AL702" s="444" t="str">
        <f t="array" ref="AL702">IFERROR(IFS(OR(AJ702="A1-Mewtwo", AJ702="A1-Pikachu", AJ702="A1-Charizard", AJ702="A1"), XLOOKUP(AH702, 'Genetic Apex'!$C$2:$C889, 'Genetic Apex'!$B$2:$B889)-2, AJ702="A1a", XLOOKUP(AH702, 'Mythical Island'!$C$2:$C889, 'Mythical Island'!$B$2:$B889)-2, OR(AJ702="A2-Dialga", AJ702="A2-Palkia", AJ702="A2"), XLOOKUP(AH702, 'Space-Time Smackdown'!$C$2:$C889, 'Space-Time Smackdown'!$B$2:$B889)-2))</f>
        <v/>
      </c>
      <c r="AM702" s="444" t="str">
        <f t="shared" si="6"/>
        <v/>
      </c>
      <c r="AN702" s="448" t="str">
        <f t="shared" si="7"/>
        <v/>
      </c>
    </row>
    <row r="703">
      <c r="A703" s="277"/>
      <c r="B703" s="277"/>
      <c r="C703" s="441"/>
      <c r="D703" s="277"/>
      <c r="E703" s="277"/>
      <c r="F703" s="277"/>
      <c r="G703" s="277"/>
      <c r="H703" s="277" t="b">
        <f t="shared" si="1"/>
        <v>0</v>
      </c>
      <c r="I703" s="277"/>
      <c r="J703" s="277"/>
      <c r="K703" s="277"/>
      <c r="L703" s="277"/>
      <c r="M703" s="440" t="b">
        <f t="shared" si="2"/>
        <v>0</v>
      </c>
      <c r="N703" s="441"/>
      <c r="O703" s="277"/>
      <c r="P703" s="277"/>
      <c r="Q703" s="278"/>
      <c r="R703" s="449" t="str">
        <f t="array" ref="R703">IFERROR(IFS(OR(P703="A1-Mewtwo", P703="A1-Pikachu", P703="A1-Charizard", P703="A1"), XLOOKUP(N703, 'Genetic Apex'!$C$2:$C889, 'Genetic Apex'!$B$2:$B889)-$B$4, P703="A1a", XLOOKUP(N703, 'Mythical Island'!$C$2:$C889, 'Mythical Island'!$B$2:$B889)-$B$4, OR(P703="A2-Dialga", P703="A2-Palkia", P703="A2"), XLOOKUP(N703, 'Space-Time Smackdown'!$C$2:$C889, 'Space-Time Smackdown'!$B$2:$B889)-$B$4))</f>
        <v/>
      </c>
      <c r="S703" s="277"/>
      <c r="T703" s="277"/>
      <c r="U703" s="277"/>
      <c r="V703" s="278"/>
      <c r="W703" s="443" t="str">
        <f t="array" ref="W703">IFERROR(IFS(OR(U703="A1-Mewtwo", U703="A1-Pikachu", U703="A1-Charizard", U703="A1"), $B$5-XLOOKUP(S703, 'Genetic Apex'!$C$2:$C889, 'Genetic Apex'!$B$2:$B889), U703="A1a", $B$5-XLOOKUP(S703, 'Mythical Island'!$C$2:$C889, 'Mythical Island'!$B$2:$B889), OR(U703="A2-Dialga", U703="A2-Palkia", U703="A2"), $B$5-XLOOKUP(S703, 'Space-Time Smackdown'!$C$2:$C889, 'Space-Time Smackdown'!$B$2:$B889)))</f>
        <v/>
      </c>
      <c r="X703" s="444" t="str">
        <f t="shared" si="3"/>
        <v/>
      </c>
      <c r="Y703" s="445" t="str">
        <f t="shared" si="4"/>
        <v/>
      </c>
      <c r="Z703" s="278"/>
      <c r="AA703" s="466"/>
      <c r="AB703" s="278"/>
      <c r="AC703" s="278"/>
      <c r="AD703" s="278"/>
      <c r="AE703" s="278"/>
      <c r="AF703" s="278"/>
      <c r="AG703" s="278" t="b">
        <f t="shared" si="5"/>
        <v>0</v>
      </c>
      <c r="AH703" s="454"/>
      <c r="AI703" s="278"/>
      <c r="AJ703" s="278"/>
      <c r="AK703" s="278"/>
      <c r="AL703" s="444" t="str">
        <f t="array" ref="AL703">IFERROR(IFS(OR(AJ703="A1-Mewtwo", AJ703="A1-Pikachu", AJ703="A1-Charizard", AJ703="A1"), XLOOKUP(AH703, 'Genetic Apex'!$C$2:$C889, 'Genetic Apex'!$B$2:$B889)-2, AJ703="A1a", XLOOKUP(AH703, 'Mythical Island'!$C$2:$C889, 'Mythical Island'!$B$2:$B889)-2, OR(AJ703="A2-Dialga", AJ703="A2-Palkia", AJ703="A2"), XLOOKUP(AH703, 'Space-Time Smackdown'!$C$2:$C889, 'Space-Time Smackdown'!$B$2:$B889)-2))</f>
        <v/>
      </c>
      <c r="AM703" s="444" t="str">
        <f t="shared" si="6"/>
        <v/>
      </c>
      <c r="AN703" s="448" t="str">
        <f t="shared" si="7"/>
        <v/>
      </c>
    </row>
    <row r="704">
      <c r="A704" s="277"/>
      <c r="B704" s="277"/>
      <c r="C704" s="441"/>
      <c r="D704" s="277"/>
      <c r="E704" s="277"/>
      <c r="F704" s="277"/>
      <c r="G704" s="277"/>
      <c r="H704" s="277" t="b">
        <f t="shared" si="1"/>
        <v>0</v>
      </c>
      <c r="I704" s="277"/>
      <c r="J704" s="277"/>
      <c r="K704" s="277"/>
      <c r="L704" s="277"/>
      <c r="M704" s="440" t="b">
        <f t="shared" si="2"/>
        <v>0</v>
      </c>
      <c r="N704" s="441"/>
      <c r="O704" s="277"/>
      <c r="P704" s="277"/>
      <c r="Q704" s="278"/>
      <c r="R704" s="449" t="str">
        <f t="array" ref="R704">IFERROR(IFS(OR(P704="A1-Mewtwo", P704="A1-Pikachu", P704="A1-Charizard", P704="A1"), XLOOKUP(N704, 'Genetic Apex'!$C$2:$C889, 'Genetic Apex'!$B$2:$B889)-$B$4, P704="A1a", XLOOKUP(N704, 'Mythical Island'!$C$2:$C889, 'Mythical Island'!$B$2:$B889)-$B$4, OR(P704="A2-Dialga", P704="A2-Palkia", P704="A2"), XLOOKUP(N704, 'Space-Time Smackdown'!$C$2:$C889, 'Space-Time Smackdown'!$B$2:$B889)-$B$4))</f>
        <v/>
      </c>
      <c r="S704" s="277"/>
      <c r="T704" s="277"/>
      <c r="U704" s="277"/>
      <c r="V704" s="278"/>
      <c r="W704" s="443" t="str">
        <f t="array" ref="W704">IFERROR(IFS(OR(U704="A1-Mewtwo", U704="A1-Pikachu", U704="A1-Charizard", U704="A1"), $B$5-XLOOKUP(S704, 'Genetic Apex'!$C$2:$C889, 'Genetic Apex'!$B$2:$B889), U704="A1a", $B$5-XLOOKUP(S704, 'Mythical Island'!$C$2:$C889, 'Mythical Island'!$B$2:$B889), OR(U704="A2-Dialga", U704="A2-Palkia", U704="A2"), $B$5-XLOOKUP(S704, 'Space-Time Smackdown'!$C$2:$C889, 'Space-Time Smackdown'!$B$2:$B889)))</f>
        <v/>
      </c>
      <c r="X704" s="444" t="str">
        <f t="shared" si="3"/>
        <v/>
      </c>
      <c r="Y704" s="445" t="str">
        <f t="shared" si="4"/>
        <v/>
      </c>
      <c r="Z704" s="278"/>
      <c r="AA704" s="466"/>
      <c r="AB704" s="278"/>
      <c r="AC704" s="278"/>
      <c r="AD704" s="278"/>
      <c r="AE704" s="278"/>
      <c r="AF704" s="278"/>
      <c r="AG704" s="278" t="b">
        <f t="shared" si="5"/>
        <v>0</v>
      </c>
      <c r="AH704" s="454"/>
      <c r="AI704" s="278"/>
      <c r="AJ704" s="278"/>
      <c r="AK704" s="278"/>
      <c r="AL704" s="444" t="str">
        <f t="array" ref="AL704">IFERROR(IFS(OR(AJ704="A1-Mewtwo", AJ704="A1-Pikachu", AJ704="A1-Charizard", AJ704="A1"), XLOOKUP(AH704, 'Genetic Apex'!$C$2:$C889, 'Genetic Apex'!$B$2:$B889)-2, AJ704="A1a", XLOOKUP(AH704, 'Mythical Island'!$C$2:$C889, 'Mythical Island'!$B$2:$B889)-2, OR(AJ704="A2-Dialga", AJ704="A2-Palkia", AJ704="A2"), XLOOKUP(AH704, 'Space-Time Smackdown'!$C$2:$C889, 'Space-Time Smackdown'!$B$2:$B889)-2))</f>
        <v/>
      </c>
      <c r="AM704" s="444" t="str">
        <f t="shared" si="6"/>
        <v/>
      </c>
      <c r="AN704" s="448" t="str">
        <f t="shared" si="7"/>
        <v/>
      </c>
    </row>
    <row r="705">
      <c r="A705" s="277"/>
      <c r="B705" s="277"/>
      <c r="C705" s="441"/>
      <c r="D705" s="277"/>
      <c r="E705" s="277"/>
      <c r="F705" s="277"/>
      <c r="G705" s="277"/>
      <c r="H705" s="277" t="b">
        <f t="shared" si="1"/>
        <v>0</v>
      </c>
      <c r="I705" s="277"/>
      <c r="J705" s="277"/>
      <c r="K705" s="277"/>
      <c r="L705" s="277"/>
      <c r="M705" s="440" t="b">
        <f t="shared" si="2"/>
        <v>0</v>
      </c>
      <c r="N705" s="441"/>
      <c r="O705" s="277"/>
      <c r="P705" s="277"/>
      <c r="Q705" s="278"/>
      <c r="R705" s="449" t="str">
        <f t="array" ref="R705">IFERROR(IFS(OR(P705="A1-Mewtwo", P705="A1-Pikachu", P705="A1-Charizard", P705="A1"), XLOOKUP(N705, 'Genetic Apex'!$C$2:$C889, 'Genetic Apex'!$B$2:$B889)-$B$4, P705="A1a", XLOOKUP(N705, 'Mythical Island'!$C$2:$C889, 'Mythical Island'!$B$2:$B889)-$B$4, OR(P705="A2-Dialga", P705="A2-Palkia", P705="A2"), XLOOKUP(N705, 'Space-Time Smackdown'!$C$2:$C889, 'Space-Time Smackdown'!$B$2:$B889)-$B$4))</f>
        <v/>
      </c>
      <c r="S705" s="277"/>
      <c r="T705" s="277"/>
      <c r="U705" s="277"/>
      <c r="V705" s="278"/>
      <c r="W705" s="443" t="str">
        <f t="array" ref="W705">IFERROR(IFS(OR(U705="A1-Mewtwo", U705="A1-Pikachu", U705="A1-Charizard", U705="A1"), $B$5-XLOOKUP(S705, 'Genetic Apex'!$C$2:$C889, 'Genetic Apex'!$B$2:$B889), U705="A1a", $B$5-XLOOKUP(S705, 'Mythical Island'!$C$2:$C889, 'Mythical Island'!$B$2:$B889), OR(U705="A2-Dialga", U705="A2-Palkia", U705="A2"), $B$5-XLOOKUP(S705, 'Space-Time Smackdown'!$C$2:$C889, 'Space-Time Smackdown'!$B$2:$B889)))</f>
        <v/>
      </c>
      <c r="X705" s="444" t="str">
        <f t="shared" si="3"/>
        <v/>
      </c>
      <c r="Y705" s="445" t="str">
        <f t="shared" si="4"/>
        <v/>
      </c>
      <c r="Z705" s="278"/>
      <c r="AA705" s="466"/>
      <c r="AB705" s="278"/>
      <c r="AC705" s="278"/>
      <c r="AD705" s="278"/>
      <c r="AE705" s="278"/>
      <c r="AF705" s="278"/>
      <c r="AG705" s="278" t="b">
        <f t="shared" si="5"/>
        <v>0</v>
      </c>
      <c r="AH705" s="454"/>
      <c r="AI705" s="278"/>
      <c r="AJ705" s="278"/>
      <c r="AK705" s="278"/>
      <c r="AL705" s="444" t="str">
        <f t="array" ref="AL705">IFERROR(IFS(OR(AJ705="A1-Mewtwo", AJ705="A1-Pikachu", AJ705="A1-Charizard", AJ705="A1"), XLOOKUP(AH705, 'Genetic Apex'!$C$2:$C889, 'Genetic Apex'!$B$2:$B889)-2, AJ705="A1a", XLOOKUP(AH705, 'Mythical Island'!$C$2:$C889, 'Mythical Island'!$B$2:$B889)-2, OR(AJ705="A2-Dialga", AJ705="A2-Palkia", AJ705="A2"), XLOOKUP(AH705, 'Space-Time Smackdown'!$C$2:$C889, 'Space-Time Smackdown'!$B$2:$B889)-2))</f>
        <v/>
      </c>
      <c r="AM705" s="444" t="str">
        <f t="shared" si="6"/>
        <v/>
      </c>
      <c r="AN705" s="448" t="str">
        <f t="shared" si="7"/>
        <v/>
      </c>
    </row>
    <row r="706">
      <c r="A706" s="277"/>
      <c r="B706" s="277"/>
      <c r="C706" s="441"/>
      <c r="D706" s="277"/>
      <c r="E706" s="277"/>
      <c r="F706" s="277"/>
      <c r="G706" s="277"/>
      <c r="H706" s="277" t="b">
        <f t="shared" si="1"/>
        <v>0</v>
      </c>
      <c r="I706" s="277"/>
      <c r="J706" s="277"/>
      <c r="K706" s="277"/>
      <c r="L706" s="277"/>
      <c r="M706" s="440" t="b">
        <f t="shared" si="2"/>
        <v>0</v>
      </c>
      <c r="N706" s="441"/>
      <c r="O706" s="277"/>
      <c r="P706" s="277"/>
      <c r="Q706" s="278"/>
      <c r="R706" s="449" t="str">
        <f t="array" ref="R706">IFERROR(IFS(OR(P706="A1-Mewtwo", P706="A1-Pikachu", P706="A1-Charizard", P706="A1"), XLOOKUP(N706, 'Genetic Apex'!$C$2:$C889, 'Genetic Apex'!$B$2:$B889)-$B$4, P706="A1a", XLOOKUP(N706, 'Mythical Island'!$C$2:$C889, 'Mythical Island'!$B$2:$B889)-$B$4, OR(P706="A2-Dialga", P706="A2-Palkia", P706="A2"), XLOOKUP(N706, 'Space-Time Smackdown'!$C$2:$C889, 'Space-Time Smackdown'!$B$2:$B889)-$B$4))</f>
        <v/>
      </c>
      <c r="S706" s="277"/>
      <c r="T706" s="277"/>
      <c r="U706" s="277"/>
      <c r="V706" s="278"/>
      <c r="W706" s="443" t="str">
        <f t="array" ref="W706">IFERROR(IFS(OR(U706="A1-Mewtwo", U706="A1-Pikachu", U706="A1-Charizard", U706="A1"), $B$5-XLOOKUP(S706, 'Genetic Apex'!$C$2:$C889, 'Genetic Apex'!$B$2:$B889), U706="A1a", $B$5-XLOOKUP(S706, 'Mythical Island'!$C$2:$C889, 'Mythical Island'!$B$2:$B889), OR(U706="A2-Dialga", U706="A2-Palkia", U706="A2"), $B$5-XLOOKUP(S706, 'Space-Time Smackdown'!$C$2:$C889, 'Space-Time Smackdown'!$B$2:$B889)))</f>
        <v/>
      </c>
      <c r="X706" s="444" t="str">
        <f t="shared" si="3"/>
        <v/>
      </c>
      <c r="Y706" s="445" t="str">
        <f t="shared" si="4"/>
        <v/>
      </c>
      <c r="Z706" s="278"/>
      <c r="AA706" s="466"/>
      <c r="AB706" s="278"/>
      <c r="AC706" s="278"/>
      <c r="AD706" s="278"/>
      <c r="AE706" s="278"/>
      <c r="AF706" s="278"/>
      <c r="AG706" s="278" t="b">
        <f t="shared" si="5"/>
        <v>0</v>
      </c>
      <c r="AH706" s="454"/>
      <c r="AI706" s="278"/>
      <c r="AJ706" s="278"/>
      <c r="AK706" s="278"/>
      <c r="AL706" s="444" t="str">
        <f t="array" ref="AL706">IFERROR(IFS(OR(AJ706="A1-Mewtwo", AJ706="A1-Pikachu", AJ706="A1-Charizard", AJ706="A1"), XLOOKUP(AH706, 'Genetic Apex'!$C$2:$C889, 'Genetic Apex'!$B$2:$B889)-2, AJ706="A1a", XLOOKUP(AH706, 'Mythical Island'!$C$2:$C889, 'Mythical Island'!$B$2:$B889)-2, OR(AJ706="A2-Dialga", AJ706="A2-Palkia", AJ706="A2"), XLOOKUP(AH706, 'Space-Time Smackdown'!$C$2:$C889, 'Space-Time Smackdown'!$B$2:$B889)-2))</f>
        <v/>
      </c>
      <c r="AM706" s="444" t="str">
        <f t="shared" si="6"/>
        <v/>
      </c>
      <c r="AN706" s="448" t="str">
        <f t="shared" si="7"/>
        <v/>
      </c>
    </row>
    <row r="707">
      <c r="A707" s="277"/>
      <c r="B707" s="277"/>
      <c r="C707" s="441"/>
      <c r="D707" s="277"/>
      <c r="E707" s="277"/>
      <c r="F707" s="277"/>
      <c r="G707" s="277"/>
      <c r="H707" s="277" t="b">
        <f t="shared" si="1"/>
        <v>0</v>
      </c>
      <c r="I707" s="277"/>
      <c r="J707" s="277"/>
      <c r="K707" s="277"/>
      <c r="L707" s="277"/>
      <c r="M707" s="440" t="b">
        <f t="shared" si="2"/>
        <v>0</v>
      </c>
      <c r="N707" s="441"/>
      <c r="O707" s="277"/>
      <c r="P707" s="277"/>
      <c r="Q707" s="278"/>
      <c r="R707" s="449" t="str">
        <f t="array" ref="R707">IFERROR(IFS(OR(P707="A1-Mewtwo", P707="A1-Pikachu", P707="A1-Charizard", P707="A1"), XLOOKUP(N707, 'Genetic Apex'!$C$2:$C889, 'Genetic Apex'!$B$2:$B889)-$B$4, P707="A1a", XLOOKUP(N707, 'Mythical Island'!$C$2:$C889, 'Mythical Island'!$B$2:$B889)-$B$4, OR(P707="A2-Dialga", P707="A2-Palkia", P707="A2"), XLOOKUP(N707, 'Space-Time Smackdown'!$C$2:$C889, 'Space-Time Smackdown'!$B$2:$B889)-$B$4))</f>
        <v/>
      </c>
      <c r="S707" s="277"/>
      <c r="T707" s="277"/>
      <c r="U707" s="277"/>
      <c r="V707" s="278"/>
      <c r="W707" s="443" t="str">
        <f t="array" ref="W707">IFERROR(IFS(OR(U707="A1-Mewtwo", U707="A1-Pikachu", U707="A1-Charizard", U707="A1"), $B$5-XLOOKUP(S707, 'Genetic Apex'!$C$2:$C889, 'Genetic Apex'!$B$2:$B889), U707="A1a", $B$5-XLOOKUP(S707, 'Mythical Island'!$C$2:$C889, 'Mythical Island'!$B$2:$B889), OR(U707="A2-Dialga", U707="A2-Palkia", U707="A2"), $B$5-XLOOKUP(S707, 'Space-Time Smackdown'!$C$2:$C889, 'Space-Time Smackdown'!$B$2:$B889)))</f>
        <v/>
      </c>
      <c r="X707" s="444" t="str">
        <f t="shared" si="3"/>
        <v/>
      </c>
      <c r="Y707" s="445" t="str">
        <f t="shared" si="4"/>
        <v/>
      </c>
      <c r="Z707" s="278"/>
      <c r="AA707" s="466"/>
      <c r="AB707" s="278"/>
      <c r="AC707" s="278"/>
      <c r="AD707" s="278"/>
      <c r="AE707" s="278"/>
      <c r="AF707" s="278"/>
      <c r="AG707" s="278" t="b">
        <f t="shared" si="5"/>
        <v>0</v>
      </c>
      <c r="AH707" s="454"/>
      <c r="AI707" s="278"/>
      <c r="AJ707" s="278"/>
      <c r="AK707" s="278"/>
      <c r="AL707" s="444" t="str">
        <f t="array" ref="AL707">IFERROR(IFS(OR(AJ707="A1-Mewtwo", AJ707="A1-Pikachu", AJ707="A1-Charizard", AJ707="A1"), XLOOKUP(AH707, 'Genetic Apex'!$C$2:$C889, 'Genetic Apex'!$B$2:$B889)-2, AJ707="A1a", XLOOKUP(AH707, 'Mythical Island'!$C$2:$C889, 'Mythical Island'!$B$2:$B889)-2, OR(AJ707="A2-Dialga", AJ707="A2-Palkia", AJ707="A2"), XLOOKUP(AH707, 'Space-Time Smackdown'!$C$2:$C889, 'Space-Time Smackdown'!$B$2:$B889)-2))</f>
        <v/>
      </c>
      <c r="AM707" s="444" t="str">
        <f t="shared" si="6"/>
        <v/>
      </c>
      <c r="AN707" s="448" t="str">
        <f t="shared" si="7"/>
        <v/>
      </c>
    </row>
    <row r="708">
      <c r="A708" s="277"/>
      <c r="B708" s="277"/>
      <c r="C708" s="441"/>
      <c r="D708" s="277"/>
      <c r="E708" s="277"/>
      <c r="F708" s="277"/>
      <c r="G708" s="277"/>
      <c r="H708" s="277" t="b">
        <f t="shared" si="1"/>
        <v>0</v>
      </c>
      <c r="I708" s="277"/>
      <c r="J708" s="277"/>
      <c r="K708" s="277"/>
      <c r="L708" s="277"/>
      <c r="M708" s="440" t="b">
        <f t="shared" si="2"/>
        <v>0</v>
      </c>
      <c r="N708" s="441"/>
      <c r="O708" s="277"/>
      <c r="P708" s="277"/>
      <c r="Q708" s="278"/>
      <c r="R708" s="449" t="str">
        <f t="array" ref="R708">IFERROR(IFS(OR(P708="A1-Mewtwo", P708="A1-Pikachu", P708="A1-Charizard", P708="A1"), XLOOKUP(N708, 'Genetic Apex'!$C$2:$C889, 'Genetic Apex'!$B$2:$B889)-$B$4, P708="A1a", XLOOKUP(N708, 'Mythical Island'!$C$2:$C889, 'Mythical Island'!$B$2:$B889)-$B$4, OR(P708="A2-Dialga", P708="A2-Palkia", P708="A2"), XLOOKUP(N708, 'Space-Time Smackdown'!$C$2:$C889, 'Space-Time Smackdown'!$B$2:$B889)-$B$4))</f>
        <v/>
      </c>
      <c r="S708" s="277"/>
      <c r="T708" s="277"/>
      <c r="U708" s="277"/>
      <c r="V708" s="278"/>
      <c r="W708" s="443" t="str">
        <f t="array" ref="W708">IFERROR(IFS(OR(U708="A1-Mewtwo", U708="A1-Pikachu", U708="A1-Charizard", U708="A1"), $B$5-XLOOKUP(S708, 'Genetic Apex'!$C$2:$C889, 'Genetic Apex'!$B$2:$B889), U708="A1a", $B$5-XLOOKUP(S708, 'Mythical Island'!$C$2:$C889, 'Mythical Island'!$B$2:$B889), OR(U708="A2-Dialga", U708="A2-Palkia", U708="A2"), $B$5-XLOOKUP(S708, 'Space-Time Smackdown'!$C$2:$C889, 'Space-Time Smackdown'!$B$2:$B889)))</f>
        <v/>
      </c>
      <c r="X708" s="444" t="str">
        <f t="shared" si="3"/>
        <v/>
      </c>
      <c r="Y708" s="445" t="str">
        <f t="shared" si="4"/>
        <v/>
      </c>
      <c r="Z708" s="278"/>
      <c r="AA708" s="466"/>
      <c r="AB708" s="278"/>
      <c r="AC708" s="278"/>
      <c r="AD708" s="278"/>
      <c r="AE708" s="278"/>
      <c r="AF708" s="278"/>
      <c r="AG708" s="278" t="b">
        <f t="shared" si="5"/>
        <v>0</v>
      </c>
      <c r="AH708" s="454"/>
      <c r="AI708" s="278"/>
      <c r="AJ708" s="278"/>
      <c r="AK708" s="278"/>
      <c r="AL708" s="444" t="str">
        <f t="array" ref="AL708">IFERROR(IFS(OR(AJ708="A1-Mewtwo", AJ708="A1-Pikachu", AJ708="A1-Charizard", AJ708="A1"), XLOOKUP(AH708, 'Genetic Apex'!$C$2:$C889, 'Genetic Apex'!$B$2:$B889)-2, AJ708="A1a", XLOOKUP(AH708, 'Mythical Island'!$C$2:$C889, 'Mythical Island'!$B$2:$B889)-2, OR(AJ708="A2-Dialga", AJ708="A2-Palkia", AJ708="A2"), XLOOKUP(AH708, 'Space-Time Smackdown'!$C$2:$C889, 'Space-Time Smackdown'!$B$2:$B889)-2))</f>
        <v/>
      </c>
      <c r="AM708" s="444" t="str">
        <f t="shared" si="6"/>
        <v/>
      </c>
      <c r="AN708" s="448" t="str">
        <f t="shared" si="7"/>
        <v/>
      </c>
    </row>
    <row r="709">
      <c r="A709" s="277"/>
      <c r="B709" s="277"/>
      <c r="C709" s="441"/>
      <c r="D709" s="277"/>
      <c r="E709" s="277"/>
      <c r="F709" s="277"/>
      <c r="G709" s="277"/>
      <c r="H709" s="277" t="b">
        <f t="shared" si="1"/>
        <v>0</v>
      </c>
      <c r="I709" s="277"/>
      <c r="J709" s="277"/>
      <c r="K709" s="277"/>
      <c r="L709" s="277"/>
      <c r="M709" s="440" t="b">
        <f t="shared" si="2"/>
        <v>0</v>
      </c>
      <c r="N709" s="441"/>
      <c r="O709" s="277"/>
      <c r="P709" s="277"/>
      <c r="Q709" s="278"/>
      <c r="R709" s="449" t="str">
        <f t="array" ref="R709">IFERROR(IFS(OR(P709="A1-Mewtwo", P709="A1-Pikachu", P709="A1-Charizard", P709="A1"), XLOOKUP(N709, 'Genetic Apex'!$C$2:$C889, 'Genetic Apex'!$B$2:$B889)-$B$4, P709="A1a", XLOOKUP(N709, 'Mythical Island'!$C$2:$C889, 'Mythical Island'!$B$2:$B889)-$B$4, OR(P709="A2-Dialga", P709="A2-Palkia", P709="A2"), XLOOKUP(N709, 'Space-Time Smackdown'!$C$2:$C889, 'Space-Time Smackdown'!$B$2:$B889)-$B$4))</f>
        <v/>
      </c>
      <c r="S709" s="277"/>
      <c r="T709" s="277"/>
      <c r="U709" s="277"/>
      <c r="V709" s="278"/>
      <c r="W709" s="443" t="str">
        <f t="array" ref="W709">IFERROR(IFS(OR(U709="A1-Mewtwo", U709="A1-Pikachu", U709="A1-Charizard", U709="A1"), $B$5-XLOOKUP(S709, 'Genetic Apex'!$C$2:$C889, 'Genetic Apex'!$B$2:$B889), U709="A1a", $B$5-XLOOKUP(S709, 'Mythical Island'!$C$2:$C889, 'Mythical Island'!$B$2:$B889), OR(U709="A2-Dialga", U709="A2-Palkia", U709="A2"), $B$5-XLOOKUP(S709, 'Space-Time Smackdown'!$C$2:$C889, 'Space-Time Smackdown'!$B$2:$B889)))</f>
        <v/>
      </c>
      <c r="X709" s="444" t="str">
        <f t="shared" si="3"/>
        <v/>
      </c>
      <c r="Y709" s="445" t="str">
        <f t="shared" si="4"/>
        <v/>
      </c>
      <c r="Z709" s="278"/>
      <c r="AA709" s="466"/>
      <c r="AB709" s="278"/>
      <c r="AC709" s="278"/>
      <c r="AD709" s="278"/>
      <c r="AE709" s="278"/>
      <c r="AF709" s="278"/>
      <c r="AG709" s="278" t="b">
        <f t="shared" si="5"/>
        <v>0</v>
      </c>
      <c r="AH709" s="454"/>
      <c r="AI709" s="278"/>
      <c r="AJ709" s="278"/>
      <c r="AK709" s="278"/>
      <c r="AL709" s="444" t="str">
        <f t="array" ref="AL709">IFERROR(IFS(OR(AJ709="A1-Mewtwo", AJ709="A1-Pikachu", AJ709="A1-Charizard", AJ709="A1"), XLOOKUP(AH709, 'Genetic Apex'!$C$2:$C889, 'Genetic Apex'!$B$2:$B889)-2, AJ709="A1a", XLOOKUP(AH709, 'Mythical Island'!$C$2:$C889, 'Mythical Island'!$B$2:$B889)-2, OR(AJ709="A2-Dialga", AJ709="A2-Palkia", AJ709="A2"), XLOOKUP(AH709, 'Space-Time Smackdown'!$C$2:$C889, 'Space-Time Smackdown'!$B$2:$B889)-2))</f>
        <v/>
      </c>
      <c r="AM709" s="444" t="str">
        <f t="shared" si="6"/>
        <v/>
      </c>
      <c r="AN709" s="448" t="str">
        <f t="shared" si="7"/>
        <v/>
      </c>
    </row>
    <row r="710">
      <c r="A710" s="277"/>
      <c r="B710" s="277"/>
      <c r="C710" s="441"/>
      <c r="D710" s="277"/>
      <c r="E710" s="277"/>
      <c r="F710" s="277"/>
      <c r="G710" s="277"/>
      <c r="H710" s="277" t="b">
        <f t="shared" si="1"/>
        <v>0</v>
      </c>
      <c r="I710" s="277"/>
      <c r="J710" s="277"/>
      <c r="K710" s="277"/>
      <c r="L710" s="277"/>
      <c r="M710" s="440" t="b">
        <f t="shared" si="2"/>
        <v>0</v>
      </c>
      <c r="N710" s="441"/>
      <c r="O710" s="277"/>
      <c r="P710" s="277"/>
      <c r="Q710" s="278"/>
      <c r="R710" s="449" t="str">
        <f t="array" ref="R710">IFERROR(IFS(OR(P710="A1-Mewtwo", P710="A1-Pikachu", P710="A1-Charizard", P710="A1"), XLOOKUP(N710, 'Genetic Apex'!$C$2:$C889, 'Genetic Apex'!$B$2:$B889)-$B$4, P710="A1a", XLOOKUP(N710, 'Mythical Island'!$C$2:$C889, 'Mythical Island'!$B$2:$B889)-$B$4, OR(P710="A2-Dialga", P710="A2-Palkia", P710="A2"), XLOOKUP(N710, 'Space-Time Smackdown'!$C$2:$C889, 'Space-Time Smackdown'!$B$2:$B889)-$B$4))</f>
        <v/>
      </c>
      <c r="S710" s="277"/>
      <c r="T710" s="277"/>
      <c r="U710" s="277"/>
      <c r="V710" s="278"/>
      <c r="W710" s="443" t="str">
        <f t="array" ref="W710">IFERROR(IFS(OR(U710="A1-Mewtwo", U710="A1-Pikachu", U710="A1-Charizard", U710="A1"), $B$5-XLOOKUP(S710, 'Genetic Apex'!$C$2:$C889, 'Genetic Apex'!$B$2:$B889), U710="A1a", $B$5-XLOOKUP(S710, 'Mythical Island'!$C$2:$C889, 'Mythical Island'!$B$2:$B889), OR(U710="A2-Dialga", U710="A2-Palkia", U710="A2"), $B$5-XLOOKUP(S710, 'Space-Time Smackdown'!$C$2:$C889, 'Space-Time Smackdown'!$B$2:$B889)))</f>
        <v/>
      </c>
      <c r="X710" s="444" t="str">
        <f t="shared" si="3"/>
        <v/>
      </c>
      <c r="Y710" s="445" t="str">
        <f t="shared" si="4"/>
        <v/>
      </c>
      <c r="Z710" s="278"/>
      <c r="AA710" s="466"/>
      <c r="AB710" s="278"/>
      <c r="AC710" s="278"/>
      <c r="AD710" s="278"/>
      <c r="AE710" s="278"/>
      <c r="AF710" s="278"/>
      <c r="AG710" s="278" t="b">
        <f t="shared" si="5"/>
        <v>0</v>
      </c>
      <c r="AH710" s="454"/>
      <c r="AI710" s="278"/>
      <c r="AJ710" s="278"/>
      <c r="AK710" s="278"/>
      <c r="AL710" s="444" t="str">
        <f t="array" ref="AL710">IFERROR(IFS(OR(AJ710="A1-Mewtwo", AJ710="A1-Pikachu", AJ710="A1-Charizard", AJ710="A1"), XLOOKUP(AH710, 'Genetic Apex'!$C$2:$C889, 'Genetic Apex'!$B$2:$B889)-2, AJ710="A1a", XLOOKUP(AH710, 'Mythical Island'!$C$2:$C889, 'Mythical Island'!$B$2:$B889)-2, OR(AJ710="A2-Dialga", AJ710="A2-Palkia", AJ710="A2"), XLOOKUP(AH710, 'Space-Time Smackdown'!$C$2:$C889, 'Space-Time Smackdown'!$B$2:$B889)-2))</f>
        <v/>
      </c>
      <c r="AM710" s="444" t="str">
        <f t="shared" si="6"/>
        <v/>
      </c>
      <c r="AN710" s="448" t="str">
        <f t="shared" si="7"/>
        <v/>
      </c>
    </row>
    <row r="711">
      <c r="A711" s="277"/>
      <c r="B711" s="277"/>
      <c r="C711" s="441"/>
      <c r="D711" s="277"/>
      <c r="E711" s="277"/>
      <c r="F711" s="277"/>
      <c r="G711" s="277"/>
      <c r="H711" s="277" t="b">
        <f t="shared" si="1"/>
        <v>0</v>
      </c>
      <c r="I711" s="277"/>
      <c r="J711" s="277"/>
      <c r="K711" s="277"/>
      <c r="L711" s="277"/>
      <c r="M711" s="440" t="b">
        <f t="shared" si="2"/>
        <v>0</v>
      </c>
      <c r="N711" s="441"/>
      <c r="O711" s="277"/>
      <c r="P711" s="277"/>
      <c r="Q711" s="278"/>
      <c r="R711" s="449" t="str">
        <f t="array" ref="R711">IFERROR(IFS(OR(P711="A1-Mewtwo", P711="A1-Pikachu", P711="A1-Charizard", P711="A1"), XLOOKUP(N711, 'Genetic Apex'!$C$2:$C889, 'Genetic Apex'!$B$2:$B889)-$B$4, P711="A1a", XLOOKUP(N711, 'Mythical Island'!$C$2:$C889, 'Mythical Island'!$B$2:$B889)-$B$4, OR(P711="A2-Dialga", P711="A2-Palkia", P711="A2"), XLOOKUP(N711, 'Space-Time Smackdown'!$C$2:$C889, 'Space-Time Smackdown'!$B$2:$B889)-$B$4))</f>
        <v/>
      </c>
      <c r="S711" s="277"/>
      <c r="T711" s="277"/>
      <c r="U711" s="277"/>
      <c r="V711" s="278"/>
      <c r="W711" s="443" t="str">
        <f t="array" ref="W711">IFERROR(IFS(OR(U711="A1-Mewtwo", U711="A1-Pikachu", U711="A1-Charizard", U711="A1"), $B$5-XLOOKUP(S711, 'Genetic Apex'!$C$2:$C889, 'Genetic Apex'!$B$2:$B889), U711="A1a", $B$5-XLOOKUP(S711, 'Mythical Island'!$C$2:$C889, 'Mythical Island'!$B$2:$B889), OR(U711="A2-Dialga", U711="A2-Palkia", U711="A2"), $B$5-XLOOKUP(S711, 'Space-Time Smackdown'!$C$2:$C889, 'Space-Time Smackdown'!$B$2:$B889)))</f>
        <v/>
      </c>
      <c r="X711" s="444" t="str">
        <f t="shared" si="3"/>
        <v/>
      </c>
      <c r="Y711" s="445" t="str">
        <f t="shared" si="4"/>
        <v/>
      </c>
      <c r="Z711" s="278"/>
      <c r="AA711" s="466"/>
      <c r="AB711" s="278"/>
      <c r="AC711" s="278"/>
      <c r="AD711" s="278"/>
      <c r="AE711" s="278"/>
      <c r="AF711" s="278"/>
      <c r="AG711" s="278" t="b">
        <f t="shared" si="5"/>
        <v>0</v>
      </c>
      <c r="AH711" s="454"/>
      <c r="AI711" s="278"/>
      <c r="AJ711" s="278"/>
      <c r="AK711" s="278"/>
      <c r="AL711" s="444" t="str">
        <f t="array" ref="AL711">IFERROR(IFS(OR(AJ711="A1-Mewtwo", AJ711="A1-Pikachu", AJ711="A1-Charizard", AJ711="A1"), XLOOKUP(AH711, 'Genetic Apex'!$C$2:$C889, 'Genetic Apex'!$B$2:$B889)-2, AJ711="A1a", XLOOKUP(AH711, 'Mythical Island'!$C$2:$C889, 'Mythical Island'!$B$2:$B889)-2, OR(AJ711="A2-Dialga", AJ711="A2-Palkia", AJ711="A2"), XLOOKUP(AH711, 'Space-Time Smackdown'!$C$2:$C889, 'Space-Time Smackdown'!$B$2:$B889)-2))</f>
        <v/>
      </c>
      <c r="AM711" s="444" t="str">
        <f t="shared" si="6"/>
        <v/>
      </c>
      <c r="AN711" s="448" t="str">
        <f t="shared" si="7"/>
        <v/>
      </c>
    </row>
    <row r="712">
      <c r="A712" s="277"/>
      <c r="B712" s="277"/>
      <c r="C712" s="441"/>
      <c r="D712" s="277"/>
      <c r="E712" s="277"/>
      <c r="F712" s="277"/>
      <c r="G712" s="277"/>
      <c r="H712" s="277" t="b">
        <f t="shared" si="1"/>
        <v>0</v>
      </c>
      <c r="I712" s="277"/>
      <c r="J712" s="277"/>
      <c r="K712" s="277"/>
      <c r="L712" s="277"/>
      <c r="M712" s="440" t="b">
        <f t="shared" si="2"/>
        <v>0</v>
      </c>
      <c r="N712" s="441"/>
      <c r="O712" s="277"/>
      <c r="P712" s="277"/>
      <c r="Q712" s="278"/>
      <c r="R712" s="449" t="str">
        <f t="array" ref="R712">IFERROR(IFS(OR(P712="A1-Mewtwo", P712="A1-Pikachu", P712="A1-Charizard", P712="A1"), XLOOKUP(N712, 'Genetic Apex'!$C$2:$C889, 'Genetic Apex'!$B$2:$B889)-$B$4, P712="A1a", XLOOKUP(N712, 'Mythical Island'!$C$2:$C889, 'Mythical Island'!$B$2:$B889)-$B$4, OR(P712="A2-Dialga", P712="A2-Palkia", P712="A2"), XLOOKUP(N712, 'Space-Time Smackdown'!$C$2:$C889, 'Space-Time Smackdown'!$B$2:$B889)-$B$4))</f>
        <v/>
      </c>
      <c r="S712" s="277"/>
      <c r="T712" s="277"/>
      <c r="U712" s="277"/>
      <c r="V712" s="278"/>
      <c r="W712" s="443" t="str">
        <f t="array" ref="W712">IFERROR(IFS(OR(U712="A1-Mewtwo", U712="A1-Pikachu", U712="A1-Charizard", U712="A1"), $B$5-XLOOKUP(S712, 'Genetic Apex'!$C$2:$C889, 'Genetic Apex'!$B$2:$B889), U712="A1a", $B$5-XLOOKUP(S712, 'Mythical Island'!$C$2:$C889, 'Mythical Island'!$B$2:$B889), OR(U712="A2-Dialga", U712="A2-Palkia", U712="A2"), $B$5-XLOOKUP(S712, 'Space-Time Smackdown'!$C$2:$C889, 'Space-Time Smackdown'!$B$2:$B889)))</f>
        <v/>
      </c>
      <c r="X712" s="444" t="str">
        <f t="shared" si="3"/>
        <v/>
      </c>
      <c r="Y712" s="445" t="str">
        <f t="shared" si="4"/>
        <v/>
      </c>
      <c r="Z712" s="278"/>
      <c r="AA712" s="466"/>
      <c r="AB712" s="278"/>
      <c r="AC712" s="278"/>
      <c r="AD712" s="278"/>
      <c r="AE712" s="278"/>
      <c r="AF712" s="278"/>
      <c r="AG712" s="278" t="b">
        <f t="shared" si="5"/>
        <v>0</v>
      </c>
      <c r="AH712" s="454"/>
      <c r="AI712" s="278"/>
      <c r="AJ712" s="278"/>
      <c r="AK712" s="278"/>
      <c r="AL712" s="444" t="str">
        <f t="array" ref="AL712">IFERROR(IFS(OR(AJ712="A1-Mewtwo", AJ712="A1-Pikachu", AJ712="A1-Charizard", AJ712="A1"), XLOOKUP(AH712, 'Genetic Apex'!$C$2:$C889, 'Genetic Apex'!$B$2:$B889)-2, AJ712="A1a", XLOOKUP(AH712, 'Mythical Island'!$C$2:$C889, 'Mythical Island'!$B$2:$B889)-2, OR(AJ712="A2-Dialga", AJ712="A2-Palkia", AJ712="A2"), XLOOKUP(AH712, 'Space-Time Smackdown'!$C$2:$C889, 'Space-Time Smackdown'!$B$2:$B889)-2))</f>
        <v/>
      </c>
      <c r="AM712" s="444" t="str">
        <f t="shared" si="6"/>
        <v/>
      </c>
      <c r="AN712" s="448" t="str">
        <f t="shared" si="7"/>
        <v/>
      </c>
    </row>
    <row r="713">
      <c r="A713" s="277"/>
      <c r="B713" s="277"/>
      <c r="C713" s="441"/>
      <c r="D713" s="277"/>
      <c r="E713" s="277"/>
      <c r="F713" s="277"/>
      <c r="G713" s="277"/>
      <c r="H713" s="277" t="b">
        <f t="shared" si="1"/>
        <v>0</v>
      </c>
      <c r="I713" s="277"/>
      <c r="J713" s="277"/>
      <c r="K713" s="277"/>
      <c r="L713" s="277"/>
      <c r="M713" s="440" t="b">
        <f t="shared" si="2"/>
        <v>0</v>
      </c>
      <c r="N713" s="441"/>
      <c r="O713" s="277"/>
      <c r="P713" s="277"/>
      <c r="Q713" s="278"/>
      <c r="R713" s="449" t="str">
        <f t="array" ref="R713">IFERROR(IFS(OR(P713="A1-Mewtwo", P713="A1-Pikachu", P713="A1-Charizard", P713="A1"), XLOOKUP(N713, 'Genetic Apex'!$C$2:$C889, 'Genetic Apex'!$B$2:$B889)-$B$4, P713="A1a", XLOOKUP(N713, 'Mythical Island'!$C$2:$C889, 'Mythical Island'!$B$2:$B889)-$B$4, OR(P713="A2-Dialga", P713="A2-Palkia", P713="A2"), XLOOKUP(N713, 'Space-Time Smackdown'!$C$2:$C889, 'Space-Time Smackdown'!$B$2:$B889)-$B$4))</f>
        <v/>
      </c>
      <c r="S713" s="277"/>
      <c r="T713" s="277"/>
      <c r="U713" s="277"/>
      <c r="V713" s="278"/>
      <c r="W713" s="443" t="str">
        <f t="array" ref="W713">IFERROR(IFS(OR(U713="A1-Mewtwo", U713="A1-Pikachu", U713="A1-Charizard", U713="A1"), $B$5-XLOOKUP(S713, 'Genetic Apex'!$C$2:$C889, 'Genetic Apex'!$B$2:$B889), U713="A1a", $B$5-XLOOKUP(S713, 'Mythical Island'!$C$2:$C889, 'Mythical Island'!$B$2:$B889), OR(U713="A2-Dialga", U713="A2-Palkia", U713="A2"), $B$5-XLOOKUP(S713, 'Space-Time Smackdown'!$C$2:$C889, 'Space-Time Smackdown'!$B$2:$B889)))</f>
        <v/>
      </c>
      <c r="X713" s="444" t="str">
        <f t="shared" si="3"/>
        <v/>
      </c>
      <c r="Y713" s="445" t="str">
        <f t="shared" si="4"/>
        <v/>
      </c>
      <c r="Z713" s="278"/>
      <c r="AA713" s="466"/>
      <c r="AB713" s="278"/>
      <c r="AC713" s="278"/>
      <c r="AD713" s="278"/>
      <c r="AE713" s="278"/>
      <c r="AF713" s="278"/>
      <c r="AG713" s="278" t="b">
        <f t="shared" si="5"/>
        <v>0</v>
      </c>
      <c r="AH713" s="454"/>
      <c r="AI713" s="278"/>
      <c r="AJ713" s="278"/>
      <c r="AK713" s="278"/>
      <c r="AL713" s="444" t="str">
        <f t="array" ref="AL713">IFERROR(IFS(OR(AJ713="A1-Mewtwo", AJ713="A1-Pikachu", AJ713="A1-Charizard", AJ713="A1"), XLOOKUP(AH713, 'Genetic Apex'!$C$2:$C889, 'Genetic Apex'!$B$2:$B889)-2, AJ713="A1a", XLOOKUP(AH713, 'Mythical Island'!$C$2:$C889, 'Mythical Island'!$B$2:$B889)-2, OR(AJ713="A2-Dialga", AJ713="A2-Palkia", AJ713="A2"), XLOOKUP(AH713, 'Space-Time Smackdown'!$C$2:$C889, 'Space-Time Smackdown'!$B$2:$B889)-2))</f>
        <v/>
      </c>
      <c r="AM713" s="444" t="str">
        <f t="shared" si="6"/>
        <v/>
      </c>
      <c r="AN713" s="448" t="str">
        <f t="shared" si="7"/>
        <v/>
      </c>
    </row>
    <row r="714">
      <c r="A714" s="277"/>
      <c r="B714" s="277"/>
      <c r="C714" s="441"/>
      <c r="D714" s="277"/>
      <c r="E714" s="277"/>
      <c r="F714" s="277"/>
      <c r="G714" s="277"/>
      <c r="H714" s="277" t="b">
        <f t="shared" si="1"/>
        <v>0</v>
      </c>
      <c r="I714" s="277"/>
      <c r="J714" s="277"/>
      <c r="K714" s="277"/>
      <c r="L714" s="277"/>
      <c r="M714" s="440" t="b">
        <f t="shared" si="2"/>
        <v>0</v>
      </c>
      <c r="N714" s="441"/>
      <c r="O714" s="277"/>
      <c r="P714" s="277"/>
      <c r="Q714" s="278"/>
      <c r="R714" s="449" t="str">
        <f t="array" ref="R714">IFERROR(IFS(OR(P714="A1-Mewtwo", P714="A1-Pikachu", P714="A1-Charizard", P714="A1"), XLOOKUP(N714, 'Genetic Apex'!$C$2:$C889, 'Genetic Apex'!$B$2:$B889)-$B$4, P714="A1a", XLOOKUP(N714, 'Mythical Island'!$C$2:$C889, 'Mythical Island'!$B$2:$B889)-$B$4, OR(P714="A2-Dialga", P714="A2-Palkia", P714="A2"), XLOOKUP(N714, 'Space-Time Smackdown'!$C$2:$C889, 'Space-Time Smackdown'!$B$2:$B889)-$B$4))</f>
        <v/>
      </c>
      <c r="S714" s="277"/>
      <c r="T714" s="277"/>
      <c r="U714" s="277"/>
      <c r="V714" s="278"/>
      <c r="W714" s="443" t="str">
        <f t="array" ref="W714">IFERROR(IFS(OR(U714="A1-Mewtwo", U714="A1-Pikachu", U714="A1-Charizard", U714="A1"), $B$5-XLOOKUP(S714, 'Genetic Apex'!$C$2:$C889, 'Genetic Apex'!$B$2:$B889), U714="A1a", $B$5-XLOOKUP(S714, 'Mythical Island'!$C$2:$C889, 'Mythical Island'!$B$2:$B889), OR(U714="A2-Dialga", U714="A2-Palkia", U714="A2"), $B$5-XLOOKUP(S714, 'Space-Time Smackdown'!$C$2:$C889, 'Space-Time Smackdown'!$B$2:$B889)))</f>
        <v/>
      </c>
      <c r="X714" s="444" t="str">
        <f t="shared" si="3"/>
        <v/>
      </c>
      <c r="Y714" s="445" t="str">
        <f t="shared" si="4"/>
        <v/>
      </c>
      <c r="Z714" s="278"/>
      <c r="AA714" s="466"/>
      <c r="AB714" s="278"/>
      <c r="AC714" s="278"/>
      <c r="AD714" s="278"/>
      <c r="AE714" s="278"/>
      <c r="AF714" s="278"/>
      <c r="AG714" s="278" t="b">
        <f t="shared" si="5"/>
        <v>0</v>
      </c>
      <c r="AH714" s="454"/>
      <c r="AI714" s="278"/>
      <c r="AJ714" s="278"/>
      <c r="AK714" s="278"/>
      <c r="AL714" s="444" t="str">
        <f t="array" ref="AL714">IFERROR(IFS(OR(AJ714="A1-Mewtwo", AJ714="A1-Pikachu", AJ714="A1-Charizard", AJ714="A1"), XLOOKUP(AH714, 'Genetic Apex'!$C$2:$C889, 'Genetic Apex'!$B$2:$B889)-2, AJ714="A1a", XLOOKUP(AH714, 'Mythical Island'!$C$2:$C889, 'Mythical Island'!$B$2:$B889)-2, OR(AJ714="A2-Dialga", AJ714="A2-Palkia", AJ714="A2"), XLOOKUP(AH714, 'Space-Time Smackdown'!$C$2:$C889, 'Space-Time Smackdown'!$B$2:$B889)-2))</f>
        <v/>
      </c>
      <c r="AM714" s="444" t="str">
        <f t="shared" si="6"/>
        <v/>
      </c>
      <c r="AN714" s="448" t="str">
        <f t="shared" si="7"/>
        <v/>
      </c>
    </row>
    <row r="715">
      <c r="A715" s="277"/>
      <c r="B715" s="277"/>
      <c r="C715" s="441"/>
      <c r="D715" s="277"/>
      <c r="E715" s="277"/>
      <c r="F715" s="277"/>
      <c r="G715" s="277"/>
      <c r="H715" s="277" t="b">
        <f t="shared" si="1"/>
        <v>0</v>
      </c>
      <c r="I715" s="277"/>
      <c r="J715" s="277"/>
      <c r="K715" s="277"/>
      <c r="L715" s="277"/>
      <c r="M715" s="440" t="b">
        <f t="shared" si="2"/>
        <v>0</v>
      </c>
      <c r="N715" s="441"/>
      <c r="O715" s="277"/>
      <c r="P715" s="277"/>
      <c r="Q715" s="278"/>
      <c r="R715" s="449" t="str">
        <f t="array" ref="R715">IFERROR(IFS(OR(P715="A1-Mewtwo", P715="A1-Pikachu", P715="A1-Charizard", P715="A1"), XLOOKUP(N715, 'Genetic Apex'!$C$2:$C889, 'Genetic Apex'!$B$2:$B889)-$B$4, P715="A1a", XLOOKUP(N715, 'Mythical Island'!$C$2:$C889, 'Mythical Island'!$B$2:$B889)-$B$4, OR(P715="A2-Dialga", P715="A2-Palkia", P715="A2"), XLOOKUP(N715, 'Space-Time Smackdown'!$C$2:$C889, 'Space-Time Smackdown'!$B$2:$B889)-$B$4))</f>
        <v/>
      </c>
      <c r="S715" s="277"/>
      <c r="T715" s="277"/>
      <c r="U715" s="277"/>
      <c r="V715" s="278"/>
      <c r="W715" s="443" t="str">
        <f t="array" ref="W715">IFERROR(IFS(OR(U715="A1-Mewtwo", U715="A1-Pikachu", U715="A1-Charizard", U715="A1"), $B$5-XLOOKUP(S715, 'Genetic Apex'!$C$2:$C889, 'Genetic Apex'!$B$2:$B889), U715="A1a", $B$5-XLOOKUP(S715, 'Mythical Island'!$C$2:$C889, 'Mythical Island'!$B$2:$B889), OR(U715="A2-Dialga", U715="A2-Palkia", U715="A2"), $B$5-XLOOKUP(S715, 'Space-Time Smackdown'!$C$2:$C889, 'Space-Time Smackdown'!$B$2:$B889)))</f>
        <v/>
      </c>
      <c r="X715" s="444" t="str">
        <f t="shared" si="3"/>
        <v/>
      </c>
      <c r="Y715" s="445" t="str">
        <f t="shared" si="4"/>
        <v/>
      </c>
      <c r="Z715" s="278"/>
      <c r="AA715" s="466"/>
      <c r="AB715" s="278"/>
      <c r="AC715" s="278"/>
      <c r="AD715" s="278"/>
      <c r="AE715" s="278"/>
      <c r="AF715" s="278"/>
      <c r="AG715" s="278" t="b">
        <f t="shared" si="5"/>
        <v>0</v>
      </c>
      <c r="AH715" s="454"/>
      <c r="AI715" s="278"/>
      <c r="AJ715" s="278"/>
      <c r="AK715" s="278"/>
      <c r="AL715" s="444" t="str">
        <f t="array" ref="AL715">IFERROR(IFS(OR(AJ715="A1-Mewtwo", AJ715="A1-Pikachu", AJ715="A1-Charizard", AJ715="A1"), XLOOKUP(AH715, 'Genetic Apex'!$C$2:$C889, 'Genetic Apex'!$B$2:$B889)-2, AJ715="A1a", XLOOKUP(AH715, 'Mythical Island'!$C$2:$C889, 'Mythical Island'!$B$2:$B889)-2, OR(AJ715="A2-Dialga", AJ715="A2-Palkia", AJ715="A2"), XLOOKUP(AH715, 'Space-Time Smackdown'!$C$2:$C889, 'Space-Time Smackdown'!$B$2:$B889)-2))</f>
        <v/>
      </c>
      <c r="AM715" s="444" t="str">
        <f t="shared" si="6"/>
        <v/>
      </c>
      <c r="AN715" s="448" t="str">
        <f t="shared" si="7"/>
        <v/>
      </c>
    </row>
    <row r="716">
      <c r="A716" s="277"/>
      <c r="B716" s="277"/>
      <c r="C716" s="441"/>
      <c r="D716" s="277"/>
      <c r="E716" s="277"/>
      <c r="F716" s="277"/>
      <c r="G716" s="277"/>
      <c r="H716" s="277" t="b">
        <f t="shared" si="1"/>
        <v>0</v>
      </c>
      <c r="I716" s="277"/>
      <c r="J716" s="277"/>
      <c r="K716" s="277"/>
      <c r="L716" s="277"/>
      <c r="M716" s="440" t="b">
        <f t="shared" si="2"/>
        <v>0</v>
      </c>
      <c r="N716" s="441"/>
      <c r="O716" s="277"/>
      <c r="P716" s="277"/>
      <c r="Q716" s="278"/>
      <c r="R716" s="449" t="str">
        <f t="array" ref="R716">IFERROR(IFS(OR(P716="A1-Mewtwo", P716="A1-Pikachu", P716="A1-Charizard", P716="A1"), XLOOKUP(N716, 'Genetic Apex'!$C$2:$C889, 'Genetic Apex'!$B$2:$B889)-$B$4, P716="A1a", XLOOKUP(N716, 'Mythical Island'!$C$2:$C889, 'Mythical Island'!$B$2:$B889)-$B$4, OR(P716="A2-Dialga", P716="A2-Palkia", P716="A2"), XLOOKUP(N716, 'Space-Time Smackdown'!$C$2:$C889, 'Space-Time Smackdown'!$B$2:$B889)-$B$4))</f>
        <v/>
      </c>
      <c r="S716" s="277"/>
      <c r="T716" s="277"/>
      <c r="U716" s="277"/>
      <c r="V716" s="278"/>
      <c r="W716" s="443" t="str">
        <f t="array" ref="W716">IFERROR(IFS(OR(U716="A1-Mewtwo", U716="A1-Pikachu", U716="A1-Charizard", U716="A1"), $B$5-XLOOKUP(S716, 'Genetic Apex'!$C$2:$C889, 'Genetic Apex'!$B$2:$B889), U716="A1a", $B$5-XLOOKUP(S716, 'Mythical Island'!$C$2:$C889, 'Mythical Island'!$B$2:$B889), OR(U716="A2-Dialga", U716="A2-Palkia", U716="A2"), $B$5-XLOOKUP(S716, 'Space-Time Smackdown'!$C$2:$C889, 'Space-Time Smackdown'!$B$2:$B889)))</f>
        <v/>
      </c>
      <c r="X716" s="444" t="str">
        <f t="shared" si="3"/>
        <v/>
      </c>
      <c r="Y716" s="445" t="str">
        <f t="shared" si="4"/>
        <v/>
      </c>
      <c r="Z716" s="278"/>
      <c r="AA716" s="466"/>
      <c r="AB716" s="278"/>
      <c r="AC716" s="278"/>
      <c r="AD716" s="278"/>
      <c r="AE716" s="278"/>
      <c r="AF716" s="278"/>
      <c r="AG716" s="278" t="b">
        <f t="shared" si="5"/>
        <v>0</v>
      </c>
      <c r="AH716" s="454"/>
      <c r="AI716" s="278"/>
      <c r="AJ716" s="278"/>
      <c r="AK716" s="278"/>
      <c r="AL716" s="444" t="str">
        <f t="array" ref="AL716">IFERROR(IFS(OR(AJ716="A1-Mewtwo", AJ716="A1-Pikachu", AJ716="A1-Charizard", AJ716="A1"), XLOOKUP(AH716, 'Genetic Apex'!$C$2:$C889, 'Genetic Apex'!$B$2:$B889)-2, AJ716="A1a", XLOOKUP(AH716, 'Mythical Island'!$C$2:$C889, 'Mythical Island'!$B$2:$B889)-2, OR(AJ716="A2-Dialga", AJ716="A2-Palkia", AJ716="A2"), XLOOKUP(AH716, 'Space-Time Smackdown'!$C$2:$C889, 'Space-Time Smackdown'!$B$2:$B889)-2))</f>
        <v/>
      </c>
      <c r="AM716" s="444" t="str">
        <f t="shared" si="6"/>
        <v/>
      </c>
      <c r="AN716" s="448" t="str">
        <f t="shared" si="7"/>
        <v/>
      </c>
    </row>
    <row r="717">
      <c r="A717" s="277"/>
      <c r="B717" s="277"/>
      <c r="C717" s="441"/>
      <c r="D717" s="277"/>
      <c r="E717" s="277"/>
      <c r="F717" s="277"/>
      <c r="G717" s="277"/>
      <c r="H717" s="277" t="b">
        <f t="shared" si="1"/>
        <v>0</v>
      </c>
      <c r="I717" s="277"/>
      <c r="J717" s="277"/>
      <c r="K717" s="277"/>
      <c r="L717" s="277"/>
      <c r="M717" s="440" t="b">
        <f t="shared" si="2"/>
        <v>0</v>
      </c>
      <c r="N717" s="441"/>
      <c r="O717" s="277"/>
      <c r="P717" s="277"/>
      <c r="Q717" s="278"/>
      <c r="R717" s="449" t="str">
        <f t="array" ref="R717">IFERROR(IFS(OR(P717="A1-Mewtwo", P717="A1-Pikachu", P717="A1-Charizard", P717="A1"), XLOOKUP(N717, 'Genetic Apex'!$C$2:$C889, 'Genetic Apex'!$B$2:$B889)-$B$4, P717="A1a", XLOOKUP(N717, 'Mythical Island'!$C$2:$C889, 'Mythical Island'!$B$2:$B889)-$B$4, OR(P717="A2-Dialga", P717="A2-Palkia", P717="A2"), XLOOKUP(N717, 'Space-Time Smackdown'!$C$2:$C889, 'Space-Time Smackdown'!$B$2:$B889)-$B$4))</f>
        <v/>
      </c>
      <c r="S717" s="277"/>
      <c r="T717" s="277"/>
      <c r="U717" s="277"/>
      <c r="V717" s="278"/>
      <c r="W717" s="443" t="str">
        <f t="array" ref="W717">IFERROR(IFS(OR(U717="A1-Mewtwo", U717="A1-Pikachu", U717="A1-Charizard", U717="A1"), $B$5-XLOOKUP(S717, 'Genetic Apex'!$C$2:$C889, 'Genetic Apex'!$B$2:$B889), U717="A1a", $B$5-XLOOKUP(S717, 'Mythical Island'!$C$2:$C889, 'Mythical Island'!$B$2:$B889), OR(U717="A2-Dialga", U717="A2-Palkia", U717="A2"), $B$5-XLOOKUP(S717, 'Space-Time Smackdown'!$C$2:$C889, 'Space-Time Smackdown'!$B$2:$B889)))</f>
        <v/>
      </c>
      <c r="X717" s="444" t="str">
        <f t="shared" si="3"/>
        <v/>
      </c>
      <c r="Y717" s="445" t="str">
        <f t="shared" si="4"/>
        <v/>
      </c>
      <c r="Z717" s="278"/>
      <c r="AA717" s="466"/>
      <c r="AB717" s="278"/>
      <c r="AC717" s="278"/>
      <c r="AD717" s="278"/>
      <c r="AE717" s="278"/>
      <c r="AF717" s="278"/>
      <c r="AG717" s="278" t="b">
        <f t="shared" si="5"/>
        <v>0</v>
      </c>
      <c r="AH717" s="454"/>
      <c r="AI717" s="278"/>
      <c r="AJ717" s="278"/>
      <c r="AK717" s="278"/>
      <c r="AL717" s="444" t="str">
        <f t="array" ref="AL717">IFERROR(IFS(OR(AJ717="A1-Mewtwo", AJ717="A1-Pikachu", AJ717="A1-Charizard", AJ717="A1"), XLOOKUP(AH717, 'Genetic Apex'!$C$2:$C889, 'Genetic Apex'!$B$2:$B889)-2, AJ717="A1a", XLOOKUP(AH717, 'Mythical Island'!$C$2:$C889, 'Mythical Island'!$B$2:$B889)-2, OR(AJ717="A2-Dialga", AJ717="A2-Palkia", AJ717="A2"), XLOOKUP(AH717, 'Space-Time Smackdown'!$C$2:$C889, 'Space-Time Smackdown'!$B$2:$B889)-2))</f>
        <v/>
      </c>
      <c r="AM717" s="444" t="str">
        <f t="shared" si="6"/>
        <v/>
      </c>
      <c r="AN717" s="448" t="str">
        <f t="shared" si="7"/>
        <v/>
      </c>
    </row>
    <row r="718">
      <c r="A718" s="277"/>
      <c r="B718" s="277"/>
      <c r="C718" s="441"/>
      <c r="D718" s="277"/>
      <c r="E718" s="277"/>
      <c r="F718" s="277"/>
      <c r="G718" s="277"/>
      <c r="H718" s="277" t="b">
        <f t="shared" si="1"/>
        <v>0</v>
      </c>
      <c r="I718" s="277"/>
      <c r="J718" s="277"/>
      <c r="K718" s="277"/>
      <c r="L718" s="277"/>
      <c r="M718" s="440" t="b">
        <f t="shared" si="2"/>
        <v>0</v>
      </c>
      <c r="N718" s="441"/>
      <c r="O718" s="277"/>
      <c r="P718" s="277"/>
      <c r="Q718" s="278"/>
      <c r="R718" s="449" t="str">
        <f t="array" ref="R718">IFERROR(IFS(OR(P718="A1-Mewtwo", P718="A1-Pikachu", P718="A1-Charizard", P718="A1"), XLOOKUP(N718, 'Genetic Apex'!$C$2:$C889, 'Genetic Apex'!$B$2:$B889)-$B$4, P718="A1a", XLOOKUP(N718, 'Mythical Island'!$C$2:$C889, 'Mythical Island'!$B$2:$B889)-$B$4, OR(P718="A2-Dialga", P718="A2-Palkia", P718="A2"), XLOOKUP(N718, 'Space-Time Smackdown'!$C$2:$C889, 'Space-Time Smackdown'!$B$2:$B889)-$B$4))</f>
        <v/>
      </c>
      <c r="S718" s="277"/>
      <c r="T718" s="277"/>
      <c r="U718" s="277"/>
      <c r="V718" s="278"/>
      <c r="W718" s="443" t="str">
        <f t="array" ref="W718">IFERROR(IFS(OR(U718="A1-Mewtwo", U718="A1-Pikachu", U718="A1-Charizard", U718="A1"), $B$5-XLOOKUP(S718, 'Genetic Apex'!$C$2:$C889, 'Genetic Apex'!$B$2:$B889), U718="A1a", $B$5-XLOOKUP(S718, 'Mythical Island'!$C$2:$C889, 'Mythical Island'!$B$2:$B889), OR(U718="A2-Dialga", U718="A2-Palkia", U718="A2"), $B$5-XLOOKUP(S718, 'Space-Time Smackdown'!$C$2:$C889, 'Space-Time Smackdown'!$B$2:$B889)))</f>
        <v/>
      </c>
      <c r="X718" s="444" t="str">
        <f t="shared" si="3"/>
        <v/>
      </c>
      <c r="Y718" s="445" t="str">
        <f t="shared" si="4"/>
        <v/>
      </c>
      <c r="Z718" s="278"/>
      <c r="AA718" s="466"/>
      <c r="AB718" s="278"/>
      <c r="AC718" s="278"/>
      <c r="AD718" s="278"/>
      <c r="AE718" s="278"/>
      <c r="AF718" s="278"/>
      <c r="AG718" s="278" t="b">
        <f t="shared" si="5"/>
        <v>0</v>
      </c>
      <c r="AH718" s="454"/>
      <c r="AI718" s="278"/>
      <c r="AJ718" s="278"/>
      <c r="AK718" s="278"/>
      <c r="AL718" s="444" t="str">
        <f t="array" ref="AL718">IFERROR(IFS(OR(AJ718="A1-Mewtwo", AJ718="A1-Pikachu", AJ718="A1-Charizard", AJ718="A1"), XLOOKUP(AH718, 'Genetic Apex'!$C$2:$C889, 'Genetic Apex'!$B$2:$B889)-2, AJ718="A1a", XLOOKUP(AH718, 'Mythical Island'!$C$2:$C889, 'Mythical Island'!$B$2:$B889)-2, OR(AJ718="A2-Dialga", AJ718="A2-Palkia", AJ718="A2"), XLOOKUP(AH718, 'Space-Time Smackdown'!$C$2:$C889, 'Space-Time Smackdown'!$B$2:$B889)-2))</f>
        <v/>
      </c>
      <c r="AM718" s="444" t="str">
        <f t="shared" si="6"/>
        <v/>
      </c>
      <c r="AN718" s="448" t="str">
        <f t="shared" si="7"/>
        <v/>
      </c>
    </row>
    <row r="719">
      <c r="A719" s="277"/>
      <c r="B719" s="277"/>
      <c r="C719" s="441"/>
      <c r="D719" s="277"/>
      <c r="E719" s="277"/>
      <c r="F719" s="277"/>
      <c r="G719" s="277"/>
      <c r="H719" s="277" t="b">
        <f t="shared" si="1"/>
        <v>0</v>
      </c>
      <c r="I719" s="277"/>
      <c r="J719" s="277"/>
      <c r="K719" s="277"/>
      <c r="L719" s="277"/>
      <c r="M719" s="440" t="b">
        <f t="shared" si="2"/>
        <v>0</v>
      </c>
      <c r="N719" s="441"/>
      <c r="O719" s="277"/>
      <c r="P719" s="277"/>
      <c r="Q719" s="278"/>
      <c r="R719" s="449" t="str">
        <f t="array" ref="R719">IFERROR(IFS(OR(P719="A1-Mewtwo", P719="A1-Pikachu", P719="A1-Charizard", P719="A1"), XLOOKUP(N719, 'Genetic Apex'!$C$2:$C889, 'Genetic Apex'!$B$2:$B889)-$B$4, P719="A1a", XLOOKUP(N719, 'Mythical Island'!$C$2:$C889, 'Mythical Island'!$B$2:$B889)-$B$4, OR(P719="A2-Dialga", P719="A2-Palkia", P719="A2"), XLOOKUP(N719, 'Space-Time Smackdown'!$C$2:$C889, 'Space-Time Smackdown'!$B$2:$B889)-$B$4))</f>
        <v/>
      </c>
      <c r="S719" s="277"/>
      <c r="T719" s="277"/>
      <c r="U719" s="277"/>
      <c r="V719" s="278"/>
      <c r="W719" s="443" t="str">
        <f t="array" ref="W719">IFERROR(IFS(OR(U719="A1-Mewtwo", U719="A1-Pikachu", U719="A1-Charizard", U719="A1"), $B$5-XLOOKUP(S719, 'Genetic Apex'!$C$2:$C889, 'Genetic Apex'!$B$2:$B889), U719="A1a", $B$5-XLOOKUP(S719, 'Mythical Island'!$C$2:$C889, 'Mythical Island'!$B$2:$B889), OR(U719="A2-Dialga", U719="A2-Palkia", U719="A2"), $B$5-XLOOKUP(S719, 'Space-Time Smackdown'!$C$2:$C889, 'Space-Time Smackdown'!$B$2:$B889)))</f>
        <v/>
      </c>
      <c r="X719" s="444" t="str">
        <f t="shared" si="3"/>
        <v/>
      </c>
      <c r="Y719" s="445" t="str">
        <f t="shared" si="4"/>
        <v/>
      </c>
      <c r="Z719" s="278"/>
      <c r="AA719" s="466"/>
      <c r="AB719" s="278"/>
      <c r="AC719" s="278"/>
      <c r="AD719" s="278"/>
      <c r="AE719" s="278"/>
      <c r="AF719" s="278"/>
      <c r="AG719" s="278" t="b">
        <f t="shared" si="5"/>
        <v>0</v>
      </c>
      <c r="AH719" s="454"/>
      <c r="AI719" s="278"/>
      <c r="AJ719" s="278"/>
      <c r="AK719" s="278"/>
      <c r="AL719" s="444" t="str">
        <f t="array" ref="AL719">IFERROR(IFS(OR(AJ719="A1-Mewtwo", AJ719="A1-Pikachu", AJ719="A1-Charizard", AJ719="A1"), XLOOKUP(AH719, 'Genetic Apex'!$C$2:$C889, 'Genetic Apex'!$B$2:$B889)-2, AJ719="A1a", XLOOKUP(AH719, 'Mythical Island'!$C$2:$C889, 'Mythical Island'!$B$2:$B889)-2, OR(AJ719="A2-Dialga", AJ719="A2-Palkia", AJ719="A2"), XLOOKUP(AH719, 'Space-Time Smackdown'!$C$2:$C889, 'Space-Time Smackdown'!$B$2:$B889)-2))</f>
        <v/>
      </c>
      <c r="AM719" s="444" t="str">
        <f t="shared" si="6"/>
        <v/>
      </c>
      <c r="AN719" s="448" t="str">
        <f t="shared" si="7"/>
        <v/>
      </c>
    </row>
    <row r="720">
      <c r="A720" s="277"/>
      <c r="B720" s="277"/>
      <c r="C720" s="441"/>
      <c r="D720" s="277"/>
      <c r="E720" s="277"/>
      <c r="F720" s="277"/>
      <c r="G720" s="277"/>
      <c r="H720" s="277" t="b">
        <f t="shared" si="1"/>
        <v>0</v>
      </c>
      <c r="I720" s="277"/>
      <c r="J720" s="277"/>
      <c r="K720" s="277"/>
      <c r="L720" s="277"/>
      <c r="M720" s="440" t="b">
        <f t="shared" si="2"/>
        <v>0</v>
      </c>
      <c r="N720" s="441"/>
      <c r="O720" s="277"/>
      <c r="P720" s="277"/>
      <c r="Q720" s="278"/>
      <c r="R720" s="449" t="str">
        <f t="array" ref="R720">IFERROR(IFS(OR(P720="A1-Mewtwo", P720="A1-Pikachu", P720="A1-Charizard", P720="A1"), XLOOKUP(N720, 'Genetic Apex'!$C$2:$C889, 'Genetic Apex'!$B$2:$B889)-$B$4, P720="A1a", XLOOKUP(N720, 'Mythical Island'!$C$2:$C889, 'Mythical Island'!$B$2:$B889)-$B$4, OR(P720="A2-Dialga", P720="A2-Palkia", P720="A2"), XLOOKUP(N720, 'Space-Time Smackdown'!$C$2:$C889, 'Space-Time Smackdown'!$B$2:$B889)-$B$4))</f>
        <v/>
      </c>
      <c r="S720" s="277"/>
      <c r="T720" s="277"/>
      <c r="U720" s="277"/>
      <c r="V720" s="278"/>
      <c r="W720" s="443" t="str">
        <f t="array" ref="W720">IFERROR(IFS(OR(U720="A1-Mewtwo", U720="A1-Pikachu", U720="A1-Charizard", U720="A1"), $B$5-XLOOKUP(S720, 'Genetic Apex'!$C$2:$C889, 'Genetic Apex'!$B$2:$B889), U720="A1a", $B$5-XLOOKUP(S720, 'Mythical Island'!$C$2:$C889, 'Mythical Island'!$B$2:$B889), OR(U720="A2-Dialga", U720="A2-Palkia", U720="A2"), $B$5-XLOOKUP(S720, 'Space-Time Smackdown'!$C$2:$C889, 'Space-Time Smackdown'!$B$2:$B889)))</f>
        <v/>
      </c>
      <c r="X720" s="444" t="str">
        <f t="shared" si="3"/>
        <v/>
      </c>
      <c r="Y720" s="445" t="str">
        <f t="shared" si="4"/>
        <v/>
      </c>
      <c r="Z720" s="278"/>
      <c r="AA720" s="466"/>
      <c r="AB720" s="278"/>
      <c r="AC720" s="278"/>
      <c r="AD720" s="278"/>
      <c r="AE720" s="278"/>
      <c r="AF720" s="278"/>
      <c r="AG720" s="278" t="b">
        <f t="shared" si="5"/>
        <v>0</v>
      </c>
      <c r="AH720" s="454"/>
      <c r="AI720" s="278"/>
      <c r="AJ720" s="278"/>
      <c r="AK720" s="278"/>
      <c r="AL720" s="444" t="str">
        <f t="array" ref="AL720">IFERROR(IFS(OR(AJ720="A1-Mewtwo", AJ720="A1-Pikachu", AJ720="A1-Charizard", AJ720="A1"), XLOOKUP(AH720, 'Genetic Apex'!$C$2:$C889, 'Genetic Apex'!$B$2:$B889)-2, AJ720="A1a", XLOOKUP(AH720, 'Mythical Island'!$C$2:$C889, 'Mythical Island'!$B$2:$B889)-2, OR(AJ720="A2-Dialga", AJ720="A2-Palkia", AJ720="A2"), XLOOKUP(AH720, 'Space-Time Smackdown'!$C$2:$C889, 'Space-Time Smackdown'!$B$2:$B889)-2))</f>
        <v/>
      </c>
      <c r="AM720" s="444" t="str">
        <f t="shared" si="6"/>
        <v/>
      </c>
      <c r="AN720" s="448" t="str">
        <f t="shared" si="7"/>
        <v/>
      </c>
    </row>
    <row r="721">
      <c r="A721" s="277"/>
      <c r="B721" s="277"/>
      <c r="C721" s="441"/>
      <c r="D721" s="277"/>
      <c r="E721" s="277"/>
      <c r="F721" s="277"/>
      <c r="G721" s="277"/>
      <c r="H721" s="277" t="b">
        <f t="shared" si="1"/>
        <v>0</v>
      </c>
      <c r="I721" s="277"/>
      <c r="J721" s="277"/>
      <c r="K721" s="277"/>
      <c r="L721" s="277"/>
      <c r="M721" s="440" t="b">
        <f t="shared" si="2"/>
        <v>0</v>
      </c>
      <c r="N721" s="441"/>
      <c r="O721" s="277"/>
      <c r="P721" s="277"/>
      <c r="Q721" s="278"/>
      <c r="R721" s="449" t="str">
        <f t="array" ref="R721">IFERROR(IFS(OR(P721="A1-Mewtwo", P721="A1-Pikachu", P721="A1-Charizard", P721="A1"), XLOOKUP(N721, 'Genetic Apex'!$C$2:$C889, 'Genetic Apex'!$B$2:$B889)-$B$4, P721="A1a", XLOOKUP(N721, 'Mythical Island'!$C$2:$C889, 'Mythical Island'!$B$2:$B889)-$B$4, OR(P721="A2-Dialga", P721="A2-Palkia", P721="A2"), XLOOKUP(N721, 'Space-Time Smackdown'!$C$2:$C889, 'Space-Time Smackdown'!$B$2:$B889)-$B$4))</f>
        <v/>
      </c>
      <c r="S721" s="277"/>
      <c r="T721" s="277"/>
      <c r="U721" s="277"/>
      <c r="V721" s="278"/>
      <c r="W721" s="443" t="str">
        <f t="array" ref="W721">IFERROR(IFS(OR(U721="A1-Mewtwo", U721="A1-Pikachu", U721="A1-Charizard", U721="A1"), $B$5-XLOOKUP(S721, 'Genetic Apex'!$C$2:$C889, 'Genetic Apex'!$B$2:$B889), U721="A1a", $B$5-XLOOKUP(S721, 'Mythical Island'!$C$2:$C889, 'Mythical Island'!$B$2:$B889), OR(U721="A2-Dialga", U721="A2-Palkia", U721="A2"), $B$5-XLOOKUP(S721, 'Space-Time Smackdown'!$C$2:$C889, 'Space-Time Smackdown'!$B$2:$B889)))</f>
        <v/>
      </c>
      <c r="X721" s="444" t="str">
        <f t="shared" si="3"/>
        <v/>
      </c>
      <c r="Y721" s="445" t="str">
        <f t="shared" si="4"/>
        <v/>
      </c>
      <c r="Z721" s="278"/>
      <c r="AA721" s="466"/>
      <c r="AB721" s="278"/>
      <c r="AC721" s="278"/>
      <c r="AD721" s="278"/>
      <c r="AE721" s="278"/>
      <c r="AF721" s="278"/>
      <c r="AG721" s="278" t="b">
        <f t="shared" si="5"/>
        <v>0</v>
      </c>
      <c r="AH721" s="454"/>
      <c r="AI721" s="278"/>
      <c r="AJ721" s="278"/>
      <c r="AK721" s="278"/>
      <c r="AL721" s="444" t="str">
        <f t="array" ref="AL721">IFERROR(IFS(OR(AJ721="A1-Mewtwo", AJ721="A1-Pikachu", AJ721="A1-Charizard", AJ721="A1"), XLOOKUP(AH721, 'Genetic Apex'!$C$2:$C889, 'Genetic Apex'!$B$2:$B889)-2, AJ721="A1a", XLOOKUP(AH721, 'Mythical Island'!$C$2:$C889, 'Mythical Island'!$B$2:$B889)-2, OR(AJ721="A2-Dialga", AJ721="A2-Palkia", AJ721="A2"), XLOOKUP(AH721, 'Space-Time Smackdown'!$C$2:$C889, 'Space-Time Smackdown'!$B$2:$B889)-2))</f>
        <v/>
      </c>
      <c r="AM721" s="444" t="str">
        <f t="shared" si="6"/>
        <v/>
      </c>
      <c r="AN721" s="448" t="str">
        <f t="shared" si="7"/>
        <v/>
      </c>
    </row>
    <row r="722">
      <c r="A722" s="277"/>
      <c r="B722" s="277"/>
      <c r="C722" s="441"/>
      <c r="D722" s="277"/>
      <c r="E722" s="277"/>
      <c r="F722" s="277"/>
      <c r="G722" s="277"/>
      <c r="H722" s="277" t="b">
        <f t="shared" si="1"/>
        <v>0</v>
      </c>
      <c r="I722" s="277"/>
      <c r="J722" s="277"/>
      <c r="K722" s="277"/>
      <c r="L722" s="277"/>
      <c r="M722" s="440" t="b">
        <f t="shared" si="2"/>
        <v>0</v>
      </c>
      <c r="N722" s="441"/>
      <c r="O722" s="277"/>
      <c r="P722" s="277"/>
      <c r="Q722" s="278"/>
      <c r="R722" s="449" t="str">
        <f t="array" ref="R722">IFERROR(IFS(OR(P722="A1-Mewtwo", P722="A1-Pikachu", P722="A1-Charizard", P722="A1"), XLOOKUP(N722, 'Genetic Apex'!$C$2:$C889, 'Genetic Apex'!$B$2:$B889)-$B$4, P722="A1a", XLOOKUP(N722, 'Mythical Island'!$C$2:$C889, 'Mythical Island'!$B$2:$B889)-$B$4, OR(P722="A2-Dialga", P722="A2-Palkia", P722="A2"), XLOOKUP(N722, 'Space-Time Smackdown'!$C$2:$C889, 'Space-Time Smackdown'!$B$2:$B889)-$B$4))</f>
        <v/>
      </c>
      <c r="S722" s="277"/>
      <c r="T722" s="277"/>
      <c r="U722" s="277"/>
      <c r="V722" s="278"/>
      <c r="W722" s="443" t="str">
        <f t="array" ref="W722">IFERROR(IFS(OR(U722="A1-Mewtwo", U722="A1-Pikachu", U722="A1-Charizard", U722="A1"), $B$5-XLOOKUP(S722, 'Genetic Apex'!$C$2:$C889, 'Genetic Apex'!$B$2:$B889), U722="A1a", $B$5-XLOOKUP(S722, 'Mythical Island'!$C$2:$C889, 'Mythical Island'!$B$2:$B889), OR(U722="A2-Dialga", U722="A2-Palkia", U722="A2"), $B$5-XLOOKUP(S722, 'Space-Time Smackdown'!$C$2:$C889, 'Space-Time Smackdown'!$B$2:$B889)))</f>
        <v/>
      </c>
      <c r="X722" s="444" t="str">
        <f t="shared" si="3"/>
        <v/>
      </c>
      <c r="Y722" s="445" t="str">
        <f t="shared" si="4"/>
        <v/>
      </c>
      <c r="Z722" s="278"/>
      <c r="AA722" s="466"/>
      <c r="AB722" s="278"/>
      <c r="AC722" s="278"/>
      <c r="AD722" s="278"/>
      <c r="AE722" s="278"/>
      <c r="AF722" s="278"/>
      <c r="AG722" s="278" t="b">
        <f t="shared" si="5"/>
        <v>0</v>
      </c>
      <c r="AH722" s="454"/>
      <c r="AI722" s="278"/>
      <c r="AJ722" s="278"/>
      <c r="AK722" s="278"/>
      <c r="AL722" s="444" t="str">
        <f t="array" ref="AL722">IFERROR(IFS(OR(AJ722="A1-Mewtwo", AJ722="A1-Pikachu", AJ722="A1-Charizard", AJ722="A1"), XLOOKUP(AH722, 'Genetic Apex'!$C$2:$C889, 'Genetic Apex'!$B$2:$B889)-2, AJ722="A1a", XLOOKUP(AH722, 'Mythical Island'!$C$2:$C889, 'Mythical Island'!$B$2:$B889)-2, OR(AJ722="A2-Dialga", AJ722="A2-Palkia", AJ722="A2"), XLOOKUP(AH722, 'Space-Time Smackdown'!$C$2:$C889, 'Space-Time Smackdown'!$B$2:$B889)-2))</f>
        <v/>
      </c>
      <c r="AM722" s="444" t="str">
        <f t="shared" si="6"/>
        <v/>
      </c>
      <c r="AN722" s="448" t="str">
        <f t="shared" si="7"/>
        <v/>
      </c>
    </row>
    <row r="723">
      <c r="A723" s="277"/>
      <c r="B723" s="277"/>
      <c r="C723" s="441"/>
      <c r="D723" s="277"/>
      <c r="E723" s="277"/>
      <c r="F723" s="277"/>
      <c r="G723" s="277"/>
      <c r="H723" s="277" t="b">
        <f t="shared" si="1"/>
        <v>0</v>
      </c>
      <c r="I723" s="277"/>
      <c r="J723" s="277"/>
      <c r="K723" s="277"/>
      <c r="L723" s="277"/>
      <c r="M723" s="440" t="b">
        <f t="shared" si="2"/>
        <v>0</v>
      </c>
      <c r="N723" s="441"/>
      <c r="O723" s="277"/>
      <c r="P723" s="277"/>
      <c r="Q723" s="278"/>
      <c r="R723" s="449" t="str">
        <f t="array" ref="R723">IFERROR(IFS(OR(P723="A1-Mewtwo", P723="A1-Pikachu", P723="A1-Charizard", P723="A1"), XLOOKUP(N723, 'Genetic Apex'!$C$2:$C889, 'Genetic Apex'!$B$2:$B889)-$B$4, P723="A1a", XLOOKUP(N723, 'Mythical Island'!$C$2:$C889, 'Mythical Island'!$B$2:$B889)-$B$4, OR(P723="A2-Dialga", P723="A2-Palkia", P723="A2"), XLOOKUP(N723, 'Space-Time Smackdown'!$C$2:$C889, 'Space-Time Smackdown'!$B$2:$B889)-$B$4))</f>
        <v/>
      </c>
      <c r="S723" s="277"/>
      <c r="T723" s="277"/>
      <c r="U723" s="277"/>
      <c r="V723" s="278"/>
      <c r="W723" s="443" t="str">
        <f t="array" ref="W723">IFERROR(IFS(OR(U723="A1-Mewtwo", U723="A1-Pikachu", U723="A1-Charizard", U723="A1"), $B$5-XLOOKUP(S723, 'Genetic Apex'!$C$2:$C889, 'Genetic Apex'!$B$2:$B889), U723="A1a", $B$5-XLOOKUP(S723, 'Mythical Island'!$C$2:$C889, 'Mythical Island'!$B$2:$B889), OR(U723="A2-Dialga", U723="A2-Palkia", U723="A2"), $B$5-XLOOKUP(S723, 'Space-Time Smackdown'!$C$2:$C889, 'Space-Time Smackdown'!$B$2:$B889)))</f>
        <v/>
      </c>
      <c r="X723" s="444" t="str">
        <f t="shared" si="3"/>
        <v/>
      </c>
      <c r="Y723" s="445" t="str">
        <f t="shared" si="4"/>
        <v/>
      </c>
      <c r="Z723" s="278"/>
      <c r="AA723" s="466"/>
      <c r="AB723" s="278"/>
      <c r="AC723" s="278"/>
      <c r="AD723" s="278"/>
      <c r="AE723" s="278"/>
      <c r="AF723" s="278"/>
      <c r="AG723" s="278" t="b">
        <f t="shared" si="5"/>
        <v>0</v>
      </c>
      <c r="AH723" s="454"/>
      <c r="AI723" s="278"/>
      <c r="AJ723" s="278"/>
      <c r="AK723" s="278"/>
      <c r="AL723" s="444" t="str">
        <f t="array" ref="AL723">IFERROR(IFS(OR(AJ723="A1-Mewtwo", AJ723="A1-Pikachu", AJ723="A1-Charizard", AJ723="A1"), XLOOKUP(AH723, 'Genetic Apex'!$C$2:$C889, 'Genetic Apex'!$B$2:$B889)-2, AJ723="A1a", XLOOKUP(AH723, 'Mythical Island'!$C$2:$C889, 'Mythical Island'!$B$2:$B889)-2, OR(AJ723="A2-Dialga", AJ723="A2-Palkia", AJ723="A2"), XLOOKUP(AH723, 'Space-Time Smackdown'!$C$2:$C889, 'Space-Time Smackdown'!$B$2:$B889)-2))</f>
        <v/>
      </c>
      <c r="AM723" s="444" t="str">
        <f t="shared" si="6"/>
        <v/>
      </c>
      <c r="AN723" s="448" t="str">
        <f t="shared" si="7"/>
        <v/>
      </c>
    </row>
    <row r="724">
      <c r="A724" s="277"/>
      <c r="B724" s="277"/>
      <c r="C724" s="441"/>
      <c r="D724" s="277"/>
      <c r="E724" s="277"/>
      <c r="F724" s="277"/>
      <c r="G724" s="277"/>
      <c r="H724" s="277" t="b">
        <f t="shared" si="1"/>
        <v>0</v>
      </c>
      <c r="I724" s="277"/>
      <c r="J724" s="277"/>
      <c r="K724" s="277"/>
      <c r="L724" s="277"/>
      <c r="M724" s="440" t="b">
        <f t="shared" si="2"/>
        <v>0</v>
      </c>
      <c r="N724" s="441"/>
      <c r="O724" s="277"/>
      <c r="P724" s="277"/>
      <c r="Q724" s="278"/>
      <c r="R724" s="449" t="str">
        <f t="array" ref="R724">IFERROR(IFS(OR(P724="A1-Mewtwo", P724="A1-Pikachu", P724="A1-Charizard", P724="A1"), XLOOKUP(N724, 'Genetic Apex'!$C$2:$C889, 'Genetic Apex'!$B$2:$B889)-$B$4, P724="A1a", XLOOKUP(N724, 'Mythical Island'!$C$2:$C889, 'Mythical Island'!$B$2:$B889)-$B$4, OR(P724="A2-Dialga", P724="A2-Palkia", P724="A2"), XLOOKUP(N724, 'Space-Time Smackdown'!$C$2:$C889, 'Space-Time Smackdown'!$B$2:$B889)-$B$4))</f>
        <v/>
      </c>
      <c r="S724" s="277"/>
      <c r="T724" s="277"/>
      <c r="U724" s="277"/>
      <c r="V724" s="278"/>
      <c r="W724" s="443" t="str">
        <f t="array" ref="W724">IFERROR(IFS(OR(U724="A1-Mewtwo", U724="A1-Pikachu", U724="A1-Charizard", U724="A1"), $B$5-XLOOKUP(S724, 'Genetic Apex'!$C$2:$C889, 'Genetic Apex'!$B$2:$B889), U724="A1a", $B$5-XLOOKUP(S724, 'Mythical Island'!$C$2:$C889, 'Mythical Island'!$B$2:$B889), OR(U724="A2-Dialga", U724="A2-Palkia", U724="A2"), $B$5-XLOOKUP(S724, 'Space-Time Smackdown'!$C$2:$C889, 'Space-Time Smackdown'!$B$2:$B889)))</f>
        <v/>
      </c>
      <c r="X724" s="444" t="str">
        <f t="shared" si="3"/>
        <v/>
      </c>
      <c r="Y724" s="445" t="str">
        <f t="shared" si="4"/>
        <v/>
      </c>
      <c r="Z724" s="278"/>
      <c r="AA724" s="466"/>
      <c r="AB724" s="278"/>
      <c r="AC724" s="278"/>
      <c r="AD724" s="278"/>
      <c r="AE724" s="278"/>
      <c r="AF724" s="278"/>
      <c r="AG724" s="278" t="b">
        <f t="shared" si="5"/>
        <v>0</v>
      </c>
      <c r="AH724" s="454"/>
      <c r="AI724" s="278"/>
      <c r="AJ724" s="278"/>
      <c r="AK724" s="278"/>
      <c r="AL724" s="444" t="str">
        <f t="array" ref="AL724">IFERROR(IFS(OR(AJ724="A1-Mewtwo", AJ724="A1-Pikachu", AJ724="A1-Charizard", AJ724="A1"), XLOOKUP(AH724, 'Genetic Apex'!$C$2:$C889, 'Genetic Apex'!$B$2:$B889)-2, AJ724="A1a", XLOOKUP(AH724, 'Mythical Island'!$C$2:$C889, 'Mythical Island'!$B$2:$B889)-2, OR(AJ724="A2-Dialga", AJ724="A2-Palkia", AJ724="A2"), XLOOKUP(AH724, 'Space-Time Smackdown'!$C$2:$C889, 'Space-Time Smackdown'!$B$2:$B889)-2))</f>
        <v/>
      </c>
      <c r="AM724" s="444" t="str">
        <f t="shared" si="6"/>
        <v/>
      </c>
      <c r="AN724" s="448" t="str">
        <f t="shared" si="7"/>
        <v/>
      </c>
    </row>
    <row r="725">
      <c r="A725" s="277"/>
      <c r="B725" s="277"/>
      <c r="C725" s="441"/>
      <c r="D725" s="277"/>
      <c r="E725" s="277"/>
      <c r="F725" s="277"/>
      <c r="G725" s="277"/>
      <c r="H725" s="277" t="b">
        <f t="shared" si="1"/>
        <v>0</v>
      </c>
      <c r="I725" s="277"/>
      <c r="J725" s="277"/>
      <c r="K725" s="277"/>
      <c r="L725" s="277"/>
      <c r="M725" s="440" t="b">
        <f t="shared" si="2"/>
        <v>0</v>
      </c>
      <c r="N725" s="441"/>
      <c r="O725" s="277"/>
      <c r="P725" s="277"/>
      <c r="Q725" s="278"/>
      <c r="R725" s="449" t="str">
        <f t="array" ref="R725">IFERROR(IFS(OR(P725="A1-Mewtwo", P725="A1-Pikachu", P725="A1-Charizard", P725="A1"), XLOOKUP(N725, 'Genetic Apex'!$C$2:$C889, 'Genetic Apex'!$B$2:$B889)-$B$4, P725="A1a", XLOOKUP(N725, 'Mythical Island'!$C$2:$C889, 'Mythical Island'!$B$2:$B889)-$B$4, OR(P725="A2-Dialga", P725="A2-Palkia", P725="A2"), XLOOKUP(N725, 'Space-Time Smackdown'!$C$2:$C889, 'Space-Time Smackdown'!$B$2:$B889)-$B$4))</f>
        <v/>
      </c>
      <c r="S725" s="277"/>
      <c r="T725" s="277"/>
      <c r="U725" s="277"/>
      <c r="V725" s="278"/>
      <c r="W725" s="443" t="str">
        <f t="array" ref="W725">IFERROR(IFS(OR(U725="A1-Mewtwo", U725="A1-Pikachu", U725="A1-Charizard", U725="A1"), $B$5-XLOOKUP(S725, 'Genetic Apex'!$C$2:$C889, 'Genetic Apex'!$B$2:$B889), U725="A1a", $B$5-XLOOKUP(S725, 'Mythical Island'!$C$2:$C889, 'Mythical Island'!$B$2:$B889), OR(U725="A2-Dialga", U725="A2-Palkia", U725="A2"), $B$5-XLOOKUP(S725, 'Space-Time Smackdown'!$C$2:$C889, 'Space-Time Smackdown'!$B$2:$B889)))</f>
        <v/>
      </c>
      <c r="X725" s="444" t="str">
        <f t="shared" si="3"/>
        <v/>
      </c>
      <c r="Y725" s="445" t="str">
        <f t="shared" si="4"/>
        <v/>
      </c>
      <c r="Z725" s="278"/>
      <c r="AA725" s="466"/>
      <c r="AB725" s="278"/>
      <c r="AC725" s="278"/>
      <c r="AD725" s="278"/>
      <c r="AE725" s="278"/>
      <c r="AF725" s="278"/>
      <c r="AG725" s="278" t="b">
        <f t="shared" si="5"/>
        <v>0</v>
      </c>
      <c r="AH725" s="454"/>
      <c r="AI725" s="278"/>
      <c r="AJ725" s="278"/>
      <c r="AK725" s="278"/>
      <c r="AL725" s="444" t="str">
        <f t="array" ref="AL725">IFERROR(IFS(OR(AJ725="A1-Mewtwo", AJ725="A1-Pikachu", AJ725="A1-Charizard", AJ725="A1"), XLOOKUP(AH725, 'Genetic Apex'!$C$2:$C889, 'Genetic Apex'!$B$2:$B889)-2, AJ725="A1a", XLOOKUP(AH725, 'Mythical Island'!$C$2:$C889, 'Mythical Island'!$B$2:$B889)-2, OR(AJ725="A2-Dialga", AJ725="A2-Palkia", AJ725="A2"), XLOOKUP(AH725, 'Space-Time Smackdown'!$C$2:$C889, 'Space-Time Smackdown'!$B$2:$B889)-2))</f>
        <v/>
      </c>
      <c r="AM725" s="444" t="str">
        <f t="shared" si="6"/>
        <v/>
      </c>
      <c r="AN725" s="448" t="str">
        <f t="shared" si="7"/>
        <v/>
      </c>
    </row>
    <row r="726">
      <c r="A726" s="277"/>
      <c r="B726" s="277"/>
      <c r="C726" s="441"/>
      <c r="D726" s="277"/>
      <c r="E726" s="277"/>
      <c r="F726" s="277"/>
      <c r="G726" s="277"/>
      <c r="H726" s="277" t="b">
        <f t="shared" si="1"/>
        <v>0</v>
      </c>
      <c r="I726" s="277"/>
      <c r="J726" s="277"/>
      <c r="K726" s="277"/>
      <c r="L726" s="277"/>
      <c r="M726" s="440" t="b">
        <f t="shared" si="2"/>
        <v>0</v>
      </c>
      <c r="N726" s="441"/>
      <c r="O726" s="277"/>
      <c r="P726" s="277"/>
      <c r="Q726" s="278"/>
      <c r="R726" s="449" t="str">
        <f t="array" ref="R726">IFERROR(IFS(OR(P726="A1-Mewtwo", P726="A1-Pikachu", P726="A1-Charizard", P726="A1"), XLOOKUP(N726, 'Genetic Apex'!$C$2:$C889, 'Genetic Apex'!$B$2:$B889)-$B$4, P726="A1a", XLOOKUP(N726, 'Mythical Island'!$C$2:$C889, 'Mythical Island'!$B$2:$B889)-$B$4, OR(P726="A2-Dialga", P726="A2-Palkia", P726="A2"), XLOOKUP(N726, 'Space-Time Smackdown'!$C$2:$C889, 'Space-Time Smackdown'!$B$2:$B889)-$B$4))</f>
        <v/>
      </c>
      <c r="S726" s="277"/>
      <c r="T726" s="277"/>
      <c r="U726" s="277"/>
      <c r="V726" s="278"/>
      <c r="W726" s="443" t="str">
        <f t="array" ref="W726">IFERROR(IFS(OR(U726="A1-Mewtwo", U726="A1-Pikachu", U726="A1-Charizard", U726="A1"), $B$5-XLOOKUP(S726, 'Genetic Apex'!$C$2:$C889, 'Genetic Apex'!$B$2:$B889), U726="A1a", $B$5-XLOOKUP(S726, 'Mythical Island'!$C$2:$C889, 'Mythical Island'!$B$2:$B889), OR(U726="A2-Dialga", U726="A2-Palkia", U726="A2"), $B$5-XLOOKUP(S726, 'Space-Time Smackdown'!$C$2:$C889, 'Space-Time Smackdown'!$B$2:$B889)))</f>
        <v/>
      </c>
      <c r="X726" s="444" t="str">
        <f t="shared" si="3"/>
        <v/>
      </c>
      <c r="Y726" s="445" t="str">
        <f t="shared" si="4"/>
        <v/>
      </c>
      <c r="Z726" s="278"/>
      <c r="AA726" s="466"/>
      <c r="AB726" s="278"/>
      <c r="AC726" s="278"/>
      <c r="AD726" s="278"/>
      <c r="AE726" s="278"/>
      <c r="AF726" s="278"/>
      <c r="AG726" s="278" t="b">
        <f t="shared" si="5"/>
        <v>0</v>
      </c>
      <c r="AH726" s="454"/>
      <c r="AI726" s="278"/>
      <c r="AJ726" s="278"/>
      <c r="AK726" s="278"/>
      <c r="AL726" s="444" t="str">
        <f t="array" ref="AL726">IFERROR(IFS(OR(AJ726="A1-Mewtwo", AJ726="A1-Pikachu", AJ726="A1-Charizard", AJ726="A1"), XLOOKUP(AH726, 'Genetic Apex'!$C$2:$C889, 'Genetic Apex'!$B$2:$B889)-2, AJ726="A1a", XLOOKUP(AH726, 'Mythical Island'!$C$2:$C889, 'Mythical Island'!$B$2:$B889)-2, OR(AJ726="A2-Dialga", AJ726="A2-Palkia", AJ726="A2"), XLOOKUP(AH726, 'Space-Time Smackdown'!$C$2:$C889, 'Space-Time Smackdown'!$B$2:$B889)-2))</f>
        <v/>
      </c>
      <c r="AM726" s="444" t="str">
        <f t="shared" si="6"/>
        <v/>
      </c>
      <c r="AN726" s="448" t="str">
        <f t="shared" si="7"/>
        <v/>
      </c>
    </row>
    <row r="727">
      <c r="A727" s="277"/>
      <c r="B727" s="277"/>
      <c r="C727" s="441"/>
      <c r="D727" s="277"/>
      <c r="E727" s="277"/>
      <c r="F727" s="277"/>
      <c r="G727" s="277"/>
      <c r="H727" s="277" t="b">
        <f t="shared" si="1"/>
        <v>0</v>
      </c>
      <c r="I727" s="277"/>
      <c r="J727" s="277"/>
      <c r="K727" s="277"/>
      <c r="L727" s="277"/>
      <c r="M727" s="440" t="b">
        <f t="shared" si="2"/>
        <v>0</v>
      </c>
      <c r="N727" s="441"/>
      <c r="O727" s="277"/>
      <c r="P727" s="277"/>
      <c r="Q727" s="278"/>
      <c r="R727" s="449" t="str">
        <f t="array" ref="R727">IFERROR(IFS(OR(P727="A1-Mewtwo", P727="A1-Pikachu", P727="A1-Charizard", P727="A1"), XLOOKUP(N727, 'Genetic Apex'!$C$2:$C889, 'Genetic Apex'!$B$2:$B889)-$B$4, P727="A1a", XLOOKUP(N727, 'Mythical Island'!$C$2:$C889, 'Mythical Island'!$B$2:$B889)-$B$4, OR(P727="A2-Dialga", P727="A2-Palkia", P727="A2"), XLOOKUP(N727, 'Space-Time Smackdown'!$C$2:$C889, 'Space-Time Smackdown'!$B$2:$B889)-$B$4))</f>
        <v/>
      </c>
      <c r="S727" s="277"/>
      <c r="T727" s="277"/>
      <c r="U727" s="277"/>
      <c r="V727" s="278"/>
      <c r="W727" s="443" t="str">
        <f t="array" ref="W727">IFERROR(IFS(OR(U727="A1-Mewtwo", U727="A1-Pikachu", U727="A1-Charizard", U727="A1"), $B$5-XLOOKUP(S727, 'Genetic Apex'!$C$2:$C889, 'Genetic Apex'!$B$2:$B889), U727="A1a", $B$5-XLOOKUP(S727, 'Mythical Island'!$C$2:$C889, 'Mythical Island'!$B$2:$B889), OR(U727="A2-Dialga", U727="A2-Palkia", U727="A2"), $B$5-XLOOKUP(S727, 'Space-Time Smackdown'!$C$2:$C889, 'Space-Time Smackdown'!$B$2:$B889)))</f>
        <v/>
      </c>
      <c r="X727" s="444" t="str">
        <f t="shared" si="3"/>
        <v/>
      </c>
      <c r="Y727" s="445" t="str">
        <f t="shared" si="4"/>
        <v/>
      </c>
      <c r="Z727" s="278"/>
      <c r="AA727" s="466"/>
      <c r="AB727" s="278"/>
      <c r="AC727" s="278"/>
      <c r="AD727" s="278"/>
      <c r="AE727" s="278"/>
      <c r="AF727" s="278"/>
      <c r="AG727" s="278" t="b">
        <f t="shared" si="5"/>
        <v>0</v>
      </c>
      <c r="AH727" s="454"/>
      <c r="AI727" s="278"/>
      <c r="AJ727" s="278"/>
      <c r="AK727" s="278"/>
      <c r="AL727" s="444" t="str">
        <f t="array" ref="AL727">IFERROR(IFS(OR(AJ727="A1-Mewtwo", AJ727="A1-Pikachu", AJ727="A1-Charizard", AJ727="A1"), XLOOKUP(AH727, 'Genetic Apex'!$C$2:$C889, 'Genetic Apex'!$B$2:$B889)-2, AJ727="A1a", XLOOKUP(AH727, 'Mythical Island'!$C$2:$C889, 'Mythical Island'!$B$2:$B889)-2, OR(AJ727="A2-Dialga", AJ727="A2-Palkia", AJ727="A2"), XLOOKUP(AH727, 'Space-Time Smackdown'!$C$2:$C889, 'Space-Time Smackdown'!$B$2:$B889)-2))</f>
        <v/>
      </c>
      <c r="AM727" s="444" t="str">
        <f t="shared" si="6"/>
        <v/>
      </c>
      <c r="AN727" s="448" t="str">
        <f t="shared" si="7"/>
        <v/>
      </c>
    </row>
    <row r="728">
      <c r="A728" s="277"/>
      <c r="B728" s="277"/>
      <c r="C728" s="441"/>
      <c r="D728" s="277"/>
      <c r="E728" s="277"/>
      <c r="F728" s="277"/>
      <c r="G728" s="277"/>
      <c r="H728" s="277" t="b">
        <f t="shared" si="1"/>
        <v>0</v>
      </c>
      <c r="I728" s="277"/>
      <c r="J728" s="277"/>
      <c r="K728" s="277"/>
      <c r="L728" s="277"/>
      <c r="M728" s="440" t="b">
        <f t="shared" si="2"/>
        <v>0</v>
      </c>
      <c r="N728" s="441"/>
      <c r="O728" s="277"/>
      <c r="P728" s="277"/>
      <c r="Q728" s="278"/>
      <c r="R728" s="449" t="str">
        <f t="array" ref="R728">IFERROR(IFS(OR(P728="A1-Mewtwo", P728="A1-Pikachu", P728="A1-Charizard", P728="A1"), XLOOKUP(N728, 'Genetic Apex'!$C$2:$C889, 'Genetic Apex'!$B$2:$B889)-$B$4, P728="A1a", XLOOKUP(N728, 'Mythical Island'!$C$2:$C889, 'Mythical Island'!$B$2:$B889)-$B$4, OR(P728="A2-Dialga", P728="A2-Palkia", P728="A2"), XLOOKUP(N728, 'Space-Time Smackdown'!$C$2:$C889, 'Space-Time Smackdown'!$B$2:$B889)-$B$4))</f>
        <v/>
      </c>
      <c r="S728" s="277"/>
      <c r="T728" s="277"/>
      <c r="U728" s="277"/>
      <c r="V728" s="278"/>
      <c r="W728" s="443" t="str">
        <f t="array" ref="W728">IFERROR(IFS(OR(U728="A1-Mewtwo", U728="A1-Pikachu", U728="A1-Charizard", U728="A1"), $B$5-XLOOKUP(S728, 'Genetic Apex'!$C$2:$C889, 'Genetic Apex'!$B$2:$B889), U728="A1a", $B$5-XLOOKUP(S728, 'Mythical Island'!$C$2:$C889, 'Mythical Island'!$B$2:$B889), OR(U728="A2-Dialga", U728="A2-Palkia", U728="A2"), $B$5-XLOOKUP(S728, 'Space-Time Smackdown'!$C$2:$C889, 'Space-Time Smackdown'!$B$2:$B889)))</f>
        <v/>
      </c>
      <c r="X728" s="444" t="str">
        <f t="shared" si="3"/>
        <v/>
      </c>
      <c r="Y728" s="445" t="str">
        <f t="shared" si="4"/>
        <v/>
      </c>
      <c r="Z728" s="278"/>
      <c r="AA728" s="466"/>
      <c r="AB728" s="278"/>
      <c r="AC728" s="278"/>
      <c r="AD728" s="278"/>
      <c r="AE728" s="278"/>
      <c r="AF728" s="278"/>
      <c r="AG728" s="278" t="b">
        <f t="shared" si="5"/>
        <v>0</v>
      </c>
      <c r="AH728" s="454"/>
      <c r="AI728" s="278"/>
      <c r="AJ728" s="278"/>
      <c r="AK728" s="278"/>
      <c r="AL728" s="444" t="str">
        <f t="array" ref="AL728">IFERROR(IFS(OR(AJ728="A1-Mewtwo", AJ728="A1-Pikachu", AJ728="A1-Charizard", AJ728="A1"), XLOOKUP(AH728, 'Genetic Apex'!$C$2:$C889, 'Genetic Apex'!$B$2:$B889)-2, AJ728="A1a", XLOOKUP(AH728, 'Mythical Island'!$C$2:$C889, 'Mythical Island'!$B$2:$B889)-2, OR(AJ728="A2-Dialga", AJ728="A2-Palkia", AJ728="A2"), XLOOKUP(AH728, 'Space-Time Smackdown'!$C$2:$C889, 'Space-Time Smackdown'!$B$2:$B889)-2))</f>
        <v/>
      </c>
      <c r="AM728" s="444" t="str">
        <f t="shared" si="6"/>
        <v/>
      </c>
      <c r="AN728" s="448" t="str">
        <f t="shared" si="7"/>
        <v/>
      </c>
    </row>
    <row r="729">
      <c r="A729" s="277"/>
      <c r="B729" s="277"/>
      <c r="C729" s="441"/>
      <c r="D729" s="277"/>
      <c r="E729" s="277"/>
      <c r="F729" s="277"/>
      <c r="G729" s="277"/>
      <c r="H729" s="277" t="b">
        <f t="shared" si="1"/>
        <v>0</v>
      </c>
      <c r="I729" s="277"/>
      <c r="J729" s="277"/>
      <c r="K729" s="277"/>
      <c r="L729" s="277"/>
      <c r="M729" s="440" t="b">
        <f t="shared" si="2"/>
        <v>0</v>
      </c>
      <c r="N729" s="441"/>
      <c r="O729" s="277"/>
      <c r="P729" s="277"/>
      <c r="Q729" s="278"/>
      <c r="R729" s="449" t="str">
        <f t="array" ref="R729">IFERROR(IFS(OR(P729="A1-Mewtwo", P729="A1-Pikachu", P729="A1-Charizard", P729="A1"), XLOOKUP(N729, 'Genetic Apex'!$C$2:$C889, 'Genetic Apex'!$B$2:$B889)-$B$4, P729="A1a", XLOOKUP(N729, 'Mythical Island'!$C$2:$C889, 'Mythical Island'!$B$2:$B889)-$B$4, OR(P729="A2-Dialga", P729="A2-Palkia", P729="A2"), XLOOKUP(N729, 'Space-Time Smackdown'!$C$2:$C889, 'Space-Time Smackdown'!$B$2:$B889)-$B$4))</f>
        <v/>
      </c>
      <c r="S729" s="277"/>
      <c r="T729" s="277"/>
      <c r="U729" s="277"/>
      <c r="V729" s="278"/>
      <c r="W729" s="443" t="str">
        <f t="array" ref="W729">IFERROR(IFS(OR(U729="A1-Mewtwo", U729="A1-Pikachu", U729="A1-Charizard", U729="A1"), $B$5-XLOOKUP(S729, 'Genetic Apex'!$C$2:$C889, 'Genetic Apex'!$B$2:$B889), U729="A1a", $B$5-XLOOKUP(S729, 'Mythical Island'!$C$2:$C889, 'Mythical Island'!$B$2:$B889), OR(U729="A2-Dialga", U729="A2-Palkia", U729="A2"), $B$5-XLOOKUP(S729, 'Space-Time Smackdown'!$C$2:$C889, 'Space-Time Smackdown'!$B$2:$B889)))</f>
        <v/>
      </c>
      <c r="X729" s="444" t="str">
        <f t="shared" si="3"/>
        <v/>
      </c>
      <c r="Y729" s="445" t="str">
        <f t="shared" si="4"/>
        <v/>
      </c>
      <c r="Z729" s="278"/>
      <c r="AA729" s="466"/>
      <c r="AB729" s="278"/>
      <c r="AC729" s="278"/>
      <c r="AD729" s="278"/>
      <c r="AE729" s="278"/>
      <c r="AF729" s="278"/>
      <c r="AG729" s="278" t="b">
        <f t="shared" si="5"/>
        <v>0</v>
      </c>
      <c r="AH729" s="454"/>
      <c r="AI729" s="278"/>
      <c r="AJ729" s="278"/>
      <c r="AK729" s="278"/>
      <c r="AL729" s="444" t="str">
        <f t="array" ref="AL729">IFERROR(IFS(OR(AJ729="A1-Mewtwo", AJ729="A1-Pikachu", AJ729="A1-Charizard", AJ729="A1"), XLOOKUP(AH729, 'Genetic Apex'!$C$2:$C889, 'Genetic Apex'!$B$2:$B889)-2, AJ729="A1a", XLOOKUP(AH729, 'Mythical Island'!$C$2:$C889, 'Mythical Island'!$B$2:$B889)-2, OR(AJ729="A2-Dialga", AJ729="A2-Palkia", AJ729="A2"), XLOOKUP(AH729, 'Space-Time Smackdown'!$C$2:$C889, 'Space-Time Smackdown'!$B$2:$B889)-2))</f>
        <v/>
      </c>
      <c r="AM729" s="444" t="str">
        <f t="shared" si="6"/>
        <v/>
      </c>
      <c r="AN729" s="448" t="str">
        <f t="shared" si="7"/>
        <v/>
      </c>
    </row>
    <row r="730">
      <c r="A730" s="277"/>
      <c r="B730" s="277"/>
      <c r="C730" s="441"/>
      <c r="D730" s="277"/>
      <c r="E730" s="277"/>
      <c r="F730" s="277"/>
      <c r="G730" s="277"/>
      <c r="H730" s="277" t="b">
        <f t="shared" si="1"/>
        <v>0</v>
      </c>
      <c r="I730" s="277"/>
      <c r="J730" s="277"/>
      <c r="K730" s="277"/>
      <c r="L730" s="277"/>
      <c r="M730" s="440" t="b">
        <f t="shared" si="2"/>
        <v>0</v>
      </c>
      <c r="N730" s="441"/>
      <c r="O730" s="277"/>
      <c r="P730" s="277"/>
      <c r="Q730" s="278"/>
      <c r="R730" s="449" t="str">
        <f t="array" ref="R730">IFERROR(IFS(OR(P730="A1-Mewtwo", P730="A1-Pikachu", P730="A1-Charizard", P730="A1"), XLOOKUP(N730, 'Genetic Apex'!$C$2:$C889, 'Genetic Apex'!$B$2:$B889)-$B$4, P730="A1a", XLOOKUP(N730, 'Mythical Island'!$C$2:$C889, 'Mythical Island'!$B$2:$B889)-$B$4, OR(P730="A2-Dialga", P730="A2-Palkia", P730="A2"), XLOOKUP(N730, 'Space-Time Smackdown'!$C$2:$C889, 'Space-Time Smackdown'!$B$2:$B889)-$B$4))</f>
        <v/>
      </c>
      <c r="S730" s="277"/>
      <c r="T730" s="277"/>
      <c r="U730" s="277"/>
      <c r="V730" s="278"/>
      <c r="W730" s="443" t="str">
        <f t="array" ref="W730">IFERROR(IFS(OR(U730="A1-Mewtwo", U730="A1-Pikachu", U730="A1-Charizard", U730="A1"), $B$5-XLOOKUP(S730, 'Genetic Apex'!$C$2:$C889, 'Genetic Apex'!$B$2:$B889), U730="A1a", $B$5-XLOOKUP(S730, 'Mythical Island'!$C$2:$C889, 'Mythical Island'!$B$2:$B889), OR(U730="A2-Dialga", U730="A2-Palkia", U730="A2"), $B$5-XLOOKUP(S730, 'Space-Time Smackdown'!$C$2:$C889, 'Space-Time Smackdown'!$B$2:$B889)))</f>
        <v/>
      </c>
      <c r="X730" s="444" t="str">
        <f t="shared" si="3"/>
        <v/>
      </c>
      <c r="Y730" s="445" t="str">
        <f t="shared" si="4"/>
        <v/>
      </c>
      <c r="Z730" s="278"/>
      <c r="AA730" s="466"/>
      <c r="AB730" s="278"/>
      <c r="AC730" s="278"/>
      <c r="AD730" s="278"/>
      <c r="AE730" s="278"/>
      <c r="AF730" s="278"/>
      <c r="AG730" s="278" t="b">
        <f t="shared" si="5"/>
        <v>0</v>
      </c>
      <c r="AH730" s="454"/>
      <c r="AI730" s="278"/>
      <c r="AJ730" s="278"/>
      <c r="AK730" s="278"/>
      <c r="AL730" s="444" t="str">
        <f t="array" ref="AL730">IFERROR(IFS(OR(AJ730="A1-Mewtwo", AJ730="A1-Pikachu", AJ730="A1-Charizard", AJ730="A1"), XLOOKUP(AH730, 'Genetic Apex'!$C$2:$C889, 'Genetic Apex'!$B$2:$B889)-2, AJ730="A1a", XLOOKUP(AH730, 'Mythical Island'!$C$2:$C889, 'Mythical Island'!$B$2:$B889)-2, OR(AJ730="A2-Dialga", AJ730="A2-Palkia", AJ730="A2"), XLOOKUP(AH730, 'Space-Time Smackdown'!$C$2:$C889, 'Space-Time Smackdown'!$B$2:$B889)-2))</f>
        <v/>
      </c>
      <c r="AM730" s="444" t="str">
        <f t="shared" si="6"/>
        <v/>
      </c>
      <c r="AN730" s="448" t="str">
        <f t="shared" si="7"/>
        <v/>
      </c>
    </row>
    <row r="731">
      <c r="A731" s="277"/>
      <c r="B731" s="277"/>
      <c r="C731" s="441"/>
      <c r="D731" s="277"/>
      <c r="E731" s="277"/>
      <c r="F731" s="277"/>
      <c r="G731" s="277"/>
      <c r="H731" s="277" t="b">
        <f t="shared" si="1"/>
        <v>0</v>
      </c>
      <c r="I731" s="277"/>
      <c r="J731" s="277"/>
      <c r="K731" s="277"/>
      <c r="L731" s="277"/>
      <c r="M731" s="440" t="b">
        <f t="shared" si="2"/>
        <v>0</v>
      </c>
      <c r="N731" s="441"/>
      <c r="O731" s="277"/>
      <c r="P731" s="277"/>
      <c r="Q731" s="278"/>
      <c r="R731" s="449" t="str">
        <f t="array" ref="R731">IFERROR(IFS(OR(P731="A1-Mewtwo", P731="A1-Pikachu", P731="A1-Charizard", P731="A1"), XLOOKUP(N731, 'Genetic Apex'!$C$2:$C889, 'Genetic Apex'!$B$2:$B889)-$B$4, P731="A1a", XLOOKUP(N731, 'Mythical Island'!$C$2:$C889, 'Mythical Island'!$B$2:$B889)-$B$4, OR(P731="A2-Dialga", P731="A2-Palkia", P731="A2"), XLOOKUP(N731, 'Space-Time Smackdown'!$C$2:$C889, 'Space-Time Smackdown'!$B$2:$B889)-$B$4))</f>
        <v/>
      </c>
      <c r="S731" s="277"/>
      <c r="T731" s="277"/>
      <c r="U731" s="277"/>
      <c r="V731" s="278"/>
      <c r="W731" s="443" t="str">
        <f t="array" ref="W731">IFERROR(IFS(OR(U731="A1-Mewtwo", U731="A1-Pikachu", U731="A1-Charizard", U731="A1"), $B$5-XLOOKUP(S731, 'Genetic Apex'!$C$2:$C889, 'Genetic Apex'!$B$2:$B889), U731="A1a", $B$5-XLOOKUP(S731, 'Mythical Island'!$C$2:$C889, 'Mythical Island'!$B$2:$B889), OR(U731="A2-Dialga", U731="A2-Palkia", U731="A2"), $B$5-XLOOKUP(S731, 'Space-Time Smackdown'!$C$2:$C889, 'Space-Time Smackdown'!$B$2:$B889)))</f>
        <v/>
      </c>
      <c r="X731" s="444" t="str">
        <f t="shared" si="3"/>
        <v/>
      </c>
      <c r="Y731" s="445" t="str">
        <f t="shared" si="4"/>
        <v/>
      </c>
      <c r="Z731" s="278"/>
      <c r="AA731" s="466"/>
      <c r="AB731" s="278"/>
      <c r="AC731" s="278"/>
      <c r="AD731" s="278"/>
      <c r="AE731" s="278"/>
      <c r="AF731" s="278"/>
      <c r="AG731" s="278" t="b">
        <f t="shared" si="5"/>
        <v>0</v>
      </c>
      <c r="AH731" s="454"/>
      <c r="AI731" s="278"/>
      <c r="AJ731" s="278"/>
      <c r="AK731" s="278"/>
      <c r="AL731" s="444" t="str">
        <f t="array" ref="AL731">IFERROR(IFS(OR(AJ731="A1-Mewtwo", AJ731="A1-Pikachu", AJ731="A1-Charizard", AJ731="A1"), XLOOKUP(AH731, 'Genetic Apex'!$C$2:$C889, 'Genetic Apex'!$B$2:$B889)-2, AJ731="A1a", XLOOKUP(AH731, 'Mythical Island'!$C$2:$C889, 'Mythical Island'!$B$2:$B889)-2, OR(AJ731="A2-Dialga", AJ731="A2-Palkia", AJ731="A2"), XLOOKUP(AH731, 'Space-Time Smackdown'!$C$2:$C889, 'Space-Time Smackdown'!$B$2:$B889)-2))</f>
        <v/>
      </c>
      <c r="AM731" s="444" t="str">
        <f t="shared" si="6"/>
        <v/>
      </c>
      <c r="AN731" s="448" t="str">
        <f t="shared" si="7"/>
        <v/>
      </c>
    </row>
    <row r="732">
      <c r="A732" s="277"/>
      <c r="B732" s="277"/>
      <c r="C732" s="441"/>
      <c r="D732" s="277"/>
      <c r="E732" s="277"/>
      <c r="F732" s="277"/>
      <c r="G732" s="277"/>
      <c r="H732" s="277" t="b">
        <f t="shared" si="1"/>
        <v>0</v>
      </c>
      <c r="I732" s="277"/>
      <c r="J732" s="277"/>
      <c r="K732" s="277"/>
      <c r="L732" s="277"/>
      <c r="M732" s="440" t="b">
        <f t="shared" si="2"/>
        <v>0</v>
      </c>
      <c r="N732" s="441"/>
      <c r="O732" s="277"/>
      <c r="P732" s="277"/>
      <c r="Q732" s="278"/>
      <c r="R732" s="449" t="str">
        <f t="array" ref="R732">IFERROR(IFS(OR(P732="A1-Mewtwo", P732="A1-Pikachu", P732="A1-Charizard", P732="A1"), XLOOKUP(N732, 'Genetic Apex'!$C$2:$C889, 'Genetic Apex'!$B$2:$B889)-$B$4, P732="A1a", XLOOKUP(N732, 'Mythical Island'!$C$2:$C889, 'Mythical Island'!$B$2:$B889)-$B$4, OR(P732="A2-Dialga", P732="A2-Palkia", P732="A2"), XLOOKUP(N732, 'Space-Time Smackdown'!$C$2:$C889, 'Space-Time Smackdown'!$B$2:$B889)-$B$4))</f>
        <v/>
      </c>
      <c r="S732" s="277"/>
      <c r="T732" s="277"/>
      <c r="U732" s="277"/>
      <c r="V732" s="278"/>
      <c r="W732" s="443" t="str">
        <f t="array" ref="W732">IFERROR(IFS(OR(U732="A1-Mewtwo", U732="A1-Pikachu", U732="A1-Charizard", U732="A1"), $B$5-XLOOKUP(S732, 'Genetic Apex'!$C$2:$C889, 'Genetic Apex'!$B$2:$B889), U732="A1a", $B$5-XLOOKUP(S732, 'Mythical Island'!$C$2:$C889, 'Mythical Island'!$B$2:$B889), OR(U732="A2-Dialga", U732="A2-Palkia", U732="A2"), $B$5-XLOOKUP(S732, 'Space-Time Smackdown'!$C$2:$C889, 'Space-Time Smackdown'!$B$2:$B889)))</f>
        <v/>
      </c>
      <c r="X732" s="444" t="str">
        <f t="shared" si="3"/>
        <v/>
      </c>
      <c r="Y732" s="445" t="str">
        <f t="shared" si="4"/>
        <v/>
      </c>
      <c r="Z732" s="278"/>
      <c r="AA732" s="466"/>
      <c r="AB732" s="278"/>
      <c r="AC732" s="278"/>
      <c r="AD732" s="278"/>
      <c r="AE732" s="278"/>
      <c r="AF732" s="278"/>
      <c r="AG732" s="278" t="b">
        <f t="shared" si="5"/>
        <v>0</v>
      </c>
      <c r="AH732" s="454"/>
      <c r="AI732" s="278"/>
      <c r="AJ732" s="278"/>
      <c r="AK732" s="278"/>
      <c r="AL732" s="444" t="str">
        <f t="array" ref="AL732">IFERROR(IFS(OR(AJ732="A1-Mewtwo", AJ732="A1-Pikachu", AJ732="A1-Charizard", AJ732="A1"), XLOOKUP(AH732, 'Genetic Apex'!$C$2:$C889, 'Genetic Apex'!$B$2:$B889)-2, AJ732="A1a", XLOOKUP(AH732, 'Mythical Island'!$C$2:$C889, 'Mythical Island'!$B$2:$B889)-2, OR(AJ732="A2-Dialga", AJ732="A2-Palkia", AJ732="A2"), XLOOKUP(AH732, 'Space-Time Smackdown'!$C$2:$C889, 'Space-Time Smackdown'!$B$2:$B889)-2))</f>
        <v/>
      </c>
      <c r="AM732" s="444" t="str">
        <f t="shared" si="6"/>
        <v/>
      </c>
      <c r="AN732" s="448" t="str">
        <f t="shared" si="7"/>
        <v/>
      </c>
    </row>
    <row r="733">
      <c r="A733" s="277"/>
      <c r="B733" s="277"/>
      <c r="C733" s="441"/>
      <c r="D733" s="277"/>
      <c r="E733" s="277"/>
      <c r="F733" s="277"/>
      <c r="G733" s="277"/>
      <c r="H733" s="277" t="b">
        <f t="shared" si="1"/>
        <v>0</v>
      </c>
      <c r="I733" s="277"/>
      <c r="J733" s="277"/>
      <c r="K733" s="277"/>
      <c r="L733" s="277"/>
      <c r="M733" s="440" t="b">
        <f t="shared" si="2"/>
        <v>0</v>
      </c>
      <c r="N733" s="441"/>
      <c r="O733" s="277"/>
      <c r="P733" s="277"/>
      <c r="Q733" s="278"/>
      <c r="R733" s="449" t="str">
        <f t="array" ref="R733">IFERROR(IFS(OR(P733="A1-Mewtwo", P733="A1-Pikachu", P733="A1-Charizard", P733="A1"), XLOOKUP(N733, 'Genetic Apex'!$C$2:$C889, 'Genetic Apex'!$B$2:$B889)-$B$4, P733="A1a", XLOOKUP(N733, 'Mythical Island'!$C$2:$C889, 'Mythical Island'!$B$2:$B889)-$B$4, OR(P733="A2-Dialga", P733="A2-Palkia", P733="A2"), XLOOKUP(N733, 'Space-Time Smackdown'!$C$2:$C889, 'Space-Time Smackdown'!$B$2:$B889)-$B$4))</f>
        <v/>
      </c>
      <c r="S733" s="277"/>
      <c r="T733" s="277"/>
      <c r="U733" s="277"/>
      <c r="V733" s="278"/>
      <c r="W733" s="443" t="str">
        <f t="array" ref="W733">IFERROR(IFS(OR(U733="A1-Mewtwo", U733="A1-Pikachu", U733="A1-Charizard", U733="A1"), $B$5-XLOOKUP(S733, 'Genetic Apex'!$C$2:$C889, 'Genetic Apex'!$B$2:$B889), U733="A1a", $B$5-XLOOKUP(S733, 'Mythical Island'!$C$2:$C889, 'Mythical Island'!$B$2:$B889), OR(U733="A2-Dialga", U733="A2-Palkia", U733="A2"), $B$5-XLOOKUP(S733, 'Space-Time Smackdown'!$C$2:$C889, 'Space-Time Smackdown'!$B$2:$B889)))</f>
        <v/>
      </c>
      <c r="X733" s="444" t="str">
        <f t="shared" si="3"/>
        <v/>
      </c>
      <c r="Y733" s="445" t="str">
        <f t="shared" si="4"/>
        <v/>
      </c>
      <c r="Z733" s="278"/>
      <c r="AA733" s="466"/>
      <c r="AB733" s="278"/>
      <c r="AC733" s="278"/>
      <c r="AD733" s="278"/>
      <c r="AE733" s="278"/>
      <c r="AF733" s="278"/>
      <c r="AG733" s="278" t="b">
        <f t="shared" si="5"/>
        <v>0</v>
      </c>
      <c r="AH733" s="454"/>
      <c r="AI733" s="278"/>
      <c r="AJ733" s="278"/>
      <c r="AK733" s="278"/>
      <c r="AL733" s="444" t="str">
        <f t="array" ref="AL733">IFERROR(IFS(OR(AJ733="A1-Mewtwo", AJ733="A1-Pikachu", AJ733="A1-Charizard", AJ733="A1"), XLOOKUP(AH733, 'Genetic Apex'!$C$2:$C889, 'Genetic Apex'!$B$2:$B889)-2, AJ733="A1a", XLOOKUP(AH733, 'Mythical Island'!$C$2:$C889, 'Mythical Island'!$B$2:$B889)-2, OR(AJ733="A2-Dialga", AJ733="A2-Palkia", AJ733="A2"), XLOOKUP(AH733, 'Space-Time Smackdown'!$C$2:$C889, 'Space-Time Smackdown'!$B$2:$B889)-2))</f>
        <v/>
      </c>
      <c r="AM733" s="444" t="str">
        <f t="shared" si="6"/>
        <v/>
      </c>
      <c r="AN733" s="448" t="str">
        <f t="shared" si="7"/>
        <v/>
      </c>
    </row>
    <row r="734">
      <c r="A734" s="277"/>
      <c r="B734" s="277"/>
      <c r="C734" s="441"/>
      <c r="D734" s="277"/>
      <c r="E734" s="277"/>
      <c r="F734" s="277"/>
      <c r="G734" s="277"/>
      <c r="H734" s="277" t="b">
        <f t="shared" si="1"/>
        <v>0</v>
      </c>
      <c r="I734" s="277"/>
      <c r="J734" s="277"/>
      <c r="K734" s="277"/>
      <c r="L734" s="277"/>
      <c r="M734" s="440" t="b">
        <f t="shared" si="2"/>
        <v>0</v>
      </c>
      <c r="N734" s="441"/>
      <c r="O734" s="277"/>
      <c r="P734" s="277"/>
      <c r="Q734" s="278"/>
      <c r="R734" s="449" t="str">
        <f t="array" ref="R734">IFERROR(IFS(OR(P734="A1-Mewtwo", P734="A1-Pikachu", P734="A1-Charizard", P734="A1"), XLOOKUP(N734, 'Genetic Apex'!$C$2:$C889, 'Genetic Apex'!$B$2:$B889)-$B$4, P734="A1a", XLOOKUP(N734, 'Mythical Island'!$C$2:$C889, 'Mythical Island'!$B$2:$B889)-$B$4, OR(P734="A2-Dialga", P734="A2-Palkia", P734="A2"), XLOOKUP(N734, 'Space-Time Smackdown'!$C$2:$C889, 'Space-Time Smackdown'!$B$2:$B889)-$B$4))</f>
        <v/>
      </c>
      <c r="S734" s="277"/>
      <c r="T734" s="277"/>
      <c r="U734" s="277"/>
      <c r="V734" s="278"/>
      <c r="W734" s="443" t="str">
        <f t="array" ref="W734">IFERROR(IFS(OR(U734="A1-Mewtwo", U734="A1-Pikachu", U734="A1-Charizard", U734="A1"), $B$5-XLOOKUP(S734, 'Genetic Apex'!$C$2:$C889, 'Genetic Apex'!$B$2:$B889), U734="A1a", $B$5-XLOOKUP(S734, 'Mythical Island'!$C$2:$C889, 'Mythical Island'!$B$2:$B889), OR(U734="A2-Dialga", U734="A2-Palkia", U734="A2"), $B$5-XLOOKUP(S734, 'Space-Time Smackdown'!$C$2:$C889, 'Space-Time Smackdown'!$B$2:$B889)))</f>
        <v/>
      </c>
      <c r="X734" s="444" t="str">
        <f t="shared" si="3"/>
        <v/>
      </c>
      <c r="Y734" s="445" t="str">
        <f t="shared" si="4"/>
        <v/>
      </c>
      <c r="Z734" s="278"/>
      <c r="AA734" s="466"/>
      <c r="AB734" s="278"/>
      <c r="AC734" s="278"/>
      <c r="AD734" s="278"/>
      <c r="AE734" s="278"/>
      <c r="AF734" s="278"/>
      <c r="AG734" s="278" t="b">
        <f t="shared" si="5"/>
        <v>0</v>
      </c>
      <c r="AH734" s="454"/>
      <c r="AI734" s="278"/>
      <c r="AJ734" s="278"/>
      <c r="AK734" s="278"/>
      <c r="AL734" s="444" t="str">
        <f t="array" ref="AL734">IFERROR(IFS(OR(AJ734="A1-Mewtwo", AJ734="A1-Pikachu", AJ734="A1-Charizard", AJ734="A1"), XLOOKUP(AH734, 'Genetic Apex'!$C$2:$C889, 'Genetic Apex'!$B$2:$B889)-2, AJ734="A1a", XLOOKUP(AH734, 'Mythical Island'!$C$2:$C889, 'Mythical Island'!$B$2:$B889)-2, OR(AJ734="A2-Dialga", AJ734="A2-Palkia", AJ734="A2"), XLOOKUP(AH734, 'Space-Time Smackdown'!$C$2:$C889, 'Space-Time Smackdown'!$B$2:$B889)-2))</f>
        <v/>
      </c>
      <c r="AM734" s="444" t="str">
        <f t="shared" si="6"/>
        <v/>
      </c>
      <c r="AN734" s="448" t="str">
        <f t="shared" si="7"/>
        <v/>
      </c>
    </row>
    <row r="735">
      <c r="A735" s="277"/>
      <c r="B735" s="277"/>
      <c r="C735" s="441"/>
      <c r="D735" s="277"/>
      <c r="E735" s="277"/>
      <c r="F735" s="277"/>
      <c r="G735" s="277"/>
      <c r="H735" s="277" t="b">
        <f t="shared" si="1"/>
        <v>0</v>
      </c>
      <c r="I735" s="277"/>
      <c r="J735" s="277"/>
      <c r="K735" s="277"/>
      <c r="L735" s="277"/>
      <c r="M735" s="440" t="b">
        <f t="shared" si="2"/>
        <v>0</v>
      </c>
      <c r="N735" s="441"/>
      <c r="O735" s="277"/>
      <c r="P735" s="277"/>
      <c r="Q735" s="278"/>
      <c r="R735" s="449" t="str">
        <f t="array" ref="R735">IFERROR(IFS(OR(P735="A1-Mewtwo", P735="A1-Pikachu", P735="A1-Charizard", P735="A1"), XLOOKUP(N735, 'Genetic Apex'!$C$2:$C889, 'Genetic Apex'!$B$2:$B889)-$B$4, P735="A1a", XLOOKUP(N735, 'Mythical Island'!$C$2:$C889, 'Mythical Island'!$B$2:$B889)-$B$4, OR(P735="A2-Dialga", P735="A2-Palkia", P735="A2"), XLOOKUP(N735, 'Space-Time Smackdown'!$C$2:$C889, 'Space-Time Smackdown'!$B$2:$B889)-$B$4))</f>
        <v/>
      </c>
      <c r="S735" s="277"/>
      <c r="T735" s="277"/>
      <c r="U735" s="277"/>
      <c r="V735" s="278"/>
      <c r="W735" s="443" t="str">
        <f t="array" ref="W735">IFERROR(IFS(OR(U735="A1-Mewtwo", U735="A1-Pikachu", U735="A1-Charizard", U735="A1"), $B$5-XLOOKUP(S735, 'Genetic Apex'!$C$2:$C889, 'Genetic Apex'!$B$2:$B889), U735="A1a", $B$5-XLOOKUP(S735, 'Mythical Island'!$C$2:$C889, 'Mythical Island'!$B$2:$B889), OR(U735="A2-Dialga", U735="A2-Palkia", U735="A2"), $B$5-XLOOKUP(S735, 'Space-Time Smackdown'!$C$2:$C889, 'Space-Time Smackdown'!$B$2:$B889)))</f>
        <v/>
      </c>
      <c r="X735" s="444" t="str">
        <f t="shared" si="3"/>
        <v/>
      </c>
      <c r="Y735" s="445" t="str">
        <f t="shared" si="4"/>
        <v/>
      </c>
      <c r="Z735" s="278"/>
      <c r="AA735" s="466"/>
      <c r="AB735" s="278"/>
      <c r="AC735" s="278"/>
      <c r="AD735" s="278"/>
      <c r="AE735" s="278"/>
      <c r="AF735" s="278"/>
      <c r="AG735" s="278" t="b">
        <f t="shared" si="5"/>
        <v>0</v>
      </c>
      <c r="AH735" s="454"/>
      <c r="AI735" s="278"/>
      <c r="AJ735" s="278"/>
      <c r="AK735" s="278"/>
      <c r="AL735" s="444" t="str">
        <f t="array" ref="AL735">IFERROR(IFS(OR(AJ735="A1-Mewtwo", AJ735="A1-Pikachu", AJ735="A1-Charizard", AJ735="A1"), XLOOKUP(AH735, 'Genetic Apex'!$C$2:$C889, 'Genetic Apex'!$B$2:$B889)-2, AJ735="A1a", XLOOKUP(AH735, 'Mythical Island'!$C$2:$C889, 'Mythical Island'!$B$2:$B889)-2, OR(AJ735="A2-Dialga", AJ735="A2-Palkia", AJ735="A2"), XLOOKUP(AH735, 'Space-Time Smackdown'!$C$2:$C889, 'Space-Time Smackdown'!$B$2:$B889)-2))</f>
        <v/>
      </c>
      <c r="AM735" s="444" t="str">
        <f t="shared" si="6"/>
        <v/>
      </c>
      <c r="AN735" s="448" t="str">
        <f t="shared" si="7"/>
        <v/>
      </c>
    </row>
    <row r="736">
      <c r="A736" s="277"/>
      <c r="B736" s="277"/>
      <c r="C736" s="441"/>
      <c r="D736" s="277"/>
      <c r="E736" s="277"/>
      <c r="F736" s="277"/>
      <c r="G736" s="277"/>
      <c r="H736" s="277" t="b">
        <f t="shared" si="1"/>
        <v>0</v>
      </c>
      <c r="I736" s="277"/>
      <c r="J736" s="277"/>
      <c r="K736" s="277"/>
      <c r="L736" s="277"/>
      <c r="M736" s="440" t="b">
        <f t="shared" si="2"/>
        <v>0</v>
      </c>
      <c r="N736" s="441"/>
      <c r="O736" s="277"/>
      <c r="P736" s="277"/>
      <c r="Q736" s="278"/>
      <c r="R736" s="449" t="str">
        <f t="array" ref="R736">IFERROR(IFS(OR(P736="A1-Mewtwo", P736="A1-Pikachu", P736="A1-Charizard", P736="A1"), XLOOKUP(N736, 'Genetic Apex'!$C$2:$C889, 'Genetic Apex'!$B$2:$B889)-$B$4, P736="A1a", XLOOKUP(N736, 'Mythical Island'!$C$2:$C889, 'Mythical Island'!$B$2:$B889)-$B$4, OR(P736="A2-Dialga", P736="A2-Palkia", P736="A2"), XLOOKUP(N736, 'Space-Time Smackdown'!$C$2:$C889, 'Space-Time Smackdown'!$B$2:$B889)-$B$4))</f>
        <v/>
      </c>
      <c r="S736" s="277"/>
      <c r="T736" s="277"/>
      <c r="U736" s="277"/>
      <c r="V736" s="278"/>
      <c r="W736" s="443" t="str">
        <f t="array" ref="W736">IFERROR(IFS(OR(U736="A1-Mewtwo", U736="A1-Pikachu", U736="A1-Charizard", U736="A1"), $B$5-XLOOKUP(S736, 'Genetic Apex'!$C$2:$C889, 'Genetic Apex'!$B$2:$B889), U736="A1a", $B$5-XLOOKUP(S736, 'Mythical Island'!$C$2:$C889, 'Mythical Island'!$B$2:$B889), OR(U736="A2-Dialga", U736="A2-Palkia", U736="A2"), $B$5-XLOOKUP(S736, 'Space-Time Smackdown'!$C$2:$C889, 'Space-Time Smackdown'!$B$2:$B889)))</f>
        <v/>
      </c>
      <c r="X736" s="444" t="str">
        <f t="shared" si="3"/>
        <v/>
      </c>
      <c r="Y736" s="445" t="str">
        <f t="shared" si="4"/>
        <v/>
      </c>
      <c r="Z736" s="278"/>
      <c r="AA736" s="466"/>
      <c r="AB736" s="278"/>
      <c r="AC736" s="278"/>
      <c r="AD736" s="278"/>
      <c r="AE736" s="278"/>
      <c r="AF736" s="278"/>
      <c r="AG736" s="278" t="b">
        <f t="shared" si="5"/>
        <v>0</v>
      </c>
      <c r="AH736" s="454"/>
      <c r="AI736" s="278"/>
      <c r="AJ736" s="278"/>
      <c r="AK736" s="278"/>
      <c r="AL736" s="444" t="str">
        <f t="array" ref="AL736">IFERROR(IFS(OR(AJ736="A1-Mewtwo", AJ736="A1-Pikachu", AJ736="A1-Charizard", AJ736="A1"), XLOOKUP(AH736, 'Genetic Apex'!$C$2:$C889, 'Genetic Apex'!$B$2:$B889)-2, AJ736="A1a", XLOOKUP(AH736, 'Mythical Island'!$C$2:$C889, 'Mythical Island'!$B$2:$B889)-2, OR(AJ736="A2-Dialga", AJ736="A2-Palkia", AJ736="A2"), XLOOKUP(AH736, 'Space-Time Smackdown'!$C$2:$C889, 'Space-Time Smackdown'!$B$2:$B889)-2))</f>
        <v/>
      </c>
      <c r="AM736" s="444" t="str">
        <f t="shared" si="6"/>
        <v/>
      </c>
      <c r="AN736" s="448" t="str">
        <f t="shared" si="7"/>
        <v/>
      </c>
    </row>
    <row r="737">
      <c r="A737" s="277"/>
      <c r="B737" s="277"/>
      <c r="C737" s="441"/>
      <c r="D737" s="277"/>
      <c r="E737" s="277"/>
      <c r="F737" s="277"/>
      <c r="G737" s="277"/>
      <c r="H737" s="277" t="b">
        <f t="shared" si="1"/>
        <v>0</v>
      </c>
      <c r="I737" s="277"/>
      <c r="J737" s="277"/>
      <c r="K737" s="277"/>
      <c r="L737" s="277"/>
      <c r="M737" s="440" t="b">
        <f t="shared" si="2"/>
        <v>0</v>
      </c>
      <c r="N737" s="441"/>
      <c r="O737" s="277"/>
      <c r="P737" s="277"/>
      <c r="Q737" s="278"/>
      <c r="R737" s="449" t="str">
        <f t="array" ref="R737">IFERROR(IFS(OR(P737="A1-Mewtwo", P737="A1-Pikachu", P737="A1-Charizard", P737="A1"), XLOOKUP(N737, 'Genetic Apex'!$C$2:$C889, 'Genetic Apex'!$B$2:$B889)-$B$4, P737="A1a", XLOOKUP(N737, 'Mythical Island'!$C$2:$C889, 'Mythical Island'!$B$2:$B889)-$B$4, OR(P737="A2-Dialga", P737="A2-Palkia", P737="A2"), XLOOKUP(N737, 'Space-Time Smackdown'!$C$2:$C889, 'Space-Time Smackdown'!$B$2:$B889)-$B$4))</f>
        <v/>
      </c>
      <c r="S737" s="277"/>
      <c r="T737" s="277"/>
      <c r="U737" s="277"/>
      <c r="V737" s="278"/>
      <c r="W737" s="443" t="str">
        <f t="array" ref="W737">IFERROR(IFS(OR(U737="A1-Mewtwo", U737="A1-Pikachu", U737="A1-Charizard", U737="A1"), $B$5-XLOOKUP(S737, 'Genetic Apex'!$C$2:$C889, 'Genetic Apex'!$B$2:$B889), U737="A1a", $B$5-XLOOKUP(S737, 'Mythical Island'!$C$2:$C889, 'Mythical Island'!$B$2:$B889), OR(U737="A2-Dialga", U737="A2-Palkia", U737="A2"), $B$5-XLOOKUP(S737, 'Space-Time Smackdown'!$C$2:$C889, 'Space-Time Smackdown'!$B$2:$B889)))</f>
        <v/>
      </c>
      <c r="X737" s="444" t="str">
        <f t="shared" si="3"/>
        <v/>
      </c>
      <c r="Y737" s="445" t="str">
        <f t="shared" si="4"/>
        <v/>
      </c>
      <c r="Z737" s="278"/>
      <c r="AA737" s="466"/>
      <c r="AB737" s="278"/>
      <c r="AC737" s="278"/>
      <c r="AD737" s="278"/>
      <c r="AE737" s="278"/>
      <c r="AF737" s="278"/>
      <c r="AG737" s="278" t="b">
        <f t="shared" si="5"/>
        <v>0</v>
      </c>
      <c r="AH737" s="454"/>
      <c r="AI737" s="278"/>
      <c r="AJ737" s="278"/>
      <c r="AK737" s="278"/>
      <c r="AL737" s="444" t="str">
        <f t="array" ref="AL737">IFERROR(IFS(OR(AJ737="A1-Mewtwo", AJ737="A1-Pikachu", AJ737="A1-Charizard", AJ737="A1"), XLOOKUP(AH737, 'Genetic Apex'!$C$2:$C889, 'Genetic Apex'!$B$2:$B889)-2, AJ737="A1a", XLOOKUP(AH737, 'Mythical Island'!$C$2:$C889, 'Mythical Island'!$B$2:$B889)-2, OR(AJ737="A2-Dialga", AJ737="A2-Palkia", AJ737="A2"), XLOOKUP(AH737, 'Space-Time Smackdown'!$C$2:$C889, 'Space-Time Smackdown'!$B$2:$B889)-2))</f>
        <v/>
      </c>
      <c r="AM737" s="444" t="str">
        <f t="shared" si="6"/>
        <v/>
      </c>
      <c r="AN737" s="448" t="str">
        <f t="shared" si="7"/>
        <v/>
      </c>
    </row>
    <row r="738">
      <c r="A738" s="277"/>
      <c r="B738" s="277"/>
      <c r="C738" s="441"/>
      <c r="D738" s="277"/>
      <c r="E738" s="277"/>
      <c r="F738" s="277"/>
      <c r="G738" s="277"/>
      <c r="H738" s="277" t="b">
        <f t="shared" si="1"/>
        <v>0</v>
      </c>
      <c r="I738" s="277"/>
      <c r="J738" s="277"/>
      <c r="K738" s="277"/>
      <c r="L738" s="277"/>
      <c r="M738" s="440" t="b">
        <f t="shared" si="2"/>
        <v>0</v>
      </c>
      <c r="N738" s="441"/>
      <c r="O738" s="277"/>
      <c r="P738" s="277"/>
      <c r="Q738" s="278"/>
      <c r="R738" s="449" t="str">
        <f t="array" ref="R738">IFERROR(IFS(OR(P738="A1-Mewtwo", P738="A1-Pikachu", P738="A1-Charizard", P738="A1"), XLOOKUP(N738, 'Genetic Apex'!$C$2:$C889, 'Genetic Apex'!$B$2:$B889)-$B$4, P738="A1a", XLOOKUP(N738, 'Mythical Island'!$C$2:$C889, 'Mythical Island'!$B$2:$B889)-$B$4, OR(P738="A2-Dialga", P738="A2-Palkia", P738="A2"), XLOOKUP(N738, 'Space-Time Smackdown'!$C$2:$C889, 'Space-Time Smackdown'!$B$2:$B889)-$B$4))</f>
        <v/>
      </c>
      <c r="S738" s="277"/>
      <c r="T738" s="277"/>
      <c r="U738" s="277"/>
      <c r="V738" s="278"/>
      <c r="W738" s="443" t="str">
        <f t="array" ref="W738">IFERROR(IFS(OR(U738="A1-Mewtwo", U738="A1-Pikachu", U738="A1-Charizard", U738="A1"), $B$5-XLOOKUP(S738, 'Genetic Apex'!$C$2:$C889, 'Genetic Apex'!$B$2:$B889), U738="A1a", $B$5-XLOOKUP(S738, 'Mythical Island'!$C$2:$C889, 'Mythical Island'!$B$2:$B889), OR(U738="A2-Dialga", U738="A2-Palkia", U738="A2"), $B$5-XLOOKUP(S738, 'Space-Time Smackdown'!$C$2:$C889, 'Space-Time Smackdown'!$B$2:$B889)))</f>
        <v/>
      </c>
      <c r="X738" s="444" t="str">
        <f t="shared" si="3"/>
        <v/>
      </c>
      <c r="Y738" s="445" t="str">
        <f t="shared" si="4"/>
        <v/>
      </c>
      <c r="Z738" s="278"/>
      <c r="AA738" s="466"/>
      <c r="AB738" s="278"/>
      <c r="AC738" s="278"/>
      <c r="AD738" s="278"/>
      <c r="AE738" s="278"/>
      <c r="AF738" s="278"/>
      <c r="AG738" s="278" t="b">
        <f t="shared" si="5"/>
        <v>0</v>
      </c>
      <c r="AH738" s="454"/>
      <c r="AI738" s="278"/>
      <c r="AJ738" s="278"/>
      <c r="AK738" s="278"/>
      <c r="AL738" s="444" t="str">
        <f t="array" ref="AL738">IFERROR(IFS(OR(AJ738="A1-Mewtwo", AJ738="A1-Pikachu", AJ738="A1-Charizard", AJ738="A1"), XLOOKUP(AH738, 'Genetic Apex'!$C$2:$C889, 'Genetic Apex'!$B$2:$B889)-2, AJ738="A1a", XLOOKUP(AH738, 'Mythical Island'!$C$2:$C889, 'Mythical Island'!$B$2:$B889)-2, OR(AJ738="A2-Dialga", AJ738="A2-Palkia", AJ738="A2"), XLOOKUP(AH738, 'Space-Time Smackdown'!$C$2:$C889, 'Space-Time Smackdown'!$B$2:$B889)-2))</f>
        <v/>
      </c>
      <c r="AM738" s="444" t="str">
        <f t="shared" si="6"/>
        <v/>
      </c>
      <c r="AN738" s="448" t="str">
        <f t="shared" si="7"/>
        <v/>
      </c>
    </row>
    <row r="739">
      <c r="A739" s="277"/>
      <c r="B739" s="277"/>
      <c r="C739" s="441"/>
      <c r="D739" s="277"/>
      <c r="E739" s="277"/>
      <c r="F739" s="277"/>
      <c r="G739" s="277"/>
      <c r="H739" s="277" t="b">
        <f t="shared" si="1"/>
        <v>0</v>
      </c>
      <c r="I739" s="277"/>
      <c r="J739" s="277"/>
      <c r="K739" s="277"/>
      <c r="L739" s="277"/>
      <c r="M739" s="440" t="b">
        <f t="shared" si="2"/>
        <v>0</v>
      </c>
      <c r="N739" s="441"/>
      <c r="O739" s="277"/>
      <c r="P739" s="277"/>
      <c r="Q739" s="278"/>
      <c r="R739" s="449" t="str">
        <f t="array" ref="R739">IFERROR(IFS(OR(P739="A1-Mewtwo", P739="A1-Pikachu", P739="A1-Charizard", P739="A1"), XLOOKUP(N739, 'Genetic Apex'!$C$2:$C889, 'Genetic Apex'!$B$2:$B889)-$B$4, P739="A1a", XLOOKUP(N739, 'Mythical Island'!$C$2:$C889, 'Mythical Island'!$B$2:$B889)-$B$4, OR(P739="A2-Dialga", P739="A2-Palkia", P739="A2"), XLOOKUP(N739, 'Space-Time Smackdown'!$C$2:$C889, 'Space-Time Smackdown'!$B$2:$B889)-$B$4))</f>
        <v/>
      </c>
      <c r="S739" s="277"/>
      <c r="T739" s="277"/>
      <c r="U739" s="277"/>
      <c r="V739" s="278"/>
      <c r="W739" s="443" t="str">
        <f t="array" ref="W739">IFERROR(IFS(OR(U739="A1-Mewtwo", U739="A1-Pikachu", U739="A1-Charizard", U739="A1"), $B$5-XLOOKUP(S739, 'Genetic Apex'!$C$2:$C889, 'Genetic Apex'!$B$2:$B889), U739="A1a", $B$5-XLOOKUP(S739, 'Mythical Island'!$C$2:$C889, 'Mythical Island'!$B$2:$B889), OR(U739="A2-Dialga", U739="A2-Palkia", U739="A2"), $B$5-XLOOKUP(S739, 'Space-Time Smackdown'!$C$2:$C889, 'Space-Time Smackdown'!$B$2:$B889)))</f>
        <v/>
      </c>
      <c r="X739" s="444" t="str">
        <f t="shared" si="3"/>
        <v/>
      </c>
      <c r="Y739" s="445" t="str">
        <f t="shared" si="4"/>
        <v/>
      </c>
      <c r="Z739" s="278"/>
      <c r="AA739" s="466"/>
      <c r="AB739" s="278"/>
      <c r="AC739" s="278"/>
      <c r="AD739" s="278"/>
      <c r="AE739" s="278"/>
      <c r="AF739" s="278"/>
      <c r="AG739" s="278" t="b">
        <f t="shared" si="5"/>
        <v>0</v>
      </c>
      <c r="AH739" s="454"/>
      <c r="AI739" s="278"/>
      <c r="AJ739" s="278"/>
      <c r="AK739" s="278"/>
      <c r="AL739" s="444" t="str">
        <f t="array" ref="AL739">IFERROR(IFS(OR(AJ739="A1-Mewtwo", AJ739="A1-Pikachu", AJ739="A1-Charizard", AJ739="A1"), XLOOKUP(AH739, 'Genetic Apex'!$C$2:$C889, 'Genetic Apex'!$B$2:$B889)-2, AJ739="A1a", XLOOKUP(AH739, 'Mythical Island'!$C$2:$C889, 'Mythical Island'!$B$2:$B889)-2, OR(AJ739="A2-Dialga", AJ739="A2-Palkia", AJ739="A2"), XLOOKUP(AH739, 'Space-Time Smackdown'!$C$2:$C889, 'Space-Time Smackdown'!$B$2:$B889)-2))</f>
        <v/>
      </c>
      <c r="AM739" s="444" t="str">
        <f t="shared" si="6"/>
        <v/>
      </c>
      <c r="AN739" s="448" t="str">
        <f t="shared" si="7"/>
        <v/>
      </c>
    </row>
    <row r="740">
      <c r="A740" s="277"/>
      <c r="B740" s="277"/>
      <c r="C740" s="441"/>
      <c r="D740" s="277"/>
      <c r="E740" s="277"/>
      <c r="F740" s="277"/>
      <c r="G740" s="277"/>
      <c r="H740" s="277" t="b">
        <f t="shared" si="1"/>
        <v>0</v>
      </c>
      <c r="I740" s="277"/>
      <c r="J740" s="277"/>
      <c r="K740" s="277"/>
      <c r="L740" s="277"/>
      <c r="M740" s="440" t="b">
        <f t="shared" si="2"/>
        <v>0</v>
      </c>
      <c r="N740" s="441"/>
      <c r="O740" s="277"/>
      <c r="P740" s="277"/>
      <c r="Q740" s="278"/>
      <c r="R740" s="449" t="str">
        <f t="array" ref="R740">IFERROR(IFS(OR(P740="A1-Mewtwo", P740="A1-Pikachu", P740="A1-Charizard", P740="A1"), XLOOKUP(N740, 'Genetic Apex'!$C$2:$C889, 'Genetic Apex'!$B$2:$B889)-$B$4, P740="A1a", XLOOKUP(N740, 'Mythical Island'!$C$2:$C889, 'Mythical Island'!$B$2:$B889)-$B$4, OR(P740="A2-Dialga", P740="A2-Palkia", P740="A2"), XLOOKUP(N740, 'Space-Time Smackdown'!$C$2:$C889, 'Space-Time Smackdown'!$B$2:$B889)-$B$4))</f>
        <v/>
      </c>
      <c r="S740" s="277"/>
      <c r="T740" s="277"/>
      <c r="U740" s="277"/>
      <c r="V740" s="278"/>
      <c r="W740" s="443" t="str">
        <f t="array" ref="W740">IFERROR(IFS(OR(U740="A1-Mewtwo", U740="A1-Pikachu", U740="A1-Charizard", U740="A1"), $B$5-XLOOKUP(S740, 'Genetic Apex'!$C$2:$C889, 'Genetic Apex'!$B$2:$B889), U740="A1a", $B$5-XLOOKUP(S740, 'Mythical Island'!$C$2:$C889, 'Mythical Island'!$B$2:$B889), OR(U740="A2-Dialga", U740="A2-Palkia", U740="A2"), $B$5-XLOOKUP(S740, 'Space-Time Smackdown'!$C$2:$C889, 'Space-Time Smackdown'!$B$2:$B889)))</f>
        <v/>
      </c>
      <c r="X740" s="444" t="str">
        <f t="shared" si="3"/>
        <v/>
      </c>
      <c r="Y740" s="445" t="str">
        <f t="shared" si="4"/>
        <v/>
      </c>
      <c r="Z740" s="278"/>
      <c r="AA740" s="466"/>
      <c r="AB740" s="278"/>
      <c r="AC740" s="278"/>
      <c r="AD740" s="278"/>
      <c r="AE740" s="278"/>
      <c r="AF740" s="278"/>
      <c r="AG740" s="278" t="b">
        <f t="shared" si="5"/>
        <v>0</v>
      </c>
      <c r="AH740" s="454"/>
      <c r="AI740" s="278"/>
      <c r="AJ740" s="278"/>
      <c r="AK740" s="278"/>
      <c r="AL740" s="444" t="str">
        <f t="array" ref="AL740">IFERROR(IFS(OR(AJ740="A1-Mewtwo", AJ740="A1-Pikachu", AJ740="A1-Charizard", AJ740="A1"), XLOOKUP(AH740, 'Genetic Apex'!$C$2:$C889, 'Genetic Apex'!$B$2:$B889)-2, AJ740="A1a", XLOOKUP(AH740, 'Mythical Island'!$C$2:$C889, 'Mythical Island'!$B$2:$B889)-2, OR(AJ740="A2-Dialga", AJ740="A2-Palkia", AJ740="A2"), XLOOKUP(AH740, 'Space-Time Smackdown'!$C$2:$C889, 'Space-Time Smackdown'!$B$2:$B889)-2))</f>
        <v/>
      </c>
      <c r="AM740" s="444" t="str">
        <f t="shared" si="6"/>
        <v/>
      </c>
      <c r="AN740" s="448" t="str">
        <f t="shared" si="7"/>
        <v/>
      </c>
    </row>
    <row r="741">
      <c r="A741" s="277"/>
      <c r="B741" s="277"/>
      <c r="C741" s="441"/>
      <c r="D741" s="277"/>
      <c r="E741" s="277"/>
      <c r="F741" s="277"/>
      <c r="G741" s="277"/>
      <c r="H741" s="277" t="b">
        <f t="shared" si="1"/>
        <v>0</v>
      </c>
      <c r="I741" s="277"/>
      <c r="J741" s="277"/>
      <c r="K741" s="277"/>
      <c r="L741" s="277"/>
      <c r="M741" s="440" t="b">
        <f t="shared" si="2"/>
        <v>0</v>
      </c>
      <c r="N741" s="441"/>
      <c r="O741" s="277"/>
      <c r="P741" s="277"/>
      <c r="Q741" s="278"/>
      <c r="R741" s="449" t="str">
        <f t="array" ref="R741">IFERROR(IFS(OR(P741="A1-Mewtwo", P741="A1-Pikachu", P741="A1-Charizard", P741="A1"), XLOOKUP(N741, 'Genetic Apex'!$C$2:$C889, 'Genetic Apex'!$B$2:$B889)-$B$4, P741="A1a", XLOOKUP(N741, 'Mythical Island'!$C$2:$C889, 'Mythical Island'!$B$2:$B889)-$B$4, OR(P741="A2-Dialga", P741="A2-Palkia", P741="A2"), XLOOKUP(N741, 'Space-Time Smackdown'!$C$2:$C889, 'Space-Time Smackdown'!$B$2:$B889)-$B$4))</f>
        <v/>
      </c>
      <c r="S741" s="277"/>
      <c r="T741" s="277"/>
      <c r="U741" s="277"/>
      <c r="V741" s="278"/>
      <c r="W741" s="443" t="str">
        <f t="array" ref="W741">IFERROR(IFS(OR(U741="A1-Mewtwo", U741="A1-Pikachu", U741="A1-Charizard", U741="A1"), $B$5-XLOOKUP(S741, 'Genetic Apex'!$C$2:$C889, 'Genetic Apex'!$B$2:$B889), U741="A1a", $B$5-XLOOKUP(S741, 'Mythical Island'!$C$2:$C889, 'Mythical Island'!$B$2:$B889), OR(U741="A2-Dialga", U741="A2-Palkia", U741="A2"), $B$5-XLOOKUP(S741, 'Space-Time Smackdown'!$C$2:$C889, 'Space-Time Smackdown'!$B$2:$B889)))</f>
        <v/>
      </c>
      <c r="X741" s="444" t="str">
        <f t="shared" si="3"/>
        <v/>
      </c>
      <c r="Y741" s="445" t="str">
        <f t="shared" si="4"/>
        <v/>
      </c>
      <c r="Z741" s="278"/>
      <c r="AA741" s="466"/>
      <c r="AB741" s="278"/>
      <c r="AC741" s="278"/>
      <c r="AD741" s="278"/>
      <c r="AE741" s="278"/>
      <c r="AF741" s="278"/>
      <c r="AG741" s="278" t="b">
        <f t="shared" si="5"/>
        <v>0</v>
      </c>
      <c r="AH741" s="454"/>
      <c r="AI741" s="278"/>
      <c r="AJ741" s="278"/>
      <c r="AK741" s="278"/>
      <c r="AL741" s="444" t="str">
        <f t="array" ref="AL741">IFERROR(IFS(OR(AJ741="A1-Mewtwo", AJ741="A1-Pikachu", AJ741="A1-Charizard", AJ741="A1"), XLOOKUP(AH741, 'Genetic Apex'!$C$2:$C889, 'Genetic Apex'!$B$2:$B889)-2, AJ741="A1a", XLOOKUP(AH741, 'Mythical Island'!$C$2:$C889, 'Mythical Island'!$B$2:$B889)-2, OR(AJ741="A2-Dialga", AJ741="A2-Palkia", AJ741="A2"), XLOOKUP(AH741, 'Space-Time Smackdown'!$C$2:$C889, 'Space-Time Smackdown'!$B$2:$B889)-2))</f>
        <v/>
      </c>
      <c r="AM741" s="444" t="str">
        <f t="shared" si="6"/>
        <v/>
      </c>
      <c r="AN741" s="448" t="str">
        <f t="shared" si="7"/>
        <v/>
      </c>
    </row>
    <row r="742">
      <c r="A742" s="277"/>
      <c r="B742" s="277"/>
      <c r="C742" s="441"/>
      <c r="D742" s="277"/>
      <c r="E742" s="277"/>
      <c r="F742" s="277"/>
      <c r="G742" s="277"/>
      <c r="H742" s="277" t="b">
        <f t="shared" si="1"/>
        <v>0</v>
      </c>
      <c r="I742" s="277"/>
      <c r="J742" s="277"/>
      <c r="K742" s="277"/>
      <c r="L742" s="277"/>
      <c r="M742" s="440" t="b">
        <f t="shared" si="2"/>
        <v>0</v>
      </c>
      <c r="N742" s="441"/>
      <c r="O742" s="277"/>
      <c r="P742" s="277"/>
      <c r="Q742" s="278"/>
      <c r="R742" s="449" t="str">
        <f t="array" ref="R742">IFERROR(IFS(OR(P742="A1-Mewtwo", P742="A1-Pikachu", P742="A1-Charizard", P742="A1"), XLOOKUP(N742, 'Genetic Apex'!$C$2:$C889, 'Genetic Apex'!$B$2:$B889)-$B$4, P742="A1a", XLOOKUP(N742, 'Mythical Island'!$C$2:$C889, 'Mythical Island'!$B$2:$B889)-$B$4, OR(P742="A2-Dialga", P742="A2-Palkia", P742="A2"), XLOOKUP(N742, 'Space-Time Smackdown'!$C$2:$C889, 'Space-Time Smackdown'!$B$2:$B889)-$B$4))</f>
        <v/>
      </c>
      <c r="S742" s="277"/>
      <c r="T742" s="277"/>
      <c r="U742" s="277"/>
      <c r="V742" s="278"/>
      <c r="W742" s="443" t="str">
        <f t="array" ref="W742">IFERROR(IFS(OR(U742="A1-Mewtwo", U742="A1-Pikachu", U742="A1-Charizard", U742="A1"), $B$5-XLOOKUP(S742, 'Genetic Apex'!$C$2:$C889, 'Genetic Apex'!$B$2:$B889), U742="A1a", $B$5-XLOOKUP(S742, 'Mythical Island'!$C$2:$C889, 'Mythical Island'!$B$2:$B889), OR(U742="A2-Dialga", U742="A2-Palkia", U742="A2"), $B$5-XLOOKUP(S742, 'Space-Time Smackdown'!$C$2:$C889, 'Space-Time Smackdown'!$B$2:$B889)))</f>
        <v/>
      </c>
      <c r="X742" s="444" t="str">
        <f t="shared" si="3"/>
        <v/>
      </c>
      <c r="Y742" s="445" t="str">
        <f t="shared" si="4"/>
        <v/>
      </c>
      <c r="Z742" s="278"/>
      <c r="AA742" s="466"/>
      <c r="AB742" s="278"/>
      <c r="AC742" s="278"/>
      <c r="AD742" s="278"/>
      <c r="AE742" s="278"/>
      <c r="AF742" s="278"/>
      <c r="AG742" s="278" t="b">
        <f t="shared" si="5"/>
        <v>0</v>
      </c>
      <c r="AH742" s="454"/>
      <c r="AI742" s="278"/>
      <c r="AJ742" s="278"/>
      <c r="AK742" s="278"/>
      <c r="AL742" s="444" t="str">
        <f t="array" ref="AL742">IFERROR(IFS(OR(AJ742="A1-Mewtwo", AJ742="A1-Pikachu", AJ742="A1-Charizard", AJ742="A1"), XLOOKUP(AH742, 'Genetic Apex'!$C$2:$C889, 'Genetic Apex'!$B$2:$B889)-2, AJ742="A1a", XLOOKUP(AH742, 'Mythical Island'!$C$2:$C889, 'Mythical Island'!$B$2:$B889)-2, OR(AJ742="A2-Dialga", AJ742="A2-Palkia", AJ742="A2"), XLOOKUP(AH742, 'Space-Time Smackdown'!$C$2:$C889, 'Space-Time Smackdown'!$B$2:$B889)-2))</f>
        <v/>
      </c>
      <c r="AM742" s="444" t="str">
        <f t="shared" si="6"/>
        <v/>
      </c>
      <c r="AN742" s="448" t="str">
        <f t="shared" si="7"/>
        <v/>
      </c>
    </row>
    <row r="743">
      <c r="A743" s="277"/>
      <c r="B743" s="277"/>
      <c r="C743" s="441"/>
      <c r="D743" s="277"/>
      <c r="E743" s="277"/>
      <c r="F743" s="277"/>
      <c r="G743" s="277"/>
      <c r="H743" s="277" t="b">
        <f t="shared" si="1"/>
        <v>0</v>
      </c>
      <c r="I743" s="277"/>
      <c r="J743" s="277"/>
      <c r="K743" s="277"/>
      <c r="L743" s="277"/>
      <c r="M743" s="440" t="b">
        <f t="shared" si="2"/>
        <v>0</v>
      </c>
      <c r="N743" s="441"/>
      <c r="O743" s="277"/>
      <c r="P743" s="277"/>
      <c r="Q743" s="278"/>
      <c r="R743" s="449" t="str">
        <f t="array" ref="R743">IFERROR(IFS(OR(P743="A1-Mewtwo", P743="A1-Pikachu", P743="A1-Charizard", P743="A1"), XLOOKUP(N743, 'Genetic Apex'!$C$2:$C889, 'Genetic Apex'!$B$2:$B889)-$B$4, P743="A1a", XLOOKUP(N743, 'Mythical Island'!$C$2:$C889, 'Mythical Island'!$B$2:$B889)-$B$4, OR(P743="A2-Dialga", P743="A2-Palkia", P743="A2"), XLOOKUP(N743, 'Space-Time Smackdown'!$C$2:$C889, 'Space-Time Smackdown'!$B$2:$B889)-$B$4))</f>
        <v/>
      </c>
      <c r="S743" s="277"/>
      <c r="T743" s="277"/>
      <c r="U743" s="277"/>
      <c r="V743" s="278"/>
      <c r="W743" s="443" t="str">
        <f t="array" ref="W743">IFERROR(IFS(OR(U743="A1-Mewtwo", U743="A1-Pikachu", U743="A1-Charizard", U743="A1"), $B$5-XLOOKUP(S743, 'Genetic Apex'!$C$2:$C889, 'Genetic Apex'!$B$2:$B889), U743="A1a", $B$5-XLOOKUP(S743, 'Mythical Island'!$C$2:$C889, 'Mythical Island'!$B$2:$B889), OR(U743="A2-Dialga", U743="A2-Palkia", U743="A2"), $B$5-XLOOKUP(S743, 'Space-Time Smackdown'!$C$2:$C889, 'Space-Time Smackdown'!$B$2:$B889)))</f>
        <v/>
      </c>
      <c r="X743" s="444" t="str">
        <f t="shared" si="3"/>
        <v/>
      </c>
      <c r="Y743" s="445" t="str">
        <f t="shared" si="4"/>
        <v/>
      </c>
      <c r="Z743" s="278"/>
      <c r="AA743" s="466"/>
      <c r="AB743" s="278"/>
      <c r="AC743" s="278"/>
      <c r="AD743" s="278"/>
      <c r="AE743" s="278"/>
      <c r="AF743" s="278"/>
      <c r="AG743" s="278" t="b">
        <f t="shared" si="5"/>
        <v>0</v>
      </c>
      <c r="AH743" s="454"/>
      <c r="AI743" s="278"/>
      <c r="AJ743" s="278"/>
      <c r="AK743" s="278"/>
      <c r="AL743" s="444" t="str">
        <f t="array" ref="AL743">IFERROR(IFS(OR(AJ743="A1-Mewtwo", AJ743="A1-Pikachu", AJ743="A1-Charizard", AJ743="A1"), XLOOKUP(AH743, 'Genetic Apex'!$C$2:$C889, 'Genetic Apex'!$B$2:$B889)-2, AJ743="A1a", XLOOKUP(AH743, 'Mythical Island'!$C$2:$C889, 'Mythical Island'!$B$2:$B889)-2, OR(AJ743="A2-Dialga", AJ743="A2-Palkia", AJ743="A2"), XLOOKUP(AH743, 'Space-Time Smackdown'!$C$2:$C889, 'Space-Time Smackdown'!$B$2:$B889)-2))</f>
        <v/>
      </c>
      <c r="AM743" s="444" t="str">
        <f t="shared" si="6"/>
        <v/>
      </c>
      <c r="AN743" s="448" t="str">
        <f t="shared" si="7"/>
        <v/>
      </c>
    </row>
    <row r="744">
      <c r="A744" s="277"/>
      <c r="B744" s="277"/>
      <c r="C744" s="441"/>
      <c r="D744" s="277"/>
      <c r="E744" s="277"/>
      <c r="F744" s="277"/>
      <c r="G744" s="277"/>
      <c r="H744" s="277" t="b">
        <f t="shared" si="1"/>
        <v>0</v>
      </c>
      <c r="I744" s="277"/>
      <c r="J744" s="277"/>
      <c r="K744" s="277"/>
      <c r="L744" s="277"/>
      <c r="M744" s="440" t="b">
        <f t="shared" si="2"/>
        <v>0</v>
      </c>
      <c r="N744" s="441"/>
      <c r="O744" s="277"/>
      <c r="P744" s="277"/>
      <c r="Q744" s="278"/>
      <c r="R744" s="449" t="str">
        <f t="array" ref="R744">IFERROR(IFS(OR(P744="A1-Mewtwo", P744="A1-Pikachu", P744="A1-Charizard", P744="A1"), XLOOKUP(N744, 'Genetic Apex'!$C$2:$C889, 'Genetic Apex'!$B$2:$B889)-$B$4, P744="A1a", XLOOKUP(N744, 'Mythical Island'!$C$2:$C889, 'Mythical Island'!$B$2:$B889)-$B$4, OR(P744="A2-Dialga", P744="A2-Palkia", P744="A2"), XLOOKUP(N744, 'Space-Time Smackdown'!$C$2:$C889, 'Space-Time Smackdown'!$B$2:$B889)-$B$4))</f>
        <v/>
      </c>
      <c r="S744" s="277"/>
      <c r="T744" s="277"/>
      <c r="U744" s="277"/>
      <c r="V744" s="278"/>
      <c r="W744" s="443" t="str">
        <f t="array" ref="W744">IFERROR(IFS(OR(U744="A1-Mewtwo", U744="A1-Pikachu", U744="A1-Charizard", U744="A1"), $B$5-XLOOKUP(S744, 'Genetic Apex'!$C$2:$C889, 'Genetic Apex'!$B$2:$B889), U744="A1a", $B$5-XLOOKUP(S744, 'Mythical Island'!$C$2:$C889, 'Mythical Island'!$B$2:$B889), OR(U744="A2-Dialga", U744="A2-Palkia", U744="A2"), $B$5-XLOOKUP(S744, 'Space-Time Smackdown'!$C$2:$C889, 'Space-Time Smackdown'!$B$2:$B889)))</f>
        <v/>
      </c>
      <c r="X744" s="444" t="str">
        <f t="shared" si="3"/>
        <v/>
      </c>
      <c r="Y744" s="445" t="str">
        <f t="shared" si="4"/>
        <v/>
      </c>
      <c r="Z744" s="278"/>
      <c r="AA744" s="466"/>
      <c r="AB744" s="278"/>
      <c r="AC744" s="278"/>
      <c r="AD744" s="278"/>
      <c r="AE744" s="278"/>
      <c r="AF744" s="278"/>
      <c r="AG744" s="278" t="b">
        <f t="shared" si="5"/>
        <v>0</v>
      </c>
      <c r="AH744" s="454"/>
      <c r="AI744" s="278"/>
      <c r="AJ744" s="278"/>
      <c r="AK744" s="278"/>
      <c r="AL744" s="444" t="str">
        <f t="array" ref="AL744">IFERROR(IFS(OR(AJ744="A1-Mewtwo", AJ744="A1-Pikachu", AJ744="A1-Charizard", AJ744="A1"), XLOOKUP(AH744, 'Genetic Apex'!$C$2:$C889, 'Genetic Apex'!$B$2:$B889)-2, AJ744="A1a", XLOOKUP(AH744, 'Mythical Island'!$C$2:$C889, 'Mythical Island'!$B$2:$B889)-2, OR(AJ744="A2-Dialga", AJ744="A2-Palkia", AJ744="A2"), XLOOKUP(AH744, 'Space-Time Smackdown'!$C$2:$C889, 'Space-Time Smackdown'!$B$2:$B889)-2))</f>
        <v/>
      </c>
      <c r="AM744" s="444" t="str">
        <f t="shared" si="6"/>
        <v/>
      </c>
      <c r="AN744" s="448" t="str">
        <f t="shared" si="7"/>
        <v/>
      </c>
    </row>
    <row r="745">
      <c r="A745" s="277"/>
      <c r="B745" s="277"/>
      <c r="C745" s="441"/>
      <c r="D745" s="277"/>
      <c r="E745" s="277"/>
      <c r="F745" s="277"/>
      <c r="G745" s="277"/>
      <c r="H745" s="277" t="b">
        <f t="shared" si="1"/>
        <v>0</v>
      </c>
      <c r="I745" s="277"/>
      <c r="J745" s="277"/>
      <c r="K745" s="277"/>
      <c r="L745" s="277"/>
      <c r="M745" s="440" t="b">
        <f t="shared" si="2"/>
        <v>0</v>
      </c>
      <c r="N745" s="441"/>
      <c r="O745" s="277"/>
      <c r="P745" s="277"/>
      <c r="Q745" s="278"/>
      <c r="R745" s="449" t="str">
        <f t="array" ref="R745">IFERROR(IFS(OR(P745="A1-Mewtwo", P745="A1-Pikachu", P745="A1-Charizard", P745="A1"), XLOOKUP(N745, 'Genetic Apex'!$C$2:$C889, 'Genetic Apex'!$B$2:$B889)-$B$4, P745="A1a", XLOOKUP(N745, 'Mythical Island'!$C$2:$C889, 'Mythical Island'!$B$2:$B889)-$B$4, OR(P745="A2-Dialga", P745="A2-Palkia", P745="A2"), XLOOKUP(N745, 'Space-Time Smackdown'!$C$2:$C889, 'Space-Time Smackdown'!$B$2:$B889)-$B$4))</f>
        <v/>
      </c>
      <c r="S745" s="277"/>
      <c r="T745" s="277"/>
      <c r="U745" s="277"/>
      <c r="V745" s="278"/>
      <c r="W745" s="443" t="str">
        <f t="array" ref="W745">IFERROR(IFS(OR(U745="A1-Mewtwo", U745="A1-Pikachu", U745="A1-Charizard", U745="A1"), $B$5-XLOOKUP(S745, 'Genetic Apex'!$C$2:$C889, 'Genetic Apex'!$B$2:$B889), U745="A1a", $B$5-XLOOKUP(S745, 'Mythical Island'!$C$2:$C889, 'Mythical Island'!$B$2:$B889), OR(U745="A2-Dialga", U745="A2-Palkia", U745="A2"), $B$5-XLOOKUP(S745, 'Space-Time Smackdown'!$C$2:$C889, 'Space-Time Smackdown'!$B$2:$B889)))</f>
        <v/>
      </c>
      <c r="X745" s="444" t="str">
        <f t="shared" si="3"/>
        <v/>
      </c>
      <c r="Y745" s="445" t="str">
        <f t="shared" si="4"/>
        <v/>
      </c>
      <c r="Z745" s="278"/>
      <c r="AA745" s="466"/>
      <c r="AB745" s="278"/>
      <c r="AC745" s="278"/>
      <c r="AD745" s="278"/>
      <c r="AE745" s="278"/>
      <c r="AF745" s="278"/>
      <c r="AG745" s="278" t="b">
        <f t="shared" si="5"/>
        <v>0</v>
      </c>
      <c r="AH745" s="454"/>
      <c r="AI745" s="278"/>
      <c r="AJ745" s="278"/>
      <c r="AK745" s="278"/>
      <c r="AL745" s="444" t="str">
        <f t="array" ref="AL745">IFERROR(IFS(OR(AJ745="A1-Mewtwo", AJ745="A1-Pikachu", AJ745="A1-Charizard", AJ745="A1"), XLOOKUP(AH745, 'Genetic Apex'!$C$2:$C889, 'Genetic Apex'!$B$2:$B889)-2, AJ745="A1a", XLOOKUP(AH745, 'Mythical Island'!$C$2:$C889, 'Mythical Island'!$B$2:$B889)-2, OR(AJ745="A2-Dialga", AJ745="A2-Palkia", AJ745="A2"), XLOOKUP(AH745, 'Space-Time Smackdown'!$C$2:$C889, 'Space-Time Smackdown'!$B$2:$B889)-2))</f>
        <v/>
      </c>
      <c r="AM745" s="444" t="str">
        <f t="shared" si="6"/>
        <v/>
      </c>
      <c r="AN745" s="448" t="str">
        <f t="shared" si="7"/>
        <v/>
      </c>
    </row>
    <row r="746">
      <c r="A746" s="277"/>
      <c r="B746" s="277"/>
      <c r="C746" s="441"/>
      <c r="D746" s="277"/>
      <c r="E746" s="277"/>
      <c r="F746" s="277"/>
      <c r="G746" s="277"/>
      <c r="H746" s="277" t="b">
        <f t="shared" si="1"/>
        <v>0</v>
      </c>
      <c r="I746" s="277"/>
      <c r="J746" s="277"/>
      <c r="K746" s="277"/>
      <c r="L746" s="277"/>
      <c r="M746" s="440" t="b">
        <f t="shared" si="2"/>
        <v>0</v>
      </c>
      <c r="N746" s="441"/>
      <c r="O746" s="277"/>
      <c r="P746" s="277"/>
      <c r="Q746" s="278"/>
      <c r="R746" s="449" t="str">
        <f t="array" ref="R746">IFERROR(IFS(OR(P746="A1-Mewtwo", P746="A1-Pikachu", P746="A1-Charizard", P746="A1"), XLOOKUP(N746, 'Genetic Apex'!$C$2:$C889, 'Genetic Apex'!$B$2:$B889)-$B$4, P746="A1a", XLOOKUP(N746, 'Mythical Island'!$C$2:$C889, 'Mythical Island'!$B$2:$B889)-$B$4, OR(P746="A2-Dialga", P746="A2-Palkia", P746="A2"), XLOOKUP(N746, 'Space-Time Smackdown'!$C$2:$C889, 'Space-Time Smackdown'!$B$2:$B889)-$B$4))</f>
        <v/>
      </c>
      <c r="S746" s="277"/>
      <c r="T746" s="277"/>
      <c r="U746" s="277"/>
      <c r="V746" s="278"/>
      <c r="W746" s="443" t="str">
        <f t="array" ref="W746">IFERROR(IFS(OR(U746="A1-Mewtwo", U746="A1-Pikachu", U746="A1-Charizard", U746="A1"), $B$5-XLOOKUP(S746, 'Genetic Apex'!$C$2:$C889, 'Genetic Apex'!$B$2:$B889), U746="A1a", $B$5-XLOOKUP(S746, 'Mythical Island'!$C$2:$C889, 'Mythical Island'!$B$2:$B889), OR(U746="A2-Dialga", U746="A2-Palkia", U746="A2"), $B$5-XLOOKUP(S746, 'Space-Time Smackdown'!$C$2:$C889, 'Space-Time Smackdown'!$B$2:$B889)))</f>
        <v/>
      </c>
      <c r="X746" s="444" t="str">
        <f t="shared" si="3"/>
        <v/>
      </c>
      <c r="Y746" s="445" t="str">
        <f t="shared" si="4"/>
        <v/>
      </c>
      <c r="Z746" s="278"/>
      <c r="AA746" s="466"/>
      <c r="AB746" s="278"/>
      <c r="AC746" s="278"/>
      <c r="AD746" s="278"/>
      <c r="AE746" s="278"/>
      <c r="AF746" s="278"/>
      <c r="AG746" s="278" t="b">
        <f t="shared" si="5"/>
        <v>0</v>
      </c>
      <c r="AH746" s="454"/>
      <c r="AI746" s="278"/>
      <c r="AJ746" s="278"/>
      <c r="AK746" s="278"/>
      <c r="AL746" s="444" t="str">
        <f t="array" ref="AL746">IFERROR(IFS(OR(AJ746="A1-Mewtwo", AJ746="A1-Pikachu", AJ746="A1-Charizard", AJ746="A1"), XLOOKUP(AH746, 'Genetic Apex'!$C$2:$C889, 'Genetic Apex'!$B$2:$B889)-2, AJ746="A1a", XLOOKUP(AH746, 'Mythical Island'!$C$2:$C889, 'Mythical Island'!$B$2:$B889)-2, OR(AJ746="A2-Dialga", AJ746="A2-Palkia", AJ746="A2"), XLOOKUP(AH746, 'Space-Time Smackdown'!$C$2:$C889, 'Space-Time Smackdown'!$B$2:$B889)-2))</f>
        <v/>
      </c>
      <c r="AM746" s="444" t="str">
        <f t="shared" si="6"/>
        <v/>
      </c>
      <c r="AN746" s="448" t="str">
        <f t="shared" si="7"/>
        <v/>
      </c>
    </row>
    <row r="747">
      <c r="A747" s="277"/>
      <c r="B747" s="277"/>
      <c r="C747" s="441"/>
      <c r="D747" s="277"/>
      <c r="E747" s="277"/>
      <c r="F747" s="277"/>
      <c r="G747" s="277"/>
      <c r="H747" s="277" t="b">
        <f t="shared" si="1"/>
        <v>0</v>
      </c>
      <c r="I747" s="277"/>
      <c r="J747" s="277"/>
      <c r="K747" s="277"/>
      <c r="L747" s="277"/>
      <c r="M747" s="440" t="b">
        <f t="shared" si="2"/>
        <v>0</v>
      </c>
      <c r="N747" s="441"/>
      <c r="O747" s="277"/>
      <c r="P747" s="277"/>
      <c r="Q747" s="278"/>
      <c r="R747" s="449" t="str">
        <f t="array" ref="R747">IFERROR(IFS(OR(P747="A1-Mewtwo", P747="A1-Pikachu", P747="A1-Charizard", P747="A1"), XLOOKUP(N747, 'Genetic Apex'!$C$2:$C889, 'Genetic Apex'!$B$2:$B889)-$B$4, P747="A1a", XLOOKUP(N747, 'Mythical Island'!$C$2:$C889, 'Mythical Island'!$B$2:$B889)-$B$4, OR(P747="A2-Dialga", P747="A2-Palkia", P747="A2"), XLOOKUP(N747, 'Space-Time Smackdown'!$C$2:$C889, 'Space-Time Smackdown'!$B$2:$B889)-$B$4))</f>
        <v/>
      </c>
      <c r="S747" s="277"/>
      <c r="T747" s="277"/>
      <c r="U747" s="277"/>
      <c r="V747" s="278"/>
      <c r="W747" s="443" t="str">
        <f t="array" ref="W747">IFERROR(IFS(OR(U747="A1-Mewtwo", U747="A1-Pikachu", U747="A1-Charizard", U747="A1"), $B$5-XLOOKUP(S747, 'Genetic Apex'!$C$2:$C889, 'Genetic Apex'!$B$2:$B889), U747="A1a", $B$5-XLOOKUP(S747, 'Mythical Island'!$C$2:$C889, 'Mythical Island'!$B$2:$B889), OR(U747="A2-Dialga", U747="A2-Palkia", U747="A2"), $B$5-XLOOKUP(S747, 'Space-Time Smackdown'!$C$2:$C889, 'Space-Time Smackdown'!$B$2:$B889)))</f>
        <v/>
      </c>
      <c r="X747" s="444" t="str">
        <f t="shared" si="3"/>
        <v/>
      </c>
      <c r="Y747" s="445" t="str">
        <f t="shared" si="4"/>
        <v/>
      </c>
      <c r="Z747" s="278"/>
      <c r="AA747" s="466"/>
      <c r="AB747" s="278"/>
      <c r="AC747" s="278"/>
      <c r="AD747" s="278"/>
      <c r="AE747" s="278"/>
      <c r="AF747" s="278"/>
      <c r="AG747" s="278" t="b">
        <f t="shared" si="5"/>
        <v>0</v>
      </c>
      <c r="AH747" s="454"/>
      <c r="AI747" s="278"/>
      <c r="AJ747" s="278"/>
      <c r="AK747" s="278"/>
      <c r="AL747" s="444" t="str">
        <f t="array" ref="AL747">IFERROR(IFS(OR(AJ747="A1-Mewtwo", AJ747="A1-Pikachu", AJ747="A1-Charizard", AJ747="A1"), XLOOKUP(AH747, 'Genetic Apex'!$C$2:$C889, 'Genetic Apex'!$B$2:$B889)-2, AJ747="A1a", XLOOKUP(AH747, 'Mythical Island'!$C$2:$C889, 'Mythical Island'!$B$2:$B889)-2, OR(AJ747="A2-Dialga", AJ747="A2-Palkia", AJ747="A2"), XLOOKUP(AH747, 'Space-Time Smackdown'!$C$2:$C889, 'Space-Time Smackdown'!$B$2:$B889)-2))</f>
        <v/>
      </c>
      <c r="AM747" s="444" t="str">
        <f t="shared" si="6"/>
        <v/>
      </c>
      <c r="AN747" s="448" t="str">
        <f t="shared" si="7"/>
        <v/>
      </c>
    </row>
    <row r="748">
      <c r="A748" s="277"/>
      <c r="B748" s="277"/>
      <c r="C748" s="441"/>
      <c r="D748" s="277"/>
      <c r="E748" s="277"/>
      <c r="F748" s="277"/>
      <c r="G748" s="277"/>
      <c r="H748" s="277" t="b">
        <f t="shared" si="1"/>
        <v>0</v>
      </c>
      <c r="I748" s="277"/>
      <c r="J748" s="277"/>
      <c r="K748" s="277"/>
      <c r="L748" s="277"/>
      <c r="M748" s="440" t="b">
        <f t="shared" si="2"/>
        <v>0</v>
      </c>
      <c r="N748" s="441"/>
      <c r="O748" s="277"/>
      <c r="P748" s="277"/>
      <c r="Q748" s="278"/>
      <c r="R748" s="449" t="str">
        <f t="array" ref="R748">IFERROR(IFS(OR(P748="A1-Mewtwo", P748="A1-Pikachu", P748="A1-Charizard", P748="A1"), XLOOKUP(N748, 'Genetic Apex'!$C$2:$C889, 'Genetic Apex'!$B$2:$B889)-$B$4, P748="A1a", XLOOKUP(N748, 'Mythical Island'!$C$2:$C889, 'Mythical Island'!$B$2:$B889)-$B$4, OR(P748="A2-Dialga", P748="A2-Palkia", P748="A2"), XLOOKUP(N748, 'Space-Time Smackdown'!$C$2:$C889, 'Space-Time Smackdown'!$B$2:$B889)-$B$4))</f>
        <v/>
      </c>
      <c r="S748" s="277"/>
      <c r="T748" s="277"/>
      <c r="U748" s="277"/>
      <c r="V748" s="278"/>
      <c r="W748" s="443" t="str">
        <f t="array" ref="W748">IFERROR(IFS(OR(U748="A1-Mewtwo", U748="A1-Pikachu", U748="A1-Charizard", U748="A1"), $B$5-XLOOKUP(S748, 'Genetic Apex'!$C$2:$C889, 'Genetic Apex'!$B$2:$B889), U748="A1a", $B$5-XLOOKUP(S748, 'Mythical Island'!$C$2:$C889, 'Mythical Island'!$B$2:$B889), OR(U748="A2-Dialga", U748="A2-Palkia", U748="A2"), $B$5-XLOOKUP(S748, 'Space-Time Smackdown'!$C$2:$C889, 'Space-Time Smackdown'!$B$2:$B889)))</f>
        <v/>
      </c>
      <c r="X748" s="444" t="str">
        <f t="shared" si="3"/>
        <v/>
      </c>
      <c r="Y748" s="445" t="str">
        <f t="shared" si="4"/>
        <v/>
      </c>
      <c r="Z748" s="278"/>
      <c r="AA748" s="466"/>
      <c r="AB748" s="278"/>
      <c r="AC748" s="278"/>
      <c r="AD748" s="278"/>
      <c r="AE748" s="278"/>
      <c r="AF748" s="278"/>
      <c r="AG748" s="278" t="b">
        <f t="shared" si="5"/>
        <v>0</v>
      </c>
      <c r="AH748" s="454"/>
      <c r="AI748" s="278"/>
      <c r="AJ748" s="278"/>
      <c r="AK748" s="278"/>
      <c r="AL748" s="444" t="str">
        <f t="array" ref="AL748">IFERROR(IFS(OR(AJ748="A1-Mewtwo", AJ748="A1-Pikachu", AJ748="A1-Charizard", AJ748="A1"), XLOOKUP(AH748, 'Genetic Apex'!$C$2:$C889, 'Genetic Apex'!$B$2:$B889)-2, AJ748="A1a", XLOOKUP(AH748, 'Mythical Island'!$C$2:$C889, 'Mythical Island'!$B$2:$B889)-2, OR(AJ748="A2-Dialga", AJ748="A2-Palkia", AJ748="A2"), XLOOKUP(AH748, 'Space-Time Smackdown'!$C$2:$C889, 'Space-Time Smackdown'!$B$2:$B889)-2))</f>
        <v/>
      </c>
      <c r="AM748" s="444" t="str">
        <f t="shared" si="6"/>
        <v/>
      </c>
      <c r="AN748" s="448" t="str">
        <f t="shared" si="7"/>
        <v/>
      </c>
    </row>
    <row r="749">
      <c r="A749" s="277"/>
      <c r="B749" s="277"/>
      <c r="C749" s="441"/>
      <c r="D749" s="277"/>
      <c r="E749" s="277"/>
      <c r="F749" s="277"/>
      <c r="G749" s="277"/>
      <c r="H749" s="277" t="b">
        <f t="shared" si="1"/>
        <v>0</v>
      </c>
      <c r="I749" s="277"/>
      <c r="J749" s="277"/>
      <c r="K749" s="277"/>
      <c r="L749" s="277"/>
      <c r="M749" s="440" t="b">
        <f t="shared" si="2"/>
        <v>0</v>
      </c>
      <c r="N749" s="441"/>
      <c r="O749" s="277"/>
      <c r="P749" s="277"/>
      <c r="Q749" s="278"/>
      <c r="R749" s="449" t="str">
        <f t="array" ref="R749">IFERROR(IFS(OR(P749="A1-Mewtwo", P749="A1-Pikachu", P749="A1-Charizard", P749="A1"), XLOOKUP(N749, 'Genetic Apex'!$C$2:$C889, 'Genetic Apex'!$B$2:$B889)-$B$4, P749="A1a", XLOOKUP(N749, 'Mythical Island'!$C$2:$C889, 'Mythical Island'!$B$2:$B889)-$B$4, OR(P749="A2-Dialga", P749="A2-Palkia", P749="A2"), XLOOKUP(N749, 'Space-Time Smackdown'!$C$2:$C889, 'Space-Time Smackdown'!$B$2:$B889)-$B$4))</f>
        <v/>
      </c>
      <c r="S749" s="277"/>
      <c r="T749" s="277"/>
      <c r="U749" s="277"/>
      <c r="V749" s="278"/>
      <c r="W749" s="443" t="str">
        <f t="array" ref="W749">IFERROR(IFS(OR(U749="A1-Mewtwo", U749="A1-Pikachu", U749="A1-Charizard", U749="A1"), $B$5-XLOOKUP(S749, 'Genetic Apex'!$C$2:$C889, 'Genetic Apex'!$B$2:$B889), U749="A1a", $B$5-XLOOKUP(S749, 'Mythical Island'!$C$2:$C889, 'Mythical Island'!$B$2:$B889), OR(U749="A2-Dialga", U749="A2-Palkia", U749="A2"), $B$5-XLOOKUP(S749, 'Space-Time Smackdown'!$C$2:$C889, 'Space-Time Smackdown'!$B$2:$B889)))</f>
        <v/>
      </c>
      <c r="X749" s="444" t="str">
        <f t="shared" si="3"/>
        <v/>
      </c>
      <c r="Y749" s="445" t="str">
        <f t="shared" si="4"/>
        <v/>
      </c>
      <c r="Z749" s="278"/>
      <c r="AA749" s="466"/>
      <c r="AB749" s="278"/>
      <c r="AC749" s="278"/>
      <c r="AD749" s="278"/>
      <c r="AE749" s="278"/>
      <c r="AF749" s="278"/>
      <c r="AG749" s="278" t="b">
        <f t="shared" si="5"/>
        <v>0</v>
      </c>
      <c r="AH749" s="454"/>
      <c r="AI749" s="278"/>
      <c r="AJ749" s="278"/>
      <c r="AK749" s="278"/>
      <c r="AL749" s="444" t="str">
        <f t="array" ref="AL749">IFERROR(IFS(OR(AJ749="A1-Mewtwo", AJ749="A1-Pikachu", AJ749="A1-Charizard", AJ749="A1"), XLOOKUP(AH749, 'Genetic Apex'!$C$2:$C889, 'Genetic Apex'!$B$2:$B889)-2, AJ749="A1a", XLOOKUP(AH749, 'Mythical Island'!$C$2:$C889, 'Mythical Island'!$B$2:$B889)-2, OR(AJ749="A2-Dialga", AJ749="A2-Palkia", AJ749="A2"), XLOOKUP(AH749, 'Space-Time Smackdown'!$C$2:$C889, 'Space-Time Smackdown'!$B$2:$B889)-2))</f>
        <v/>
      </c>
      <c r="AM749" s="444" t="str">
        <f t="shared" si="6"/>
        <v/>
      </c>
      <c r="AN749" s="448" t="str">
        <f t="shared" si="7"/>
        <v/>
      </c>
    </row>
    <row r="750">
      <c r="A750" s="277"/>
      <c r="B750" s="277"/>
      <c r="C750" s="441"/>
      <c r="D750" s="277"/>
      <c r="E750" s="277"/>
      <c r="F750" s="277"/>
      <c r="G750" s="277"/>
      <c r="H750" s="277" t="b">
        <f t="shared" si="1"/>
        <v>0</v>
      </c>
      <c r="I750" s="277"/>
      <c r="J750" s="277"/>
      <c r="K750" s="277"/>
      <c r="L750" s="277"/>
      <c r="M750" s="440" t="b">
        <f t="shared" si="2"/>
        <v>0</v>
      </c>
      <c r="N750" s="441"/>
      <c r="O750" s="277"/>
      <c r="P750" s="277"/>
      <c r="Q750" s="278"/>
      <c r="R750" s="449" t="str">
        <f t="array" ref="R750">IFERROR(IFS(OR(P750="A1-Mewtwo", P750="A1-Pikachu", P750="A1-Charizard", P750="A1"), XLOOKUP(N750, 'Genetic Apex'!$C$2:$C889, 'Genetic Apex'!$B$2:$B889)-$B$4, P750="A1a", XLOOKUP(N750, 'Mythical Island'!$C$2:$C889, 'Mythical Island'!$B$2:$B889)-$B$4, OR(P750="A2-Dialga", P750="A2-Palkia", P750="A2"), XLOOKUP(N750, 'Space-Time Smackdown'!$C$2:$C889, 'Space-Time Smackdown'!$B$2:$B889)-$B$4))</f>
        <v/>
      </c>
      <c r="S750" s="277"/>
      <c r="T750" s="277"/>
      <c r="U750" s="277"/>
      <c r="V750" s="278"/>
      <c r="W750" s="443" t="str">
        <f t="array" ref="W750">IFERROR(IFS(OR(U750="A1-Mewtwo", U750="A1-Pikachu", U750="A1-Charizard", U750="A1"), $B$5-XLOOKUP(S750, 'Genetic Apex'!$C$2:$C889, 'Genetic Apex'!$B$2:$B889), U750="A1a", $B$5-XLOOKUP(S750, 'Mythical Island'!$C$2:$C889, 'Mythical Island'!$B$2:$B889), OR(U750="A2-Dialga", U750="A2-Palkia", U750="A2"), $B$5-XLOOKUP(S750, 'Space-Time Smackdown'!$C$2:$C889, 'Space-Time Smackdown'!$B$2:$B889)))</f>
        <v/>
      </c>
      <c r="X750" s="444" t="str">
        <f t="shared" si="3"/>
        <v/>
      </c>
      <c r="Y750" s="445" t="str">
        <f t="shared" si="4"/>
        <v/>
      </c>
      <c r="Z750" s="278"/>
      <c r="AA750" s="466"/>
      <c r="AB750" s="278"/>
      <c r="AC750" s="278"/>
      <c r="AD750" s="278"/>
      <c r="AE750" s="278"/>
      <c r="AF750" s="278"/>
      <c r="AG750" s="278" t="b">
        <f t="shared" si="5"/>
        <v>0</v>
      </c>
      <c r="AH750" s="454"/>
      <c r="AI750" s="278"/>
      <c r="AJ750" s="278"/>
      <c r="AK750" s="278"/>
      <c r="AL750" s="444" t="str">
        <f t="array" ref="AL750">IFERROR(IFS(OR(AJ750="A1-Mewtwo", AJ750="A1-Pikachu", AJ750="A1-Charizard", AJ750="A1"), XLOOKUP(AH750, 'Genetic Apex'!$C$2:$C889, 'Genetic Apex'!$B$2:$B889)-2, AJ750="A1a", XLOOKUP(AH750, 'Mythical Island'!$C$2:$C889, 'Mythical Island'!$B$2:$B889)-2, OR(AJ750="A2-Dialga", AJ750="A2-Palkia", AJ750="A2"), XLOOKUP(AH750, 'Space-Time Smackdown'!$C$2:$C889, 'Space-Time Smackdown'!$B$2:$B889)-2))</f>
        <v/>
      </c>
      <c r="AM750" s="444" t="str">
        <f t="shared" si="6"/>
        <v/>
      </c>
      <c r="AN750" s="448" t="str">
        <f t="shared" si="7"/>
        <v/>
      </c>
    </row>
    <row r="751">
      <c r="A751" s="277"/>
      <c r="B751" s="277"/>
      <c r="C751" s="441"/>
      <c r="D751" s="277"/>
      <c r="E751" s="277"/>
      <c r="F751" s="277"/>
      <c r="G751" s="277"/>
      <c r="H751" s="277" t="b">
        <f t="shared" si="1"/>
        <v>0</v>
      </c>
      <c r="I751" s="277"/>
      <c r="J751" s="277"/>
      <c r="K751" s="277"/>
      <c r="L751" s="277"/>
      <c r="M751" s="440" t="b">
        <f t="shared" si="2"/>
        <v>0</v>
      </c>
      <c r="N751" s="441"/>
      <c r="O751" s="277"/>
      <c r="P751" s="277"/>
      <c r="Q751" s="278"/>
      <c r="R751" s="449" t="str">
        <f t="array" ref="R751">IFERROR(IFS(OR(P751="A1-Mewtwo", P751="A1-Pikachu", P751="A1-Charizard", P751="A1"), XLOOKUP(N751, 'Genetic Apex'!$C$2:$C889, 'Genetic Apex'!$B$2:$B889)-$B$4, P751="A1a", XLOOKUP(N751, 'Mythical Island'!$C$2:$C889, 'Mythical Island'!$B$2:$B889)-$B$4, OR(P751="A2-Dialga", P751="A2-Palkia", P751="A2"), XLOOKUP(N751, 'Space-Time Smackdown'!$C$2:$C889, 'Space-Time Smackdown'!$B$2:$B889)-$B$4))</f>
        <v/>
      </c>
      <c r="S751" s="277"/>
      <c r="T751" s="277"/>
      <c r="U751" s="277"/>
      <c r="V751" s="278"/>
      <c r="W751" s="443" t="str">
        <f t="array" ref="W751">IFERROR(IFS(OR(U751="A1-Mewtwo", U751="A1-Pikachu", U751="A1-Charizard", U751="A1"), $B$5-XLOOKUP(S751, 'Genetic Apex'!$C$2:$C889, 'Genetic Apex'!$B$2:$B889), U751="A1a", $B$5-XLOOKUP(S751, 'Mythical Island'!$C$2:$C889, 'Mythical Island'!$B$2:$B889), OR(U751="A2-Dialga", U751="A2-Palkia", U751="A2"), $B$5-XLOOKUP(S751, 'Space-Time Smackdown'!$C$2:$C889, 'Space-Time Smackdown'!$B$2:$B889)))</f>
        <v/>
      </c>
      <c r="X751" s="444" t="str">
        <f t="shared" si="3"/>
        <v/>
      </c>
      <c r="Y751" s="445" t="str">
        <f t="shared" si="4"/>
        <v/>
      </c>
      <c r="Z751" s="278"/>
      <c r="AA751" s="466"/>
      <c r="AB751" s="278"/>
      <c r="AC751" s="278"/>
      <c r="AD751" s="278"/>
      <c r="AE751" s="278"/>
      <c r="AF751" s="278"/>
      <c r="AG751" s="278" t="b">
        <f t="shared" si="5"/>
        <v>0</v>
      </c>
      <c r="AH751" s="454"/>
      <c r="AI751" s="278"/>
      <c r="AJ751" s="278"/>
      <c r="AK751" s="278"/>
      <c r="AL751" s="444" t="str">
        <f t="array" ref="AL751">IFERROR(IFS(OR(AJ751="A1-Mewtwo", AJ751="A1-Pikachu", AJ751="A1-Charizard", AJ751="A1"), XLOOKUP(AH751, 'Genetic Apex'!$C$2:$C889, 'Genetic Apex'!$B$2:$B889)-2, AJ751="A1a", XLOOKUP(AH751, 'Mythical Island'!$C$2:$C889, 'Mythical Island'!$B$2:$B889)-2, OR(AJ751="A2-Dialga", AJ751="A2-Palkia", AJ751="A2"), XLOOKUP(AH751, 'Space-Time Smackdown'!$C$2:$C889, 'Space-Time Smackdown'!$B$2:$B889)-2))</f>
        <v/>
      </c>
      <c r="AM751" s="444" t="str">
        <f t="shared" si="6"/>
        <v/>
      </c>
      <c r="AN751" s="448" t="str">
        <f t="shared" si="7"/>
        <v/>
      </c>
    </row>
    <row r="752">
      <c r="A752" s="277"/>
      <c r="B752" s="277"/>
      <c r="C752" s="441"/>
      <c r="D752" s="277"/>
      <c r="E752" s="277"/>
      <c r="F752" s="277"/>
      <c r="G752" s="277"/>
      <c r="H752" s="277" t="b">
        <f t="shared" si="1"/>
        <v>0</v>
      </c>
      <c r="I752" s="277"/>
      <c r="J752" s="277"/>
      <c r="K752" s="277"/>
      <c r="L752" s="277"/>
      <c r="M752" s="440" t="b">
        <f t="shared" si="2"/>
        <v>0</v>
      </c>
      <c r="N752" s="441"/>
      <c r="O752" s="277"/>
      <c r="P752" s="277"/>
      <c r="Q752" s="278"/>
      <c r="R752" s="449" t="str">
        <f t="array" ref="R752">IFERROR(IFS(OR(P752="A1-Mewtwo", P752="A1-Pikachu", P752="A1-Charizard", P752="A1"), XLOOKUP(N752, 'Genetic Apex'!$C$2:$C889, 'Genetic Apex'!$B$2:$B889)-$B$4, P752="A1a", XLOOKUP(N752, 'Mythical Island'!$C$2:$C889, 'Mythical Island'!$B$2:$B889)-$B$4, OR(P752="A2-Dialga", P752="A2-Palkia", P752="A2"), XLOOKUP(N752, 'Space-Time Smackdown'!$C$2:$C889, 'Space-Time Smackdown'!$B$2:$B889)-$B$4))</f>
        <v/>
      </c>
      <c r="S752" s="277"/>
      <c r="T752" s="277"/>
      <c r="U752" s="277"/>
      <c r="V752" s="278"/>
      <c r="W752" s="443" t="str">
        <f t="array" ref="W752">IFERROR(IFS(OR(U752="A1-Mewtwo", U752="A1-Pikachu", U752="A1-Charizard", U752="A1"), $B$5-XLOOKUP(S752, 'Genetic Apex'!$C$2:$C889, 'Genetic Apex'!$B$2:$B889), U752="A1a", $B$5-XLOOKUP(S752, 'Mythical Island'!$C$2:$C889, 'Mythical Island'!$B$2:$B889), OR(U752="A2-Dialga", U752="A2-Palkia", U752="A2"), $B$5-XLOOKUP(S752, 'Space-Time Smackdown'!$C$2:$C889, 'Space-Time Smackdown'!$B$2:$B889)))</f>
        <v/>
      </c>
      <c r="X752" s="444" t="str">
        <f t="shared" si="3"/>
        <v/>
      </c>
      <c r="Y752" s="445" t="str">
        <f t="shared" si="4"/>
        <v/>
      </c>
      <c r="Z752" s="278"/>
      <c r="AA752" s="466"/>
      <c r="AB752" s="278"/>
      <c r="AC752" s="278"/>
      <c r="AD752" s="278"/>
      <c r="AE752" s="278"/>
      <c r="AF752" s="278"/>
      <c r="AG752" s="278" t="b">
        <f t="shared" si="5"/>
        <v>0</v>
      </c>
      <c r="AH752" s="454"/>
      <c r="AI752" s="278"/>
      <c r="AJ752" s="278"/>
      <c r="AK752" s="278"/>
      <c r="AL752" s="444" t="str">
        <f t="array" ref="AL752">IFERROR(IFS(OR(AJ752="A1-Mewtwo", AJ752="A1-Pikachu", AJ752="A1-Charizard", AJ752="A1"), XLOOKUP(AH752, 'Genetic Apex'!$C$2:$C889, 'Genetic Apex'!$B$2:$B889)-2, AJ752="A1a", XLOOKUP(AH752, 'Mythical Island'!$C$2:$C889, 'Mythical Island'!$B$2:$B889)-2, OR(AJ752="A2-Dialga", AJ752="A2-Palkia", AJ752="A2"), XLOOKUP(AH752, 'Space-Time Smackdown'!$C$2:$C889, 'Space-Time Smackdown'!$B$2:$B889)-2))</f>
        <v/>
      </c>
      <c r="AM752" s="444" t="str">
        <f t="shared" si="6"/>
        <v/>
      </c>
      <c r="AN752" s="448" t="str">
        <f t="shared" si="7"/>
        <v/>
      </c>
    </row>
    <row r="753">
      <c r="A753" s="277"/>
      <c r="B753" s="277"/>
      <c r="C753" s="441"/>
      <c r="D753" s="277"/>
      <c r="E753" s="277"/>
      <c r="F753" s="277"/>
      <c r="G753" s="277"/>
      <c r="H753" s="277" t="b">
        <f t="shared" si="1"/>
        <v>0</v>
      </c>
      <c r="I753" s="277"/>
      <c r="J753" s="277"/>
      <c r="K753" s="277"/>
      <c r="L753" s="277"/>
      <c r="M753" s="440" t="b">
        <f t="shared" si="2"/>
        <v>0</v>
      </c>
      <c r="N753" s="441"/>
      <c r="O753" s="277"/>
      <c r="P753" s="277"/>
      <c r="Q753" s="278"/>
      <c r="R753" s="449" t="str">
        <f t="array" ref="R753">IFERROR(IFS(OR(P753="A1-Mewtwo", P753="A1-Pikachu", P753="A1-Charizard", P753="A1"), XLOOKUP(N753, 'Genetic Apex'!$C$2:$C889, 'Genetic Apex'!$B$2:$B889)-$B$4, P753="A1a", XLOOKUP(N753, 'Mythical Island'!$C$2:$C889, 'Mythical Island'!$B$2:$B889)-$B$4, OR(P753="A2-Dialga", P753="A2-Palkia", P753="A2"), XLOOKUP(N753, 'Space-Time Smackdown'!$C$2:$C889, 'Space-Time Smackdown'!$B$2:$B889)-$B$4))</f>
        <v/>
      </c>
      <c r="S753" s="277"/>
      <c r="T753" s="277"/>
      <c r="U753" s="277"/>
      <c r="V753" s="278"/>
      <c r="W753" s="443" t="str">
        <f t="array" ref="W753">IFERROR(IFS(OR(U753="A1-Mewtwo", U753="A1-Pikachu", U753="A1-Charizard", U753="A1"), $B$5-XLOOKUP(S753, 'Genetic Apex'!$C$2:$C889, 'Genetic Apex'!$B$2:$B889), U753="A1a", $B$5-XLOOKUP(S753, 'Mythical Island'!$C$2:$C889, 'Mythical Island'!$B$2:$B889), OR(U753="A2-Dialga", U753="A2-Palkia", U753="A2"), $B$5-XLOOKUP(S753, 'Space-Time Smackdown'!$C$2:$C889, 'Space-Time Smackdown'!$B$2:$B889)))</f>
        <v/>
      </c>
      <c r="X753" s="444" t="str">
        <f t="shared" si="3"/>
        <v/>
      </c>
      <c r="Y753" s="445" t="str">
        <f t="shared" si="4"/>
        <v/>
      </c>
      <c r="Z753" s="278"/>
      <c r="AA753" s="466"/>
      <c r="AB753" s="278"/>
      <c r="AC753" s="278"/>
      <c r="AD753" s="278"/>
      <c r="AE753" s="278"/>
      <c r="AF753" s="278"/>
      <c r="AG753" s="278" t="b">
        <f t="shared" si="5"/>
        <v>0</v>
      </c>
      <c r="AH753" s="454"/>
      <c r="AI753" s="278"/>
      <c r="AJ753" s="278"/>
      <c r="AK753" s="278"/>
      <c r="AL753" s="444" t="str">
        <f t="array" ref="AL753">IFERROR(IFS(OR(AJ753="A1-Mewtwo", AJ753="A1-Pikachu", AJ753="A1-Charizard", AJ753="A1"), XLOOKUP(AH753, 'Genetic Apex'!$C$2:$C889, 'Genetic Apex'!$B$2:$B889)-2, AJ753="A1a", XLOOKUP(AH753, 'Mythical Island'!$C$2:$C889, 'Mythical Island'!$B$2:$B889)-2, OR(AJ753="A2-Dialga", AJ753="A2-Palkia", AJ753="A2"), XLOOKUP(AH753, 'Space-Time Smackdown'!$C$2:$C889, 'Space-Time Smackdown'!$B$2:$B889)-2))</f>
        <v/>
      </c>
      <c r="AM753" s="444" t="str">
        <f t="shared" si="6"/>
        <v/>
      </c>
      <c r="AN753" s="448" t="str">
        <f t="shared" si="7"/>
        <v/>
      </c>
    </row>
    <row r="754">
      <c r="A754" s="277"/>
      <c r="B754" s="277"/>
      <c r="C754" s="441"/>
      <c r="D754" s="277"/>
      <c r="E754" s="277"/>
      <c r="F754" s="277"/>
      <c r="G754" s="277"/>
      <c r="H754" s="277" t="b">
        <f t="shared" si="1"/>
        <v>0</v>
      </c>
      <c r="I754" s="277"/>
      <c r="J754" s="277"/>
      <c r="K754" s="277"/>
      <c r="L754" s="277"/>
      <c r="M754" s="440" t="b">
        <f t="shared" si="2"/>
        <v>0</v>
      </c>
      <c r="N754" s="441"/>
      <c r="O754" s="277"/>
      <c r="P754" s="277"/>
      <c r="Q754" s="278"/>
      <c r="R754" s="449" t="str">
        <f t="array" ref="R754">IFERROR(IFS(OR(P754="A1-Mewtwo", P754="A1-Pikachu", P754="A1-Charizard", P754="A1"), XLOOKUP(N754, 'Genetic Apex'!$C$2:$C889, 'Genetic Apex'!$B$2:$B889)-$B$4, P754="A1a", XLOOKUP(N754, 'Mythical Island'!$C$2:$C889, 'Mythical Island'!$B$2:$B889)-$B$4, OR(P754="A2-Dialga", P754="A2-Palkia", P754="A2"), XLOOKUP(N754, 'Space-Time Smackdown'!$C$2:$C889, 'Space-Time Smackdown'!$B$2:$B889)-$B$4))</f>
        <v/>
      </c>
      <c r="S754" s="277"/>
      <c r="T754" s="277"/>
      <c r="U754" s="277"/>
      <c r="V754" s="278"/>
      <c r="W754" s="443" t="str">
        <f t="array" ref="W754">IFERROR(IFS(OR(U754="A1-Mewtwo", U754="A1-Pikachu", U754="A1-Charizard", U754="A1"), $B$5-XLOOKUP(S754, 'Genetic Apex'!$C$2:$C889, 'Genetic Apex'!$B$2:$B889), U754="A1a", $B$5-XLOOKUP(S754, 'Mythical Island'!$C$2:$C889, 'Mythical Island'!$B$2:$B889), OR(U754="A2-Dialga", U754="A2-Palkia", U754="A2"), $B$5-XLOOKUP(S754, 'Space-Time Smackdown'!$C$2:$C889, 'Space-Time Smackdown'!$B$2:$B889)))</f>
        <v/>
      </c>
      <c r="X754" s="444" t="str">
        <f t="shared" si="3"/>
        <v/>
      </c>
      <c r="Y754" s="445" t="str">
        <f t="shared" si="4"/>
        <v/>
      </c>
      <c r="Z754" s="278"/>
      <c r="AA754" s="466"/>
      <c r="AB754" s="278"/>
      <c r="AC754" s="278"/>
      <c r="AD754" s="278"/>
      <c r="AE754" s="278"/>
      <c r="AF754" s="278"/>
      <c r="AG754" s="278" t="b">
        <f t="shared" si="5"/>
        <v>0</v>
      </c>
      <c r="AH754" s="454"/>
      <c r="AI754" s="278"/>
      <c r="AJ754" s="278"/>
      <c r="AK754" s="278"/>
      <c r="AL754" s="444" t="str">
        <f t="array" ref="AL754">IFERROR(IFS(OR(AJ754="A1-Mewtwo", AJ754="A1-Pikachu", AJ754="A1-Charizard", AJ754="A1"), XLOOKUP(AH754, 'Genetic Apex'!$C$2:$C889, 'Genetic Apex'!$B$2:$B889)-2, AJ754="A1a", XLOOKUP(AH754, 'Mythical Island'!$C$2:$C889, 'Mythical Island'!$B$2:$B889)-2, OR(AJ754="A2-Dialga", AJ754="A2-Palkia", AJ754="A2"), XLOOKUP(AH754, 'Space-Time Smackdown'!$C$2:$C889, 'Space-Time Smackdown'!$B$2:$B889)-2))</f>
        <v/>
      </c>
      <c r="AM754" s="444" t="str">
        <f t="shared" si="6"/>
        <v/>
      </c>
      <c r="AN754" s="448" t="str">
        <f t="shared" si="7"/>
        <v/>
      </c>
    </row>
    <row r="755">
      <c r="A755" s="277"/>
      <c r="B755" s="277"/>
      <c r="C755" s="441"/>
      <c r="D755" s="277"/>
      <c r="E755" s="277"/>
      <c r="F755" s="277"/>
      <c r="G755" s="277"/>
      <c r="H755" s="277" t="b">
        <f t="shared" si="1"/>
        <v>0</v>
      </c>
      <c r="I755" s="277"/>
      <c r="J755" s="277"/>
      <c r="K755" s="277"/>
      <c r="L755" s="277"/>
      <c r="M755" s="440" t="b">
        <f t="shared" si="2"/>
        <v>0</v>
      </c>
      <c r="N755" s="441"/>
      <c r="O755" s="277"/>
      <c r="P755" s="277"/>
      <c r="Q755" s="278"/>
      <c r="R755" s="449" t="str">
        <f t="array" ref="R755">IFERROR(IFS(OR(P755="A1-Mewtwo", P755="A1-Pikachu", P755="A1-Charizard", P755="A1"), XLOOKUP(N755, 'Genetic Apex'!$C$2:$C889, 'Genetic Apex'!$B$2:$B889)-$B$4, P755="A1a", XLOOKUP(N755, 'Mythical Island'!$C$2:$C889, 'Mythical Island'!$B$2:$B889)-$B$4, OR(P755="A2-Dialga", P755="A2-Palkia", P755="A2"), XLOOKUP(N755, 'Space-Time Smackdown'!$C$2:$C889, 'Space-Time Smackdown'!$B$2:$B889)-$B$4))</f>
        <v/>
      </c>
      <c r="S755" s="277"/>
      <c r="T755" s="277"/>
      <c r="U755" s="277"/>
      <c r="V755" s="278"/>
      <c r="W755" s="443" t="str">
        <f t="array" ref="W755">IFERROR(IFS(OR(U755="A1-Mewtwo", U755="A1-Pikachu", U755="A1-Charizard", U755="A1"), $B$5-XLOOKUP(S755, 'Genetic Apex'!$C$2:$C889, 'Genetic Apex'!$B$2:$B889), U755="A1a", $B$5-XLOOKUP(S755, 'Mythical Island'!$C$2:$C889, 'Mythical Island'!$B$2:$B889), OR(U755="A2-Dialga", U755="A2-Palkia", U755="A2"), $B$5-XLOOKUP(S755, 'Space-Time Smackdown'!$C$2:$C889, 'Space-Time Smackdown'!$B$2:$B889)))</f>
        <v/>
      </c>
      <c r="X755" s="444" t="str">
        <f t="shared" si="3"/>
        <v/>
      </c>
      <c r="Y755" s="445" t="str">
        <f t="shared" si="4"/>
        <v/>
      </c>
      <c r="Z755" s="278"/>
      <c r="AA755" s="466"/>
      <c r="AB755" s="278"/>
      <c r="AC755" s="278"/>
      <c r="AD755" s="278"/>
      <c r="AE755" s="278"/>
      <c r="AF755" s="278"/>
      <c r="AG755" s="278" t="b">
        <f t="shared" si="5"/>
        <v>0</v>
      </c>
      <c r="AH755" s="454"/>
      <c r="AI755" s="278"/>
      <c r="AJ755" s="278"/>
      <c r="AK755" s="278"/>
      <c r="AL755" s="444" t="str">
        <f t="array" ref="AL755">IFERROR(IFS(OR(AJ755="A1-Mewtwo", AJ755="A1-Pikachu", AJ755="A1-Charizard", AJ755="A1"), XLOOKUP(AH755, 'Genetic Apex'!$C$2:$C889, 'Genetic Apex'!$B$2:$B889)-2, AJ755="A1a", XLOOKUP(AH755, 'Mythical Island'!$C$2:$C889, 'Mythical Island'!$B$2:$B889)-2, OR(AJ755="A2-Dialga", AJ755="A2-Palkia", AJ755="A2"), XLOOKUP(AH755, 'Space-Time Smackdown'!$C$2:$C889, 'Space-Time Smackdown'!$B$2:$B889)-2))</f>
        <v/>
      </c>
      <c r="AM755" s="444" t="str">
        <f t="shared" si="6"/>
        <v/>
      </c>
      <c r="AN755" s="448" t="str">
        <f t="shared" si="7"/>
        <v/>
      </c>
    </row>
    <row r="756">
      <c r="A756" s="277"/>
      <c r="B756" s="277"/>
      <c r="C756" s="441"/>
      <c r="D756" s="277"/>
      <c r="E756" s="277"/>
      <c r="F756" s="277"/>
      <c r="G756" s="277"/>
      <c r="H756" s="277" t="b">
        <f t="shared" si="1"/>
        <v>0</v>
      </c>
      <c r="I756" s="277"/>
      <c r="J756" s="277"/>
      <c r="K756" s="277"/>
      <c r="L756" s="277"/>
      <c r="M756" s="440" t="b">
        <f t="shared" si="2"/>
        <v>0</v>
      </c>
      <c r="N756" s="441"/>
      <c r="O756" s="277"/>
      <c r="P756" s="277"/>
      <c r="Q756" s="278"/>
      <c r="R756" s="449" t="str">
        <f t="array" ref="R756">IFERROR(IFS(OR(P756="A1-Mewtwo", P756="A1-Pikachu", P756="A1-Charizard", P756="A1"), XLOOKUP(N756, 'Genetic Apex'!$C$2:$C889, 'Genetic Apex'!$B$2:$B889)-$B$4, P756="A1a", XLOOKUP(N756, 'Mythical Island'!$C$2:$C889, 'Mythical Island'!$B$2:$B889)-$B$4, OR(P756="A2-Dialga", P756="A2-Palkia", P756="A2"), XLOOKUP(N756, 'Space-Time Smackdown'!$C$2:$C889, 'Space-Time Smackdown'!$B$2:$B889)-$B$4))</f>
        <v/>
      </c>
      <c r="S756" s="277"/>
      <c r="T756" s="277"/>
      <c r="U756" s="277"/>
      <c r="V756" s="278"/>
      <c r="W756" s="443" t="str">
        <f t="array" ref="W756">IFERROR(IFS(OR(U756="A1-Mewtwo", U756="A1-Pikachu", U756="A1-Charizard", U756="A1"), $B$5-XLOOKUP(S756, 'Genetic Apex'!$C$2:$C889, 'Genetic Apex'!$B$2:$B889), U756="A1a", $B$5-XLOOKUP(S756, 'Mythical Island'!$C$2:$C889, 'Mythical Island'!$B$2:$B889), OR(U756="A2-Dialga", U756="A2-Palkia", U756="A2"), $B$5-XLOOKUP(S756, 'Space-Time Smackdown'!$C$2:$C889, 'Space-Time Smackdown'!$B$2:$B889)))</f>
        <v/>
      </c>
      <c r="X756" s="444" t="str">
        <f t="shared" si="3"/>
        <v/>
      </c>
      <c r="Y756" s="445" t="str">
        <f t="shared" si="4"/>
        <v/>
      </c>
      <c r="Z756" s="278"/>
      <c r="AA756" s="466"/>
      <c r="AB756" s="278"/>
      <c r="AC756" s="278"/>
      <c r="AD756" s="278"/>
      <c r="AE756" s="278"/>
      <c r="AF756" s="278"/>
      <c r="AG756" s="278" t="b">
        <f t="shared" si="5"/>
        <v>0</v>
      </c>
      <c r="AH756" s="454"/>
      <c r="AI756" s="278"/>
      <c r="AJ756" s="278"/>
      <c r="AK756" s="278"/>
      <c r="AL756" s="444" t="str">
        <f t="array" ref="AL756">IFERROR(IFS(OR(AJ756="A1-Mewtwo", AJ756="A1-Pikachu", AJ756="A1-Charizard", AJ756="A1"), XLOOKUP(AH756, 'Genetic Apex'!$C$2:$C889, 'Genetic Apex'!$B$2:$B889)-2, AJ756="A1a", XLOOKUP(AH756, 'Mythical Island'!$C$2:$C889, 'Mythical Island'!$B$2:$B889)-2, OR(AJ756="A2-Dialga", AJ756="A2-Palkia", AJ756="A2"), XLOOKUP(AH756, 'Space-Time Smackdown'!$C$2:$C889, 'Space-Time Smackdown'!$B$2:$B889)-2))</f>
        <v/>
      </c>
      <c r="AM756" s="444" t="str">
        <f t="shared" si="6"/>
        <v/>
      </c>
      <c r="AN756" s="448" t="str">
        <f t="shared" si="7"/>
        <v/>
      </c>
    </row>
    <row r="757">
      <c r="A757" s="277"/>
      <c r="B757" s="277"/>
      <c r="C757" s="441"/>
      <c r="D757" s="277"/>
      <c r="E757" s="277"/>
      <c r="F757" s="277"/>
      <c r="G757" s="277"/>
      <c r="H757" s="277" t="b">
        <f t="shared" si="1"/>
        <v>0</v>
      </c>
      <c r="I757" s="277"/>
      <c r="J757" s="277"/>
      <c r="K757" s="277"/>
      <c r="L757" s="277"/>
      <c r="M757" s="440" t="b">
        <f t="shared" si="2"/>
        <v>0</v>
      </c>
      <c r="N757" s="441"/>
      <c r="O757" s="277"/>
      <c r="P757" s="277"/>
      <c r="Q757" s="278"/>
      <c r="R757" s="449" t="str">
        <f t="array" ref="R757">IFERROR(IFS(OR(P757="A1-Mewtwo", P757="A1-Pikachu", P757="A1-Charizard", P757="A1"), XLOOKUP(N757, 'Genetic Apex'!$C$2:$C889, 'Genetic Apex'!$B$2:$B889)-$B$4, P757="A1a", XLOOKUP(N757, 'Mythical Island'!$C$2:$C889, 'Mythical Island'!$B$2:$B889)-$B$4, OR(P757="A2-Dialga", P757="A2-Palkia", P757="A2"), XLOOKUP(N757, 'Space-Time Smackdown'!$C$2:$C889, 'Space-Time Smackdown'!$B$2:$B889)-$B$4))</f>
        <v/>
      </c>
      <c r="S757" s="277"/>
      <c r="T757" s="277"/>
      <c r="U757" s="277"/>
      <c r="V757" s="278"/>
      <c r="W757" s="443" t="str">
        <f t="array" ref="W757">IFERROR(IFS(OR(U757="A1-Mewtwo", U757="A1-Pikachu", U757="A1-Charizard", U757="A1"), $B$5-XLOOKUP(S757, 'Genetic Apex'!$C$2:$C889, 'Genetic Apex'!$B$2:$B889), U757="A1a", $B$5-XLOOKUP(S757, 'Mythical Island'!$C$2:$C889, 'Mythical Island'!$B$2:$B889), OR(U757="A2-Dialga", U757="A2-Palkia", U757="A2"), $B$5-XLOOKUP(S757, 'Space-Time Smackdown'!$C$2:$C889, 'Space-Time Smackdown'!$B$2:$B889)))</f>
        <v/>
      </c>
      <c r="X757" s="444" t="str">
        <f t="shared" si="3"/>
        <v/>
      </c>
      <c r="Y757" s="445" t="str">
        <f t="shared" si="4"/>
        <v/>
      </c>
      <c r="Z757" s="278"/>
      <c r="AA757" s="466"/>
      <c r="AB757" s="278"/>
      <c r="AC757" s="278"/>
      <c r="AD757" s="278"/>
      <c r="AE757" s="278"/>
      <c r="AF757" s="278"/>
      <c r="AG757" s="278" t="b">
        <f t="shared" si="5"/>
        <v>0</v>
      </c>
      <c r="AH757" s="454"/>
      <c r="AI757" s="278"/>
      <c r="AJ757" s="278"/>
      <c r="AK757" s="278"/>
      <c r="AL757" s="444" t="str">
        <f t="array" ref="AL757">IFERROR(IFS(OR(AJ757="A1-Mewtwo", AJ757="A1-Pikachu", AJ757="A1-Charizard", AJ757="A1"), XLOOKUP(AH757, 'Genetic Apex'!$C$2:$C889, 'Genetic Apex'!$B$2:$B889)-2, AJ757="A1a", XLOOKUP(AH757, 'Mythical Island'!$C$2:$C889, 'Mythical Island'!$B$2:$B889)-2, OR(AJ757="A2-Dialga", AJ757="A2-Palkia", AJ757="A2"), XLOOKUP(AH757, 'Space-Time Smackdown'!$C$2:$C889, 'Space-Time Smackdown'!$B$2:$B889)-2))</f>
        <v/>
      </c>
      <c r="AM757" s="444" t="str">
        <f t="shared" si="6"/>
        <v/>
      </c>
      <c r="AN757" s="448" t="str">
        <f t="shared" si="7"/>
        <v/>
      </c>
    </row>
    <row r="758">
      <c r="A758" s="277"/>
      <c r="B758" s="277"/>
      <c r="C758" s="441"/>
      <c r="D758" s="277"/>
      <c r="E758" s="277"/>
      <c r="F758" s="277"/>
      <c r="G758" s="277"/>
      <c r="H758" s="277" t="b">
        <f t="shared" si="1"/>
        <v>0</v>
      </c>
      <c r="I758" s="277"/>
      <c r="J758" s="277"/>
      <c r="K758" s="277"/>
      <c r="L758" s="277"/>
      <c r="M758" s="440" t="b">
        <f t="shared" si="2"/>
        <v>0</v>
      </c>
      <c r="N758" s="441"/>
      <c r="O758" s="277"/>
      <c r="P758" s="277"/>
      <c r="Q758" s="278"/>
      <c r="R758" s="449" t="str">
        <f t="array" ref="R758">IFERROR(IFS(OR(P758="A1-Mewtwo", P758="A1-Pikachu", P758="A1-Charizard", P758="A1"), XLOOKUP(N758, 'Genetic Apex'!$C$2:$C889, 'Genetic Apex'!$B$2:$B889)-$B$4, P758="A1a", XLOOKUP(N758, 'Mythical Island'!$C$2:$C889, 'Mythical Island'!$B$2:$B889)-$B$4, OR(P758="A2-Dialga", P758="A2-Palkia", P758="A2"), XLOOKUP(N758, 'Space-Time Smackdown'!$C$2:$C889, 'Space-Time Smackdown'!$B$2:$B889)-$B$4))</f>
        <v/>
      </c>
      <c r="S758" s="277"/>
      <c r="T758" s="277"/>
      <c r="U758" s="277"/>
      <c r="V758" s="278"/>
      <c r="W758" s="443" t="str">
        <f t="array" ref="W758">IFERROR(IFS(OR(U758="A1-Mewtwo", U758="A1-Pikachu", U758="A1-Charizard", U758="A1"), $B$5-XLOOKUP(S758, 'Genetic Apex'!$C$2:$C889, 'Genetic Apex'!$B$2:$B889), U758="A1a", $B$5-XLOOKUP(S758, 'Mythical Island'!$C$2:$C889, 'Mythical Island'!$B$2:$B889), OR(U758="A2-Dialga", U758="A2-Palkia", U758="A2"), $B$5-XLOOKUP(S758, 'Space-Time Smackdown'!$C$2:$C889, 'Space-Time Smackdown'!$B$2:$B889)))</f>
        <v/>
      </c>
      <c r="X758" s="444" t="str">
        <f t="shared" si="3"/>
        <v/>
      </c>
      <c r="Y758" s="445" t="str">
        <f t="shared" si="4"/>
        <v/>
      </c>
      <c r="Z758" s="278"/>
      <c r="AA758" s="466"/>
      <c r="AB758" s="278"/>
      <c r="AC758" s="278"/>
      <c r="AD758" s="278"/>
      <c r="AE758" s="278"/>
      <c r="AF758" s="278"/>
      <c r="AG758" s="278" t="b">
        <f t="shared" si="5"/>
        <v>0</v>
      </c>
      <c r="AH758" s="454"/>
      <c r="AI758" s="278"/>
      <c r="AJ758" s="278"/>
      <c r="AK758" s="278"/>
      <c r="AL758" s="444" t="str">
        <f t="array" ref="AL758">IFERROR(IFS(OR(AJ758="A1-Mewtwo", AJ758="A1-Pikachu", AJ758="A1-Charizard", AJ758="A1"), XLOOKUP(AH758, 'Genetic Apex'!$C$2:$C889, 'Genetic Apex'!$B$2:$B889)-2, AJ758="A1a", XLOOKUP(AH758, 'Mythical Island'!$C$2:$C889, 'Mythical Island'!$B$2:$B889)-2, OR(AJ758="A2-Dialga", AJ758="A2-Palkia", AJ758="A2"), XLOOKUP(AH758, 'Space-Time Smackdown'!$C$2:$C889, 'Space-Time Smackdown'!$B$2:$B889)-2))</f>
        <v/>
      </c>
      <c r="AM758" s="444" t="str">
        <f t="shared" si="6"/>
        <v/>
      </c>
      <c r="AN758" s="448" t="str">
        <f t="shared" si="7"/>
        <v/>
      </c>
    </row>
    <row r="759">
      <c r="A759" s="277"/>
      <c r="B759" s="277"/>
      <c r="C759" s="441"/>
      <c r="D759" s="277"/>
      <c r="E759" s="277"/>
      <c r="F759" s="277"/>
      <c r="G759" s="277"/>
      <c r="H759" s="277" t="b">
        <f t="shared" si="1"/>
        <v>0</v>
      </c>
      <c r="I759" s="277"/>
      <c r="J759" s="277"/>
      <c r="K759" s="277"/>
      <c r="L759" s="277"/>
      <c r="M759" s="440" t="b">
        <f t="shared" si="2"/>
        <v>0</v>
      </c>
      <c r="N759" s="441"/>
      <c r="O759" s="277"/>
      <c r="P759" s="277"/>
      <c r="Q759" s="278"/>
      <c r="R759" s="449" t="str">
        <f t="array" ref="R759">IFERROR(IFS(OR(P759="A1-Mewtwo", P759="A1-Pikachu", P759="A1-Charizard", P759="A1"), XLOOKUP(N759, 'Genetic Apex'!$C$2:$C889, 'Genetic Apex'!$B$2:$B889)-$B$4, P759="A1a", XLOOKUP(N759, 'Mythical Island'!$C$2:$C889, 'Mythical Island'!$B$2:$B889)-$B$4, OR(P759="A2-Dialga", P759="A2-Palkia", P759="A2"), XLOOKUP(N759, 'Space-Time Smackdown'!$C$2:$C889, 'Space-Time Smackdown'!$B$2:$B889)-$B$4))</f>
        <v/>
      </c>
      <c r="S759" s="277"/>
      <c r="T759" s="277"/>
      <c r="U759" s="277"/>
      <c r="V759" s="278"/>
      <c r="W759" s="443" t="str">
        <f t="array" ref="W759">IFERROR(IFS(OR(U759="A1-Mewtwo", U759="A1-Pikachu", U759="A1-Charizard", U759="A1"), $B$5-XLOOKUP(S759, 'Genetic Apex'!$C$2:$C889, 'Genetic Apex'!$B$2:$B889), U759="A1a", $B$5-XLOOKUP(S759, 'Mythical Island'!$C$2:$C889, 'Mythical Island'!$B$2:$B889), OR(U759="A2-Dialga", U759="A2-Palkia", U759="A2"), $B$5-XLOOKUP(S759, 'Space-Time Smackdown'!$C$2:$C889, 'Space-Time Smackdown'!$B$2:$B889)))</f>
        <v/>
      </c>
      <c r="X759" s="444" t="str">
        <f t="shared" si="3"/>
        <v/>
      </c>
      <c r="Y759" s="445" t="str">
        <f t="shared" si="4"/>
        <v/>
      </c>
      <c r="Z759" s="278"/>
      <c r="AA759" s="466"/>
      <c r="AB759" s="278"/>
      <c r="AC759" s="278"/>
      <c r="AD759" s="278"/>
      <c r="AE759" s="278"/>
      <c r="AF759" s="278"/>
      <c r="AG759" s="278" t="b">
        <f t="shared" si="5"/>
        <v>0</v>
      </c>
      <c r="AH759" s="454"/>
      <c r="AI759" s="278"/>
      <c r="AJ759" s="278"/>
      <c r="AK759" s="278"/>
      <c r="AL759" s="444" t="str">
        <f t="array" ref="AL759">IFERROR(IFS(OR(AJ759="A1-Mewtwo", AJ759="A1-Pikachu", AJ759="A1-Charizard", AJ759="A1"), XLOOKUP(AH759, 'Genetic Apex'!$C$2:$C889, 'Genetic Apex'!$B$2:$B889)-2, AJ759="A1a", XLOOKUP(AH759, 'Mythical Island'!$C$2:$C889, 'Mythical Island'!$B$2:$B889)-2, OR(AJ759="A2-Dialga", AJ759="A2-Palkia", AJ759="A2"), XLOOKUP(AH759, 'Space-Time Smackdown'!$C$2:$C889, 'Space-Time Smackdown'!$B$2:$B889)-2))</f>
        <v/>
      </c>
      <c r="AM759" s="444" t="str">
        <f t="shared" si="6"/>
        <v/>
      </c>
      <c r="AN759" s="448" t="str">
        <f t="shared" si="7"/>
        <v/>
      </c>
    </row>
    <row r="760">
      <c r="A760" s="277"/>
      <c r="B760" s="277"/>
      <c r="C760" s="441"/>
      <c r="D760" s="277"/>
      <c r="E760" s="277"/>
      <c r="F760" s="277"/>
      <c r="G760" s="277"/>
      <c r="H760" s="277" t="b">
        <f t="shared" si="1"/>
        <v>0</v>
      </c>
      <c r="I760" s="277"/>
      <c r="J760" s="277"/>
      <c r="K760" s="277"/>
      <c r="L760" s="277"/>
      <c r="M760" s="440" t="b">
        <f t="shared" si="2"/>
        <v>0</v>
      </c>
      <c r="N760" s="441"/>
      <c r="O760" s="277"/>
      <c r="P760" s="277"/>
      <c r="Q760" s="278"/>
      <c r="R760" s="449" t="str">
        <f t="array" ref="R760">IFERROR(IFS(OR(P760="A1-Mewtwo", P760="A1-Pikachu", P760="A1-Charizard", P760="A1"), XLOOKUP(N760, 'Genetic Apex'!$C$2:$C889, 'Genetic Apex'!$B$2:$B889)-$B$4, P760="A1a", XLOOKUP(N760, 'Mythical Island'!$C$2:$C889, 'Mythical Island'!$B$2:$B889)-$B$4, OR(P760="A2-Dialga", P760="A2-Palkia", P760="A2"), XLOOKUP(N760, 'Space-Time Smackdown'!$C$2:$C889, 'Space-Time Smackdown'!$B$2:$B889)-$B$4))</f>
        <v/>
      </c>
      <c r="S760" s="277"/>
      <c r="T760" s="277"/>
      <c r="U760" s="277"/>
      <c r="V760" s="278"/>
      <c r="W760" s="443" t="str">
        <f t="array" ref="W760">IFERROR(IFS(OR(U760="A1-Mewtwo", U760="A1-Pikachu", U760="A1-Charizard", U760="A1"), $B$5-XLOOKUP(S760, 'Genetic Apex'!$C$2:$C889, 'Genetic Apex'!$B$2:$B889), U760="A1a", $B$5-XLOOKUP(S760, 'Mythical Island'!$C$2:$C889, 'Mythical Island'!$B$2:$B889), OR(U760="A2-Dialga", U760="A2-Palkia", U760="A2"), $B$5-XLOOKUP(S760, 'Space-Time Smackdown'!$C$2:$C889, 'Space-Time Smackdown'!$B$2:$B889)))</f>
        <v/>
      </c>
      <c r="X760" s="444" t="str">
        <f t="shared" si="3"/>
        <v/>
      </c>
      <c r="Y760" s="445" t="str">
        <f t="shared" si="4"/>
        <v/>
      </c>
      <c r="Z760" s="278"/>
      <c r="AA760" s="466"/>
      <c r="AB760" s="278"/>
      <c r="AC760" s="278"/>
      <c r="AD760" s="278"/>
      <c r="AE760" s="278"/>
      <c r="AF760" s="278"/>
      <c r="AG760" s="278" t="b">
        <f t="shared" si="5"/>
        <v>0</v>
      </c>
      <c r="AH760" s="454"/>
      <c r="AI760" s="278"/>
      <c r="AJ760" s="278"/>
      <c r="AK760" s="278"/>
      <c r="AL760" s="444" t="str">
        <f t="array" ref="AL760">IFERROR(IFS(OR(AJ760="A1-Mewtwo", AJ760="A1-Pikachu", AJ760="A1-Charizard", AJ760="A1"), XLOOKUP(AH760, 'Genetic Apex'!$C$2:$C889, 'Genetic Apex'!$B$2:$B889)-2, AJ760="A1a", XLOOKUP(AH760, 'Mythical Island'!$C$2:$C889, 'Mythical Island'!$B$2:$B889)-2, OR(AJ760="A2-Dialga", AJ760="A2-Palkia", AJ760="A2"), XLOOKUP(AH760, 'Space-Time Smackdown'!$C$2:$C889, 'Space-Time Smackdown'!$B$2:$B889)-2))</f>
        <v/>
      </c>
      <c r="AM760" s="444" t="str">
        <f t="shared" si="6"/>
        <v/>
      </c>
      <c r="AN760" s="448" t="str">
        <f t="shared" si="7"/>
        <v/>
      </c>
    </row>
    <row r="761">
      <c r="A761" s="277"/>
      <c r="B761" s="277"/>
      <c r="C761" s="441"/>
      <c r="D761" s="277"/>
      <c r="E761" s="277"/>
      <c r="F761" s="277"/>
      <c r="G761" s="277"/>
      <c r="H761" s="277" t="b">
        <f t="shared" si="1"/>
        <v>0</v>
      </c>
      <c r="I761" s="277"/>
      <c r="J761" s="277"/>
      <c r="K761" s="277"/>
      <c r="L761" s="277"/>
      <c r="M761" s="440" t="b">
        <f t="shared" si="2"/>
        <v>0</v>
      </c>
      <c r="N761" s="441"/>
      <c r="O761" s="277"/>
      <c r="P761" s="277"/>
      <c r="Q761" s="278"/>
      <c r="R761" s="449" t="str">
        <f t="array" ref="R761">IFERROR(IFS(OR(P761="A1-Mewtwo", P761="A1-Pikachu", P761="A1-Charizard", P761="A1"), XLOOKUP(N761, 'Genetic Apex'!$C$2:$C889, 'Genetic Apex'!$B$2:$B889)-$B$4, P761="A1a", XLOOKUP(N761, 'Mythical Island'!$C$2:$C889, 'Mythical Island'!$B$2:$B889)-$B$4, OR(P761="A2-Dialga", P761="A2-Palkia", P761="A2"), XLOOKUP(N761, 'Space-Time Smackdown'!$C$2:$C889, 'Space-Time Smackdown'!$B$2:$B889)-$B$4))</f>
        <v/>
      </c>
      <c r="S761" s="277"/>
      <c r="T761" s="277"/>
      <c r="U761" s="277"/>
      <c r="V761" s="278"/>
      <c r="W761" s="443" t="str">
        <f t="array" ref="W761">IFERROR(IFS(OR(U761="A1-Mewtwo", U761="A1-Pikachu", U761="A1-Charizard", U761="A1"), $B$5-XLOOKUP(S761, 'Genetic Apex'!$C$2:$C889, 'Genetic Apex'!$B$2:$B889), U761="A1a", $B$5-XLOOKUP(S761, 'Mythical Island'!$C$2:$C889, 'Mythical Island'!$B$2:$B889), OR(U761="A2-Dialga", U761="A2-Palkia", U761="A2"), $B$5-XLOOKUP(S761, 'Space-Time Smackdown'!$C$2:$C889, 'Space-Time Smackdown'!$B$2:$B889)))</f>
        <v/>
      </c>
      <c r="X761" s="444" t="str">
        <f t="shared" si="3"/>
        <v/>
      </c>
      <c r="Y761" s="445" t="str">
        <f t="shared" si="4"/>
        <v/>
      </c>
      <c r="Z761" s="278"/>
      <c r="AA761" s="466"/>
      <c r="AB761" s="278"/>
      <c r="AC761" s="278"/>
      <c r="AD761" s="278"/>
      <c r="AE761" s="278"/>
      <c r="AF761" s="278"/>
      <c r="AG761" s="278" t="b">
        <f t="shared" si="5"/>
        <v>0</v>
      </c>
      <c r="AH761" s="454"/>
      <c r="AI761" s="278"/>
      <c r="AJ761" s="278"/>
      <c r="AK761" s="278"/>
      <c r="AL761" s="444" t="str">
        <f t="array" ref="AL761">IFERROR(IFS(OR(AJ761="A1-Mewtwo", AJ761="A1-Pikachu", AJ761="A1-Charizard", AJ761="A1"), XLOOKUP(AH761, 'Genetic Apex'!$C$2:$C889, 'Genetic Apex'!$B$2:$B889)-2, AJ761="A1a", XLOOKUP(AH761, 'Mythical Island'!$C$2:$C889, 'Mythical Island'!$B$2:$B889)-2, OR(AJ761="A2-Dialga", AJ761="A2-Palkia", AJ761="A2"), XLOOKUP(AH761, 'Space-Time Smackdown'!$C$2:$C889, 'Space-Time Smackdown'!$B$2:$B889)-2))</f>
        <v/>
      </c>
      <c r="AM761" s="444" t="str">
        <f t="shared" si="6"/>
        <v/>
      </c>
      <c r="AN761" s="448" t="str">
        <f t="shared" si="7"/>
        <v/>
      </c>
    </row>
    <row r="762">
      <c r="A762" s="277"/>
      <c r="B762" s="277"/>
      <c r="C762" s="441"/>
      <c r="D762" s="277"/>
      <c r="E762" s="277"/>
      <c r="F762" s="277"/>
      <c r="G762" s="277"/>
      <c r="H762" s="277" t="b">
        <f t="shared" si="1"/>
        <v>0</v>
      </c>
      <c r="I762" s="277"/>
      <c r="J762" s="277"/>
      <c r="K762" s="277"/>
      <c r="L762" s="277"/>
      <c r="M762" s="440" t="b">
        <f t="shared" si="2"/>
        <v>0</v>
      </c>
      <c r="N762" s="441"/>
      <c r="O762" s="277"/>
      <c r="P762" s="277"/>
      <c r="Q762" s="278"/>
      <c r="R762" s="449" t="str">
        <f t="array" ref="R762">IFERROR(IFS(OR(P762="A1-Mewtwo", P762="A1-Pikachu", P762="A1-Charizard", P762="A1"), XLOOKUP(N762, 'Genetic Apex'!$C$2:$C889, 'Genetic Apex'!$B$2:$B889)-$B$4, P762="A1a", XLOOKUP(N762, 'Mythical Island'!$C$2:$C889, 'Mythical Island'!$B$2:$B889)-$B$4, OR(P762="A2-Dialga", P762="A2-Palkia", P762="A2"), XLOOKUP(N762, 'Space-Time Smackdown'!$C$2:$C889, 'Space-Time Smackdown'!$B$2:$B889)-$B$4))</f>
        <v/>
      </c>
      <c r="S762" s="277"/>
      <c r="T762" s="277"/>
      <c r="U762" s="277"/>
      <c r="V762" s="278"/>
      <c r="W762" s="443" t="str">
        <f t="array" ref="W762">IFERROR(IFS(OR(U762="A1-Mewtwo", U762="A1-Pikachu", U762="A1-Charizard", U762="A1"), $B$5-XLOOKUP(S762, 'Genetic Apex'!$C$2:$C889, 'Genetic Apex'!$B$2:$B889), U762="A1a", $B$5-XLOOKUP(S762, 'Mythical Island'!$C$2:$C889, 'Mythical Island'!$B$2:$B889), OR(U762="A2-Dialga", U762="A2-Palkia", U762="A2"), $B$5-XLOOKUP(S762, 'Space-Time Smackdown'!$C$2:$C889, 'Space-Time Smackdown'!$B$2:$B889)))</f>
        <v/>
      </c>
      <c r="X762" s="444" t="str">
        <f t="shared" si="3"/>
        <v/>
      </c>
      <c r="Y762" s="445" t="str">
        <f t="shared" si="4"/>
        <v/>
      </c>
      <c r="Z762" s="278"/>
      <c r="AA762" s="466"/>
      <c r="AB762" s="278"/>
      <c r="AC762" s="278"/>
      <c r="AD762" s="278"/>
      <c r="AE762" s="278"/>
      <c r="AF762" s="278"/>
      <c r="AG762" s="278" t="b">
        <f t="shared" si="5"/>
        <v>0</v>
      </c>
      <c r="AH762" s="454"/>
      <c r="AI762" s="278"/>
      <c r="AJ762" s="278"/>
      <c r="AK762" s="278"/>
      <c r="AL762" s="444" t="str">
        <f t="array" ref="AL762">IFERROR(IFS(OR(AJ762="A1-Mewtwo", AJ762="A1-Pikachu", AJ762="A1-Charizard", AJ762="A1"), XLOOKUP(AH762, 'Genetic Apex'!$C$2:$C889, 'Genetic Apex'!$B$2:$B889)-2, AJ762="A1a", XLOOKUP(AH762, 'Mythical Island'!$C$2:$C889, 'Mythical Island'!$B$2:$B889)-2, OR(AJ762="A2-Dialga", AJ762="A2-Palkia", AJ762="A2"), XLOOKUP(AH762, 'Space-Time Smackdown'!$C$2:$C889, 'Space-Time Smackdown'!$B$2:$B889)-2))</f>
        <v/>
      </c>
      <c r="AM762" s="444" t="str">
        <f t="shared" si="6"/>
        <v/>
      </c>
      <c r="AN762" s="448" t="str">
        <f t="shared" si="7"/>
        <v/>
      </c>
    </row>
    <row r="763">
      <c r="A763" s="277"/>
      <c r="B763" s="277"/>
      <c r="C763" s="441"/>
      <c r="D763" s="277"/>
      <c r="E763" s="277"/>
      <c r="F763" s="277"/>
      <c r="G763" s="277"/>
      <c r="H763" s="277" t="b">
        <f t="shared" si="1"/>
        <v>0</v>
      </c>
      <c r="I763" s="277"/>
      <c r="J763" s="277"/>
      <c r="K763" s="277"/>
      <c r="L763" s="277"/>
      <c r="M763" s="440" t="b">
        <f t="shared" si="2"/>
        <v>0</v>
      </c>
      <c r="N763" s="441"/>
      <c r="O763" s="277"/>
      <c r="P763" s="277"/>
      <c r="Q763" s="278"/>
      <c r="R763" s="449" t="str">
        <f t="array" ref="R763">IFERROR(IFS(OR(P763="A1-Mewtwo", P763="A1-Pikachu", P763="A1-Charizard", P763="A1"), XLOOKUP(N763, 'Genetic Apex'!$C$2:$C889, 'Genetic Apex'!$B$2:$B889)-$B$4, P763="A1a", XLOOKUP(N763, 'Mythical Island'!$C$2:$C889, 'Mythical Island'!$B$2:$B889)-$B$4, OR(P763="A2-Dialga", P763="A2-Palkia", P763="A2"), XLOOKUP(N763, 'Space-Time Smackdown'!$C$2:$C889, 'Space-Time Smackdown'!$B$2:$B889)-$B$4))</f>
        <v/>
      </c>
      <c r="S763" s="277"/>
      <c r="T763" s="277"/>
      <c r="U763" s="277"/>
      <c r="V763" s="278"/>
      <c r="W763" s="443" t="str">
        <f t="array" ref="W763">IFERROR(IFS(OR(U763="A1-Mewtwo", U763="A1-Pikachu", U763="A1-Charizard", U763="A1"), $B$5-XLOOKUP(S763, 'Genetic Apex'!$C$2:$C889, 'Genetic Apex'!$B$2:$B889), U763="A1a", $B$5-XLOOKUP(S763, 'Mythical Island'!$C$2:$C889, 'Mythical Island'!$B$2:$B889), OR(U763="A2-Dialga", U763="A2-Palkia", U763="A2"), $B$5-XLOOKUP(S763, 'Space-Time Smackdown'!$C$2:$C889, 'Space-Time Smackdown'!$B$2:$B889)))</f>
        <v/>
      </c>
      <c r="X763" s="444" t="str">
        <f t="shared" si="3"/>
        <v/>
      </c>
      <c r="Y763" s="445" t="str">
        <f t="shared" si="4"/>
        <v/>
      </c>
      <c r="Z763" s="278"/>
      <c r="AA763" s="466"/>
      <c r="AB763" s="278"/>
      <c r="AC763" s="278"/>
      <c r="AD763" s="278"/>
      <c r="AE763" s="278"/>
      <c r="AF763" s="278"/>
      <c r="AG763" s="278" t="b">
        <f t="shared" si="5"/>
        <v>0</v>
      </c>
      <c r="AH763" s="454"/>
      <c r="AI763" s="278"/>
      <c r="AJ763" s="278"/>
      <c r="AK763" s="278"/>
      <c r="AL763" s="444" t="str">
        <f t="array" ref="AL763">IFERROR(IFS(OR(AJ763="A1-Mewtwo", AJ763="A1-Pikachu", AJ763="A1-Charizard", AJ763="A1"), XLOOKUP(AH763, 'Genetic Apex'!$C$2:$C889, 'Genetic Apex'!$B$2:$B889)-2, AJ763="A1a", XLOOKUP(AH763, 'Mythical Island'!$C$2:$C889, 'Mythical Island'!$B$2:$B889)-2, OR(AJ763="A2-Dialga", AJ763="A2-Palkia", AJ763="A2"), XLOOKUP(AH763, 'Space-Time Smackdown'!$C$2:$C889, 'Space-Time Smackdown'!$B$2:$B889)-2))</f>
        <v/>
      </c>
      <c r="AM763" s="444" t="str">
        <f t="shared" si="6"/>
        <v/>
      </c>
      <c r="AN763" s="448" t="str">
        <f t="shared" si="7"/>
        <v/>
      </c>
    </row>
    <row r="764">
      <c r="A764" s="277"/>
      <c r="B764" s="277"/>
      <c r="C764" s="441"/>
      <c r="D764" s="277"/>
      <c r="E764" s="277"/>
      <c r="F764" s="277"/>
      <c r="G764" s="277"/>
      <c r="H764" s="277" t="b">
        <f t="shared" si="1"/>
        <v>0</v>
      </c>
      <c r="I764" s="277"/>
      <c r="J764" s="277"/>
      <c r="K764" s="277"/>
      <c r="L764" s="277"/>
      <c r="M764" s="440" t="b">
        <f t="shared" si="2"/>
        <v>0</v>
      </c>
      <c r="N764" s="441"/>
      <c r="O764" s="277"/>
      <c r="P764" s="277"/>
      <c r="Q764" s="278"/>
      <c r="R764" s="449" t="str">
        <f t="array" ref="R764">IFERROR(IFS(OR(P764="A1-Mewtwo", P764="A1-Pikachu", P764="A1-Charizard", P764="A1"), XLOOKUP(N764, 'Genetic Apex'!$C$2:$C889, 'Genetic Apex'!$B$2:$B889)-$B$4, P764="A1a", XLOOKUP(N764, 'Mythical Island'!$C$2:$C889, 'Mythical Island'!$B$2:$B889)-$B$4, OR(P764="A2-Dialga", P764="A2-Palkia", P764="A2"), XLOOKUP(N764, 'Space-Time Smackdown'!$C$2:$C889, 'Space-Time Smackdown'!$B$2:$B889)-$B$4))</f>
        <v/>
      </c>
      <c r="S764" s="277"/>
      <c r="T764" s="277"/>
      <c r="U764" s="277"/>
      <c r="V764" s="278"/>
      <c r="W764" s="443" t="str">
        <f t="array" ref="W764">IFERROR(IFS(OR(U764="A1-Mewtwo", U764="A1-Pikachu", U764="A1-Charizard", U764="A1"), $B$5-XLOOKUP(S764, 'Genetic Apex'!$C$2:$C889, 'Genetic Apex'!$B$2:$B889), U764="A1a", $B$5-XLOOKUP(S764, 'Mythical Island'!$C$2:$C889, 'Mythical Island'!$B$2:$B889), OR(U764="A2-Dialga", U764="A2-Palkia", U764="A2"), $B$5-XLOOKUP(S764, 'Space-Time Smackdown'!$C$2:$C889, 'Space-Time Smackdown'!$B$2:$B889)))</f>
        <v/>
      </c>
      <c r="X764" s="444" t="str">
        <f t="shared" si="3"/>
        <v/>
      </c>
      <c r="Y764" s="445" t="str">
        <f t="shared" si="4"/>
        <v/>
      </c>
      <c r="Z764" s="278"/>
      <c r="AA764" s="466"/>
      <c r="AB764" s="278"/>
      <c r="AC764" s="278"/>
      <c r="AD764" s="278"/>
      <c r="AE764" s="278"/>
      <c r="AF764" s="278"/>
      <c r="AG764" s="278" t="b">
        <f t="shared" si="5"/>
        <v>0</v>
      </c>
      <c r="AH764" s="454"/>
      <c r="AI764" s="278"/>
      <c r="AJ764" s="278"/>
      <c r="AK764" s="278"/>
      <c r="AL764" s="444" t="str">
        <f t="array" ref="AL764">IFERROR(IFS(OR(AJ764="A1-Mewtwo", AJ764="A1-Pikachu", AJ764="A1-Charizard", AJ764="A1"), XLOOKUP(AH764, 'Genetic Apex'!$C$2:$C889, 'Genetic Apex'!$B$2:$B889)-2, AJ764="A1a", XLOOKUP(AH764, 'Mythical Island'!$C$2:$C889, 'Mythical Island'!$B$2:$B889)-2, OR(AJ764="A2-Dialga", AJ764="A2-Palkia", AJ764="A2"), XLOOKUP(AH764, 'Space-Time Smackdown'!$C$2:$C889, 'Space-Time Smackdown'!$B$2:$B889)-2))</f>
        <v/>
      </c>
      <c r="AM764" s="444" t="str">
        <f t="shared" si="6"/>
        <v/>
      </c>
      <c r="AN764" s="448" t="str">
        <f t="shared" si="7"/>
        <v/>
      </c>
    </row>
    <row r="765">
      <c r="A765" s="277"/>
      <c r="B765" s="277"/>
      <c r="C765" s="441"/>
      <c r="D765" s="277"/>
      <c r="E765" s="277"/>
      <c r="F765" s="277"/>
      <c r="G765" s="277"/>
      <c r="H765" s="277" t="b">
        <f t="shared" si="1"/>
        <v>0</v>
      </c>
      <c r="I765" s="277"/>
      <c r="J765" s="277"/>
      <c r="K765" s="277"/>
      <c r="L765" s="277"/>
      <c r="M765" s="440" t="b">
        <f t="shared" si="2"/>
        <v>0</v>
      </c>
      <c r="N765" s="441"/>
      <c r="O765" s="277"/>
      <c r="P765" s="277"/>
      <c r="Q765" s="278"/>
      <c r="R765" s="449" t="str">
        <f t="array" ref="R765">IFERROR(IFS(OR(P765="A1-Mewtwo", P765="A1-Pikachu", P765="A1-Charizard", P765="A1"), XLOOKUP(N765, 'Genetic Apex'!$C$2:$C889, 'Genetic Apex'!$B$2:$B889)-$B$4, P765="A1a", XLOOKUP(N765, 'Mythical Island'!$C$2:$C889, 'Mythical Island'!$B$2:$B889)-$B$4, OR(P765="A2-Dialga", P765="A2-Palkia", P765="A2"), XLOOKUP(N765, 'Space-Time Smackdown'!$C$2:$C889, 'Space-Time Smackdown'!$B$2:$B889)-$B$4))</f>
        <v/>
      </c>
      <c r="S765" s="277"/>
      <c r="T765" s="277"/>
      <c r="U765" s="277"/>
      <c r="V765" s="278"/>
      <c r="W765" s="443" t="str">
        <f t="array" ref="W765">IFERROR(IFS(OR(U765="A1-Mewtwo", U765="A1-Pikachu", U765="A1-Charizard", U765="A1"), $B$5-XLOOKUP(S765, 'Genetic Apex'!$C$2:$C889, 'Genetic Apex'!$B$2:$B889), U765="A1a", $B$5-XLOOKUP(S765, 'Mythical Island'!$C$2:$C889, 'Mythical Island'!$B$2:$B889), OR(U765="A2-Dialga", U765="A2-Palkia", U765="A2"), $B$5-XLOOKUP(S765, 'Space-Time Smackdown'!$C$2:$C889, 'Space-Time Smackdown'!$B$2:$B889)))</f>
        <v/>
      </c>
      <c r="X765" s="444" t="str">
        <f t="shared" si="3"/>
        <v/>
      </c>
      <c r="Y765" s="445" t="str">
        <f t="shared" si="4"/>
        <v/>
      </c>
      <c r="Z765" s="278"/>
      <c r="AA765" s="466"/>
      <c r="AB765" s="278"/>
      <c r="AC765" s="278"/>
      <c r="AD765" s="278"/>
      <c r="AE765" s="278"/>
      <c r="AF765" s="278"/>
      <c r="AG765" s="278" t="b">
        <f t="shared" si="5"/>
        <v>0</v>
      </c>
      <c r="AH765" s="454"/>
      <c r="AI765" s="278"/>
      <c r="AJ765" s="278"/>
      <c r="AK765" s="278"/>
      <c r="AL765" s="444" t="str">
        <f t="array" ref="AL765">IFERROR(IFS(OR(AJ765="A1-Mewtwo", AJ765="A1-Pikachu", AJ765="A1-Charizard", AJ765="A1"), XLOOKUP(AH765, 'Genetic Apex'!$C$2:$C889, 'Genetic Apex'!$B$2:$B889)-2, AJ765="A1a", XLOOKUP(AH765, 'Mythical Island'!$C$2:$C889, 'Mythical Island'!$B$2:$B889)-2, OR(AJ765="A2-Dialga", AJ765="A2-Palkia", AJ765="A2"), XLOOKUP(AH765, 'Space-Time Smackdown'!$C$2:$C889, 'Space-Time Smackdown'!$B$2:$B889)-2))</f>
        <v/>
      </c>
      <c r="AM765" s="444" t="str">
        <f t="shared" si="6"/>
        <v/>
      </c>
      <c r="AN765" s="448" t="str">
        <f t="shared" si="7"/>
        <v/>
      </c>
    </row>
    <row r="766">
      <c r="A766" s="277"/>
      <c r="B766" s="277"/>
      <c r="C766" s="441"/>
      <c r="D766" s="277"/>
      <c r="E766" s="277"/>
      <c r="F766" s="277"/>
      <c r="G766" s="277"/>
      <c r="H766" s="277" t="b">
        <f t="shared" si="1"/>
        <v>0</v>
      </c>
      <c r="I766" s="277"/>
      <c r="J766" s="277"/>
      <c r="K766" s="277"/>
      <c r="L766" s="277"/>
      <c r="M766" s="440" t="b">
        <f t="shared" si="2"/>
        <v>0</v>
      </c>
      <c r="N766" s="441"/>
      <c r="O766" s="277"/>
      <c r="P766" s="277"/>
      <c r="Q766" s="278"/>
      <c r="R766" s="449" t="str">
        <f t="array" ref="R766">IFERROR(IFS(OR(P766="A1-Mewtwo", P766="A1-Pikachu", P766="A1-Charizard", P766="A1"), XLOOKUP(N766, 'Genetic Apex'!$C$2:$C889, 'Genetic Apex'!$B$2:$B889)-$B$4, P766="A1a", XLOOKUP(N766, 'Mythical Island'!$C$2:$C889, 'Mythical Island'!$B$2:$B889)-$B$4, OR(P766="A2-Dialga", P766="A2-Palkia", P766="A2"), XLOOKUP(N766, 'Space-Time Smackdown'!$C$2:$C889, 'Space-Time Smackdown'!$B$2:$B889)-$B$4))</f>
        <v/>
      </c>
      <c r="S766" s="277"/>
      <c r="T766" s="277"/>
      <c r="U766" s="277"/>
      <c r="V766" s="278"/>
      <c r="W766" s="443" t="str">
        <f t="array" ref="W766">IFERROR(IFS(OR(U766="A1-Mewtwo", U766="A1-Pikachu", U766="A1-Charizard", U766="A1"), $B$5-XLOOKUP(S766, 'Genetic Apex'!$C$2:$C889, 'Genetic Apex'!$B$2:$B889), U766="A1a", $B$5-XLOOKUP(S766, 'Mythical Island'!$C$2:$C889, 'Mythical Island'!$B$2:$B889), OR(U766="A2-Dialga", U766="A2-Palkia", U766="A2"), $B$5-XLOOKUP(S766, 'Space-Time Smackdown'!$C$2:$C889, 'Space-Time Smackdown'!$B$2:$B889)))</f>
        <v/>
      </c>
      <c r="X766" s="444" t="str">
        <f t="shared" si="3"/>
        <v/>
      </c>
      <c r="Y766" s="445" t="str">
        <f t="shared" si="4"/>
        <v/>
      </c>
      <c r="Z766" s="278"/>
      <c r="AA766" s="466"/>
      <c r="AB766" s="278"/>
      <c r="AC766" s="278"/>
      <c r="AD766" s="278"/>
      <c r="AE766" s="278"/>
      <c r="AF766" s="278"/>
      <c r="AG766" s="278" t="b">
        <f t="shared" si="5"/>
        <v>0</v>
      </c>
      <c r="AH766" s="454"/>
      <c r="AI766" s="278"/>
      <c r="AJ766" s="278"/>
      <c r="AK766" s="278"/>
      <c r="AL766" s="444" t="str">
        <f t="array" ref="AL766">IFERROR(IFS(OR(AJ766="A1-Mewtwo", AJ766="A1-Pikachu", AJ766="A1-Charizard", AJ766="A1"), XLOOKUP(AH766, 'Genetic Apex'!$C$2:$C889, 'Genetic Apex'!$B$2:$B889)-2, AJ766="A1a", XLOOKUP(AH766, 'Mythical Island'!$C$2:$C889, 'Mythical Island'!$B$2:$B889)-2, OR(AJ766="A2-Dialga", AJ766="A2-Palkia", AJ766="A2"), XLOOKUP(AH766, 'Space-Time Smackdown'!$C$2:$C889, 'Space-Time Smackdown'!$B$2:$B889)-2))</f>
        <v/>
      </c>
      <c r="AM766" s="444" t="str">
        <f t="shared" si="6"/>
        <v/>
      </c>
      <c r="AN766" s="448" t="str">
        <f t="shared" si="7"/>
        <v/>
      </c>
    </row>
    <row r="767">
      <c r="A767" s="277"/>
      <c r="B767" s="277"/>
      <c r="C767" s="441"/>
      <c r="D767" s="277"/>
      <c r="E767" s="277"/>
      <c r="F767" s="277"/>
      <c r="G767" s="277"/>
      <c r="H767" s="277" t="b">
        <f t="shared" si="1"/>
        <v>0</v>
      </c>
      <c r="I767" s="277"/>
      <c r="J767" s="277"/>
      <c r="K767" s="277"/>
      <c r="L767" s="277"/>
      <c r="M767" s="440" t="b">
        <f t="shared" si="2"/>
        <v>0</v>
      </c>
      <c r="N767" s="441"/>
      <c r="O767" s="277"/>
      <c r="P767" s="277"/>
      <c r="Q767" s="278"/>
      <c r="R767" s="449" t="str">
        <f t="array" ref="R767">IFERROR(IFS(OR(P767="A1-Mewtwo", P767="A1-Pikachu", P767="A1-Charizard", P767="A1"), XLOOKUP(N767, 'Genetic Apex'!$C$2:$C889, 'Genetic Apex'!$B$2:$B889)-$B$4, P767="A1a", XLOOKUP(N767, 'Mythical Island'!$C$2:$C889, 'Mythical Island'!$B$2:$B889)-$B$4, OR(P767="A2-Dialga", P767="A2-Palkia", P767="A2"), XLOOKUP(N767, 'Space-Time Smackdown'!$C$2:$C889, 'Space-Time Smackdown'!$B$2:$B889)-$B$4))</f>
        <v/>
      </c>
      <c r="S767" s="277"/>
      <c r="T767" s="277"/>
      <c r="U767" s="277"/>
      <c r="V767" s="278"/>
      <c r="W767" s="443" t="str">
        <f t="array" ref="W767">IFERROR(IFS(OR(U767="A1-Mewtwo", U767="A1-Pikachu", U767="A1-Charizard", U767="A1"), $B$5-XLOOKUP(S767, 'Genetic Apex'!$C$2:$C889, 'Genetic Apex'!$B$2:$B889), U767="A1a", $B$5-XLOOKUP(S767, 'Mythical Island'!$C$2:$C889, 'Mythical Island'!$B$2:$B889), OR(U767="A2-Dialga", U767="A2-Palkia", U767="A2"), $B$5-XLOOKUP(S767, 'Space-Time Smackdown'!$C$2:$C889, 'Space-Time Smackdown'!$B$2:$B889)))</f>
        <v/>
      </c>
      <c r="X767" s="444" t="str">
        <f t="shared" si="3"/>
        <v/>
      </c>
      <c r="Y767" s="445" t="str">
        <f t="shared" si="4"/>
        <v/>
      </c>
      <c r="Z767" s="278"/>
      <c r="AA767" s="466"/>
      <c r="AB767" s="278"/>
      <c r="AC767" s="278"/>
      <c r="AD767" s="278"/>
      <c r="AE767" s="278"/>
      <c r="AF767" s="278"/>
      <c r="AG767" s="278" t="b">
        <f t="shared" si="5"/>
        <v>0</v>
      </c>
      <c r="AH767" s="454"/>
      <c r="AI767" s="278"/>
      <c r="AJ767" s="278"/>
      <c r="AK767" s="278"/>
      <c r="AL767" s="444" t="str">
        <f t="array" ref="AL767">IFERROR(IFS(OR(AJ767="A1-Mewtwo", AJ767="A1-Pikachu", AJ767="A1-Charizard", AJ767="A1"), XLOOKUP(AH767, 'Genetic Apex'!$C$2:$C889, 'Genetic Apex'!$B$2:$B889)-2, AJ767="A1a", XLOOKUP(AH767, 'Mythical Island'!$C$2:$C889, 'Mythical Island'!$B$2:$B889)-2, OR(AJ767="A2-Dialga", AJ767="A2-Palkia", AJ767="A2"), XLOOKUP(AH767, 'Space-Time Smackdown'!$C$2:$C889, 'Space-Time Smackdown'!$B$2:$B889)-2))</f>
        <v/>
      </c>
      <c r="AM767" s="444" t="str">
        <f t="shared" si="6"/>
        <v/>
      </c>
      <c r="AN767" s="448" t="str">
        <f t="shared" si="7"/>
        <v/>
      </c>
    </row>
    <row r="768">
      <c r="A768" s="277"/>
      <c r="B768" s="277"/>
      <c r="C768" s="441"/>
      <c r="D768" s="277"/>
      <c r="E768" s="277"/>
      <c r="F768" s="277"/>
      <c r="G768" s="277"/>
      <c r="H768" s="277" t="b">
        <f t="shared" si="1"/>
        <v>0</v>
      </c>
      <c r="I768" s="277"/>
      <c r="J768" s="277"/>
      <c r="K768" s="277"/>
      <c r="L768" s="277"/>
      <c r="M768" s="440" t="b">
        <f t="shared" si="2"/>
        <v>0</v>
      </c>
      <c r="N768" s="441"/>
      <c r="O768" s="277"/>
      <c r="P768" s="277"/>
      <c r="Q768" s="278"/>
      <c r="R768" s="449" t="str">
        <f t="array" ref="R768">IFERROR(IFS(OR(P768="A1-Mewtwo", P768="A1-Pikachu", P768="A1-Charizard", P768="A1"), XLOOKUP(N768, 'Genetic Apex'!$C$2:$C889, 'Genetic Apex'!$B$2:$B889)-$B$4, P768="A1a", XLOOKUP(N768, 'Mythical Island'!$C$2:$C889, 'Mythical Island'!$B$2:$B889)-$B$4, OR(P768="A2-Dialga", P768="A2-Palkia", P768="A2"), XLOOKUP(N768, 'Space-Time Smackdown'!$C$2:$C889, 'Space-Time Smackdown'!$B$2:$B889)-$B$4))</f>
        <v/>
      </c>
      <c r="S768" s="277"/>
      <c r="T768" s="277"/>
      <c r="U768" s="277"/>
      <c r="V768" s="278"/>
      <c r="W768" s="443" t="str">
        <f t="array" ref="W768">IFERROR(IFS(OR(U768="A1-Mewtwo", U768="A1-Pikachu", U768="A1-Charizard", U768="A1"), $B$5-XLOOKUP(S768, 'Genetic Apex'!$C$2:$C889, 'Genetic Apex'!$B$2:$B889), U768="A1a", $B$5-XLOOKUP(S768, 'Mythical Island'!$C$2:$C889, 'Mythical Island'!$B$2:$B889), OR(U768="A2-Dialga", U768="A2-Palkia", U768="A2"), $B$5-XLOOKUP(S768, 'Space-Time Smackdown'!$C$2:$C889, 'Space-Time Smackdown'!$B$2:$B889)))</f>
        <v/>
      </c>
      <c r="X768" s="444" t="str">
        <f t="shared" si="3"/>
        <v/>
      </c>
      <c r="Y768" s="445" t="str">
        <f t="shared" si="4"/>
        <v/>
      </c>
      <c r="Z768" s="278"/>
      <c r="AA768" s="466"/>
      <c r="AB768" s="278"/>
      <c r="AC768" s="278"/>
      <c r="AD768" s="278"/>
      <c r="AE768" s="278"/>
      <c r="AF768" s="278"/>
      <c r="AG768" s="278" t="b">
        <f t="shared" si="5"/>
        <v>0</v>
      </c>
      <c r="AH768" s="454"/>
      <c r="AI768" s="278"/>
      <c r="AJ768" s="278"/>
      <c r="AK768" s="278"/>
      <c r="AL768" s="444" t="str">
        <f t="array" ref="AL768">IFERROR(IFS(OR(AJ768="A1-Mewtwo", AJ768="A1-Pikachu", AJ768="A1-Charizard", AJ768="A1"), XLOOKUP(AH768, 'Genetic Apex'!$C$2:$C889, 'Genetic Apex'!$B$2:$B889)-2, AJ768="A1a", XLOOKUP(AH768, 'Mythical Island'!$C$2:$C889, 'Mythical Island'!$B$2:$B889)-2, OR(AJ768="A2-Dialga", AJ768="A2-Palkia", AJ768="A2"), XLOOKUP(AH768, 'Space-Time Smackdown'!$C$2:$C889, 'Space-Time Smackdown'!$B$2:$B889)-2))</f>
        <v/>
      </c>
      <c r="AM768" s="444" t="str">
        <f t="shared" si="6"/>
        <v/>
      </c>
      <c r="AN768" s="448" t="str">
        <f t="shared" si="7"/>
        <v/>
      </c>
    </row>
    <row r="769">
      <c r="A769" s="277"/>
      <c r="B769" s="277"/>
      <c r="C769" s="441"/>
      <c r="D769" s="277"/>
      <c r="E769" s="277"/>
      <c r="F769" s="277"/>
      <c r="G769" s="277"/>
      <c r="H769" s="277" t="b">
        <f t="shared" si="1"/>
        <v>0</v>
      </c>
      <c r="I769" s="277"/>
      <c r="J769" s="277"/>
      <c r="K769" s="277"/>
      <c r="L769" s="277"/>
      <c r="M769" s="440" t="b">
        <f t="shared" si="2"/>
        <v>0</v>
      </c>
      <c r="N769" s="441"/>
      <c r="O769" s="277"/>
      <c r="P769" s="277"/>
      <c r="Q769" s="278"/>
      <c r="R769" s="449" t="str">
        <f t="array" ref="R769">IFERROR(IFS(OR(P769="A1-Mewtwo", P769="A1-Pikachu", P769="A1-Charizard", P769="A1"), XLOOKUP(N769, 'Genetic Apex'!$C$2:$C889, 'Genetic Apex'!$B$2:$B889)-$B$4, P769="A1a", XLOOKUP(N769, 'Mythical Island'!$C$2:$C889, 'Mythical Island'!$B$2:$B889)-$B$4, OR(P769="A2-Dialga", P769="A2-Palkia", P769="A2"), XLOOKUP(N769, 'Space-Time Smackdown'!$C$2:$C889, 'Space-Time Smackdown'!$B$2:$B889)-$B$4))</f>
        <v/>
      </c>
      <c r="S769" s="277"/>
      <c r="T769" s="277"/>
      <c r="U769" s="277"/>
      <c r="V769" s="278"/>
      <c r="W769" s="443" t="str">
        <f t="array" ref="W769">IFERROR(IFS(OR(U769="A1-Mewtwo", U769="A1-Pikachu", U769="A1-Charizard", U769="A1"), $B$5-XLOOKUP(S769, 'Genetic Apex'!$C$2:$C889, 'Genetic Apex'!$B$2:$B889), U769="A1a", $B$5-XLOOKUP(S769, 'Mythical Island'!$C$2:$C889, 'Mythical Island'!$B$2:$B889), OR(U769="A2-Dialga", U769="A2-Palkia", U769="A2"), $B$5-XLOOKUP(S769, 'Space-Time Smackdown'!$C$2:$C889, 'Space-Time Smackdown'!$B$2:$B889)))</f>
        <v/>
      </c>
      <c r="X769" s="444" t="str">
        <f t="shared" si="3"/>
        <v/>
      </c>
      <c r="Y769" s="445" t="str">
        <f t="shared" si="4"/>
        <v/>
      </c>
      <c r="Z769" s="278"/>
      <c r="AA769" s="466"/>
      <c r="AB769" s="278"/>
      <c r="AC769" s="278"/>
      <c r="AD769" s="278"/>
      <c r="AE769" s="278"/>
      <c r="AF769" s="278"/>
      <c r="AG769" s="278" t="b">
        <f t="shared" si="5"/>
        <v>0</v>
      </c>
      <c r="AH769" s="454"/>
      <c r="AI769" s="278"/>
      <c r="AJ769" s="278"/>
      <c r="AK769" s="278"/>
      <c r="AL769" s="444" t="str">
        <f t="array" ref="AL769">IFERROR(IFS(OR(AJ769="A1-Mewtwo", AJ769="A1-Pikachu", AJ769="A1-Charizard", AJ769="A1"), XLOOKUP(AH769, 'Genetic Apex'!$C$2:$C889, 'Genetic Apex'!$B$2:$B889)-2, AJ769="A1a", XLOOKUP(AH769, 'Mythical Island'!$C$2:$C889, 'Mythical Island'!$B$2:$B889)-2, OR(AJ769="A2-Dialga", AJ769="A2-Palkia", AJ769="A2"), XLOOKUP(AH769, 'Space-Time Smackdown'!$C$2:$C889, 'Space-Time Smackdown'!$B$2:$B889)-2))</f>
        <v/>
      </c>
      <c r="AM769" s="444" t="str">
        <f t="shared" si="6"/>
        <v/>
      </c>
      <c r="AN769" s="448" t="str">
        <f t="shared" si="7"/>
        <v/>
      </c>
    </row>
    <row r="770">
      <c r="A770" s="277"/>
      <c r="B770" s="277"/>
      <c r="C770" s="441"/>
      <c r="D770" s="277"/>
      <c r="E770" s="277"/>
      <c r="F770" s="277"/>
      <c r="G770" s="277"/>
      <c r="H770" s="277" t="b">
        <f t="shared" si="1"/>
        <v>0</v>
      </c>
      <c r="I770" s="277"/>
      <c r="J770" s="277"/>
      <c r="K770" s="277"/>
      <c r="L770" s="277"/>
      <c r="M770" s="440" t="b">
        <f t="shared" si="2"/>
        <v>0</v>
      </c>
      <c r="N770" s="441"/>
      <c r="O770" s="277"/>
      <c r="P770" s="277"/>
      <c r="Q770" s="278"/>
      <c r="R770" s="449" t="str">
        <f t="array" ref="R770">IFERROR(IFS(OR(P770="A1-Mewtwo", P770="A1-Pikachu", P770="A1-Charizard", P770="A1"), XLOOKUP(N770, 'Genetic Apex'!$C$2:$C889, 'Genetic Apex'!$B$2:$B889)-$B$4, P770="A1a", XLOOKUP(N770, 'Mythical Island'!$C$2:$C889, 'Mythical Island'!$B$2:$B889)-$B$4, OR(P770="A2-Dialga", P770="A2-Palkia", P770="A2"), XLOOKUP(N770, 'Space-Time Smackdown'!$C$2:$C889, 'Space-Time Smackdown'!$B$2:$B889)-$B$4))</f>
        <v/>
      </c>
      <c r="S770" s="277"/>
      <c r="T770" s="277"/>
      <c r="U770" s="277"/>
      <c r="V770" s="278"/>
      <c r="W770" s="443" t="str">
        <f t="array" ref="W770">IFERROR(IFS(OR(U770="A1-Mewtwo", U770="A1-Pikachu", U770="A1-Charizard", U770="A1"), $B$5-XLOOKUP(S770, 'Genetic Apex'!$C$2:$C889, 'Genetic Apex'!$B$2:$B889), U770="A1a", $B$5-XLOOKUP(S770, 'Mythical Island'!$C$2:$C889, 'Mythical Island'!$B$2:$B889), OR(U770="A2-Dialga", U770="A2-Palkia", U770="A2"), $B$5-XLOOKUP(S770, 'Space-Time Smackdown'!$C$2:$C889, 'Space-Time Smackdown'!$B$2:$B889)))</f>
        <v/>
      </c>
      <c r="X770" s="444" t="str">
        <f t="shared" si="3"/>
        <v/>
      </c>
      <c r="Y770" s="445" t="str">
        <f t="shared" si="4"/>
        <v/>
      </c>
      <c r="Z770" s="278"/>
      <c r="AA770" s="466"/>
      <c r="AB770" s="278"/>
      <c r="AC770" s="278"/>
      <c r="AD770" s="278"/>
      <c r="AE770" s="278"/>
      <c r="AF770" s="278"/>
      <c r="AG770" s="278" t="b">
        <f t="shared" si="5"/>
        <v>0</v>
      </c>
      <c r="AH770" s="454"/>
      <c r="AI770" s="278"/>
      <c r="AJ770" s="278"/>
      <c r="AK770" s="278"/>
      <c r="AL770" s="444" t="str">
        <f t="array" ref="AL770">IFERROR(IFS(OR(AJ770="A1-Mewtwo", AJ770="A1-Pikachu", AJ770="A1-Charizard", AJ770="A1"), XLOOKUP(AH770, 'Genetic Apex'!$C$2:$C889, 'Genetic Apex'!$B$2:$B889)-2, AJ770="A1a", XLOOKUP(AH770, 'Mythical Island'!$C$2:$C889, 'Mythical Island'!$B$2:$B889)-2, OR(AJ770="A2-Dialga", AJ770="A2-Palkia", AJ770="A2"), XLOOKUP(AH770, 'Space-Time Smackdown'!$C$2:$C889, 'Space-Time Smackdown'!$B$2:$B889)-2))</f>
        <v/>
      </c>
      <c r="AM770" s="444" t="str">
        <f t="shared" si="6"/>
        <v/>
      </c>
      <c r="AN770" s="448" t="str">
        <f t="shared" si="7"/>
        <v/>
      </c>
    </row>
    <row r="771">
      <c r="A771" s="277"/>
      <c r="B771" s="277"/>
      <c r="C771" s="441"/>
      <c r="D771" s="277"/>
      <c r="E771" s="277"/>
      <c r="F771" s="277"/>
      <c r="G771" s="277"/>
      <c r="H771" s="277" t="b">
        <f t="shared" si="1"/>
        <v>0</v>
      </c>
      <c r="I771" s="277"/>
      <c r="J771" s="277"/>
      <c r="K771" s="277"/>
      <c r="L771" s="277"/>
      <c r="M771" s="440" t="b">
        <f t="shared" si="2"/>
        <v>0</v>
      </c>
      <c r="N771" s="441"/>
      <c r="O771" s="277"/>
      <c r="P771" s="277"/>
      <c r="Q771" s="278"/>
      <c r="R771" s="449" t="str">
        <f t="array" ref="R771">IFERROR(IFS(OR(P771="A1-Mewtwo", P771="A1-Pikachu", P771="A1-Charizard", P771="A1"), XLOOKUP(N771, 'Genetic Apex'!$C$2:$C889, 'Genetic Apex'!$B$2:$B889)-$B$4, P771="A1a", XLOOKUP(N771, 'Mythical Island'!$C$2:$C889, 'Mythical Island'!$B$2:$B889)-$B$4, OR(P771="A2-Dialga", P771="A2-Palkia", P771="A2"), XLOOKUP(N771, 'Space-Time Smackdown'!$C$2:$C889, 'Space-Time Smackdown'!$B$2:$B889)-$B$4))</f>
        <v/>
      </c>
      <c r="S771" s="277"/>
      <c r="T771" s="277"/>
      <c r="U771" s="277"/>
      <c r="V771" s="278"/>
      <c r="W771" s="443" t="str">
        <f t="array" ref="W771">IFERROR(IFS(OR(U771="A1-Mewtwo", U771="A1-Pikachu", U771="A1-Charizard", U771="A1"), $B$5-XLOOKUP(S771, 'Genetic Apex'!$C$2:$C889, 'Genetic Apex'!$B$2:$B889), U771="A1a", $B$5-XLOOKUP(S771, 'Mythical Island'!$C$2:$C889, 'Mythical Island'!$B$2:$B889), OR(U771="A2-Dialga", U771="A2-Palkia", U771="A2"), $B$5-XLOOKUP(S771, 'Space-Time Smackdown'!$C$2:$C889, 'Space-Time Smackdown'!$B$2:$B889)))</f>
        <v/>
      </c>
      <c r="X771" s="444" t="str">
        <f t="shared" si="3"/>
        <v/>
      </c>
      <c r="Y771" s="445" t="str">
        <f t="shared" si="4"/>
        <v/>
      </c>
      <c r="Z771" s="278"/>
      <c r="AA771" s="466"/>
      <c r="AB771" s="278"/>
      <c r="AC771" s="278"/>
      <c r="AD771" s="278"/>
      <c r="AE771" s="278"/>
      <c r="AF771" s="278"/>
      <c r="AG771" s="278" t="b">
        <f t="shared" si="5"/>
        <v>0</v>
      </c>
      <c r="AH771" s="454"/>
      <c r="AI771" s="278"/>
      <c r="AJ771" s="278"/>
      <c r="AK771" s="278"/>
      <c r="AL771" s="444" t="str">
        <f t="array" ref="AL771">IFERROR(IFS(OR(AJ771="A1-Mewtwo", AJ771="A1-Pikachu", AJ771="A1-Charizard", AJ771="A1"), XLOOKUP(AH771, 'Genetic Apex'!$C$2:$C889, 'Genetic Apex'!$B$2:$B889)-2, AJ771="A1a", XLOOKUP(AH771, 'Mythical Island'!$C$2:$C889, 'Mythical Island'!$B$2:$B889)-2, OR(AJ771="A2-Dialga", AJ771="A2-Palkia", AJ771="A2"), XLOOKUP(AH771, 'Space-Time Smackdown'!$C$2:$C889, 'Space-Time Smackdown'!$B$2:$B889)-2))</f>
        <v/>
      </c>
      <c r="AM771" s="444" t="str">
        <f t="shared" si="6"/>
        <v/>
      </c>
      <c r="AN771" s="448" t="str">
        <f t="shared" si="7"/>
        <v/>
      </c>
    </row>
    <row r="772">
      <c r="A772" s="277"/>
      <c r="B772" s="277"/>
      <c r="C772" s="441"/>
      <c r="D772" s="277"/>
      <c r="E772" s="277"/>
      <c r="F772" s="277"/>
      <c r="G772" s="277"/>
      <c r="H772" s="277" t="b">
        <f t="shared" si="1"/>
        <v>0</v>
      </c>
      <c r="I772" s="277"/>
      <c r="J772" s="277"/>
      <c r="K772" s="277"/>
      <c r="L772" s="277"/>
      <c r="M772" s="440" t="b">
        <f t="shared" si="2"/>
        <v>0</v>
      </c>
      <c r="N772" s="441"/>
      <c r="O772" s="277"/>
      <c r="P772" s="277"/>
      <c r="Q772" s="278"/>
      <c r="R772" s="449" t="str">
        <f t="array" ref="R772">IFERROR(IFS(OR(P772="A1-Mewtwo", P772="A1-Pikachu", P772="A1-Charizard", P772="A1"), XLOOKUP(N772, 'Genetic Apex'!$C$2:$C889, 'Genetic Apex'!$B$2:$B889)-$B$4, P772="A1a", XLOOKUP(N772, 'Mythical Island'!$C$2:$C889, 'Mythical Island'!$B$2:$B889)-$B$4, OR(P772="A2-Dialga", P772="A2-Palkia", P772="A2"), XLOOKUP(N772, 'Space-Time Smackdown'!$C$2:$C889, 'Space-Time Smackdown'!$B$2:$B889)-$B$4))</f>
        <v/>
      </c>
      <c r="S772" s="277"/>
      <c r="T772" s="277"/>
      <c r="U772" s="277"/>
      <c r="V772" s="278"/>
      <c r="W772" s="443" t="str">
        <f t="array" ref="W772">IFERROR(IFS(OR(U772="A1-Mewtwo", U772="A1-Pikachu", U772="A1-Charizard", U772="A1"), $B$5-XLOOKUP(S772, 'Genetic Apex'!$C$2:$C889, 'Genetic Apex'!$B$2:$B889), U772="A1a", $B$5-XLOOKUP(S772, 'Mythical Island'!$C$2:$C889, 'Mythical Island'!$B$2:$B889), OR(U772="A2-Dialga", U772="A2-Palkia", U772="A2"), $B$5-XLOOKUP(S772, 'Space-Time Smackdown'!$C$2:$C889, 'Space-Time Smackdown'!$B$2:$B889)))</f>
        <v/>
      </c>
      <c r="X772" s="444" t="str">
        <f t="shared" si="3"/>
        <v/>
      </c>
      <c r="Y772" s="445" t="str">
        <f t="shared" si="4"/>
        <v/>
      </c>
      <c r="Z772" s="278"/>
      <c r="AA772" s="466"/>
      <c r="AB772" s="278"/>
      <c r="AC772" s="278"/>
      <c r="AD772" s="278"/>
      <c r="AE772" s="278"/>
      <c r="AF772" s="278"/>
      <c r="AG772" s="278" t="b">
        <f t="shared" si="5"/>
        <v>0</v>
      </c>
      <c r="AH772" s="454"/>
      <c r="AI772" s="278"/>
      <c r="AJ772" s="278"/>
      <c r="AK772" s="278"/>
      <c r="AL772" s="444" t="str">
        <f t="array" ref="AL772">IFERROR(IFS(OR(AJ772="A1-Mewtwo", AJ772="A1-Pikachu", AJ772="A1-Charizard", AJ772="A1"), XLOOKUP(AH772, 'Genetic Apex'!$C$2:$C889, 'Genetic Apex'!$B$2:$B889)-2, AJ772="A1a", XLOOKUP(AH772, 'Mythical Island'!$C$2:$C889, 'Mythical Island'!$B$2:$B889)-2, OR(AJ772="A2-Dialga", AJ772="A2-Palkia", AJ772="A2"), XLOOKUP(AH772, 'Space-Time Smackdown'!$C$2:$C889, 'Space-Time Smackdown'!$B$2:$B889)-2))</f>
        <v/>
      </c>
      <c r="AM772" s="444" t="str">
        <f t="shared" si="6"/>
        <v/>
      </c>
      <c r="AN772" s="448" t="str">
        <f t="shared" si="7"/>
        <v/>
      </c>
    </row>
    <row r="773">
      <c r="A773" s="277"/>
      <c r="B773" s="277"/>
      <c r="C773" s="441"/>
      <c r="D773" s="277"/>
      <c r="E773" s="277"/>
      <c r="F773" s="277"/>
      <c r="G773" s="277"/>
      <c r="H773" s="277" t="b">
        <f t="shared" si="1"/>
        <v>0</v>
      </c>
      <c r="I773" s="277"/>
      <c r="J773" s="277"/>
      <c r="K773" s="277"/>
      <c r="L773" s="277"/>
      <c r="M773" s="440" t="b">
        <f t="shared" si="2"/>
        <v>0</v>
      </c>
      <c r="N773" s="441"/>
      <c r="O773" s="277"/>
      <c r="P773" s="277"/>
      <c r="Q773" s="278"/>
      <c r="R773" s="449" t="str">
        <f t="array" ref="R773">IFERROR(IFS(OR(P773="A1-Mewtwo", P773="A1-Pikachu", P773="A1-Charizard", P773="A1"), XLOOKUP(N773, 'Genetic Apex'!$C$2:$C889, 'Genetic Apex'!$B$2:$B889)-$B$4, P773="A1a", XLOOKUP(N773, 'Mythical Island'!$C$2:$C889, 'Mythical Island'!$B$2:$B889)-$B$4, OR(P773="A2-Dialga", P773="A2-Palkia", P773="A2"), XLOOKUP(N773, 'Space-Time Smackdown'!$C$2:$C889, 'Space-Time Smackdown'!$B$2:$B889)-$B$4))</f>
        <v/>
      </c>
      <c r="S773" s="277"/>
      <c r="T773" s="277"/>
      <c r="U773" s="277"/>
      <c r="V773" s="278"/>
      <c r="W773" s="443" t="str">
        <f t="array" ref="W773">IFERROR(IFS(OR(U773="A1-Mewtwo", U773="A1-Pikachu", U773="A1-Charizard", U773="A1"), $B$5-XLOOKUP(S773, 'Genetic Apex'!$C$2:$C889, 'Genetic Apex'!$B$2:$B889), U773="A1a", $B$5-XLOOKUP(S773, 'Mythical Island'!$C$2:$C889, 'Mythical Island'!$B$2:$B889), OR(U773="A2-Dialga", U773="A2-Palkia", U773="A2"), $B$5-XLOOKUP(S773, 'Space-Time Smackdown'!$C$2:$C889, 'Space-Time Smackdown'!$B$2:$B889)))</f>
        <v/>
      </c>
      <c r="X773" s="444" t="str">
        <f t="shared" si="3"/>
        <v/>
      </c>
      <c r="Y773" s="445" t="str">
        <f t="shared" si="4"/>
        <v/>
      </c>
      <c r="Z773" s="278"/>
      <c r="AA773" s="466"/>
      <c r="AB773" s="278"/>
      <c r="AC773" s="278"/>
      <c r="AD773" s="278"/>
      <c r="AE773" s="278"/>
      <c r="AF773" s="278"/>
      <c r="AG773" s="278" t="b">
        <f t="shared" si="5"/>
        <v>0</v>
      </c>
      <c r="AH773" s="454"/>
      <c r="AI773" s="278"/>
      <c r="AJ773" s="278"/>
      <c r="AK773" s="278"/>
      <c r="AL773" s="444" t="str">
        <f t="array" ref="AL773">IFERROR(IFS(OR(AJ773="A1-Mewtwo", AJ773="A1-Pikachu", AJ773="A1-Charizard", AJ773="A1"), XLOOKUP(AH773, 'Genetic Apex'!$C$2:$C889, 'Genetic Apex'!$B$2:$B889)-2, AJ773="A1a", XLOOKUP(AH773, 'Mythical Island'!$C$2:$C889, 'Mythical Island'!$B$2:$B889)-2, OR(AJ773="A2-Dialga", AJ773="A2-Palkia", AJ773="A2"), XLOOKUP(AH773, 'Space-Time Smackdown'!$C$2:$C889, 'Space-Time Smackdown'!$B$2:$B889)-2))</f>
        <v/>
      </c>
      <c r="AM773" s="444" t="str">
        <f t="shared" si="6"/>
        <v/>
      </c>
      <c r="AN773" s="448" t="str">
        <f t="shared" si="7"/>
        <v/>
      </c>
    </row>
    <row r="774">
      <c r="A774" s="277"/>
      <c r="B774" s="277"/>
      <c r="C774" s="441"/>
      <c r="D774" s="277"/>
      <c r="E774" s="277"/>
      <c r="F774" s="277"/>
      <c r="G774" s="277"/>
      <c r="H774" s="277" t="b">
        <f t="shared" si="1"/>
        <v>0</v>
      </c>
      <c r="I774" s="277"/>
      <c r="J774" s="277"/>
      <c r="K774" s="277"/>
      <c r="L774" s="277"/>
      <c r="M774" s="440" t="b">
        <f t="shared" si="2"/>
        <v>0</v>
      </c>
      <c r="N774" s="441"/>
      <c r="O774" s="277"/>
      <c r="P774" s="277"/>
      <c r="Q774" s="278"/>
      <c r="R774" s="449" t="str">
        <f t="array" ref="R774">IFERROR(IFS(OR(P774="A1-Mewtwo", P774="A1-Pikachu", P774="A1-Charizard", P774="A1"), XLOOKUP(N774, 'Genetic Apex'!$C$2:$C889, 'Genetic Apex'!$B$2:$B889)-$B$4, P774="A1a", XLOOKUP(N774, 'Mythical Island'!$C$2:$C889, 'Mythical Island'!$B$2:$B889)-$B$4, OR(P774="A2-Dialga", P774="A2-Palkia", P774="A2"), XLOOKUP(N774, 'Space-Time Smackdown'!$C$2:$C889, 'Space-Time Smackdown'!$B$2:$B889)-$B$4))</f>
        <v/>
      </c>
      <c r="S774" s="277"/>
      <c r="T774" s="277"/>
      <c r="U774" s="277"/>
      <c r="V774" s="278"/>
      <c r="W774" s="443" t="str">
        <f t="array" ref="W774">IFERROR(IFS(OR(U774="A1-Mewtwo", U774="A1-Pikachu", U774="A1-Charizard", U774="A1"), $B$5-XLOOKUP(S774, 'Genetic Apex'!$C$2:$C889, 'Genetic Apex'!$B$2:$B889), U774="A1a", $B$5-XLOOKUP(S774, 'Mythical Island'!$C$2:$C889, 'Mythical Island'!$B$2:$B889), OR(U774="A2-Dialga", U774="A2-Palkia", U774="A2"), $B$5-XLOOKUP(S774, 'Space-Time Smackdown'!$C$2:$C889, 'Space-Time Smackdown'!$B$2:$B889)))</f>
        <v/>
      </c>
      <c r="X774" s="444" t="str">
        <f t="shared" si="3"/>
        <v/>
      </c>
      <c r="Y774" s="445" t="str">
        <f t="shared" si="4"/>
        <v/>
      </c>
      <c r="Z774" s="278"/>
      <c r="AA774" s="466"/>
      <c r="AB774" s="278"/>
      <c r="AC774" s="278"/>
      <c r="AD774" s="278"/>
      <c r="AE774" s="278"/>
      <c r="AF774" s="278"/>
      <c r="AG774" s="278" t="b">
        <f t="shared" si="5"/>
        <v>0</v>
      </c>
      <c r="AH774" s="454"/>
      <c r="AI774" s="278"/>
      <c r="AJ774" s="278"/>
      <c r="AK774" s="278"/>
      <c r="AL774" s="444" t="str">
        <f t="array" ref="AL774">IFERROR(IFS(OR(AJ774="A1-Mewtwo", AJ774="A1-Pikachu", AJ774="A1-Charizard", AJ774="A1"), XLOOKUP(AH774, 'Genetic Apex'!$C$2:$C889, 'Genetic Apex'!$B$2:$B889)-2, AJ774="A1a", XLOOKUP(AH774, 'Mythical Island'!$C$2:$C889, 'Mythical Island'!$B$2:$B889)-2, OR(AJ774="A2-Dialga", AJ774="A2-Palkia", AJ774="A2"), XLOOKUP(AH774, 'Space-Time Smackdown'!$C$2:$C889, 'Space-Time Smackdown'!$B$2:$B889)-2))</f>
        <v/>
      </c>
      <c r="AM774" s="444" t="str">
        <f t="shared" si="6"/>
        <v/>
      </c>
      <c r="AN774" s="448" t="str">
        <f t="shared" si="7"/>
        <v/>
      </c>
    </row>
    <row r="775">
      <c r="A775" s="277"/>
      <c r="B775" s="277"/>
      <c r="C775" s="441"/>
      <c r="D775" s="277"/>
      <c r="E775" s="277"/>
      <c r="F775" s="277"/>
      <c r="G775" s="277"/>
      <c r="H775" s="277" t="b">
        <f t="shared" si="1"/>
        <v>0</v>
      </c>
      <c r="I775" s="277"/>
      <c r="J775" s="277"/>
      <c r="K775" s="277"/>
      <c r="L775" s="277"/>
      <c r="M775" s="440" t="b">
        <f t="shared" si="2"/>
        <v>0</v>
      </c>
      <c r="N775" s="441"/>
      <c r="O775" s="277"/>
      <c r="P775" s="277"/>
      <c r="Q775" s="278"/>
      <c r="R775" s="449" t="str">
        <f t="array" ref="R775">IFERROR(IFS(OR(P775="A1-Mewtwo", P775="A1-Pikachu", P775="A1-Charizard", P775="A1"), XLOOKUP(N775, 'Genetic Apex'!$C$2:$C889, 'Genetic Apex'!$B$2:$B889)-$B$4, P775="A1a", XLOOKUP(N775, 'Mythical Island'!$C$2:$C889, 'Mythical Island'!$B$2:$B889)-$B$4, OR(P775="A2-Dialga", P775="A2-Palkia", P775="A2"), XLOOKUP(N775, 'Space-Time Smackdown'!$C$2:$C889, 'Space-Time Smackdown'!$B$2:$B889)-$B$4))</f>
        <v/>
      </c>
      <c r="S775" s="277"/>
      <c r="T775" s="277"/>
      <c r="U775" s="277"/>
      <c r="V775" s="278"/>
      <c r="W775" s="443" t="str">
        <f t="array" ref="W775">IFERROR(IFS(OR(U775="A1-Mewtwo", U775="A1-Pikachu", U775="A1-Charizard", U775="A1"), $B$5-XLOOKUP(S775, 'Genetic Apex'!$C$2:$C889, 'Genetic Apex'!$B$2:$B889), U775="A1a", $B$5-XLOOKUP(S775, 'Mythical Island'!$C$2:$C889, 'Mythical Island'!$B$2:$B889), OR(U775="A2-Dialga", U775="A2-Palkia", U775="A2"), $B$5-XLOOKUP(S775, 'Space-Time Smackdown'!$C$2:$C889, 'Space-Time Smackdown'!$B$2:$B889)))</f>
        <v/>
      </c>
      <c r="X775" s="444" t="str">
        <f t="shared" si="3"/>
        <v/>
      </c>
      <c r="Y775" s="445" t="str">
        <f t="shared" si="4"/>
        <v/>
      </c>
      <c r="Z775" s="278"/>
      <c r="AA775" s="466"/>
      <c r="AB775" s="278"/>
      <c r="AC775" s="278"/>
      <c r="AD775" s="278"/>
      <c r="AE775" s="278"/>
      <c r="AF775" s="278"/>
      <c r="AG775" s="278" t="b">
        <f t="shared" si="5"/>
        <v>0</v>
      </c>
      <c r="AH775" s="454"/>
      <c r="AI775" s="278"/>
      <c r="AJ775" s="278"/>
      <c r="AK775" s="278"/>
      <c r="AL775" s="444" t="str">
        <f t="array" ref="AL775">IFERROR(IFS(OR(AJ775="A1-Mewtwo", AJ775="A1-Pikachu", AJ775="A1-Charizard", AJ775="A1"), XLOOKUP(AH775, 'Genetic Apex'!$C$2:$C889, 'Genetic Apex'!$B$2:$B889)-2, AJ775="A1a", XLOOKUP(AH775, 'Mythical Island'!$C$2:$C889, 'Mythical Island'!$B$2:$B889)-2, OR(AJ775="A2-Dialga", AJ775="A2-Palkia", AJ775="A2"), XLOOKUP(AH775, 'Space-Time Smackdown'!$C$2:$C889, 'Space-Time Smackdown'!$B$2:$B889)-2))</f>
        <v/>
      </c>
      <c r="AM775" s="444" t="str">
        <f t="shared" si="6"/>
        <v/>
      </c>
      <c r="AN775" s="448" t="str">
        <f t="shared" si="7"/>
        <v/>
      </c>
    </row>
    <row r="776">
      <c r="A776" s="277"/>
      <c r="B776" s="277"/>
      <c r="C776" s="441"/>
      <c r="D776" s="277"/>
      <c r="E776" s="277"/>
      <c r="F776" s="277"/>
      <c r="G776" s="277"/>
      <c r="H776" s="277" t="b">
        <f t="shared" si="1"/>
        <v>0</v>
      </c>
      <c r="I776" s="277"/>
      <c r="J776" s="277"/>
      <c r="K776" s="277"/>
      <c r="L776" s="277"/>
      <c r="M776" s="440" t="b">
        <f t="shared" si="2"/>
        <v>0</v>
      </c>
      <c r="N776" s="441"/>
      <c r="O776" s="277"/>
      <c r="P776" s="277"/>
      <c r="Q776" s="278"/>
      <c r="R776" s="449" t="str">
        <f t="array" ref="R776">IFERROR(IFS(OR(P776="A1-Mewtwo", P776="A1-Pikachu", P776="A1-Charizard", P776="A1"), XLOOKUP(N776, 'Genetic Apex'!$C$2:$C889, 'Genetic Apex'!$B$2:$B889)-$B$4, P776="A1a", XLOOKUP(N776, 'Mythical Island'!$C$2:$C889, 'Mythical Island'!$B$2:$B889)-$B$4, OR(P776="A2-Dialga", P776="A2-Palkia", P776="A2"), XLOOKUP(N776, 'Space-Time Smackdown'!$C$2:$C889, 'Space-Time Smackdown'!$B$2:$B889)-$B$4))</f>
        <v/>
      </c>
      <c r="S776" s="277"/>
      <c r="T776" s="277"/>
      <c r="U776" s="277"/>
      <c r="V776" s="278"/>
      <c r="W776" s="443" t="str">
        <f t="array" ref="W776">IFERROR(IFS(OR(U776="A1-Mewtwo", U776="A1-Pikachu", U776="A1-Charizard", U776="A1"), $B$5-XLOOKUP(S776, 'Genetic Apex'!$C$2:$C889, 'Genetic Apex'!$B$2:$B889), U776="A1a", $B$5-XLOOKUP(S776, 'Mythical Island'!$C$2:$C889, 'Mythical Island'!$B$2:$B889), OR(U776="A2-Dialga", U776="A2-Palkia", U776="A2"), $B$5-XLOOKUP(S776, 'Space-Time Smackdown'!$C$2:$C889, 'Space-Time Smackdown'!$B$2:$B889)))</f>
        <v/>
      </c>
      <c r="X776" s="444" t="str">
        <f t="shared" si="3"/>
        <v/>
      </c>
      <c r="Y776" s="445" t="str">
        <f t="shared" si="4"/>
        <v/>
      </c>
      <c r="Z776" s="278"/>
      <c r="AA776" s="466"/>
      <c r="AB776" s="278"/>
      <c r="AC776" s="278"/>
      <c r="AD776" s="278"/>
      <c r="AE776" s="278"/>
      <c r="AF776" s="278"/>
      <c r="AG776" s="278" t="b">
        <f t="shared" si="5"/>
        <v>0</v>
      </c>
      <c r="AH776" s="454"/>
      <c r="AI776" s="278"/>
      <c r="AJ776" s="278"/>
      <c r="AK776" s="278"/>
      <c r="AL776" s="444" t="str">
        <f t="array" ref="AL776">IFERROR(IFS(OR(AJ776="A1-Mewtwo", AJ776="A1-Pikachu", AJ776="A1-Charizard", AJ776="A1"), XLOOKUP(AH776, 'Genetic Apex'!$C$2:$C889, 'Genetic Apex'!$B$2:$B889)-2, AJ776="A1a", XLOOKUP(AH776, 'Mythical Island'!$C$2:$C889, 'Mythical Island'!$B$2:$B889)-2, OR(AJ776="A2-Dialga", AJ776="A2-Palkia", AJ776="A2"), XLOOKUP(AH776, 'Space-Time Smackdown'!$C$2:$C889, 'Space-Time Smackdown'!$B$2:$B889)-2))</f>
        <v/>
      </c>
      <c r="AM776" s="444" t="str">
        <f t="shared" si="6"/>
        <v/>
      </c>
      <c r="AN776" s="448" t="str">
        <f t="shared" si="7"/>
        <v/>
      </c>
    </row>
    <row r="777">
      <c r="A777" s="277"/>
      <c r="B777" s="277"/>
      <c r="C777" s="441"/>
      <c r="D777" s="277"/>
      <c r="E777" s="277"/>
      <c r="F777" s="277"/>
      <c r="G777" s="277"/>
      <c r="H777" s="277" t="b">
        <f t="shared" si="1"/>
        <v>0</v>
      </c>
      <c r="I777" s="277"/>
      <c r="J777" s="277"/>
      <c r="K777" s="277"/>
      <c r="L777" s="277"/>
      <c r="M777" s="440" t="b">
        <f t="shared" si="2"/>
        <v>0</v>
      </c>
      <c r="N777" s="441"/>
      <c r="O777" s="277"/>
      <c r="P777" s="277"/>
      <c r="Q777" s="278"/>
      <c r="R777" s="449" t="str">
        <f t="array" ref="R777">IFERROR(IFS(OR(P777="A1-Mewtwo", P777="A1-Pikachu", P777="A1-Charizard", P777="A1"), XLOOKUP(N777, 'Genetic Apex'!$C$2:$C889, 'Genetic Apex'!$B$2:$B889)-$B$4, P777="A1a", XLOOKUP(N777, 'Mythical Island'!$C$2:$C889, 'Mythical Island'!$B$2:$B889)-$B$4, OR(P777="A2-Dialga", P777="A2-Palkia", P777="A2"), XLOOKUP(N777, 'Space-Time Smackdown'!$C$2:$C889, 'Space-Time Smackdown'!$B$2:$B889)-$B$4))</f>
        <v/>
      </c>
      <c r="S777" s="277"/>
      <c r="T777" s="277"/>
      <c r="U777" s="277"/>
      <c r="V777" s="278"/>
      <c r="W777" s="443" t="str">
        <f t="array" ref="W777">IFERROR(IFS(OR(U777="A1-Mewtwo", U777="A1-Pikachu", U777="A1-Charizard", U777="A1"), $B$5-XLOOKUP(S777, 'Genetic Apex'!$C$2:$C889, 'Genetic Apex'!$B$2:$B889), U777="A1a", $B$5-XLOOKUP(S777, 'Mythical Island'!$C$2:$C889, 'Mythical Island'!$B$2:$B889), OR(U777="A2-Dialga", U777="A2-Palkia", U777="A2"), $B$5-XLOOKUP(S777, 'Space-Time Smackdown'!$C$2:$C889, 'Space-Time Smackdown'!$B$2:$B889)))</f>
        <v/>
      </c>
      <c r="X777" s="444" t="str">
        <f t="shared" si="3"/>
        <v/>
      </c>
      <c r="Y777" s="445" t="str">
        <f t="shared" si="4"/>
        <v/>
      </c>
      <c r="Z777" s="278"/>
      <c r="AA777" s="466"/>
      <c r="AB777" s="278"/>
      <c r="AC777" s="278"/>
      <c r="AD777" s="278"/>
      <c r="AE777" s="278"/>
      <c r="AF777" s="278"/>
      <c r="AG777" s="278" t="b">
        <f t="shared" si="5"/>
        <v>0</v>
      </c>
      <c r="AH777" s="454"/>
      <c r="AI777" s="278"/>
      <c r="AJ777" s="278"/>
      <c r="AK777" s="278"/>
      <c r="AL777" s="444" t="str">
        <f t="array" ref="AL777">IFERROR(IFS(OR(AJ777="A1-Mewtwo", AJ777="A1-Pikachu", AJ777="A1-Charizard", AJ777="A1"), XLOOKUP(AH777, 'Genetic Apex'!$C$2:$C889, 'Genetic Apex'!$B$2:$B889)-2, AJ777="A1a", XLOOKUP(AH777, 'Mythical Island'!$C$2:$C889, 'Mythical Island'!$B$2:$B889)-2, OR(AJ777="A2-Dialga", AJ777="A2-Palkia", AJ777="A2"), XLOOKUP(AH777, 'Space-Time Smackdown'!$C$2:$C889, 'Space-Time Smackdown'!$B$2:$B889)-2))</f>
        <v/>
      </c>
      <c r="AM777" s="444" t="str">
        <f t="shared" si="6"/>
        <v/>
      </c>
      <c r="AN777" s="448" t="str">
        <f t="shared" si="7"/>
        <v/>
      </c>
    </row>
    <row r="778">
      <c r="A778" s="277"/>
      <c r="B778" s="277"/>
      <c r="C778" s="441"/>
      <c r="D778" s="277"/>
      <c r="E778" s="277"/>
      <c r="F778" s="277"/>
      <c r="G778" s="277"/>
      <c r="H778" s="277" t="b">
        <f t="shared" si="1"/>
        <v>0</v>
      </c>
      <c r="I778" s="277"/>
      <c r="J778" s="277"/>
      <c r="K778" s="277"/>
      <c r="L778" s="277"/>
      <c r="M778" s="440" t="b">
        <f t="shared" si="2"/>
        <v>0</v>
      </c>
      <c r="N778" s="441"/>
      <c r="O778" s="277"/>
      <c r="P778" s="277"/>
      <c r="Q778" s="278"/>
      <c r="R778" s="449" t="str">
        <f t="array" ref="R778">IFERROR(IFS(OR(P778="A1-Mewtwo", P778="A1-Pikachu", P778="A1-Charizard", P778="A1"), XLOOKUP(N778, 'Genetic Apex'!$C$2:$C889, 'Genetic Apex'!$B$2:$B889)-$B$4, P778="A1a", XLOOKUP(N778, 'Mythical Island'!$C$2:$C889, 'Mythical Island'!$B$2:$B889)-$B$4, OR(P778="A2-Dialga", P778="A2-Palkia", P778="A2"), XLOOKUP(N778, 'Space-Time Smackdown'!$C$2:$C889, 'Space-Time Smackdown'!$B$2:$B889)-$B$4))</f>
        <v/>
      </c>
      <c r="S778" s="277"/>
      <c r="T778" s="277"/>
      <c r="U778" s="277"/>
      <c r="V778" s="278"/>
      <c r="W778" s="443" t="str">
        <f t="array" ref="W778">IFERROR(IFS(OR(U778="A1-Mewtwo", U778="A1-Pikachu", U778="A1-Charizard", U778="A1"), $B$5-XLOOKUP(S778, 'Genetic Apex'!$C$2:$C889, 'Genetic Apex'!$B$2:$B889), U778="A1a", $B$5-XLOOKUP(S778, 'Mythical Island'!$C$2:$C889, 'Mythical Island'!$B$2:$B889), OR(U778="A2-Dialga", U778="A2-Palkia", U778="A2"), $B$5-XLOOKUP(S778, 'Space-Time Smackdown'!$C$2:$C889, 'Space-Time Smackdown'!$B$2:$B889)))</f>
        <v/>
      </c>
      <c r="X778" s="444" t="str">
        <f t="shared" si="3"/>
        <v/>
      </c>
      <c r="Y778" s="445" t="str">
        <f t="shared" si="4"/>
        <v/>
      </c>
      <c r="Z778" s="278"/>
      <c r="AA778" s="466"/>
      <c r="AB778" s="278"/>
      <c r="AC778" s="278"/>
      <c r="AD778" s="278"/>
      <c r="AE778" s="278"/>
      <c r="AF778" s="278"/>
      <c r="AG778" s="278" t="b">
        <f t="shared" si="5"/>
        <v>0</v>
      </c>
      <c r="AH778" s="454"/>
      <c r="AI778" s="278"/>
      <c r="AJ778" s="278"/>
      <c r="AK778" s="278"/>
      <c r="AL778" s="444" t="str">
        <f t="array" ref="AL778">IFERROR(IFS(OR(AJ778="A1-Mewtwo", AJ778="A1-Pikachu", AJ778="A1-Charizard", AJ778="A1"), XLOOKUP(AH778, 'Genetic Apex'!$C$2:$C889, 'Genetic Apex'!$B$2:$B889)-2, AJ778="A1a", XLOOKUP(AH778, 'Mythical Island'!$C$2:$C889, 'Mythical Island'!$B$2:$B889)-2, OR(AJ778="A2-Dialga", AJ778="A2-Palkia", AJ778="A2"), XLOOKUP(AH778, 'Space-Time Smackdown'!$C$2:$C889, 'Space-Time Smackdown'!$B$2:$B889)-2))</f>
        <v/>
      </c>
      <c r="AM778" s="444" t="str">
        <f t="shared" si="6"/>
        <v/>
      </c>
      <c r="AN778" s="448" t="str">
        <f t="shared" si="7"/>
        <v/>
      </c>
    </row>
    <row r="779">
      <c r="A779" s="277"/>
      <c r="B779" s="277"/>
      <c r="C779" s="441"/>
      <c r="D779" s="277"/>
      <c r="E779" s="277"/>
      <c r="F779" s="277"/>
      <c r="G779" s="277"/>
      <c r="H779" s="277" t="b">
        <f t="shared" si="1"/>
        <v>0</v>
      </c>
      <c r="I779" s="277"/>
      <c r="J779" s="277"/>
      <c r="K779" s="277"/>
      <c r="L779" s="277"/>
      <c r="M779" s="440" t="b">
        <f t="shared" si="2"/>
        <v>0</v>
      </c>
      <c r="N779" s="441"/>
      <c r="O779" s="277"/>
      <c r="P779" s="277"/>
      <c r="Q779" s="278"/>
      <c r="R779" s="449" t="str">
        <f t="array" ref="R779">IFERROR(IFS(OR(P779="A1-Mewtwo", P779="A1-Pikachu", P779="A1-Charizard", P779="A1"), XLOOKUP(N779, 'Genetic Apex'!$C$2:$C889, 'Genetic Apex'!$B$2:$B889)-$B$4, P779="A1a", XLOOKUP(N779, 'Mythical Island'!$C$2:$C889, 'Mythical Island'!$B$2:$B889)-$B$4, OR(P779="A2-Dialga", P779="A2-Palkia", P779="A2"), XLOOKUP(N779, 'Space-Time Smackdown'!$C$2:$C889, 'Space-Time Smackdown'!$B$2:$B889)-$B$4))</f>
        <v/>
      </c>
      <c r="S779" s="277"/>
      <c r="T779" s="277"/>
      <c r="U779" s="277"/>
      <c r="V779" s="278"/>
      <c r="W779" s="443" t="str">
        <f t="array" ref="W779">IFERROR(IFS(OR(U779="A1-Mewtwo", U779="A1-Pikachu", U779="A1-Charizard", U779="A1"), $B$5-XLOOKUP(S779, 'Genetic Apex'!$C$2:$C889, 'Genetic Apex'!$B$2:$B889), U779="A1a", $B$5-XLOOKUP(S779, 'Mythical Island'!$C$2:$C889, 'Mythical Island'!$B$2:$B889), OR(U779="A2-Dialga", U779="A2-Palkia", U779="A2"), $B$5-XLOOKUP(S779, 'Space-Time Smackdown'!$C$2:$C889, 'Space-Time Smackdown'!$B$2:$B889)))</f>
        <v/>
      </c>
      <c r="X779" s="444" t="str">
        <f t="shared" si="3"/>
        <v/>
      </c>
      <c r="Y779" s="445" t="str">
        <f t="shared" si="4"/>
        <v/>
      </c>
      <c r="Z779" s="278"/>
      <c r="AA779" s="466"/>
      <c r="AB779" s="278"/>
      <c r="AC779" s="278"/>
      <c r="AD779" s="278"/>
      <c r="AE779" s="278"/>
      <c r="AF779" s="278"/>
      <c r="AG779" s="278" t="b">
        <f t="shared" si="5"/>
        <v>0</v>
      </c>
      <c r="AH779" s="454"/>
      <c r="AI779" s="278"/>
      <c r="AJ779" s="278"/>
      <c r="AK779" s="278"/>
      <c r="AL779" s="444" t="str">
        <f t="array" ref="AL779">IFERROR(IFS(OR(AJ779="A1-Mewtwo", AJ779="A1-Pikachu", AJ779="A1-Charizard", AJ779="A1"), XLOOKUP(AH779, 'Genetic Apex'!$C$2:$C889, 'Genetic Apex'!$B$2:$B889)-2, AJ779="A1a", XLOOKUP(AH779, 'Mythical Island'!$C$2:$C889, 'Mythical Island'!$B$2:$B889)-2, OR(AJ779="A2-Dialga", AJ779="A2-Palkia", AJ779="A2"), XLOOKUP(AH779, 'Space-Time Smackdown'!$C$2:$C889, 'Space-Time Smackdown'!$B$2:$B889)-2))</f>
        <v/>
      </c>
      <c r="AM779" s="444" t="str">
        <f t="shared" si="6"/>
        <v/>
      </c>
      <c r="AN779" s="448" t="str">
        <f t="shared" si="7"/>
        <v/>
      </c>
    </row>
    <row r="780">
      <c r="A780" s="277"/>
      <c r="B780" s="277"/>
      <c r="C780" s="441"/>
      <c r="D780" s="277"/>
      <c r="E780" s="277"/>
      <c r="F780" s="277"/>
      <c r="G780" s="277"/>
      <c r="H780" s="277" t="b">
        <f t="shared" si="1"/>
        <v>0</v>
      </c>
      <c r="I780" s="277"/>
      <c r="J780" s="277"/>
      <c r="K780" s="277"/>
      <c r="L780" s="277"/>
      <c r="M780" s="440" t="b">
        <f t="shared" si="2"/>
        <v>0</v>
      </c>
      <c r="N780" s="441"/>
      <c r="O780" s="277"/>
      <c r="P780" s="277"/>
      <c r="Q780" s="278"/>
      <c r="R780" s="449" t="str">
        <f t="array" ref="R780">IFERROR(IFS(OR(P780="A1-Mewtwo", P780="A1-Pikachu", P780="A1-Charizard", P780="A1"), XLOOKUP(N780, 'Genetic Apex'!$C$2:$C889, 'Genetic Apex'!$B$2:$B889)-$B$4, P780="A1a", XLOOKUP(N780, 'Mythical Island'!$C$2:$C889, 'Mythical Island'!$B$2:$B889)-$B$4, OR(P780="A2-Dialga", P780="A2-Palkia", P780="A2"), XLOOKUP(N780, 'Space-Time Smackdown'!$C$2:$C889, 'Space-Time Smackdown'!$B$2:$B889)-$B$4))</f>
        <v/>
      </c>
      <c r="S780" s="277"/>
      <c r="T780" s="277"/>
      <c r="U780" s="277"/>
      <c r="V780" s="278"/>
      <c r="W780" s="443" t="str">
        <f t="array" ref="W780">IFERROR(IFS(OR(U780="A1-Mewtwo", U780="A1-Pikachu", U780="A1-Charizard", U780="A1"), $B$5-XLOOKUP(S780, 'Genetic Apex'!$C$2:$C889, 'Genetic Apex'!$B$2:$B889), U780="A1a", $B$5-XLOOKUP(S780, 'Mythical Island'!$C$2:$C889, 'Mythical Island'!$B$2:$B889), OR(U780="A2-Dialga", U780="A2-Palkia", U780="A2"), $B$5-XLOOKUP(S780, 'Space-Time Smackdown'!$C$2:$C889, 'Space-Time Smackdown'!$B$2:$B889)))</f>
        <v/>
      </c>
      <c r="X780" s="444" t="str">
        <f t="shared" si="3"/>
        <v/>
      </c>
      <c r="Y780" s="445" t="str">
        <f t="shared" si="4"/>
        <v/>
      </c>
      <c r="Z780" s="278"/>
      <c r="AA780" s="466"/>
      <c r="AB780" s="278"/>
      <c r="AC780" s="278"/>
      <c r="AD780" s="278"/>
      <c r="AE780" s="278"/>
      <c r="AF780" s="278"/>
      <c r="AG780" s="278" t="b">
        <f t="shared" si="5"/>
        <v>0</v>
      </c>
      <c r="AH780" s="454"/>
      <c r="AI780" s="278"/>
      <c r="AJ780" s="278"/>
      <c r="AK780" s="278"/>
      <c r="AL780" s="444" t="str">
        <f t="array" ref="AL780">IFERROR(IFS(OR(AJ780="A1-Mewtwo", AJ780="A1-Pikachu", AJ780="A1-Charizard", AJ780="A1"), XLOOKUP(AH780, 'Genetic Apex'!$C$2:$C889, 'Genetic Apex'!$B$2:$B889)-2, AJ780="A1a", XLOOKUP(AH780, 'Mythical Island'!$C$2:$C889, 'Mythical Island'!$B$2:$B889)-2, OR(AJ780="A2-Dialga", AJ780="A2-Palkia", AJ780="A2"), XLOOKUP(AH780, 'Space-Time Smackdown'!$C$2:$C889, 'Space-Time Smackdown'!$B$2:$B889)-2))</f>
        <v/>
      </c>
      <c r="AM780" s="444" t="str">
        <f t="shared" si="6"/>
        <v/>
      </c>
      <c r="AN780" s="448" t="str">
        <f t="shared" si="7"/>
        <v/>
      </c>
    </row>
    <row r="781">
      <c r="A781" s="277"/>
      <c r="B781" s="277"/>
      <c r="C781" s="441"/>
      <c r="D781" s="277"/>
      <c r="E781" s="277"/>
      <c r="F781" s="277"/>
      <c r="G781" s="277"/>
      <c r="H781" s="277" t="b">
        <f t="shared" si="1"/>
        <v>0</v>
      </c>
      <c r="I781" s="277"/>
      <c r="J781" s="277"/>
      <c r="K781" s="277"/>
      <c r="L781" s="277"/>
      <c r="M781" s="440" t="b">
        <f t="shared" si="2"/>
        <v>0</v>
      </c>
      <c r="N781" s="441"/>
      <c r="O781" s="277"/>
      <c r="P781" s="277"/>
      <c r="Q781" s="278"/>
      <c r="R781" s="449" t="str">
        <f t="array" ref="R781">IFERROR(IFS(OR(P781="A1-Mewtwo", P781="A1-Pikachu", P781="A1-Charizard", P781="A1"), XLOOKUP(N781, 'Genetic Apex'!$C$2:$C889, 'Genetic Apex'!$B$2:$B889)-$B$4, P781="A1a", XLOOKUP(N781, 'Mythical Island'!$C$2:$C889, 'Mythical Island'!$B$2:$B889)-$B$4, OR(P781="A2-Dialga", P781="A2-Palkia", P781="A2"), XLOOKUP(N781, 'Space-Time Smackdown'!$C$2:$C889, 'Space-Time Smackdown'!$B$2:$B889)-$B$4))</f>
        <v/>
      </c>
      <c r="S781" s="277"/>
      <c r="T781" s="277"/>
      <c r="U781" s="277"/>
      <c r="V781" s="278"/>
      <c r="W781" s="443" t="str">
        <f t="array" ref="W781">IFERROR(IFS(OR(U781="A1-Mewtwo", U781="A1-Pikachu", U781="A1-Charizard", U781="A1"), $B$5-XLOOKUP(S781, 'Genetic Apex'!$C$2:$C889, 'Genetic Apex'!$B$2:$B889), U781="A1a", $B$5-XLOOKUP(S781, 'Mythical Island'!$C$2:$C889, 'Mythical Island'!$B$2:$B889), OR(U781="A2-Dialga", U781="A2-Palkia", U781="A2"), $B$5-XLOOKUP(S781, 'Space-Time Smackdown'!$C$2:$C889, 'Space-Time Smackdown'!$B$2:$B889)))</f>
        <v/>
      </c>
      <c r="X781" s="444" t="str">
        <f t="shared" si="3"/>
        <v/>
      </c>
      <c r="Y781" s="445" t="str">
        <f t="shared" si="4"/>
        <v/>
      </c>
      <c r="Z781" s="278"/>
      <c r="AA781" s="466"/>
      <c r="AB781" s="278"/>
      <c r="AC781" s="278"/>
      <c r="AD781" s="278"/>
      <c r="AE781" s="278"/>
      <c r="AF781" s="278"/>
      <c r="AG781" s="278" t="b">
        <f t="shared" si="5"/>
        <v>0</v>
      </c>
      <c r="AH781" s="454"/>
      <c r="AI781" s="278"/>
      <c r="AJ781" s="278"/>
      <c r="AK781" s="278"/>
      <c r="AL781" s="444" t="str">
        <f t="array" ref="AL781">IFERROR(IFS(OR(AJ781="A1-Mewtwo", AJ781="A1-Pikachu", AJ781="A1-Charizard", AJ781="A1"), XLOOKUP(AH781, 'Genetic Apex'!$C$2:$C889, 'Genetic Apex'!$B$2:$B889)-2, AJ781="A1a", XLOOKUP(AH781, 'Mythical Island'!$C$2:$C889, 'Mythical Island'!$B$2:$B889)-2, OR(AJ781="A2-Dialga", AJ781="A2-Palkia", AJ781="A2"), XLOOKUP(AH781, 'Space-Time Smackdown'!$C$2:$C889, 'Space-Time Smackdown'!$B$2:$B889)-2))</f>
        <v/>
      </c>
      <c r="AM781" s="444" t="str">
        <f t="shared" si="6"/>
        <v/>
      </c>
      <c r="AN781" s="448" t="str">
        <f t="shared" si="7"/>
        <v/>
      </c>
    </row>
    <row r="782">
      <c r="A782" s="277"/>
      <c r="B782" s="277"/>
      <c r="C782" s="441"/>
      <c r="D782" s="277"/>
      <c r="E782" s="277"/>
      <c r="F782" s="277"/>
      <c r="G782" s="277"/>
      <c r="H782" s="277" t="b">
        <f t="shared" si="1"/>
        <v>0</v>
      </c>
      <c r="I782" s="277"/>
      <c r="J782" s="277"/>
      <c r="K782" s="277"/>
      <c r="L782" s="277"/>
      <c r="M782" s="440" t="b">
        <f t="shared" si="2"/>
        <v>0</v>
      </c>
      <c r="N782" s="441"/>
      <c r="O782" s="277"/>
      <c r="P782" s="277"/>
      <c r="Q782" s="278"/>
      <c r="R782" s="449" t="str">
        <f t="array" ref="R782">IFERROR(IFS(OR(P782="A1-Mewtwo", P782="A1-Pikachu", P782="A1-Charizard", P782="A1"), XLOOKUP(N782, 'Genetic Apex'!$C$2:$C889, 'Genetic Apex'!$B$2:$B889)-$B$4, P782="A1a", XLOOKUP(N782, 'Mythical Island'!$C$2:$C889, 'Mythical Island'!$B$2:$B889)-$B$4, OR(P782="A2-Dialga", P782="A2-Palkia", P782="A2"), XLOOKUP(N782, 'Space-Time Smackdown'!$C$2:$C889, 'Space-Time Smackdown'!$B$2:$B889)-$B$4))</f>
        <v/>
      </c>
      <c r="S782" s="277"/>
      <c r="T782" s="277"/>
      <c r="U782" s="277"/>
      <c r="V782" s="278"/>
      <c r="W782" s="443" t="str">
        <f t="array" ref="W782">IFERROR(IFS(OR(U782="A1-Mewtwo", U782="A1-Pikachu", U782="A1-Charizard", U782="A1"), $B$5-XLOOKUP(S782, 'Genetic Apex'!$C$2:$C889, 'Genetic Apex'!$B$2:$B889), U782="A1a", $B$5-XLOOKUP(S782, 'Mythical Island'!$C$2:$C889, 'Mythical Island'!$B$2:$B889), OR(U782="A2-Dialga", U782="A2-Palkia", U782="A2"), $B$5-XLOOKUP(S782, 'Space-Time Smackdown'!$C$2:$C889, 'Space-Time Smackdown'!$B$2:$B889)))</f>
        <v/>
      </c>
      <c r="X782" s="444" t="str">
        <f t="shared" si="3"/>
        <v/>
      </c>
      <c r="Y782" s="445" t="str">
        <f t="shared" si="4"/>
        <v/>
      </c>
      <c r="Z782" s="278"/>
      <c r="AA782" s="466"/>
      <c r="AB782" s="278"/>
      <c r="AC782" s="278"/>
      <c r="AD782" s="278"/>
      <c r="AE782" s="278"/>
      <c r="AF782" s="278"/>
      <c r="AG782" s="278" t="b">
        <f t="shared" si="5"/>
        <v>0</v>
      </c>
      <c r="AH782" s="454"/>
      <c r="AI782" s="278"/>
      <c r="AJ782" s="278"/>
      <c r="AK782" s="278"/>
      <c r="AL782" s="444" t="str">
        <f t="array" ref="AL782">IFERROR(IFS(OR(AJ782="A1-Mewtwo", AJ782="A1-Pikachu", AJ782="A1-Charizard", AJ782="A1"), XLOOKUP(AH782, 'Genetic Apex'!$C$2:$C889, 'Genetic Apex'!$B$2:$B889)-2, AJ782="A1a", XLOOKUP(AH782, 'Mythical Island'!$C$2:$C889, 'Mythical Island'!$B$2:$B889)-2, OR(AJ782="A2-Dialga", AJ782="A2-Palkia", AJ782="A2"), XLOOKUP(AH782, 'Space-Time Smackdown'!$C$2:$C889, 'Space-Time Smackdown'!$B$2:$B889)-2))</f>
        <v/>
      </c>
      <c r="AM782" s="444" t="str">
        <f t="shared" si="6"/>
        <v/>
      </c>
      <c r="AN782" s="448" t="str">
        <f t="shared" si="7"/>
        <v/>
      </c>
    </row>
    <row r="783">
      <c r="A783" s="277"/>
      <c r="B783" s="277"/>
      <c r="C783" s="441"/>
      <c r="D783" s="277"/>
      <c r="E783" s="277"/>
      <c r="F783" s="277"/>
      <c r="G783" s="277"/>
      <c r="H783" s="277" t="b">
        <f t="shared" si="1"/>
        <v>0</v>
      </c>
      <c r="I783" s="277"/>
      <c r="J783" s="277"/>
      <c r="K783" s="277"/>
      <c r="L783" s="277"/>
      <c r="M783" s="440" t="b">
        <f t="shared" si="2"/>
        <v>0</v>
      </c>
      <c r="N783" s="441"/>
      <c r="O783" s="277"/>
      <c r="P783" s="277"/>
      <c r="Q783" s="278"/>
      <c r="R783" s="449" t="str">
        <f t="array" ref="R783">IFERROR(IFS(OR(P783="A1-Mewtwo", P783="A1-Pikachu", P783="A1-Charizard", P783="A1"), XLOOKUP(N783, 'Genetic Apex'!$C$2:$C889, 'Genetic Apex'!$B$2:$B889)-$B$4, P783="A1a", XLOOKUP(N783, 'Mythical Island'!$C$2:$C889, 'Mythical Island'!$B$2:$B889)-$B$4, OR(P783="A2-Dialga", P783="A2-Palkia", P783="A2"), XLOOKUP(N783, 'Space-Time Smackdown'!$C$2:$C889, 'Space-Time Smackdown'!$B$2:$B889)-$B$4))</f>
        <v/>
      </c>
      <c r="S783" s="277"/>
      <c r="T783" s="277"/>
      <c r="U783" s="277"/>
      <c r="V783" s="278"/>
      <c r="W783" s="443" t="str">
        <f t="array" ref="W783">IFERROR(IFS(OR(U783="A1-Mewtwo", U783="A1-Pikachu", U783="A1-Charizard", U783="A1"), $B$5-XLOOKUP(S783, 'Genetic Apex'!$C$2:$C889, 'Genetic Apex'!$B$2:$B889), U783="A1a", $B$5-XLOOKUP(S783, 'Mythical Island'!$C$2:$C889, 'Mythical Island'!$B$2:$B889), OR(U783="A2-Dialga", U783="A2-Palkia", U783="A2"), $B$5-XLOOKUP(S783, 'Space-Time Smackdown'!$C$2:$C889, 'Space-Time Smackdown'!$B$2:$B889)))</f>
        <v/>
      </c>
      <c r="X783" s="444" t="str">
        <f t="shared" si="3"/>
        <v/>
      </c>
      <c r="Y783" s="445" t="str">
        <f t="shared" si="4"/>
        <v/>
      </c>
      <c r="Z783" s="278"/>
      <c r="AA783" s="466"/>
      <c r="AB783" s="278"/>
      <c r="AC783" s="278"/>
      <c r="AD783" s="278"/>
      <c r="AE783" s="278"/>
      <c r="AF783" s="278"/>
      <c r="AG783" s="278" t="b">
        <f t="shared" si="5"/>
        <v>0</v>
      </c>
      <c r="AH783" s="454"/>
      <c r="AI783" s="278"/>
      <c r="AJ783" s="278"/>
      <c r="AK783" s="278"/>
      <c r="AL783" s="444" t="str">
        <f t="array" ref="AL783">IFERROR(IFS(OR(AJ783="A1-Mewtwo", AJ783="A1-Pikachu", AJ783="A1-Charizard", AJ783="A1"), XLOOKUP(AH783, 'Genetic Apex'!$C$2:$C889, 'Genetic Apex'!$B$2:$B889)-2, AJ783="A1a", XLOOKUP(AH783, 'Mythical Island'!$C$2:$C889, 'Mythical Island'!$B$2:$B889)-2, OR(AJ783="A2-Dialga", AJ783="A2-Palkia", AJ783="A2"), XLOOKUP(AH783, 'Space-Time Smackdown'!$C$2:$C889, 'Space-Time Smackdown'!$B$2:$B889)-2))</f>
        <v/>
      </c>
      <c r="AM783" s="444" t="str">
        <f t="shared" si="6"/>
        <v/>
      </c>
      <c r="AN783" s="448" t="str">
        <f t="shared" si="7"/>
        <v/>
      </c>
    </row>
    <row r="784">
      <c r="A784" s="277"/>
      <c r="B784" s="277"/>
      <c r="C784" s="441"/>
      <c r="D784" s="277"/>
      <c r="E784" s="277"/>
      <c r="F784" s="277"/>
      <c r="G784" s="277"/>
      <c r="H784" s="277" t="b">
        <f t="shared" si="1"/>
        <v>0</v>
      </c>
      <c r="I784" s="277"/>
      <c r="J784" s="277"/>
      <c r="K784" s="277"/>
      <c r="L784" s="277"/>
      <c r="M784" s="440" t="b">
        <f t="shared" si="2"/>
        <v>0</v>
      </c>
      <c r="N784" s="441"/>
      <c r="O784" s="277"/>
      <c r="P784" s="277"/>
      <c r="Q784" s="278"/>
      <c r="R784" s="449" t="str">
        <f t="array" ref="R784">IFERROR(IFS(OR(P784="A1-Mewtwo", P784="A1-Pikachu", P784="A1-Charizard", P784="A1"), XLOOKUP(N784, 'Genetic Apex'!$C$2:$C889, 'Genetic Apex'!$B$2:$B889)-$B$4, P784="A1a", XLOOKUP(N784, 'Mythical Island'!$C$2:$C889, 'Mythical Island'!$B$2:$B889)-$B$4, OR(P784="A2-Dialga", P784="A2-Palkia", P784="A2"), XLOOKUP(N784, 'Space-Time Smackdown'!$C$2:$C889, 'Space-Time Smackdown'!$B$2:$B889)-$B$4))</f>
        <v/>
      </c>
      <c r="S784" s="277"/>
      <c r="T784" s="277"/>
      <c r="U784" s="277"/>
      <c r="V784" s="278"/>
      <c r="W784" s="443" t="str">
        <f t="array" ref="W784">IFERROR(IFS(OR(U784="A1-Mewtwo", U784="A1-Pikachu", U784="A1-Charizard", U784="A1"), $B$5-XLOOKUP(S784, 'Genetic Apex'!$C$2:$C889, 'Genetic Apex'!$B$2:$B889), U784="A1a", $B$5-XLOOKUP(S784, 'Mythical Island'!$C$2:$C889, 'Mythical Island'!$B$2:$B889), OR(U784="A2-Dialga", U784="A2-Palkia", U784="A2"), $B$5-XLOOKUP(S784, 'Space-Time Smackdown'!$C$2:$C889, 'Space-Time Smackdown'!$B$2:$B889)))</f>
        <v/>
      </c>
      <c r="X784" s="444" t="str">
        <f t="shared" si="3"/>
        <v/>
      </c>
      <c r="Y784" s="445" t="str">
        <f t="shared" si="4"/>
        <v/>
      </c>
      <c r="Z784" s="278"/>
      <c r="AA784" s="466"/>
      <c r="AB784" s="278"/>
      <c r="AC784" s="278"/>
      <c r="AD784" s="278"/>
      <c r="AE784" s="278"/>
      <c r="AF784" s="278"/>
      <c r="AG784" s="278" t="b">
        <f t="shared" si="5"/>
        <v>0</v>
      </c>
      <c r="AH784" s="454"/>
      <c r="AI784" s="278"/>
      <c r="AJ784" s="278"/>
      <c r="AK784" s="278"/>
      <c r="AL784" s="444" t="str">
        <f t="array" ref="AL784">IFERROR(IFS(OR(AJ784="A1-Mewtwo", AJ784="A1-Pikachu", AJ784="A1-Charizard", AJ784="A1"), XLOOKUP(AH784, 'Genetic Apex'!$C$2:$C889, 'Genetic Apex'!$B$2:$B889)-2, AJ784="A1a", XLOOKUP(AH784, 'Mythical Island'!$C$2:$C889, 'Mythical Island'!$B$2:$B889)-2, OR(AJ784="A2-Dialga", AJ784="A2-Palkia", AJ784="A2"), XLOOKUP(AH784, 'Space-Time Smackdown'!$C$2:$C889, 'Space-Time Smackdown'!$B$2:$B889)-2))</f>
        <v/>
      </c>
      <c r="AM784" s="444" t="str">
        <f t="shared" si="6"/>
        <v/>
      </c>
      <c r="AN784" s="448" t="str">
        <f t="shared" si="7"/>
        <v/>
      </c>
    </row>
    <row r="785">
      <c r="A785" s="277"/>
      <c r="B785" s="277"/>
      <c r="C785" s="441"/>
      <c r="D785" s="277"/>
      <c r="E785" s="277"/>
      <c r="F785" s="277"/>
      <c r="G785" s="277"/>
      <c r="H785" s="277" t="b">
        <f t="shared" si="1"/>
        <v>0</v>
      </c>
      <c r="I785" s="277"/>
      <c r="J785" s="277"/>
      <c r="K785" s="277"/>
      <c r="L785" s="277"/>
      <c r="M785" s="440" t="b">
        <f t="shared" si="2"/>
        <v>0</v>
      </c>
      <c r="N785" s="441"/>
      <c r="O785" s="277"/>
      <c r="P785" s="277"/>
      <c r="Q785" s="278"/>
      <c r="R785" s="449" t="str">
        <f t="array" ref="R785">IFERROR(IFS(OR(P785="A1-Mewtwo", P785="A1-Pikachu", P785="A1-Charizard", P785="A1"), XLOOKUP(N785, 'Genetic Apex'!$C$2:$C889, 'Genetic Apex'!$B$2:$B889)-$B$4, P785="A1a", XLOOKUP(N785, 'Mythical Island'!$C$2:$C889, 'Mythical Island'!$B$2:$B889)-$B$4, OR(P785="A2-Dialga", P785="A2-Palkia", P785="A2"), XLOOKUP(N785, 'Space-Time Smackdown'!$C$2:$C889, 'Space-Time Smackdown'!$B$2:$B889)-$B$4))</f>
        <v/>
      </c>
      <c r="S785" s="277"/>
      <c r="T785" s="277"/>
      <c r="U785" s="277"/>
      <c r="V785" s="278"/>
      <c r="W785" s="443" t="str">
        <f t="array" ref="W785">IFERROR(IFS(OR(U785="A1-Mewtwo", U785="A1-Pikachu", U785="A1-Charizard", U785="A1"), $B$5-XLOOKUP(S785, 'Genetic Apex'!$C$2:$C889, 'Genetic Apex'!$B$2:$B889), U785="A1a", $B$5-XLOOKUP(S785, 'Mythical Island'!$C$2:$C889, 'Mythical Island'!$B$2:$B889), OR(U785="A2-Dialga", U785="A2-Palkia", U785="A2"), $B$5-XLOOKUP(S785, 'Space-Time Smackdown'!$C$2:$C889, 'Space-Time Smackdown'!$B$2:$B889)))</f>
        <v/>
      </c>
      <c r="X785" s="444" t="str">
        <f t="shared" si="3"/>
        <v/>
      </c>
      <c r="Y785" s="445" t="str">
        <f t="shared" si="4"/>
        <v/>
      </c>
      <c r="Z785" s="278"/>
      <c r="AA785" s="466"/>
      <c r="AB785" s="278"/>
      <c r="AC785" s="278"/>
      <c r="AD785" s="278"/>
      <c r="AE785" s="278"/>
      <c r="AF785" s="278"/>
      <c r="AG785" s="278" t="b">
        <f t="shared" si="5"/>
        <v>0</v>
      </c>
      <c r="AH785" s="454"/>
      <c r="AI785" s="278"/>
      <c r="AJ785" s="278"/>
      <c r="AK785" s="278"/>
      <c r="AL785" s="444" t="str">
        <f t="array" ref="AL785">IFERROR(IFS(OR(AJ785="A1-Mewtwo", AJ785="A1-Pikachu", AJ785="A1-Charizard", AJ785="A1"), XLOOKUP(AH785, 'Genetic Apex'!$C$2:$C889, 'Genetic Apex'!$B$2:$B889)-2, AJ785="A1a", XLOOKUP(AH785, 'Mythical Island'!$C$2:$C889, 'Mythical Island'!$B$2:$B889)-2, OR(AJ785="A2-Dialga", AJ785="A2-Palkia", AJ785="A2"), XLOOKUP(AH785, 'Space-Time Smackdown'!$C$2:$C889, 'Space-Time Smackdown'!$B$2:$B889)-2))</f>
        <v/>
      </c>
      <c r="AM785" s="444" t="str">
        <f t="shared" si="6"/>
        <v/>
      </c>
      <c r="AN785" s="448" t="str">
        <f t="shared" si="7"/>
        <v/>
      </c>
    </row>
    <row r="786">
      <c r="A786" s="277"/>
      <c r="B786" s="277"/>
      <c r="C786" s="441"/>
      <c r="D786" s="277"/>
      <c r="E786" s="277"/>
      <c r="F786" s="277"/>
      <c r="G786" s="277"/>
      <c r="H786" s="277" t="b">
        <f t="shared" si="1"/>
        <v>0</v>
      </c>
      <c r="I786" s="277"/>
      <c r="J786" s="277"/>
      <c r="K786" s="277"/>
      <c r="L786" s="277"/>
      <c r="M786" s="440" t="b">
        <f t="shared" si="2"/>
        <v>0</v>
      </c>
      <c r="N786" s="441"/>
      <c r="O786" s="277"/>
      <c r="P786" s="277"/>
      <c r="Q786" s="278"/>
      <c r="R786" s="449" t="str">
        <f t="array" ref="R786">IFERROR(IFS(OR(P786="A1-Mewtwo", P786="A1-Pikachu", P786="A1-Charizard", P786="A1"), XLOOKUP(N786, 'Genetic Apex'!$C$2:$C889, 'Genetic Apex'!$B$2:$B889)-$B$4, P786="A1a", XLOOKUP(N786, 'Mythical Island'!$C$2:$C889, 'Mythical Island'!$B$2:$B889)-$B$4, OR(P786="A2-Dialga", P786="A2-Palkia", P786="A2"), XLOOKUP(N786, 'Space-Time Smackdown'!$C$2:$C889, 'Space-Time Smackdown'!$B$2:$B889)-$B$4))</f>
        <v/>
      </c>
      <c r="S786" s="277"/>
      <c r="T786" s="277"/>
      <c r="U786" s="277"/>
      <c r="V786" s="278"/>
      <c r="W786" s="443" t="str">
        <f t="array" ref="W786">IFERROR(IFS(OR(U786="A1-Mewtwo", U786="A1-Pikachu", U786="A1-Charizard", U786="A1"), $B$5-XLOOKUP(S786, 'Genetic Apex'!$C$2:$C889, 'Genetic Apex'!$B$2:$B889), U786="A1a", $B$5-XLOOKUP(S786, 'Mythical Island'!$C$2:$C889, 'Mythical Island'!$B$2:$B889), OR(U786="A2-Dialga", U786="A2-Palkia", U786="A2"), $B$5-XLOOKUP(S786, 'Space-Time Smackdown'!$C$2:$C889, 'Space-Time Smackdown'!$B$2:$B889)))</f>
        <v/>
      </c>
      <c r="X786" s="444" t="str">
        <f t="shared" si="3"/>
        <v/>
      </c>
      <c r="Y786" s="445" t="str">
        <f t="shared" si="4"/>
        <v/>
      </c>
      <c r="Z786" s="278"/>
      <c r="AA786" s="466"/>
      <c r="AB786" s="278"/>
      <c r="AC786" s="278"/>
      <c r="AD786" s="278"/>
      <c r="AE786" s="278"/>
      <c r="AF786" s="278"/>
      <c r="AG786" s="278" t="b">
        <f t="shared" si="5"/>
        <v>0</v>
      </c>
      <c r="AH786" s="454"/>
      <c r="AI786" s="278"/>
      <c r="AJ786" s="278"/>
      <c r="AK786" s="278"/>
      <c r="AL786" s="444" t="str">
        <f t="array" ref="AL786">IFERROR(IFS(OR(AJ786="A1-Mewtwo", AJ786="A1-Pikachu", AJ786="A1-Charizard", AJ786="A1"), XLOOKUP(AH786, 'Genetic Apex'!$C$2:$C889, 'Genetic Apex'!$B$2:$B889)-2, AJ786="A1a", XLOOKUP(AH786, 'Mythical Island'!$C$2:$C889, 'Mythical Island'!$B$2:$B889)-2, OR(AJ786="A2-Dialga", AJ786="A2-Palkia", AJ786="A2"), XLOOKUP(AH786, 'Space-Time Smackdown'!$C$2:$C889, 'Space-Time Smackdown'!$B$2:$B889)-2))</f>
        <v/>
      </c>
      <c r="AM786" s="444" t="str">
        <f t="shared" si="6"/>
        <v/>
      </c>
      <c r="AN786" s="448" t="str">
        <f t="shared" si="7"/>
        <v/>
      </c>
    </row>
    <row r="787">
      <c r="A787" s="277"/>
      <c r="B787" s="277"/>
      <c r="C787" s="441"/>
      <c r="D787" s="277"/>
      <c r="E787" s="277"/>
      <c r="F787" s="277"/>
      <c r="G787" s="277"/>
      <c r="H787" s="277" t="b">
        <f t="shared" si="1"/>
        <v>0</v>
      </c>
      <c r="I787" s="277"/>
      <c r="J787" s="277"/>
      <c r="K787" s="277"/>
      <c r="L787" s="277"/>
      <c r="M787" s="440" t="b">
        <f t="shared" si="2"/>
        <v>0</v>
      </c>
      <c r="N787" s="441"/>
      <c r="O787" s="277"/>
      <c r="P787" s="277"/>
      <c r="Q787" s="278"/>
      <c r="R787" s="449" t="str">
        <f t="array" ref="R787">IFERROR(IFS(OR(P787="A1-Mewtwo", P787="A1-Pikachu", P787="A1-Charizard", P787="A1"), XLOOKUP(N787, 'Genetic Apex'!$C$2:$C889, 'Genetic Apex'!$B$2:$B889)-$B$4, P787="A1a", XLOOKUP(N787, 'Mythical Island'!$C$2:$C889, 'Mythical Island'!$B$2:$B889)-$B$4, OR(P787="A2-Dialga", P787="A2-Palkia", P787="A2"), XLOOKUP(N787, 'Space-Time Smackdown'!$C$2:$C889, 'Space-Time Smackdown'!$B$2:$B889)-$B$4))</f>
        <v/>
      </c>
      <c r="S787" s="277"/>
      <c r="T787" s="277"/>
      <c r="U787" s="277"/>
      <c r="V787" s="278"/>
      <c r="W787" s="443" t="str">
        <f t="array" ref="W787">IFERROR(IFS(OR(U787="A1-Mewtwo", U787="A1-Pikachu", U787="A1-Charizard", U787="A1"), $B$5-XLOOKUP(S787, 'Genetic Apex'!$C$2:$C889, 'Genetic Apex'!$B$2:$B889), U787="A1a", $B$5-XLOOKUP(S787, 'Mythical Island'!$C$2:$C889, 'Mythical Island'!$B$2:$B889), OR(U787="A2-Dialga", U787="A2-Palkia", U787="A2"), $B$5-XLOOKUP(S787, 'Space-Time Smackdown'!$C$2:$C889, 'Space-Time Smackdown'!$B$2:$B889)))</f>
        <v/>
      </c>
      <c r="X787" s="444" t="str">
        <f t="shared" si="3"/>
        <v/>
      </c>
      <c r="Y787" s="445" t="str">
        <f t="shared" si="4"/>
        <v/>
      </c>
      <c r="Z787" s="278"/>
      <c r="AA787" s="466"/>
      <c r="AB787" s="278"/>
      <c r="AC787" s="278"/>
      <c r="AD787" s="278"/>
      <c r="AE787" s="278"/>
      <c r="AF787" s="278"/>
      <c r="AG787" s="278" t="b">
        <f t="shared" si="5"/>
        <v>0</v>
      </c>
      <c r="AH787" s="454"/>
      <c r="AI787" s="278"/>
      <c r="AJ787" s="278"/>
      <c r="AK787" s="278"/>
      <c r="AL787" s="444" t="str">
        <f t="array" ref="AL787">IFERROR(IFS(OR(AJ787="A1-Mewtwo", AJ787="A1-Pikachu", AJ787="A1-Charizard", AJ787="A1"), XLOOKUP(AH787, 'Genetic Apex'!$C$2:$C889, 'Genetic Apex'!$B$2:$B889)-2, AJ787="A1a", XLOOKUP(AH787, 'Mythical Island'!$C$2:$C889, 'Mythical Island'!$B$2:$B889)-2, OR(AJ787="A2-Dialga", AJ787="A2-Palkia", AJ787="A2"), XLOOKUP(AH787, 'Space-Time Smackdown'!$C$2:$C889, 'Space-Time Smackdown'!$B$2:$B889)-2))</f>
        <v/>
      </c>
      <c r="AM787" s="444" t="str">
        <f t="shared" si="6"/>
        <v/>
      </c>
      <c r="AN787" s="448" t="str">
        <f t="shared" si="7"/>
        <v/>
      </c>
    </row>
    <row r="788">
      <c r="A788" s="277"/>
      <c r="B788" s="277"/>
      <c r="C788" s="441"/>
      <c r="D788" s="277"/>
      <c r="E788" s="277"/>
      <c r="F788" s="277"/>
      <c r="G788" s="277"/>
      <c r="H788" s="277" t="b">
        <f t="shared" si="1"/>
        <v>0</v>
      </c>
      <c r="I788" s="277"/>
      <c r="J788" s="277"/>
      <c r="K788" s="277"/>
      <c r="L788" s="277"/>
      <c r="M788" s="440" t="b">
        <f t="shared" si="2"/>
        <v>0</v>
      </c>
      <c r="N788" s="441"/>
      <c r="O788" s="277"/>
      <c r="P788" s="277"/>
      <c r="Q788" s="278"/>
      <c r="R788" s="449" t="str">
        <f t="array" ref="R788">IFERROR(IFS(OR(P788="A1-Mewtwo", P788="A1-Pikachu", P788="A1-Charizard", P788="A1"), XLOOKUP(N788, 'Genetic Apex'!$C$2:$C889, 'Genetic Apex'!$B$2:$B889)-$B$4, P788="A1a", XLOOKUP(N788, 'Mythical Island'!$C$2:$C889, 'Mythical Island'!$B$2:$B889)-$B$4, OR(P788="A2-Dialga", P788="A2-Palkia", P788="A2"), XLOOKUP(N788, 'Space-Time Smackdown'!$C$2:$C889, 'Space-Time Smackdown'!$B$2:$B889)-$B$4))</f>
        <v/>
      </c>
      <c r="S788" s="277"/>
      <c r="T788" s="277"/>
      <c r="U788" s="277"/>
      <c r="V788" s="278"/>
      <c r="W788" s="443" t="str">
        <f t="array" ref="W788">IFERROR(IFS(OR(U788="A1-Mewtwo", U788="A1-Pikachu", U788="A1-Charizard", U788="A1"), $B$5-XLOOKUP(S788, 'Genetic Apex'!$C$2:$C889, 'Genetic Apex'!$B$2:$B889), U788="A1a", $B$5-XLOOKUP(S788, 'Mythical Island'!$C$2:$C889, 'Mythical Island'!$B$2:$B889), OR(U788="A2-Dialga", U788="A2-Palkia", U788="A2"), $B$5-XLOOKUP(S788, 'Space-Time Smackdown'!$C$2:$C889, 'Space-Time Smackdown'!$B$2:$B889)))</f>
        <v/>
      </c>
      <c r="X788" s="444" t="str">
        <f t="shared" si="3"/>
        <v/>
      </c>
      <c r="Y788" s="445" t="str">
        <f t="shared" si="4"/>
        <v/>
      </c>
      <c r="Z788" s="278"/>
      <c r="AA788" s="466"/>
      <c r="AB788" s="278"/>
      <c r="AC788" s="278"/>
      <c r="AD788" s="278"/>
      <c r="AE788" s="278"/>
      <c r="AF788" s="278"/>
      <c r="AG788" s="278" t="b">
        <f t="shared" si="5"/>
        <v>0</v>
      </c>
      <c r="AH788" s="454"/>
      <c r="AI788" s="278"/>
      <c r="AJ788" s="278"/>
      <c r="AK788" s="278"/>
      <c r="AL788" s="444" t="str">
        <f t="array" ref="AL788">IFERROR(IFS(OR(AJ788="A1-Mewtwo", AJ788="A1-Pikachu", AJ788="A1-Charizard", AJ788="A1"), XLOOKUP(AH788, 'Genetic Apex'!$C$2:$C889, 'Genetic Apex'!$B$2:$B889)-2, AJ788="A1a", XLOOKUP(AH788, 'Mythical Island'!$C$2:$C889, 'Mythical Island'!$B$2:$B889)-2, OR(AJ788="A2-Dialga", AJ788="A2-Palkia", AJ788="A2"), XLOOKUP(AH788, 'Space-Time Smackdown'!$C$2:$C889, 'Space-Time Smackdown'!$B$2:$B889)-2))</f>
        <v/>
      </c>
      <c r="AM788" s="444" t="str">
        <f t="shared" si="6"/>
        <v/>
      </c>
      <c r="AN788" s="448" t="str">
        <f t="shared" si="7"/>
        <v/>
      </c>
    </row>
    <row r="789">
      <c r="A789" s="277"/>
      <c r="B789" s="277"/>
      <c r="C789" s="441"/>
      <c r="D789" s="277"/>
      <c r="E789" s="277"/>
      <c r="F789" s="277"/>
      <c r="G789" s="277"/>
      <c r="H789" s="277" t="b">
        <f t="shared" si="1"/>
        <v>0</v>
      </c>
      <c r="I789" s="277"/>
      <c r="J789" s="277"/>
      <c r="K789" s="277"/>
      <c r="L789" s="277"/>
      <c r="M789" s="440" t="b">
        <f t="shared" si="2"/>
        <v>0</v>
      </c>
      <c r="N789" s="441"/>
      <c r="O789" s="277"/>
      <c r="P789" s="277"/>
      <c r="Q789" s="278"/>
      <c r="R789" s="449" t="str">
        <f t="array" ref="R789">IFERROR(IFS(OR(P789="A1-Mewtwo", P789="A1-Pikachu", P789="A1-Charizard", P789="A1"), XLOOKUP(N789, 'Genetic Apex'!$C$2:$C889, 'Genetic Apex'!$B$2:$B889)-$B$4, P789="A1a", XLOOKUP(N789, 'Mythical Island'!$C$2:$C889, 'Mythical Island'!$B$2:$B889)-$B$4, OR(P789="A2-Dialga", P789="A2-Palkia", P789="A2"), XLOOKUP(N789, 'Space-Time Smackdown'!$C$2:$C889, 'Space-Time Smackdown'!$B$2:$B889)-$B$4))</f>
        <v/>
      </c>
      <c r="S789" s="277"/>
      <c r="T789" s="277"/>
      <c r="U789" s="277"/>
      <c r="V789" s="278"/>
      <c r="W789" s="443" t="str">
        <f t="array" ref="W789">IFERROR(IFS(OR(U789="A1-Mewtwo", U789="A1-Pikachu", U789="A1-Charizard", U789="A1"), $B$5-XLOOKUP(S789, 'Genetic Apex'!$C$2:$C889, 'Genetic Apex'!$B$2:$B889), U789="A1a", $B$5-XLOOKUP(S789, 'Mythical Island'!$C$2:$C889, 'Mythical Island'!$B$2:$B889), OR(U789="A2-Dialga", U789="A2-Palkia", U789="A2"), $B$5-XLOOKUP(S789, 'Space-Time Smackdown'!$C$2:$C889, 'Space-Time Smackdown'!$B$2:$B889)))</f>
        <v/>
      </c>
      <c r="X789" s="444" t="str">
        <f t="shared" si="3"/>
        <v/>
      </c>
      <c r="Y789" s="445" t="str">
        <f t="shared" si="4"/>
        <v/>
      </c>
      <c r="Z789" s="278"/>
      <c r="AA789" s="466"/>
      <c r="AB789" s="278"/>
      <c r="AC789" s="278"/>
      <c r="AD789" s="278"/>
      <c r="AE789" s="278"/>
      <c r="AF789" s="278"/>
      <c r="AG789" s="278" t="b">
        <f t="shared" si="5"/>
        <v>0</v>
      </c>
      <c r="AH789" s="454"/>
      <c r="AI789" s="278"/>
      <c r="AJ789" s="278"/>
      <c r="AK789" s="278"/>
      <c r="AL789" s="444" t="str">
        <f t="array" ref="AL789">IFERROR(IFS(OR(AJ789="A1-Mewtwo", AJ789="A1-Pikachu", AJ789="A1-Charizard", AJ789="A1"), XLOOKUP(AH789, 'Genetic Apex'!$C$2:$C889, 'Genetic Apex'!$B$2:$B889)-2, AJ789="A1a", XLOOKUP(AH789, 'Mythical Island'!$C$2:$C889, 'Mythical Island'!$B$2:$B889)-2, OR(AJ789="A2-Dialga", AJ789="A2-Palkia", AJ789="A2"), XLOOKUP(AH789, 'Space-Time Smackdown'!$C$2:$C889, 'Space-Time Smackdown'!$B$2:$B889)-2))</f>
        <v/>
      </c>
      <c r="AM789" s="444" t="str">
        <f t="shared" si="6"/>
        <v/>
      </c>
      <c r="AN789" s="448" t="str">
        <f t="shared" si="7"/>
        <v/>
      </c>
    </row>
    <row r="790">
      <c r="A790" s="277"/>
      <c r="B790" s="277"/>
      <c r="C790" s="441"/>
      <c r="D790" s="277"/>
      <c r="E790" s="277"/>
      <c r="F790" s="277"/>
      <c r="G790" s="277"/>
      <c r="H790" s="277" t="b">
        <f t="shared" si="1"/>
        <v>0</v>
      </c>
      <c r="I790" s="277"/>
      <c r="J790" s="277"/>
      <c r="K790" s="277"/>
      <c r="L790" s="277"/>
      <c r="M790" s="440" t="b">
        <f t="shared" si="2"/>
        <v>0</v>
      </c>
      <c r="N790" s="441"/>
      <c r="O790" s="277"/>
      <c r="P790" s="277"/>
      <c r="Q790" s="278"/>
      <c r="R790" s="449" t="str">
        <f t="array" ref="R790">IFERROR(IFS(OR(P790="A1-Mewtwo", P790="A1-Pikachu", P790="A1-Charizard", P790="A1"), XLOOKUP(N790, 'Genetic Apex'!$C$2:$C889, 'Genetic Apex'!$B$2:$B889)-$B$4, P790="A1a", XLOOKUP(N790, 'Mythical Island'!$C$2:$C889, 'Mythical Island'!$B$2:$B889)-$B$4, OR(P790="A2-Dialga", P790="A2-Palkia", P790="A2"), XLOOKUP(N790, 'Space-Time Smackdown'!$C$2:$C889, 'Space-Time Smackdown'!$B$2:$B889)-$B$4))</f>
        <v/>
      </c>
      <c r="S790" s="277"/>
      <c r="T790" s="277"/>
      <c r="U790" s="277"/>
      <c r="V790" s="278"/>
      <c r="W790" s="443" t="str">
        <f t="array" ref="W790">IFERROR(IFS(OR(U790="A1-Mewtwo", U790="A1-Pikachu", U790="A1-Charizard", U790="A1"), $B$5-XLOOKUP(S790, 'Genetic Apex'!$C$2:$C889, 'Genetic Apex'!$B$2:$B889), U790="A1a", $B$5-XLOOKUP(S790, 'Mythical Island'!$C$2:$C889, 'Mythical Island'!$B$2:$B889), OR(U790="A2-Dialga", U790="A2-Palkia", U790="A2"), $B$5-XLOOKUP(S790, 'Space-Time Smackdown'!$C$2:$C889, 'Space-Time Smackdown'!$B$2:$B889)))</f>
        <v/>
      </c>
      <c r="X790" s="444" t="str">
        <f t="shared" si="3"/>
        <v/>
      </c>
      <c r="Y790" s="445" t="str">
        <f t="shared" si="4"/>
        <v/>
      </c>
      <c r="Z790" s="278"/>
      <c r="AA790" s="466"/>
      <c r="AB790" s="278"/>
      <c r="AC790" s="278"/>
      <c r="AD790" s="278"/>
      <c r="AE790" s="278"/>
      <c r="AF790" s="278"/>
      <c r="AG790" s="278" t="b">
        <f t="shared" si="5"/>
        <v>0</v>
      </c>
      <c r="AH790" s="454"/>
      <c r="AI790" s="278"/>
      <c r="AJ790" s="278"/>
      <c r="AK790" s="278"/>
      <c r="AL790" s="444" t="str">
        <f t="array" ref="AL790">IFERROR(IFS(OR(AJ790="A1-Mewtwo", AJ790="A1-Pikachu", AJ790="A1-Charizard", AJ790="A1"), XLOOKUP(AH790, 'Genetic Apex'!$C$2:$C889, 'Genetic Apex'!$B$2:$B889)-2, AJ790="A1a", XLOOKUP(AH790, 'Mythical Island'!$C$2:$C889, 'Mythical Island'!$B$2:$B889)-2, OR(AJ790="A2-Dialga", AJ790="A2-Palkia", AJ790="A2"), XLOOKUP(AH790, 'Space-Time Smackdown'!$C$2:$C889, 'Space-Time Smackdown'!$B$2:$B889)-2))</f>
        <v/>
      </c>
      <c r="AM790" s="444" t="str">
        <f t="shared" si="6"/>
        <v/>
      </c>
      <c r="AN790" s="448" t="str">
        <f t="shared" si="7"/>
        <v/>
      </c>
    </row>
    <row r="791">
      <c r="A791" s="277"/>
      <c r="B791" s="277"/>
      <c r="C791" s="441"/>
      <c r="D791" s="277"/>
      <c r="E791" s="277"/>
      <c r="F791" s="277"/>
      <c r="G791" s="277"/>
      <c r="H791" s="277" t="b">
        <f t="shared" si="1"/>
        <v>0</v>
      </c>
      <c r="I791" s="277"/>
      <c r="J791" s="277"/>
      <c r="K791" s="277"/>
      <c r="L791" s="277"/>
      <c r="M791" s="440" t="b">
        <f t="shared" si="2"/>
        <v>0</v>
      </c>
      <c r="N791" s="441"/>
      <c r="O791" s="277"/>
      <c r="P791" s="277"/>
      <c r="Q791" s="278"/>
      <c r="R791" s="449" t="str">
        <f t="array" ref="R791">IFERROR(IFS(OR(P791="A1-Mewtwo", P791="A1-Pikachu", P791="A1-Charizard", P791="A1"), XLOOKUP(N791, 'Genetic Apex'!$C$2:$C889, 'Genetic Apex'!$B$2:$B889)-$B$4, P791="A1a", XLOOKUP(N791, 'Mythical Island'!$C$2:$C889, 'Mythical Island'!$B$2:$B889)-$B$4, OR(P791="A2-Dialga", P791="A2-Palkia", P791="A2"), XLOOKUP(N791, 'Space-Time Smackdown'!$C$2:$C889, 'Space-Time Smackdown'!$B$2:$B889)-$B$4))</f>
        <v/>
      </c>
      <c r="S791" s="277"/>
      <c r="T791" s="277"/>
      <c r="U791" s="277"/>
      <c r="V791" s="278"/>
      <c r="W791" s="443" t="str">
        <f t="array" ref="W791">IFERROR(IFS(OR(U791="A1-Mewtwo", U791="A1-Pikachu", U791="A1-Charizard", U791="A1"), $B$5-XLOOKUP(S791, 'Genetic Apex'!$C$2:$C889, 'Genetic Apex'!$B$2:$B889), U791="A1a", $B$5-XLOOKUP(S791, 'Mythical Island'!$C$2:$C889, 'Mythical Island'!$B$2:$B889), OR(U791="A2-Dialga", U791="A2-Palkia", U791="A2"), $B$5-XLOOKUP(S791, 'Space-Time Smackdown'!$C$2:$C889, 'Space-Time Smackdown'!$B$2:$B889)))</f>
        <v/>
      </c>
      <c r="X791" s="444" t="str">
        <f t="shared" si="3"/>
        <v/>
      </c>
      <c r="Y791" s="445" t="str">
        <f t="shared" si="4"/>
        <v/>
      </c>
      <c r="Z791" s="278"/>
      <c r="AA791" s="466"/>
      <c r="AB791" s="278"/>
      <c r="AC791" s="278"/>
      <c r="AD791" s="278"/>
      <c r="AE791" s="278"/>
      <c r="AF791" s="278"/>
      <c r="AG791" s="278" t="b">
        <f t="shared" si="5"/>
        <v>0</v>
      </c>
      <c r="AH791" s="454"/>
      <c r="AI791" s="278"/>
      <c r="AJ791" s="278"/>
      <c r="AK791" s="278"/>
      <c r="AL791" s="444" t="str">
        <f t="array" ref="AL791">IFERROR(IFS(OR(AJ791="A1-Mewtwo", AJ791="A1-Pikachu", AJ791="A1-Charizard", AJ791="A1"), XLOOKUP(AH791, 'Genetic Apex'!$C$2:$C889, 'Genetic Apex'!$B$2:$B889)-2, AJ791="A1a", XLOOKUP(AH791, 'Mythical Island'!$C$2:$C889, 'Mythical Island'!$B$2:$B889)-2, OR(AJ791="A2-Dialga", AJ791="A2-Palkia", AJ791="A2"), XLOOKUP(AH791, 'Space-Time Smackdown'!$C$2:$C889, 'Space-Time Smackdown'!$B$2:$B889)-2))</f>
        <v/>
      </c>
      <c r="AM791" s="444" t="str">
        <f t="shared" si="6"/>
        <v/>
      </c>
      <c r="AN791" s="448" t="str">
        <f t="shared" si="7"/>
        <v/>
      </c>
    </row>
    <row r="792">
      <c r="A792" s="277"/>
      <c r="B792" s="277"/>
      <c r="C792" s="441"/>
      <c r="D792" s="277"/>
      <c r="E792" s="277"/>
      <c r="F792" s="277"/>
      <c r="G792" s="277"/>
      <c r="H792" s="277" t="b">
        <f t="shared" si="1"/>
        <v>0</v>
      </c>
      <c r="I792" s="277"/>
      <c r="J792" s="277"/>
      <c r="K792" s="277"/>
      <c r="L792" s="277"/>
      <c r="M792" s="440" t="b">
        <f t="shared" si="2"/>
        <v>0</v>
      </c>
      <c r="N792" s="441"/>
      <c r="O792" s="277"/>
      <c r="P792" s="277"/>
      <c r="Q792" s="278"/>
      <c r="R792" s="449" t="str">
        <f t="array" ref="R792">IFERROR(IFS(OR(P792="A1-Mewtwo", P792="A1-Pikachu", P792="A1-Charizard", P792="A1"), XLOOKUP(N792, 'Genetic Apex'!$C$2:$C889, 'Genetic Apex'!$B$2:$B889)-$B$4, P792="A1a", XLOOKUP(N792, 'Mythical Island'!$C$2:$C889, 'Mythical Island'!$B$2:$B889)-$B$4, OR(P792="A2-Dialga", P792="A2-Palkia", P792="A2"), XLOOKUP(N792, 'Space-Time Smackdown'!$C$2:$C889, 'Space-Time Smackdown'!$B$2:$B889)-$B$4))</f>
        <v/>
      </c>
      <c r="S792" s="277"/>
      <c r="T792" s="277"/>
      <c r="U792" s="277"/>
      <c r="V792" s="278"/>
      <c r="W792" s="443" t="str">
        <f t="array" ref="W792">IFERROR(IFS(OR(U792="A1-Mewtwo", U792="A1-Pikachu", U792="A1-Charizard", U792="A1"), $B$5-XLOOKUP(S792, 'Genetic Apex'!$C$2:$C889, 'Genetic Apex'!$B$2:$B889), U792="A1a", $B$5-XLOOKUP(S792, 'Mythical Island'!$C$2:$C889, 'Mythical Island'!$B$2:$B889), OR(U792="A2-Dialga", U792="A2-Palkia", U792="A2"), $B$5-XLOOKUP(S792, 'Space-Time Smackdown'!$C$2:$C889, 'Space-Time Smackdown'!$B$2:$B889)))</f>
        <v/>
      </c>
      <c r="X792" s="444" t="str">
        <f t="shared" si="3"/>
        <v/>
      </c>
      <c r="Y792" s="445" t="str">
        <f t="shared" si="4"/>
        <v/>
      </c>
      <c r="Z792" s="278"/>
      <c r="AA792" s="466"/>
      <c r="AB792" s="278"/>
      <c r="AC792" s="278"/>
      <c r="AD792" s="278"/>
      <c r="AE792" s="278"/>
      <c r="AF792" s="278"/>
      <c r="AG792" s="278" t="b">
        <f t="shared" si="5"/>
        <v>0</v>
      </c>
      <c r="AH792" s="454"/>
      <c r="AI792" s="278"/>
      <c r="AJ792" s="278"/>
      <c r="AK792" s="278"/>
      <c r="AL792" s="444" t="str">
        <f t="array" ref="AL792">IFERROR(IFS(OR(AJ792="A1-Mewtwo", AJ792="A1-Pikachu", AJ792="A1-Charizard", AJ792="A1"), XLOOKUP(AH792, 'Genetic Apex'!$C$2:$C889, 'Genetic Apex'!$B$2:$B889)-2, AJ792="A1a", XLOOKUP(AH792, 'Mythical Island'!$C$2:$C889, 'Mythical Island'!$B$2:$B889)-2, OR(AJ792="A2-Dialga", AJ792="A2-Palkia", AJ792="A2"), XLOOKUP(AH792, 'Space-Time Smackdown'!$C$2:$C889, 'Space-Time Smackdown'!$B$2:$B889)-2))</f>
        <v/>
      </c>
      <c r="AM792" s="444" t="str">
        <f t="shared" si="6"/>
        <v/>
      </c>
      <c r="AN792" s="448" t="str">
        <f t="shared" si="7"/>
        <v/>
      </c>
    </row>
    <row r="793">
      <c r="A793" s="277"/>
      <c r="B793" s="277"/>
      <c r="C793" s="441"/>
      <c r="D793" s="277"/>
      <c r="E793" s="277"/>
      <c r="F793" s="277"/>
      <c r="G793" s="277"/>
      <c r="H793" s="277" t="b">
        <f t="shared" si="1"/>
        <v>0</v>
      </c>
      <c r="I793" s="277"/>
      <c r="J793" s="277"/>
      <c r="K793" s="277"/>
      <c r="L793" s="277"/>
      <c r="M793" s="440" t="b">
        <f t="shared" si="2"/>
        <v>0</v>
      </c>
      <c r="N793" s="441"/>
      <c r="O793" s="277"/>
      <c r="P793" s="277"/>
      <c r="Q793" s="278"/>
      <c r="R793" s="449" t="str">
        <f t="array" ref="R793">IFERROR(IFS(OR(P793="A1-Mewtwo", P793="A1-Pikachu", P793="A1-Charizard", P793="A1"), XLOOKUP(N793, 'Genetic Apex'!$C$2:$C889, 'Genetic Apex'!$B$2:$B889)-$B$4, P793="A1a", XLOOKUP(N793, 'Mythical Island'!$C$2:$C889, 'Mythical Island'!$B$2:$B889)-$B$4, OR(P793="A2-Dialga", P793="A2-Palkia", P793="A2"), XLOOKUP(N793, 'Space-Time Smackdown'!$C$2:$C889, 'Space-Time Smackdown'!$B$2:$B889)-$B$4))</f>
        <v/>
      </c>
      <c r="S793" s="277"/>
      <c r="T793" s="277"/>
      <c r="U793" s="277"/>
      <c r="V793" s="278"/>
      <c r="W793" s="443" t="str">
        <f t="array" ref="W793">IFERROR(IFS(OR(U793="A1-Mewtwo", U793="A1-Pikachu", U793="A1-Charizard", U793="A1"), $B$5-XLOOKUP(S793, 'Genetic Apex'!$C$2:$C889, 'Genetic Apex'!$B$2:$B889), U793="A1a", $B$5-XLOOKUP(S793, 'Mythical Island'!$C$2:$C889, 'Mythical Island'!$B$2:$B889), OR(U793="A2-Dialga", U793="A2-Palkia", U793="A2"), $B$5-XLOOKUP(S793, 'Space-Time Smackdown'!$C$2:$C889, 'Space-Time Smackdown'!$B$2:$B889)))</f>
        <v/>
      </c>
      <c r="X793" s="444" t="str">
        <f t="shared" si="3"/>
        <v/>
      </c>
      <c r="Y793" s="445" t="str">
        <f t="shared" si="4"/>
        <v/>
      </c>
      <c r="Z793" s="278"/>
      <c r="AA793" s="466"/>
      <c r="AB793" s="278"/>
      <c r="AC793" s="278"/>
      <c r="AD793" s="278"/>
      <c r="AE793" s="278"/>
      <c r="AF793" s="278"/>
      <c r="AG793" s="278" t="b">
        <f t="shared" si="5"/>
        <v>0</v>
      </c>
      <c r="AH793" s="454"/>
      <c r="AI793" s="278"/>
      <c r="AJ793" s="278"/>
      <c r="AK793" s="278"/>
      <c r="AL793" s="444" t="str">
        <f t="array" ref="AL793">IFERROR(IFS(OR(AJ793="A1-Mewtwo", AJ793="A1-Pikachu", AJ793="A1-Charizard", AJ793="A1"), XLOOKUP(AH793, 'Genetic Apex'!$C$2:$C889, 'Genetic Apex'!$B$2:$B889)-2, AJ793="A1a", XLOOKUP(AH793, 'Mythical Island'!$C$2:$C889, 'Mythical Island'!$B$2:$B889)-2, OR(AJ793="A2-Dialga", AJ793="A2-Palkia", AJ793="A2"), XLOOKUP(AH793, 'Space-Time Smackdown'!$C$2:$C889, 'Space-Time Smackdown'!$B$2:$B889)-2))</f>
        <v/>
      </c>
      <c r="AM793" s="444" t="str">
        <f t="shared" si="6"/>
        <v/>
      </c>
      <c r="AN793" s="448" t="str">
        <f t="shared" si="7"/>
        <v/>
      </c>
    </row>
    <row r="794">
      <c r="A794" s="277"/>
      <c r="B794" s="277"/>
      <c r="C794" s="441"/>
      <c r="D794" s="277"/>
      <c r="E794" s="277"/>
      <c r="F794" s="277"/>
      <c r="G794" s="277"/>
      <c r="H794" s="277" t="b">
        <f t="shared" si="1"/>
        <v>0</v>
      </c>
      <c r="I794" s="277"/>
      <c r="J794" s="277"/>
      <c r="K794" s="277"/>
      <c r="L794" s="277"/>
      <c r="M794" s="440" t="b">
        <f t="shared" si="2"/>
        <v>0</v>
      </c>
      <c r="N794" s="441"/>
      <c r="O794" s="277"/>
      <c r="P794" s="277"/>
      <c r="Q794" s="278"/>
      <c r="R794" s="449" t="str">
        <f t="array" ref="R794">IFERROR(IFS(OR(P794="A1-Mewtwo", P794="A1-Pikachu", P794="A1-Charizard", P794="A1"), XLOOKUP(N794, 'Genetic Apex'!$C$2:$C889, 'Genetic Apex'!$B$2:$B889)-$B$4, P794="A1a", XLOOKUP(N794, 'Mythical Island'!$C$2:$C889, 'Mythical Island'!$B$2:$B889)-$B$4, OR(P794="A2-Dialga", P794="A2-Palkia", P794="A2"), XLOOKUP(N794, 'Space-Time Smackdown'!$C$2:$C889, 'Space-Time Smackdown'!$B$2:$B889)-$B$4))</f>
        <v/>
      </c>
      <c r="S794" s="277"/>
      <c r="T794" s="277"/>
      <c r="U794" s="277"/>
      <c r="V794" s="278"/>
      <c r="W794" s="443" t="str">
        <f t="array" ref="W794">IFERROR(IFS(OR(U794="A1-Mewtwo", U794="A1-Pikachu", U794="A1-Charizard", U794="A1"), $B$5-XLOOKUP(S794, 'Genetic Apex'!$C$2:$C889, 'Genetic Apex'!$B$2:$B889), U794="A1a", $B$5-XLOOKUP(S794, 'Mythical Island'!$C$2:$C889, 'Mythical Island'!$B$2:$B889), OR(U794="A2-Dialga", U794="A2-Palkia", U794="A2"), $B$5-XLOOKUP(S794, 'Space-Time Smackdown'!$C$2:$C889, 'Space-Time Smackdown'!$B$2:$B889)))</f>
        <v/>
      </c>
      <c r="X794" s="444" t="str">
        <f t="shared" si="3"/>
        <v/>
      </c>
      <c r="Y794" s="445" t="str">
        <f t="shared" si="4"/>
        <v/>
      </c>
      <c r="Z794" s="278"/>
      <c r="AA794" s="466"/>
      <c r="AB794" s="278"/>
      <c r="AC794" s="278"/>
      <c r="AD794" s="278"/>
      <c r="AE794" s="278"/>
      <c r="AF794" s="278"/>
      <c r="AG794" s="278" t="b">
        <f t="shared" si="5"/>
        <v>0</v>
      </c>
      <c r="AH794" s="454"/>
      <c r="AI794" s="278"/>
      <c r="AJ794" s="278"/>
      <c r="AK794" s="278"/>
      <c r="AL794" s="444" t="str">
        <f t="array" ref="AL794">IFERROR(IFS(OR(AJ794="A1-Mewtwo", AJ794="A1-Pikachu", AJ794="A1-Charizard", AJ794="A1"), XLOOKUP(AH794, 'Genetic Apex'!$C$2:$C889, 'Genetic Apex'!$B$2:$B889)-2, AJ794="A1a", XLOOKUP(AH794, 'Mythical Island'!$C$2:$C889, 'Mythical Island'!$B$2:$B889)-2, OR(AJ794="A2-Dialga", AJ794="A2-Palkia", AJ794="A2"), XLOOKUP(AH794, 'Space-Time Smackdown'!$C$2:$C889, 'Space-Time Smackdown'!$B$2:$B889)-2))</f>
        <v/>
      </c>
      <c r="AM794" s="444" t="str">
        <f t="shared" si="6"/>
        <v/>
      </c>
      <c r="AN794" s="448" t="str">
        <f t="shared" si="7"/>
        <v/>
      </c>
    </row>
    <row r="795">
      <c r="A795" s="277"/>
      <c r="B795" s="277"/>
      <c r="C795" s="441"/>
      <c r="D795" s="277"/>
      <c r="E795" s="277"/>
      <c r="F795" s="277"/>
      <c r="G795" s="277"/>
      <c r="H795" s="277" t="b">
        <f t="shared" si="1"/>
        <v>0</v>
      </c>
      <c r="I795" s="277"/>
      <c r="J795" s="277"/>
      <c r="K795" s="277"/>
      <c r="L795" s="277"/>
      <c r="M795" s="440" t="b">
        <f t="shared" si="2"/>
        <v>0</v>
      </c>
      <c r="N795" s="441"/>
      <c r="O795" s="277"/>
      <c r="P795" s="277"/>
      <c r="Q795" s="278"/>
      <c r="R795" s="449" t="str">
        <f t="array" ref="R795">IFERROR(IFS(OR(P795="A1-Mewtwo", P795="A1-Pikachu", P795="A1-Charizard", P795="A1"), XLOOKUP(N795, 'Genetic Apex'!$C$2:$C889, 'Genetic Apex'!$B$2:$B889)-$B$4, P795="A1a", XLOOKUP(N795, 'Mythical Island'!$C$2:$C889, 'Mythical Island'!$B$2:$B889)-$B$4, OR(P795="A2-Dialga", P795="A2-Palkia", P795="A2"), XLOOKUP(N795, 'Space-Time Smackdown'!$C$2:$C889, 'Space-Time Smackdown'!$B$2:$B889)-$B$4))</f>
        <v/>
      </c>
      <c r="S795" s="277"/>
      <c r="T795" s="277"/>
      <c r="U795" s="277"/>
      <c r="V795" s="278"/>
      <c r="W795" s="443" t="str">
        <f t="array" ref="W795">IFERROR(IFS(OR(U795="A1-Mewtwo", U795="A1-Pikachu", U795="A1-Charizard", U795="A1"), $B$5-XLOOKUP(S795, 'Genetic Apex'!$C$2:$C889, 'Genetic Apex'!$B$2:$B889), U795="A1a", $B$5-XLOOKUP(S795, 'Mythical Island'!$C$2:$C889, 'Mythical Island'!$B$2:$B889), OR(U795="A2-Dialga", U795="A2-Palkia", U795="A2"), $B$5-XLOOKUP(S795, 'Space-Time Smackdown'!$C$2:$C889, 'Space-Time Smackdown'!$B$2:$B889)))</f>
        <v/>
      </c>
      <c r="X795" s="444" t="str">
        <f t="shared" si="3"/>
        <v/>
      </c>
      <c r="Y795" s="445" t="str">
        <f t="shared" si="4"/>
        <v/>
      </c>
      <c r="Z795" s="278"/>
      <c r="AA795" s="466"/>
      <c r="AB795" s="278"/>
      <c r="AC795" s="278"/>
      <c r="AD795" s="278"/>
      <c r="AE795" s="278"/>
      <c r="AF795" s="278"/>
      <c r="AG795" s="278" t="b">
        <f t="shared" si="5"/>
        <v>0</v>
      </c>
      <c r="AH795" s="454"/>
      <c r="AI795" s="278"/>
      <c r="AJ795" s="278"/>
      <c r="AK795" s="278"/>
      <c r="AL795" s="444" t="str">
        <f t="array" ref="AL795">IFERROR(IFS(OR(AJ795="A1-Mewtwo", AJ795="A1-Pikachu", AJ795="A1-Charizard", AJ795="A1"), XLOOKUP(AH795, 'Genetic Apex'!$C$2:$C889, 'Genetic Apex'!$B$2:$B889)-2, AJ795="A1a", XLOOKUP(AH795, 'Mythical Island'!$C$2:$C889, 'Mythical Island'!$B$2:$B889)-2, OR(AJ795="A2-Dialga", AJ795="A2-Palkia", AJ795="A2"), XLOOKUP(AH795, 'Space-Time Smackdown'!$C$2:$C889, 'Space-Time Smackdown'!$B$2:$B889)-2))</f>
        <v/>
      </c>
      <c r="AM795" s="444" t="str">
        <f t="shared" si="6"/>
        <v/>
      </c>
      <c r="AN795" s="448" t="str">
        <f t="shared" si="7"/>
        <v/>
      </c>
    </row>
    <row r="796">
      <c r="A796" s="277"/>
      <c r="B796" s="277"/>
      <c r="C796" s="441"/>
      <c r="D796" s="277"/>
      <c r="E796" s="277"/>
      <c r="F796" s="277"/>
      <c r="G796" s="277"/>
      <c r="H796" s="277" t="b">
        <f t="shared" si="1"/>
        <v>0</v>
      </c>
      <c r="I796" s="277"/>
      <c r="J796" s="277"/>
      <c r="K796" s="277"/>
      <c r="L796" s="277"/>
      <c r="M796" s="440" t="b">
        <f t="shared" si="2"/>
        <v>0</v>
      </c>
      <c r="N796" s="441"/>
      <c r="O796" s="277"/>
      <c r="P796" s="277"/>
      <c r="Q796" s="278"/>
      <c r="R796" s="449" t="str">
        <f t="array" ref="R796">IFERROR(IFS(OR(P796="A1-Mewtwo", P796="A1-Pikachu", P796="A1-Charizard", P796="A1"), XLOOKUP(N796, 'Genetic Apex'!$C$2:$C889, 'Genetic Apex'!$B$2:$B889)-$B$4, P796="A1a", XLOOKUP(N796, 'Mythical Island'!$C$2:$C889, 'Mythical Island'!$B$2:$B889)-$B$4, OR(P796="A2-Dialga", P796="A2-Palkia", P796="A2"), XLOOKUP(N796, 'Space-Time Smackdown'!$C$2:$C889, 'Space-Time Smackdown'!$B$2:$B889)-$B$4))</f>
        <v/>
      </c>
      <c r="S796" s="277"/>
      <c r="T796" s="277"/>
      <c r="U796" s="277"/>
      <c r="V796" s="278"/>
      <c r="W796" s="443" t="str">
        <f t="array" ref="W796">IFERROR(IFS(OR(U796="A1-Mewtwo", U796="A1-Pikachu", U796="A1-Charizard", U796="A1"), $B$5-XLOOKUP(S796, 'Genetic Apex'!$C$2:$C889, 'Genetic Apex'!$B$2:$B889), U796="A1a", $B$5-XLOOKUP(S796, 'Mythical Island'!$C$2:$C889, 'Mythical Island'!$B$2:$B889), OR(U796="A2-Dialga", U796="A2-Palkia", U796="A2"), $B$5-XLOOKUP(S796, 'Space-Time Smackdown'!$C$2:$C889, 'Space-Time Smackdown'!$B$2:$B889)))</f>
        <v/>
      </c>
      <c r="X796" s="444" t="str">
        <f t="shared" si="3"/>
        <v/>
      </c>
      <c r="Y796" s="445" t="str">
        <f t="shared" si="4"/>
        <v/>
      </c>
      <c r="Z796" s="278"/>
      <c r="AA796" s="466"/>
      <c r="AB796" s="278"/>
      <c r="AC796" s="278"/>
      <c r="AD796" s="278"/>
      <c r="AE796" s="278"/>
      <c r="AF796" s="278"/>
      <c r="AG796" s="278" t="b">
        <f t="shared" si="5"/>
        <v>0</v>
      </c>
      <c r="AH796" s="454"/>
      <c r="AI796" s="278"/>
      <c r="AJ796" s="278"/>
      <c r="AK796" s="278"/>
      <c r="AL796" s="444" t="str">
        <f t="array" ref="AL796">IFERROR(IFS(OR(AJ796="A1-Mewtwo", AJ796="A1-Pikachu", AJ796="A1-Charizard", AJ796="A1"), XLOOKUP(AH796, 'Genetic Apex'!$C$2:$C889, 'Genetic Apex'!$B$2:$B889)-2, AJ796="A1a", XLOOKUP(AH796, 'Mythical Island'!$C$2:$C889, 'Mythical Island'!$B$2:$B889)-2, OR(AJ796="A2-Dialga", AJ796="A2-Palkia", AJ796="A2"), XLOOKUP(AH796, 'Space-Time Smackdown'!$C$2:$C889, 'Space-Time Smackdown'!$B$2:$B889)-2))</f>
        <v/>
      </c>
      <c r="AM796" s="444" t="str">
        <f t="shared" si="6"/>
        <v/>
      </c>
      <c r="AN796" s="448" t="str">
        <f t="shared" si="7"/>
        <v/>
      </c>
    </row>
    <row r="797">
      <c r="A797" s="277"/>
      <c r="B797" s="277"/>
      <c r="C797" s="441"/>
      <c r="D797" s="277"/>
      <c r="E797" s="277"/>
      <c r="F797" s="277"/>
      <c r="G797" s="277"/>
      <c r="H797" s="277" t="b">
        <f t="shared" si="1"/>
        <v>0</v>
      </c>
      <c r="I797" s="277"/>
      <c r="J797" s="277"/>
      <c r="K797" s="277"/>
      <c r="L797" s="277"/>
      <c r="M797" s="440" t="b">
        <f t="shared" si="2"/>
        <v>0</v>
      </c>
      <c r="N797" s="441"/>
      <c r="O797" s="277"/>
      <c r="P797" s="277"/>
      <c r="Q797" s="278"/>
      <c r="R797" s="449" t="str">
        <f t="array" ref="R797">IFERROR(IFS(OR(P797="A1-Mewtwo", P797="A1-Pikachu", P797="A1-Charizard", P797="A1"), XLOOKUP(N797, 'Genetic Apex'!$C$2:$C889, 'Genetic Apex'!$B$2:$B889)-$B$4, P797="A1a", XLOOKUP(N797, 'Mythical Island'!$C$2:$C889, 'Mythical Island'!$B$2:$B889)-$B$4, OR(P797="A2-Dialga", P797="A2-Palkia", P797="A2"), XLOOKUP(N797, 'Space-Time Smackdown'!$C$2:$C889, 'Space-Time Smackdown'!$B$2:$B889)-$B$4))</f>
        <v/>
      </c>
      <c r="S797" s="277"/>
      <c r="T797" s="277"/>
      <c r="U797" s="277"/>
      <c r="V797" s="278"/>
      <c r="W797" s="443" t="str">
        <f t="array" ref="W797">IFERROR(IFS(OR(U797="A1-Mewtwo", U797="A1-Pikachu", U797="A1-Charizard", U797="A1"), $B$5-XLOOKUP(S797, 'Genetic Apex'!$C$2:$C889, 'Genetic Apex'!$B$2:$B889), U797="A1a", $B$5-XLOOKUP(S797, 'Mythical Island'!$C$2:$C889, 'Mythical Island'!$B$2:$B889), OR(U797="A2-Dialga", U797="A2-Palkia", U797="A2"), $B$5-XLOOKUP(S797, 'Space-Time Smackdown'!$C$2:$C889, 'Space-Time Smackdown'!$B$2:$B889)))</f>
        <v/>
      </c>
      <c r="X797" s="444" t="str">
        <f t="shared" si="3"/>
        <v/>
      </c>
      <c r="Y797" s="445" t="str">
        <f t="shared" si="4"/>
        <v/>
      </c>
      <c r="Z797" s="278"/>
      <c r="AA797" s="466"/>
      <c r="AB797" s="278"/>
      <c r="AC797" s="278"/>
      <c r="AD797" s="278"/>
      <c r="AE797" s="278"/>
      <c r="AF797" s="278"/>
      <c r="AG797" s="278" t="b">
        <f t="shared" si="5"/>
        <v>0</v>
      </c>
      <c r="AH797" s="454"/>
      <c r="AI797" s="278"/>
      <c r="AJ797" s="278"/>
      <c r="AK797" s="278"/>
      <c r="AL797" s="444" t="str">
        <f t="array" ref="AL797">IFERROR(IFS(OR(AJ797="A1-Mewtwo", AJ797="A1-Pikachu", AJ797="A1-Charizard", AJ797="A1"), XLOOKUP(AH797, 'Genetic Apex'!$C$2:$C889, 'Genetic Apex'!$B$2:$B889)-2, AJ797="A1a", XLOOKUP(AH797, 'Mythical Island'!$C$2:$C889, 'Mythical Island'!$B$2:$B889)-2, OR(AJ797="A2-Dialga", AJ797="A2-Palkia", AJ797="A2"), XLOOKUP(AH797, 'Space-Time Smackdown'!$C$2:$C889, 'Space-Time Smackdown'!$B$2:$B889)-2))</f>
        <v/>
      </c>
      <c r="AM797" s="444" t="str">
        <f t="shared" si="6"/>
        <v/>
      </c>
      <c r="AN797" s="448" t="str">
        <f t="shared" si="7"/>
        <v/>
      </c>
    </row>
    <row r="798">
      <c r="A798" s="277"/>
      <c r="B798" s="277"/>
      <c r="C798" s="441"/>
      <c r="D798" s="277"/>
      <c r="E798" s="277"/>
      <c r="F798" s="277"/>
      <c r="G798" s="277"/>
      <c r="H798" s="277" t="b">
        <f t="shared" si="1"/>
        <v>0</v>
      </c>
      <c r="I798" s="277"/>
      <c r="J798" s="277"/>
      <c r="K798" s="277"/>
      <c r="L798" s="277"/>
      <c r="M798" s="440" t="b">
        <f t="shared" si="2"/>
        <v>0</v>
      </c>
      <c r="N798" s="441"/>
      <c r="O798" s="277"/>
      <c r="P798" s="277"/>
      <c r="Q798" s="278"/>
      <c r="R798" s="449" t="str">
        <f t="array" ref="R798">IFERROR(IFS(OR(P798="A1-Mewtwo", P798="A1-Pikachu", P798="A1-Charizard", P798="A1"), XLOOKUP(N798, 'Genetic Apex'!$C$2:$C889, 'Genetic Apex'!$B$2:$B889)-$B$4, P798="A1a", XLOOKUP(N798, 'Mythical Island'!$C$2:$C889, 'Mythical Island'!$B$2:$B889)-$B$4, OR(P798="A2-Dialga", P798="A2-Palkia", P798="A2"), XLOOKUP(N798, 'Space-Time Smackdown'!$C$2:$C889, 'Space-Time Smackdown'!$B$2:$B889)-$B$4))</f>
        <v/>
      </c>
      <c r="S798" s="277"/>
      <c r="T798" s="277"/>
      <c r="U798" s="277"/>
      <c r="V798" s="278"/>
      <c r="W798" s="443" t="str">
        <f t="array" ref="W798">IFERROR(IFS(OR(U798="A1-Mewtwo", U798="A1-Pikachu", U798="A1-Charizard", U798="A1"), $B$5-XLOOKUP(S798, 'Genetic Apex'!$C$2:$C889, 'Genetic Apex'!$B$2:$B889), U798="A1a", $B$5-XLOOKUP(S798, 'Mythical Island'!$C$2:$C889, 'Mythical Island'!$B$2:$B889), OR(U798="A2-Dialga", U798="A2-Palkia", U798="A2"), $B$5-XLOOKUP(S798, 'Space-Time Smackdown'!$C$2:$C889, 'Space-Time Smackdown'!$B$2:$B889)))</f>
        <v/>
      </c>
      <c r="X798" s="444" t="str">
        <f t="shared" si="3"/>
        <v/>
      </c>
      <c r="Y798" s="445" t="str">
        <f t="shared" si="4"/>
        <v/>
      </c>
      <c r="Z798" s="278"/>
      <c r="AA798" s="466"/>
      <c r="AB798" s="278"/>
      <c r="AC798" s="278"/>
      <c r="AD798" s="278"/>
      <c r="AE798" s="278"/>
      <c r="AF798" s="278"/>
      <c r="AG798" s="278" t="b">
        <f t="shared" si="5"/>
        <v>0</v>
      </c>
      <c r="AH798" s="454"/>
      <c r="AI798" s="278"/>
      <c r="AJ798" s="278"/>
      <c r="AK798" s="278"/>
      <c r="AL798" s="444" t="str">
        <f t="array" ref="AL798">IFERROR(IFS(OR(AJ798="A1-Mewtwo", AJ798="A1-Pikachu", AJ798="A1-Charizard", AJ798="A1"), XLOOKUP(AH798, 'Genetic Apex'!$C$2:$C889, 'Genetic Apex'!$B$2:$B889)-2, AJ798="A1a", XLOOKUP(AH798, 'Mythical Island'!$C$2:$C889, 'Mythical Island'!$B$2:$B889)-2, OR(AJ798="A2-Dialga", AJ798="A2-Palkia", AJ798="A2"), XLOOKUP(AH798, 'Space-Time Smackdown'!$C$2:$C889, 'Space-Time Smackdown'!$B$2:$B889)-2))</f>
        <v/>
      </c>
      <c r="AM798" s="444" t="str">
        <f t="shared" si="6"/>
        <v/>
      </c>
      <c r="AN798" s="448" t="str">
        <f t="shared" si="7"/>
        <v/>
      </c>
    </row>
    <row r="799">
      <c r="A799" s="277"/>
      <c r="B799" s="277"/>
      <c r="C799" s="441"/>
      <c r="D799" s="277"/>
      <c r="E799" s="277"/>
      <c r="F799" s="277"/>
      <c r="G799" s="277"/>
      <c r="H799" s="277" t="b">
        <f t="shared" si="1"/>
        <v>0</v>
      </c>
      <c r="I799" s="277"/>
      <c r="J799" s="277"/>
      <c r="K799" s="277"/>
      <c r="L799" s="277"/>
      <c r="M799" s="440" t="b">
        <f t="shared" si="2"/>
        <v>0</v>
      </c>
      <c r="N799" s="441"/>
      <c r="O799" s="277"/>
      <c r="P799" s="277"/>
      <c r="Q799" s="278"/>
      <c r="R799" s="449" t="str">
        <f t="array" ref="R799">IFERROR(IFS(OR(P799="A1-Mewtwo", P799="A1-Pikachu", P799="A1-Charizard", P799="A1"), XLOOKUP(N799, 'Genetic Apex'!$C$2:$C889, 'Genetic Apex'!$B$2:$B889)-$B$4, P799="A1a", XLOOKUP(N799, 'Mythical Island'!$C$2:$C889, 'Mythical Island'!$B$2:$B889)-$B$4, OR(P799="A2-Dialga", P799="A2-Palkia", P799="A2"), XLOOKUP(N799, 'Space-Time Smackdown'!$C$2:$C889, 'Space-Time Smackdown'!$B$2:$B889)-$B$4))</f>
        <v/>
      </c>
      <c r="S799" s="277"/>
      <c r="T799" s="277"/>
      <c r="U799" s="277"/>
      <c r="V799" s="278"/>
      <c r="W799" s="443" t="str">
        <f t="array" ref="W799">IFERROR(IFS(OR(U799="A1-Mewtwo", U799="A1-Pikachu", U799="A1-Charizard", U799="A1"), $B$5-XLOOKUP(S799, 'Genetic Apex'!$C$2:$C889, 'Genetic Apex'!$B$2:$B889), U799="A1a", $B$5-XLOOKUP(S799, 'Mythical Island'!$C$2:$C889, 'Mythical Island'!$B$2:$B889), OR(U799="A2-Dialga", U799="A2-Palkia", U799="A2"), $B$5-XLOOKUP(S799, 'Space-Time Smackdown'!$C$2:$C889, 'Space-Time Smackdown'!$B$2:$B889)))</f>
        <v/>
      </c>
      <c r="X799" s="444" t="str">
        <f t="shared" si="3"/>
        <v/>
      </c>
      <c r="Y799" s="445" t="str">
        <f t="shared" si="4"/>
        <v/>
      </c>
      <c r="Z799" s="278"/>
      <c r="AA799" s="466"/>
      <c r="AB799" s="278"/>
      <c r="AC799" s="278"/>
      <c r="AD799" s="278"/>
      <c r="AE799" s="278"/>
      <c r="AF799" s="278"/>
      <c r="AG799" s="278" t="b">
        <f t="shared" si="5"/>
        <v>0</v>
      </c>
      <c r="AH799" s="454"/>
      <c r="AI799" s="278"/>
      <c r="AJ799" s="278"/>
      <c r="AK799" s="278"/>
      <c r="AL799" s="444" t="str">
        <f t="array" ref="AL799">IFERROR(IFS(OR(AJ799="A1-Mewtwo", AJ799="A1-Pikachu", AJ799="A1-Charizard", AJ799="A1"), XLOOKUP(AH799, 'Genetic Apex'!$C$2:$C889, 'Genetic Apex'!$B$2:$B889)-2, AJ799="A1a", XLOOKUP(AH799, 'Mythical Island'!$C$2:$C889, 'Mythical Island'!$B$2:$B889)-2, OR(AJ799="A2-Dialga", AJ799="A2-Palkia", AJ799="A2"), XLOOKUP(AH799, 'Space-Time Smackdown'!$C$2:$C889, 'Space-Time Smackdown'!$B$2:$B889)-2))</f>
        <v/>
      </c>
      <c r="AM799" s="444" t="str">
        <f t="shared" si="6"/>
        <v/>
      </c>
      <c r="AN799" s="448" t="str">
        <f t="shared" si="7"/>
        <v/>
      </c>
    </row>
    <row r="800">
      <c r="A800" s="277"/>
      <c r="B800" s="277"/>
      <c r="C800" s="441"/>
      <c r="D800" s="277"/>
      <c r="E800" s="277"/>
      <c r="F800" s="277"/>
      <c r="G800" s="277"/>
      <c r="H800" s="277" t="b">
        <f t="shared" si="1"/>
        <v>0</v>
      </c>
      <c r="I800" s="277"/>
      <c r="J800" s="277"/>
      <c r="K800" s="277"/>
      <c r="L800" s="277"/>
      <c r="M800" s="440" t="b">
        <f t="shared" si="2"/>
        <v>0</v>
      </c>
      <c r="N800" s="441"/>
      <c r="O800" s="277"/>
      <c r="P800" s="277"/>
      <c r="Q800" s="278"/>
      <c r="R800" s="449" t="str">
        <f t="array" ref="R800">IFERROR(IFS(OR(P800="A1-Mewtwo", P800="A1-Pikachu", P800="A1-Charizard", P800="A1"), XLOOKUP(N800, 'Genetic Apex'!$C$2:$C889, 'Genetic Apex'!$B$2:$B889)-$B$4, P800="A1a", XLOOKUP(N800, 'Mythical Island'!$C$2:$C889, 'Mythical Island'!$B$2:$B889)-$B$4, OR(P800="A2-Dialga", P800="A2-Palkia", P800="A2"), XLOOKUP(N800, 'Space-Time Smackdown'!$C$2:$C889, 'Space-Time Smackdown'!$B$2:$B889)-$B$4))</f>
        <v/>
      </c>
      <c r="S800" s="277"/>
      <c r="T800" s="277"/>
      <c r="U800" s="277"/>
      <c r="V800" s="278"/>
      <c r="W800" s="443" t="str">
        <f t="array" ref="W800">IFERROR(IFS(OR(U800="A1-Mewtwo", U800="A1-Pikachu", U800="A1-Charizard", U800="A1"), $B$5-XLOOKUP(S800, 'Genetic Apex'!$C$2:$C889, 'Genetic Apex'!$B$2:$B889), U800="A1a", $B$5-XLOOKUP(S800, 'Mythical Island'!$C$2:$C889, 'Mythical Island'!$B$2:$B889), OR(U800="A2-Dialga", U800="A2-Palkia", U800="A2"), $B$5-XLOOKUP(S800, 'Space-Time Smackdown'!$C$2:$C889, 'Space-Time Smackdown'!$B$2:$B889)))</f>
        <v/>
      </c>
      <c r="X800" s="444" t="str">
        <f t="shared" si="3"/>
        <v/>
      </c>
      <c r="Y800" s="445" t="str">
        <f t="shared" si="4"/>
        <v/>
      </c>
      <c r="Z800" s="278"/>
      <c r="AA800" s="466"/>
      <c r="AB800" s="278"/>
      <c r="AC800" s="278"/>
      <c r="AD800" s="278"/>
      <c r="AE800" s="278"/>
      <c r="AF800" s="278"/>
      <c r="AG800" s="278" t="b">
        <f t="shared" si="5"/>
        <v>0</v>
      </c>
      <c r="AH800" s="454"/>
      <c r="AI800" s="278"/>
      <c r="AJ800" s="278"/>
      <c r="AK800" s="278"/>
      <c r="AL800" s="444" t="str">
        <f t="array" ref="AL800">IFERROR(IFS(OR(AJ800="A1-Mewtwo", AJ800="A1-Pikachu", AJ800="A1-Charizard", AJ800="A1"), XLOOKUP(AH800, 'Genetic Apex'!$C$2:$C889, 'Genetic Apex'!$B$2:$B889)-2, AJ800="A1a", XLOOKUP(AH800, 'Mythical Island'!$C$2:$C889, 'Mythical Island'!$B$2:$B889)-2, OR(AJ800="A2-Dialga", AJ800="A2-Palkia", AJ800="A2"), XLOOKUP(AH800, 'Space-Time Smackdown'!$C$2:$C889, 'Space-Time Smackdown'!$B$2:$B889)-2))</f>
        <v/>
      </c>
      <c r="AM800" s="444" t="str">
        <f t="shared" si="6"/>
        <v/>
      </c>
      <c r="AN800" s="448" t="str">
        <f t="shared" si="7"/>
        <v/>
      </c>
    </row>
    <row r="801">
      <c r="A801" s="277"/>
      <c r="B801" s="277"/>
      <c r="C801" s="441"/>
      <c r="D801" s="277"/>
      <c r="E801" s="277"/>
      <c r="F801" s="277"/>
      <c r="G801" s="277"/>
      <c r="H801" s="277" t="b">
        <f t="shared" si="1"/>
        <v>0</v>
      </c>
      <c r="I801" s="277"/>
      <c r="J801" s="277"/>
      <c r="K801" s="277"/>
      <c r="L801" s="277"/>
      <c r="M801" s="440" t="b">
        <f t="shared" si="2"/>
        <v>0</v>
      </c>
      <c r="N801" s="441"/>
      <c r="O801" s="277"/>
      <c r="P801" s="277"/>
      <c r="Q801" s="278"/>
      <c r="R801" s="449" t="str">
        <f t="array" ref="R801">IFERROR(IFS(OR(P801="A1-Mewtwo", P801="A1-Pikachu", P801="A1-Charizard", P801="A1"), XLOOKUP(N801, 'Genetic Apex'!$C$2:$C889, 'Genetic Apex'!$B$2:$B889)-$B$4, P801="A1a", XLOOKUP(N801, 'Mythical Island'!$C$2:$C889, 'Mythical Island'!$B$2:$B889)-$B$4, OR(P801="A2-Dialga", P801="A2-Palkia", P801="A2"), XLOOKUP(N801, 'Space-Time Smackdown'!$C$2:$C889, 'Space-Time Smackdown'!$B$2:$B889)-$B$4))</f>
        <v/>
      </c>
      <c r="S801" s="277"/>
      <c r="T801" s="277"/>
      <c r="U801" s="277"/>
      <c r="V801" s="278"/>
      <c r="W801" s="443" t="str">
        <f t="array" ref="W801">IFERROR(IFS(OR(U801="A1-Mewtwo", U801="A1-Pikachu", U801="A1-Charizard", U801="A1"), $B$5-XLOOKUP(S801, 'Genetic Apex'!$C$2:$C889, 'Genetic Apex'!$B$2:$B889), U801="A1a", $B$5-XLOOKUP(S801, 'Mythical Island'!$C$2:$C889, 'Mythical Island'!$B$2:$B889), OR(U801="A2-Dialga", U801="A2-Palkia", U801="A2"), $B$5-XLOOKUP(S801, 'Space-Time Smackdown'!$C$2:$C889, 'Space-Time Smackdown'!$B$2:$B889)))</f>
        <v/>
      </c>
      <c r="X801" s="444" t="str">
        <f t="shared" si="3"/>
        <v/>
      </c>
      <c r="Y801" s="445" t="str">
        <f t="shared" si="4"/>
        <v/>
      </c>
      <c r="Z801" s="278"/>
      <c r="AA801" s="466"/>
      <c r="AB801" s="278"/>
      <c r="AC801" s="278"/>
      <c r="AD801" s="278"/>
      <c r="AE801" s="278"/>
      <c r="AF801" s="278"/>
      <c r="AG801" s="278" t="b">
        <f t="shared" si="5"/>
        <v>0</v>
      </c>
      <c r="AH801" s="454"/>
      <c r="AI801" s="278"/>
      <c r="AJ801" s="278"/>
      <c r="AK801" s="278"/>
      <c r="AL801" s="444" t="str">
        <f t="array" ref="AL801">IFERROR(IFS(OR(AJ801="A1-Mewtwo", AJ801="A1-Pikachu", AJ801="A1-Charizard", AJ801="A1"), XLOOKUP(AH801, 'Genetic Apex'!$C$2:$C889, 'Genetic Apex'!$B$2:$B889)-2, AJ801="A1a", XLOOKUP(AH801, 'Mythical Island'!$C$2:$C889, 'Mythical Island'!$B$2:$B889)-2, OR(AJ801="A2-Dialga", AJ801="A2-Palkia", AJ801="A2"), XLOOKUP(AH801, 'Space-Time Smackdown'!$C$2:$C889, 'Space-Time Smackdown'!$B$2:$B889)-2))</f>
        <v/>
      </c>
      <c r="AM801" s="444" t="str">
        <f t="shared" si="6"/>
        <v/>
      </c>
      <c r="AN801" s="448" t="str">
        <f t="shared" si="7"/>
        <v/>
      </c>
    </row>
    <row r="802">
      <c r="A802" s="277"/>
      <c r="B802" s="277"/>
      <c r="C802" s="441"/>
      <c r="D802" s="277"/>
      <c r="E802" s="277"/>
      <c r="F802" s="277"/>
      <c r="G802" s="277"/>
      <c r="H802" s="277" t="b">
        <f t="shared" si="1"/>
        <v>0</v>
      </c>
      <c r="I802" s="277"/>
      <c r="J802" s="277"/>
      <c r="K802" s="277"/>
      <c r="L802" s="277"/>
      <c r="M802" s="440" t="b">
        <f t="shared" si="2"/>
        <v>0</v>
      </c>
      <c r="N802" s="441"/>
      <c r="O802" s="277"/>
      <c r="P802" s="277"/>
      <c r="Q802" s="278"/>
      <c r="R802" s="449" t="str">
        <f t="array" ref="R802">IFERROR(IFS(OR(P802="A1-Mewtwo", P802="A1-Pikachu", P802="A1-Charizard", P802="A1"), XLOOKUP(N802, 'Genetic Apex'!$C$2:$C889, 'Genetic Apex'!$B$2:$B889)-$B$4, P802="A1a", XLOOKUP(N802, 'Mythical Island'!$C$2:$C889, 'Mythical Island'!$B$2:$B889)-$B$4, OR(P802="A2-Dialga", P802="A2-Palkia", P802="A2"), XLOOKUP(N802, 'Space-Time Smackdown'!$C$2:$C889, 'Space-Time Smackdown'!$B$2:$B889)-$B$4))</f>
        <v/>
      </c>
      <c r="S802" s="277"/>
      <c r="T802" s="277"/>
      <c r="U802" s="277"/>
      <c r="V802" s="278"/>
      <c r="W802" s="443" t="str">
        <f t="array" ref="W802">IFERROR(IFS(OR(U802="A1-Mewtwo", U802="A1-Pikachu", U802="A1-Charizard", U802="A1"), $B$5-XLOOKUP(S802, 'Genetic Apex'!$C$2:$C889, 'Genetic Apex'!$B$2:$B889), U802="A1a", $B$5-XLOOKUP(S802, 'Mythical Island'!$C$2:$C889, 'Mythical Island'!$B$2:$B889), OR(U802="A2-Dialga", U802="A2-Palkia", U802="A2"), $B$5-XLOOKUP(S802, 'Space-Time Smackdown'!$C$2:$C889, 'Space-Time Smackdown'!$B$2:$B889)))</f>
        <v/>
      </c>
      <c r="X802" s="444" t="str">
        <f t="shared" si="3"/>
        <v/>
      </c>
      <c r="Y802" s="445" t="str">
        <f t="shared" si="4"/>
        <v/>
      </c>
      <c r="Z802" s="278"/>
      <c r="AA802" s="466"/>
      <c r="AB802" s="278"/>
      <c r="AC802" s="278"/>
      <c r="AD802" s="278"/>
      <c r="AE802" s="278"/>
      <c r="AF802" s="278"/>
      <c r="AG802" s="278" t="b">
        <f t="shared" si="5"/>
        <v>0</v>
      </c>
      <c r="AH802" s="454"/>
      <c r="AI802" s="278"/>
      <c r="AJ802" s="278"/>
      <c r="AK802" s="278"/>
      <c r="AL802" s="444" t="str">
        <f t="array" ref="AL802">IFERROR(IFS(OR(AJ802="A1-Mewtwo", AJ802="A1-Pikachu", AJ802="A1-Charizard", AJ802="A1"), XLOOKUP(AH802, 'Genetic Apex'!$C$2:$C889, 'Genetic Apex'!$B$2:$B889)-2, AJ802="A1a", XLOOKUP(AH802, 'Mythical Island'!$C$2:$C889, 'Mythical Island'!$B$2:$B889)-2, OR(AJ802="A2-Dialga", AJ802="A2-Palkia", AJ802="A2"), XLOOKUP(AH802, 'Space-Time Smackdown'!$C$2:$C889, 'Space-Time Smackdown'!$B$2:$B889)-2))</f>
        <v/>
      </c>
      <c r="AM802" s="444" t="str">
        <f t="shared" si="6"/>
        <v/>
      </c>
      <c r="AN802" s="448" t="str">
        <f t="shared" si="7"/>
        <v/>
      </c>
    </row>
    <row r="803">
      <c r="A803" s="277"/>
      <c r="B803" s="277"/>
      <c r="C803" s="441"/>
      <c r="D803" s="277"/>
      <c r="E803" s="277"/>
      <c r="F803" s="277"/>
      <c r="G803" s="277"/>
      <c r="H803" s="277" t="b">
        <f t="shared" si="1"/>
        <v>0</v>
      </c>
      <c r="I803" s="277"/>
      <c r="J803" s="277"/>
      <c r="K803" s="277"/>
      <c r="L803" s="277"/>
      <c r="M803" s="440" t="b">
        <f t="shared" si="2"/>
        <v>0</v>
      </c>
      <c r="N803" s="441"/>
      <c r="O803" s="277"/>
      <c r="P803" s="277"/>
      <c r="Q803" s="278"/>
      <c r="R803" s="449" t="str">
        <f t="array" ref="R803">IFERROR(IFS(OR(P803="A1-Mewtwo", P803="A1-Pikachu", P803="A1-Charizard", P803="A1"), XLOOKUP(N803, 'Genetic Apex'!$C$2:$C889, 'Genetic Apex'!$B$2:$B889)-$B$4, P803="A1a", XLOOKUP(N803, 'Mythical Island'!$C$2:$C889, 'Mythical Island'!$B$2:$B889)-$B$4, OR(P803="A2-Dialga", P803="A2-Palkia", P803="A2"), XLOOKUP(N803, 'Space-Time Smackdown'!$C$2:$C889, 'Space-Time Smackdown'!$B$2:$B889)-$B$4))</f>
        <v/>
      </c>
      <c r="S803" s="277"/>
      <c r="T803" s="277"/>
      <c r="U803" s="277"/>
      <c r="V803" s="278"/>
      <c r="W803" s="443" t="str">
        <f t="array" ref="W803">IFERROR(IFS(OR(U803="A1-Mewtwo", U803="A1-Pikachu", U803="A1-Charizard", U803="A1"), $B$5-XLOOKUP(S803, 'Genetic Apex'!$C$2:$C889, 'Genetic Apex'!$B$2:$B889), U803="A1a", $B$5-XLOOKUP(S803, 'Mythical Island'!$C$2:$C889, 'Mythical Island'!$B$2:$B889), OR(U803="A2-Dialga", U803="A2-Palkia", U803="A2"), $B$5-XLOOKUP(S803, 'Space-Time Smackdown'!$C$2:$C889, 'Space-Time Smackdown'!$B$2:$B889)))</f>
        <v/>
      </c>
      <c r="X803" s="444" t="str">
        <f t="shared" si="3"/>
        <v/>
      </c>
      <c r="Y803" s="445" t="str">
        <f t="shared" si="4"/>
        <v/>
      </c>
      <c r="Z803" s="278"/>
      <c r="AA803" s="466"/>
      <c r="AB803" s="278"/>
      <c r="AC803" s="278"/>
      <c r="AD803" s="278"/>
      <c r="AE803" s="278"/>
      <c r="AF803" s="278"/>
      <c r="AG803" s="278" t="b">
        <f t="shared" si="5"/>
        <v>0</v>
      </c>
      <c r="AH803" s="454"/>
      <c r="AI803" s="278"/>
      <c r="AJ803" s="278"/>
      <c r="AK803" s="278"/>
      <c r="AL803" s="444" t="str">
        <f t="array" ref="AL803">IFERROR(IFS(OR(AJ803="A1-Mewtwo", AJ803="A1-Pikachu", AJ803="A1-Charizard", AJ803="A1"), XLOOKUP(AH803, 'Genetic Apex'!$C$2:$C889, 'Genetic Apex'!$B$2:$B889)-2, AJ803="A1a", XLOOKUP(AH803, 'Mythical Island'!$C$2:$C889, 'Mythical Island'!$B$2:$B889)-2, OR(AJ803="A2-Dialga", AJ803="A2-Palkia", AJ803="A2"), XLOOKUP(AH803, 'Space-Time Smackdown'!$C$2:$C889, 'Space-Time Smackdown'!$B$2:$B889)-2))</f>
        <v/>
      </c>
      <c r="AM803" s="444" t="str">
        <f t="shared" si="6"/>
        <v/>
      </c>
      <c r="AN803" s="448" t="str">
        <f t="shared" si="7"/>
        <v/>
      </c>
    </row>
    <row r="804">
      <c r="A804" s="277"/>
      <c r="B804" s="277"/>
      <c r="C804" s="441"/>
      <c r="D804" s="277"/>
      <c r="E804" s="277"/>
      <c r="F804" s="277"/>
      <c r="G804" s="277"/>
      <c r="H804" s="277" t="b">
        <f t="shared" si="1"/>
        <v>0</v>
      </c>
      <c r="I804" s="277"/>
      <c r="J804" s="277"/>
      <c r="K804" s="277"/>
      <c r="L804" s="277"/>
      <c r="M804" s="440" t="b">
        <f t="shared" si="2"/>
        <v>0</v>
      </c>
      <c r="N804" s="441"/>
      <c r="O804" s="277"/>
      <c r="P804" s="277"/>
      <c r="Q804" s="278"/>
      <c r="R804" s="449" t="str">
        <f t="array" ref="R804">IFERROR(IFS(OR(P804="A1-Mewtwo", P804="A1-Pikachu", P804="A1-Charizard", P804="A1"), XLOOKUP(N804, 'Genetic Apex'!$C$2:$C889, 'Genetic Apex'!$B$2:$B889)-$B$4, P804="A1a", XLOOKUP(N804, 'Mythical Island'!$C$2:$C889, 'Mythical Island'!$B$2:$B889)-$B$4, OR(P804="A2-Dialga", P804="A2-Palkia", P804="A2"), XLOOKUP(N804, 'Space-Time Smackdown'!$C$2:$C889, 'Space-Time Smackdown'!$B$2:$B889)-$B$4))</f>
        <v/>
      </c>
      <c r="S804" s="277"/>
      <c r="T804" s="277"/>
      <c r="U804" s="277"/>
      <c r="V804" s="278"/>
      <c r="W804" s="443" t="str">
        <f t="array" ref="W804">IFERROR(IFS(OR(U804="A1-Mewtwo", U804="A1-Pikachu", U804="A1-Charizard", U804="A1"), $B$5-XLOOKUP(S804, 'Genetic Apex'!$C$2:$C889, 'Genetic Apex'!$B$2:$B889), U804="A1a", $B$5-XLOOKUP(S804, 'Mythical Island'!$C$2:$C889, 'Mythical Island'!$B$2:$B889), OR(U804="A2-Dialga", U804="A2-Palkia", U804="A2"), $B$5-XLOOKUP(S804, 'Space-Time Smackdown'!$C$2:$C889, 'Space-Time Smackdown'!$B$2:$B889)))</f>
        <v/>
      </c>
      <c r="X804" s="444" t="str">
        <f t="shared" si="3"/>
        <v/>
      </c>
      <c r="Y804" s="445" t="str">
        <f t="shared" si="4"/>
        <v/>
      </c>
      <c r="Z804" s="278"/>
      <c r="AA804" s="466"/>
      <c r="AB804" s="278"/>
      <c r="AC804" s="278"/>
      <c r="AD804" s="278"/>
      <c r="AE804" s="278"/>
      <c r="AF804" s="278"/>
      <c r="AG804" s="278" t="b">
        <f t="shared" si="5"/>
        <v>0</v>
      </c>
      <c r="AH804" s="454"/>
      <c r="AI804" s="278"/>
      <c r="AJ804" s="278"/>
      <c r="AK804" s="278"/>
      <c r="AL804" s="444" t="str">
        <f t="array" ref="AL804">IFERROR(IFS(OR(AJ804="A1-Mewtwo", AJ804="A1-Pikachu", AJ804="A1-Charizard", AJ804="A1"), XLOOKUP(AH804, 'Genetic Apex'!$C$2:$C889, 'Genetic Apex'!$B$2:$B889)-2, AJ804="A1a", XLOOKUP(AH804, 'Mythical Island'!$C$2:$C889, 'Mythical Island'!$B$2:$B889)-2, OR(AJ804="A2-Dialga", AJ804="A2-Palkia", AJ804="A2"), XLOOKUP(AH804, 'Space-Time Smackdown'!$C$2:$C889, 'Space-Time Smackdown'!$B$2:$B889)-2))</f>
        <v/>
      </c>
      <c r="AM804" s="444" t="str">
        <f t="shared" si="6"/>
        <v/>
      </c>
      <c r="AN804" s="448" t="str">
        <f t="shared" si="7"/>
        <v/>
      </c>
    </row>
    <row r="805">
      <c r="A805" s="277"/>
      <c r="B805" s="277"/>
      <c r="C805" s="441"/>
      <c r="D805" s="277"/>
      <c r="E805" s="277"/>
      <c r="F805" s="277"/>
      <c r="G805" s="277"/>
      <c r="H805" s="277" t="b">
        <f t="shared" si="1"/>
        <v>0</v>
      </c>
      <c r="I805" s="277"/>
      <c r="J805" s="277"/>
      <c r="K805" s="277"/>
      <c r="L805" s="277"/>
      <c r="M805" s="440" t="b">
        <f t="shared" si="2"/>
        <v>0</v>
      </c>
      <c r="N805" s="441"/>
      <c r="O805" s="277"/>
      <c r="P805" s="277"/>
      <c r="Q805" s="278"/>
      <c r="R805" s="449" t="str">
        <f t="array" ref="R805">IFERROR(IFS(OR(P805="A1-Mewtwo", P805="A1-Pikachu", P805="A1-Charizard", P805="A1"), XLOOKUP(N805, 'Genetic Apex'!$C$2:$C889, 'Genetic Apex'!$B$2:$B889)-$B$4, P805="A1a", XLOOKUP(N805, 'Mythical Island'!$C$2:$C889, 'Mythical Island'!$B$2:$B889)-$B$4, OR(P805="A2-Dialga", P805="A2-Palkia", P805="A2"), XLOOKUP(N805, 'Space-Time Smackdown'!$C$2:$C889, 'Space-Time Smackdown'!$B$2:$B889)-$B$4))</f>
        <v/>
      </c>
      <c r="S805" s="277"/>
      <c r="T805" s="277"/>
      <c r="U805" s="277"/>
      <c r="V805" s="278"/>
      <c r="W805" s="443" t="str">
        <f t="array" ref="W805">IFERROR(IFS(OR(U805="A1-Mewtwo", U805="A1-Pikachu", U805="A1-Charizard", U805="A1"), $B$5-XLOOKUP(S805, 'Genetic Apex'!$C$2:$C889, 'Genetic Apex'!$B$2:$B889), U805="A1a", $B$5-XLOOKUP(S805, 'Mythical Island'!$C$2:$C889, 'Mythical Island'!$B$2:$B889), OR(U805="A2-Dialga", U805="A2-Palkia", U805="A2"), $B$5-XLOOKUP(S805, 'Space-Time Smackdown'!$C$2:$C889, 'Space-Time Smackdown'!$B$2:$B889)))</f>
        <v/>
      </c>
      <c r="X805" s="444" t="str">
        <f t="shared" si="3"/>
        <v/>
      </c>
      <c r="Y805" s="445" t="str">
        <f t="shared" si="4"/>
        <v/>
      </c>
      <c r="Z805" s="278"/>
      <c r="AA805" s="466"/>
      <c r="AB805" s="278"/>
      <c r="AC805" s="278"/>
      <c r="AD805" s="278"/>
      <c r="AE805" s="278"/>
      <c r="AF805" s="278"/>
      <c r="AG805" s="278" t="b">
        <f t="shared" si="5"/>
        <v>0</v>
      </c>
      <c r="AH805" s="454"/>
      <c r="AI805" s="278"/>
      <c r="AJ805" s="278"/>
      <c r="AK805" s="278"/>
      <c r="AL805" s="444" t="str">
        <f t="array" ref="AL805">IFERROR(IFS(OR(AJ805="A1-Mewtwo", AJ805="A1-Pikachu", AJ805="A1-Charizard", AJ805="A1"), XLOOKUP(AH805, 'Genetic Apex'!$C$2:$C889, 'Genetic Apex'!$B$2:$B889)-2, AJ805="A1a", XLOOKUP(AH805, 'Mythical Island'!$C$2:$C889, 'Mythical Island'!$B$2:$B889)-2, OR(AJ805="A2-Dialga", AJ805="A2-Palkia", AJ805="A2"), XLOOKUP(AH805, 'Space-Time Smackdown'!$C$2:$C889, 'Space-Time Smackdown'!$B$2:$B889)-2))</f>
        <v/>
      </c>
      <c r="AM805" s="444" t="str">
        <f t="shared" si="6"/>
        <v/>
      </c>
      <c r="AN805" s="448" t="str">
        <f t="shared" si="7"/>
        <v/>
      </c>
    </row>
    <row r="806">
      <c r="A806" s="277"/>
      <c r="B806" s="277"/>
      <c r="C806" s="441"/>
      <c r="D806" s="277"/>
      <c r="E806" s="277"/>
      <c r="F806" s="277"/>
      <c r="G806" s="277"/>
      <c r="H806" s="277" t="b">
        <f t="shared" si="1"/>
        <v>0</v>
      </c>
      <c r="I806" s="277"/>
      <c r="J806" s="277"/>
      <c r="K806" s="277"/>
      <c r="L806" s="277"/>
      <c r="M806" s="440" t="b">
        <f t="shared" si="2"/>
        <v>0</v>
      </c>
      <c r="N806" s="441"/>
      <c r="O806" s="277"/>
      <c r="P806" s="277"/>
      <c r="Q806" s="278"/>
      <c r="R806" s="449" t="str">
        <f t="array" ref="R806">IFERROR(IFS(OR(P806="A1-Mewtwo", P806="A1-Pikachu", P806="A1-Charizard", P806="A1"), XLOOKUP(N806, 'Genetic Apex'!$C$2:$C889, 'Genetic Apex'!$B$2:$B889)-$B$4, P806="A1a", XLOOKUP(N806, 'Mythical Island'!$C$2:$C889, 'Mythical Island'!$B$2:$B889)-$B$4, OR(P806="A2-Dialga", P806="A2-Palkia", P806="A2"), XLOOKUP(N806, 'Space-Time Smackdown'!$C$2:$C889, 'Space-Time Smackdown'!$B$2:$B889)-$B$4))</f>
        <v/>
      </c>
      <c r="S806" s="277"/>
      <c r="T806" s="277"/>
      <c r="U806" s="277"/>
      <c r="V806" s="278"/>
      <c r="W806" s="443" t="str">
        <f t="array" ref="W806">IFERROR(IFS(OR(U806="A1-Mewtwo", U806="A1-Pikachu", U806="A1-Charizard", U806="A1"), $B$5-XLOOKUP(S806, 'Genetic Apex'!$C$2:$C889, 'Genetic Apex'!$B$2:$B889), U806="A1a", $B$5-XLOOKUP(S806, 'Mythical Island'!$C$2:$C889, 'Mythical Island'!$B$2:$B889), OR(U806="A2-Dialga", U806="A2-Palkia", U806="A2"), $B$5-XLOOKUP(S806, 'Space-Time Smackdown'!$C$2:$C889, 'Space-Time Smackdown'!$B$2:$B889)))</f>
        <v/>
      </c>
      <c r="X806" s="444" t="str">
        <f t="shared" si="3"/>
        <v/>
      </c>
      <c r="Y806" s="445" t="str">
        <f t="shared" si="4"/>
        <v/>
      </c>
      <c r="Z806" s="278"/>
      <c r="AA806" s="466"/>
      <c r="AB806" s="278"/>
      <c r="AC806" s="278"/>
      <c r="AD806" s="278"/>
      <c r="AE806" s="278"/>
      <c r="AF806" s="278"/>
      <c r="AG806" s="278" t="b">
        <f t="shared" si="5"/>
        <v>0</v>
      </c>
      <c r="AH806" s="454"/>
      <c r="AI806" s="278"/>
      <c r="AJ806" s="278"/>
      <c r="AK806" s="278"/>
      <c r="AL806" s="444" t="str">
        <f t="array" ref="AL806">IFERROR(IFS(OR(AJ806="A1-Mewtwo", AJ806="A1-Pikachu", AJ806="A1-Charizard", AJ806="A1"), XLOOKUP(AH806, 'Genetic Apex'!$C$2:$C889, 'Genetic Apex'!$B$2:$B889)-2, AJ806="A1a", XLOOKUP(AH806, 'Mythical Island'!$C$2:$C889, 'Mythical Island'!$B$2:$B889)-2, OR(AJ806="A2-Dialga", AJ806="A2-Palkia", AJ806="A2"), XLOOKUP(AH806, 'Space-Time Smackdown'!$C$2:$C889, 'Space-Time Smackdown'!$B$2:$B889)-2))</f>
        <v/>
      </c>
      <c r="AM806" s="444" t="str">
        <f t="shared" si="6"/>
        <v/>
      </c>
      <c r="AN806" s="448" t="str">
        <f t="shared" si="7"/>
        <v/>
      </c>
    </row>
    <row r="807">
      <c r="A807" s="277"/>
      <c r="B807" s="277"/>
      <c r="C807" s="441"/>
      <c r="D807" s="277"/>
      <c r="E807" s="277"/>
      <c r="F807" s="277"/>
      <c r="G807" s="277"/>
      <c r="H807" s="277" t="b">
        <f t="shared" si="1"/>
        <v>0</v>
      </c>
      <c r="I807" s="277"/>
      <c r="J807" s="277"/>
      <c r="K807" s="277"/>
      <c r="L807" s="277"/>
      <c r="M807" s="440" t="b">
        <f t="shared" si="2"/>
        <v>0</v>
      </c>
      <c r="N807" s="441"/>
      <c r="O807" s="277"/>
      <c r="P807" s="277"/>
      <c r="Q807" s="278"/>
      <c r="R807" s="449" t="str">
        <f t="array" ref="R807">IFERROR(IFS(OR(P807="A1-Mewtwo", P807="A1-Pikachu", P807="A1-Charizard", P807="A1"), XLOOKUP(N807, 'Genetic Apex'!$C$2:$C889, 'Genetic Apex'!$B$2:$B889)-$B$4, P807="A1a", XLOOKUP(N807, 'Mythical Island'!$C$2:$C889, 'Mythical Island'!$B$2:$B889)-$B$4, OR(P807="A2-Dialga", P807="A2-Palkia", P807="A2"), XLOOKUP(N807, 'Space-Time Smackdown'!$C$2:$C889, 'Space-Time Smackdown'!$B$2:$B889)-$B$4))</f>
        <v/>
      </c>
      <c r="S807" s="277"/>
      <c r="T807" s="277"/>
      <c r="U807" s="277"/>
      <c r="V807" s="278"/>
      <c r="W807" s="443" t="str">
        <f t="array" ref="W807">IFERROR(IFS(OR(U807="A1-Mewtwo", U807="A1-Pikachu", U807="A1-Charizard", U807="A1"), $B$5-XLOOKUP(S807, 'Genetic Apex'!$C$2:$C889, 'Genetic Apex'!$B$2:$B889), U807="A1a", $B$5-XLOOKUP(S807, 'Mythical Island'!$C$2:$C889, 'Mythical Island'!$B$2:$B889), OR(U807="A2-Dialga", U807="A2-Palkia", U807="A2"), $B$5-XLOOKUP(S807, 'Space-Time Smackdown'!$C$2:$C889, 'Space-Time Smackdown'!$B$2:$B889)))</f>
        <v/>
      </c>
      <c r="X807" s="444" t="str">
        <f t="shared" si="3"/>
        <v/>
      </c>
      <c r="Y807" s="445" t="str">
        <f t="shared" si="4"/>
        <v/>
      </c>
      <c r="Z807" s="278"/>
      <c r="AA807" s="466"/>
      <c r="AB807" s="278"/>
      <c r="AC807" s="278"/>
      <c r="AD807" s="278"/>
      <c r="AE807" s="278"/>
      <c r="AF807" s="278"/>
      <c r="AG807" s="278" t="b">
        <f t="shared" si="5"/>
        <v>0</v>
      </c>
      <c r="AH807" s="454"/>
      <c r="AI807" s="278"/>
      <c r="AJ807" s="278"/>
      <c r="AK807" s="278"/>
      <c r="AL807" s="444" t="str">
        <f t="array" ref="AL807">IFERROR(IFS(OR(AJ807="A1-Mewtwo", AJ807="A1-Pikachu", AJ807="A1-Charizard", AJ807="A1"), XLOOKUP(AH807, 'Genetic Apex'!$C$2:$C889, 'Genetic Apex'!$B$2:$B889)-2, AJ807="A1a", XLOOKUP(AH807, 'Mythical Island'!$C$2:$C889, 'Mythical Island'!$B$2:$B889)-2, OR(AJ807="A2-Dialga", AJ807="A2-Palkia", AJ807="A2"), XLOOKUP(AH807, 'Space-Time Smackdown'!$C$2:$C889, 'Space-Time Smackdown'!$B$2:$B889)-2))</f>
        <v/>
      </c>
      <c r="AM807" s="444" t="str">
        <f t="shared" si="6"/>
        <v/>
      </c>
      <c r="AN807" s="448" t="str">
        <f t="shared" si="7"/>
        <v/>
      </c>
    </row>
    <row r="808">
      <c r="A808" s="277"/>
      <c r="B808" s="277"/>
      <c r="C808" s="441"/>
      <c r="D808" s="277"/>
      <c r="E808" s="277"/>
      <c r="F808" s="277"/>
      <c r="G808" s="277"/>
      <c r="H808" s="277" t="b">
        <f t="shared" si="1"/>
        <v>0</v>
      </c>
      <c r="I808" s="277"/>
      <c r="J808" s="277"/>
      <c r="K808" s="277"/>
      <c r="L808" s="277"/>
      <c r="M808" s="440" t="b">
        <f t="shared" si="2"/>
        <v>0</v>
      </c>
      <c r="N808" s="441"/>
      <c r="O808" s="277"/>
      <c r="P808" s="277"/>
      <c r="Q808" s="278"/>
      <c r="R808" s="449" t="str">
        <f t="array" ref="R808">IFERROR(IFS(OR(P808="A1-Mewtwo", P808="A1-Pikachu", P808="A1-Charizard", P808="A1"), XLOOKUP(N808, 'Genetic Apex'!$C$2:$C889, 'Genetic Apex'!$B$2:$B889)-$B$4, P808="A1a", XLOOKUP(N808, 'Mythical Island'!$C$2:$C889, 'Mythical Island'!$B$2:$B889)-$B$4, OR(P808="A2-Dialga", P808="A2-Palkia", P808="A2"), XLOOKUP(N808, 'Space-Time Smackdown'!$C$2:$C889, 'Space-Time Smackdown'!$B$2:$B889)-$B$4))</f>
        <v/>
      </c>
      <c r="S808" s="277"/>
      <c r="T808" s="277"/>
      <c r="U808" s="277"/>
      <c r="V808" s="278"/>
      <c r="W808" s="443" t="str">
        <f t="array" ref="W808">IFERROR(IFS(OR(U808="A1-Mewtwo", U808="A1-Pikachu", U808="A1-Charizard", U808="A1"), $B$5-XLOOKUP(S808, 'Genetic Apex'!$C$2:$C889, 'Genetic Apex'!$B$2:$B889), U808="A1a", $B$5-XLOOKUP(S808, 'Mythical Island'!$C$2:$C889, 'Mythical Island'!$B$2:$B889), OR(U808="A2-Dialga", U808="A2-Palkia", U808="A2"), $B$5-XLOOKUP(S808, 'Space-Time Smackdown'!$C$2:$C889, 'Space-Time Smackdown'!$B$2:$B889)))</f>
        <v/>
      </c>
      <c r="X808" s="444" t="str">
        <f t="shared" si="3"/>
        <v/>
      </c>
      <c r="Y808" s="445" t="str">
        <f t="shared" si="4"/>
        <v/>
      </c>
      <c r="Z808" s="278"/>
      <c r="AA808" s="466"/>
      <c r="AB808" s="278"/>
      <c r="AC808" s="278"/>
      <c r="AD808" s="278"/>
      <c r="AE808" s="278"/>
      <c r="AF808" s="278"/>
      <c r="AG808" s="278" t="b">
        <f t="shared" si="5"/>
        <v>0</v>
      </c>
      <c r="AH808" s="454"/>
      <c r="AI808" s="278"/>
      <c r="AJ808" s="278"/>
      <c r="AK808" s="278"/>
      <c r="AL808" s="444" t="str">
        <f t="array" ref="AL808">IFERROR(IFS(OR(AJ808="A1-Mewtwo", AJ808="A1-Pikachu", AJ808="A1-Charizard", AJ808="A1"), XLOOKUP(AH808, 'Genetic Apex'!$C$2:$C889, 'Genetic Apex'!$B$2:$B889)-2, AJ808="A1a", XLOOKUP(AH808, 'Mythical Island'!$C$2:$C889, 'Mythical Island'!$B$2:$B889)-2, OR(AJ808="A2-Dialga", AJ808="A2-Palkia", AJ808="A2"), XLOOKUP(AH808, 'Space-Time Smackdown'!$C$2:$C889, 'Space-Time Smackdown'!$B$2:$B889)-2))</f>
        <v/>
      </c>
      <c r="AM808" s="444" t="str">
        <f t="shared" si="6"/>
        <v/>
      </c>
      <c r="AN808" s="448" t="str">
        <f t="shared" si="7"/>
        <v/>
      </c>
    </row>
    <row r="809">
      <c r="A809" s="277"/>
      <c r="B809" s="277"/>
      <c r="C809" s="441"/>
      <c r="D809" s="277"/>
      <c r="E809" s="277"/>
      <c r="F809" s="277"/>
      <c r="G809" s="277"/>
      <c r="H809" s="277" t="b">
        <f t="shared" si="1"/>
        <v>0</v>
      </c>
      <c r="I809" s="277"/>
      <c r="J809" s="277"/>
      <c r="K809" s="277"/>
      <c r="L809" s="277"/>
      <c r="M809" s="440" t="b">
        <f t="shared" si="2"/>
        <v>0</v>
      </c>
      <c r="N809" s="441"/>
      <c r="O809" s="277"/>
      <c r="P809" s="277"/>
      <c r="Q809" s="278"/>
      <c r="R809" s="449" t="str">
        <f t="array" ref="R809">IFERROR(IFS(OR(P809="A1-Mewtwo", P809="A1-Pikachu", P809="A1-Charizard", P809="A1"), XLOOKUP(N809, 'Genetic Apex'!$C$2:$C889, 'Genetic Apex'!$B$2:$B889)-$B$4, P809="A1a", XLOOKUP(N809, 'Mythical Island'!$C$2:$C889, 'Mythical Island'!$B$2:$B889)-$B$4, OR(P809="A2-Dialga", P809="A2-Palkia", P809="A2"), XLOOKUP(N809, 'Space-Time Smackdown'!$C$2:$C889, 'Space-Time Smackdown'!$B$2:$B889)-$B$4))</f>
        <v/>
      </c>
      <c r="S809" s="277"/>
      <c r="T809" s="277"/>
      <c r="U809" s="277"/>
      <c r="V809" s="278"/>
      <c r="W809" s="443" t="str">
        <f t="array" ref="W809">IFERROR(IFS(OR(U809="A1-Mewtwo", U809="A1-Pikachu", U809="A1-Charizard", U809="A1"), $B$5-XLOOKUP(S809, 'Genetic Apex'!$C$2:$C889, 'Genetic Apex'!$B$2:$B889), U809="A1a", $B$5-XLOOKUP(S809, 'Mythical Island'!$C$2:$C889, 'Mythical Island'!$B$2:$B889), OR(U809="A2-Dialga", U809="A2-Palkia", U809="A2"), $B$5-XLOOKUP(S809, 'Space-Time Smackdown'!$C$2:$C889, 'Space-Time Smackdown'!$B$2:$B889)))</f>
        <v/>
      </c>
      <c r="X809" s="444" t="str">
        <f t="shared" si="3"/>
        <v/>
      </c>
      <c r="Y809" s="445" t="str">
        <f t="shared" si="4"/>
        <v/>
      </c>
      <c r="Z809" s="278"/>
      <c r="AA809" s="466"/>
      <c r="AB809" s="278"/>
      <c r="AC809" s="278"/>
      <c r="AD809" s="278"/>
      <c r="AE809" s="278"/>
      <c r="AF809" s="278"/>
      <c r="AG809" s="278" t="b">
        <f t="shared" si="5"/>
        <v>0</v>
      </c>
      <c r="AH809" s="454"/>
      <c r="AI809" s="278"/>
      <c r="AJ809" s="278"/>
      <c r="AK809" s="278"/>
      <c r="AL809" s="444" t="str">
        <f t="array" ref="AL809">IFERROR(IFS(OR(AJ809="A1-Mewtwo", AJ809="A1-Pikachu", AJ809="A1-Charizard", AJ809="A1"), XLOOKUP(AH809, 'Genetic Apex'!$C$2:$C889, 'Genetic Apex'!$B$2:$B889)-2, AJ809="A1a", XLOOKUP(AH809, 'Mythical Island'!$C$2:$C889, 'Mythical Island'!$B$2:$B889)-2, OR(AJ809="A2-Dialga", AJ809="A2-Palkia", AJ809="A2"), XLOOKUP(AH809, 'Space-Time Smackdown'!$C$2:$C889, 'Space-Time Smackdown'!$B$2:$B889)-2))</f>
        <v/>
      </c>
      <c r="AM809" s="444" t="str">
        <f t="shared" si="6"/>
        <v/>
      </c>
      <c r="AN809" s="448" t="str">
        <f t="shared" si="7"/>
        <v/>
      </c>
    </row>
    <row r="810">
      <c r="A810" s="277"/>
      <c r="B810" s="277"/>
      <c r="C810" s="441"/>
      <c r="D810" s="277"/>
      <c r="E810" s="277"/>
      <c r="F810" s="277"/>
      <c r="G810" s="277"/>
      <c r="H810" s="277" t="b">
        <f t="shared" si="1"/>
        <v>0</v>
      </c>
      <c r="I810" s="277"/>
      <c r="J810" s="277"/>
      <c r="K810" s="277"/>
      <c r="L810" s="277"/>
      <c r="M810" s="440" t="b">
        <f t="shared" si="2"/>
        <v>0</v>
      </c>
      <c r="N810" s="441"/>
      <c r="O810" s="277"/>
      <c r="P810" s="277"/>
      <c r="Q810" s="278"/>
      <c r="R810" s="449" t="str">
        <f t="array" ref="R810">IFERROR(IFS(OR(P810="A1-Mewtwo", P810="A1-Pikachu", P810="A1-Charizard", P810="A1"), XLOOKUP(N810, 'Genetic Apex'!$C$2:$C889, 'Genetic Apex'!$B$2:$B889)-$B$4, P810="A1a", XLOOKUP(N810, 'Mythical Island'!$C$2:$C889, 'Mythical Island'!$B$2:$B889)-$B$4, OR(P810="A2-Dialga", P810="A2-Palkia", P810="A2"), XLOOKUP(N810, 'Space-Time Smackdown'!$C$2:$C889, 'Space-Time Smackdown'!$B$2:$B889)-$B$4))</f>
        <v/>
      </c>
      <c r="S810" s="277"/>
      <c r="T810" s="277"/>
      <c r="U810" s="277"/>
      <c r="V810" s="278"/>
      <c r="W810" s="443" t="str">
        <f t="array" ref="W810">IFERROR(IFS(OR(U810="A1-Mewtwo", U810="A1-Pikachu", U810="A1-Charizard", U810="A1"), $B$5-XLOOKUP(S810, 'Genetic Apex'!$C$2:$C889, 'Genetic Apex'!$B$2:$B889), U810="A1a", $B$5-XLOOKUP(S810, 'Mythical Island'!$C$2:$C889, 'Mythical Island'!$B$2:$B889), OR(U810="A2-Dialga", U810="A2-Palkia", U810="A2"), $B$5-XLOOKUP(S810, 'Space-Time Smackdown'!$C$2:$C889, 'Space-Time Smackdown'!$B$2:$B889)))</f>
        <v/>
      </c>
      <c r="X810" s="444" t="str">
        <f t="shared" si="3"/>
        <v/>
      </c>
      <c r="Y810" s="445" t="str">
        <f t="shared" si="4"/>
        <v/>
      </c>
      <c r="Z810" s="278"/>
      <c r="AA810" s="466"/>
      <c r="AB810" s="278"/>
      <c r="AC810" s="278"/>
      <c r="AD810" s="278"/>
      <c r="AE810" s="278"/>
      <c r="AF810" s="278"/>
      <c r="AG810" s="278" t="b">
        <f t="shared" si="5"/>
        <v>0</v>
      </c>
      <c r="AH810" s="454"/>
      <c r="AI810" s="278"/>
      <c r="AJ810" s="278"/>
      <c r="AK810" s="278"/>
      <c r="AL810" s="444" t="str">
        <f t="array" ref="AL810">IFERROR(IFS(OR(AJ810="A1-Mewtwo", AJ810="A1-Pikachu", AJ810="A1-Charizard", AJ810="A1"), XLOOKUP(AH810, 'Genetic Apex'!$C$2:$C889, 'Genetic Apex'!$B$2:$B889)-2, AJ810="A1a", XLOOKUP(AH810, 'Mythical Island'!$C$2:$C889, 'Mythical Island'!$B$2:$B889)-2, OR(AJ810="A2-Dialga", AJ810="A2-Palkia", AJ810="A2"), XLOOKUP(AH810, 'Space-Time Smackdown'!$C$2:$C889, 'Space-Time Smackdown'!$B$2:$B889)-2))</f>
        <v/>
      </c>
      <c r="AM810" s="444" t="str">
        <f t="shared" si="6"/>
        <v/>
      </c>
      <c r="AN810" s="448" t="str">
        <f t="shared" si="7"/>
        <v/>
      </c>
    </row>
    <row r="811">
      <c r="A811" s="277"/>
      <c r="B811" s="277"/>
      <c r="C811" s="441"/>
      <c r="D811" s="277"/>
      <c r="E811" s="277"/>
      <c r="F811" s="277"/>
      <c r="G811" s="277"/>
      <c r="H811" s="277" t="b">
        <f t="shared" si="1"/>
        <v>0</v>
      </c>
      <c r="I811" s="277"/>
      <c r="J811" s="277"/>
      <c r="K811" s="277"/>
      <c r="L811" s="277"/>
      <c r="M811" s="440" t="b">
        <f t="shared" si="2"/>
        <v>0</v>
      </c>
      <c r="N811" s="441"/>
      <c r="O811" s="277"/>
      <c r="P811" s="277"/>
      <c r="Q811" s="278"/>
      <c r="R811" s="449" t="str">
        <f t="array" ref="R811">IFERROR(IFS(OR(P811="A1-Mewtwo", P811="A1-Pikachu", P811="A1-Charizard", P811="A1"), XLOOKUP(N811, 'Genetic Apex'!$C$2:$C889, 'Genetic Apex'!$B$2:$B889)-$B$4, P811="A1a", XLOOKUP(N811, 'Mythical Island'!$C$2:$C889, 'Mythical Island'!$B$2:$B889)-$B$4, OR(P811="A2-Dialga", P811="A2-Palkia", P811="A2"), XLOOKUP(N811, 'Space-Time Smackdown'!$C$2:$C889, 'Space-Time Smackdown'!$B$2:$B889)-$B$4))</f>
        <v/>
      </c>
      <c r="S811" s="277"/>
      <c r="T811" s="277"/>
      <c r="U811" s="277"/>
      <c r="V811" s="278"/>
      <c r="W811" s="443" t="str">
        <f t="array" ref="W811">IFERROR(IFS(OR(U811="A1-Mewtwo", U811="A1-Pikachu", U811="A1-Charizard", U811="A1"), $B$5-XLOOKUP(S811, 'Genetic Apex'!$C$2:$C889, 'Genetic Apex'!$B$2:$B889), U811="A1a", $B$5-XLOOKUP(S811, 'Mythical Island'!$C$2:$C889, 'Mythical Island'!$B$2:$B889), OR(U811="A2-Dialga", U811="A2-Palkia", U811="A2"), $B$5-XLOOKUP(S811, 'Space-Time Smackdown'!$C$2:$C889, 'Space-Time Smackdown'!$B$2:$B889)))</f>
        <v/>
      </c>
      <c r="X811" s="444" t="str">
        <f t="shared" si="3"/>
        <v/>
      </c>
      <c r="Y811" s="445" t="str">
        <f t="shared" si="4"/>
        <v/>
      </c>
      <c r="Z811" s="278"/>
      <c r="AA811" s="466"/>
      <c r="AB811" s="278"/>
      <c r="AC811" s="278"/>
      <c r="AD811" s="278"/>
      <c r="AE811" s="278"/>
      <c r="AF811" s="278"/>
      <c r="AG811" s="278" t="b">
        <f t="shared" si="5"/>
        <v>0</v>
      </c>
      <c r="AH811" s="454"/>
      <c r="AI811" s="278"/>
      <c r="AJ811" s="278"/>
      <c r="AK811" s="278"/>
      <c r="AL811" s="444" t="str">
        <f t="array" ref="AL811">IFERROR(IFS(OR(AJ811="A1-Mewtwo", AJ811="A1-Pikachu", AJ811="A1-Charizard", AJ811="A1"), XLOOKUP(AH811, 'Genetic Apex'!$C$2:$C889, 'Genetic Apex'!$B$2:$B889)-2, AJ811="A1a", XLOOKUP(AH811, 'Mythical Island'!$C$2:$C889, 'Mythical Island'!$B$2:$B889)-2, OR(AJ811="A2-Dialga", AJ811="A2-Palkia", AJ811="A2"), XLOOKUP(AH811, 'Space-Time Smackdown'!$C$2:$C889, 'Space-Time Smackdown'!$B$2:$B889)-2))</f>
        <v/>
      </c>
      <c r="AM811" s="444" t="str">
        <f t="shared" si="6"/>
        <v/>
      </c>
      <c r="AN811" s="448" t="str">
        <f t="shared" si="7"/>
        <v/>
      </c>
    </row>
    <row r="812">
      <c r="A812" s="277"/>
      <c r="B812" s="277"/>
      <c r="C812" s="441"/>
      <c r="D812" s="277"/>
      <c r="E812" s="277"/>
      <c r="F812" s="277"/>
      <c r="G812" s="277"/>
      <c r="H812" s="277" t="b">
        <f t="shared" si="1"/>
        <v>0</v>
      </c>
      <c r="I812" s="277"/>
      <c r="J812" s="277"/>
      <c r="K812" s="277"/>
      <c r="L812" s="277"/>
      <c r="M812" s="440" t="b">
        <f t="shared" si="2"/>
        <v>0</v>
      </c>
      <c r="N812" s="441"/>
      <c r="O812" s="277"/>
      <c r="P812" s="277"/>
      <c r="Q812" s="278"/>
      <c r="R812" s="449" t="str">
        <f t="array" ref="R812">IFERROR(IFS(OR(P812="A1-Mewtwo", P812="A1-Pikachu", P812="A1-Charizard", P812="A1"), XLOOKUP(N812, 'Genetic Apex'!$C$2:$C889, 'Genetic Apex'!$B$2:$B889)-$B$4, P812="A1a", XLOOKUP(N812, 'Mythical Island'!$C$2:$C889, 'Mythical Island'!$B$2:$B889)-$B$4, OR(P812="A2-Dialga", P812="A2-Palkia", P812="A2"), XLOOKUP(N812, 'Space-Time Smackdown'!$C$2:$C889, 'Space-Time Smackdown'!$B$2:$B889)-$B$4))</f>
        <v/>
      </c>
      <c r="S812" s="277"/>
      <c r="T812" s="277"/>
      <c r="U812" s="277"/>
      <c r="V812" s="278"/>
      <c r="W812" s="443" t="str">
        <f t="array" ref="W812">IFERROR(IFS(OR(U812="A1-Mewtwo", U812="A1-Pikachu", U812="A1-Charizard", U812="A1"), $B$5-XLOOKUP(S812, 'Genetic Apex'!$C$2:$C889, 'Genetic Apex'!$B$2:$B889), U812="A1a", $B$5-XLOOKUP(S812, 'Mythical Island'!$C$2:$C889, 'Mythical Island'!$B$2:$B889), OR(U812="A2-Dialga", U812="A2-Palkia", U812="A2"), $B$5-XLOOKUP(S812, 'Space-Time Smackdown'!$C$2:$C889, 'Space-Time Smackdown'!$B$2:$B889)))</f>
        <v/>
      </c>
      <c r="X812" s="444" t="str">
        <f t="shared" si="3"/>
        <v/>
      </c>
      <c r="Y812" s="445" t="str">
        <f t="shared" si="4"/>
        <v/>
      </c>
      <c r="Z812" s="278"/>
      <c r="AA812" s="466"/>
      <c r="AB812" s="278"/>
      <c r="AC812" s="278"/>
      <c r="AD812" s="278"/>
      <c r="AE812" s="278"/>
      <c r="AF812" s="278"/>
      <c r="AG812" s="278" t="b">
        <f t="shared" si="5"/>
        <v>0</v>
      </c>
      <c r="AH812" s="454"/>
      <c r="AI812" s="278"/>
      <c r="AJ812" s="278"/>
      <c r="AK812" s="278"/>
      <c r="AL812" s="444" t="str">
        <f t="array" ref="AL812">IFERROR(IFS(OR(AJ812="A1-Mewtwo", AJ812="A1-Pikachu", AJ812="A1-Charizard", AJ812="A1"), XLOOKUP(AH812, 'Genetic Apex'!$C$2:$C889, 'Genetic Apex'!$B$2:$B889)-2, AJ812="A1a", XLOOKUP(AH812, 'Mythical Island'!$C$2:$C889, 'Mythical Island'!$B$2:$B889)-2, OR(AJ812="A2-Dialga", AJ812="A2-Palkia", AJ812="A2"), XLOOKUP(AH812, 'Space-Time Smackdown'!$C$2:$C889, 'Space-Time Smackdown'!$B$2:$B889)-2))</f>
        <v/>
      </c>
      <c r="AM812" s="444" t="str">
        <f t="shared" si="6"/>
        <v/>
      </c>
      <c r="AN812" s="448" t="str">
        <f t="shared" si="7"/>
        <v/>
      </c>
    </row>
    <row r="813">
      <c r="A813" s="277"/>
      <c r="B813" s="277"/>
      <c r="C813" s="441"/>
      <c r="D813" s="277"/>
      <c r="E813" s="277"/>
      <c r="F813" s="277"/>
      <c r="G813" s="277"/>
      <c r="H813" s="277" t="b">
        <f t="shared" si="1"/>
        <v>0</v>
      </c>
      <c r="I813" s="277"/>
      <c r="J813" s="277"/>
      <c r="K813" s="277"/>
      <c r="L813" s="277"/>
      <c r="M813" s="440" t="b">
        <f t="shared" si="2"/>
        <v>0</v>
      </c>
      <c r="N813" s="441"/>
      <c r="O813" s="277"/>
      <c r="P813" s="277"/>
      <c r="Q813" s="278"/>
      <c r="R813" s="449" t="str">
        <f t="array" ref="R813">IFERROR(IFS(OR(P813="A1-Mewtwo", P813="A1-Pikachu", P813="A1-Charizard", P813="A1"), XLOOKUP(N813, 'Genetic Apex'!$C$2:$C889, 'Genetic Apex'!$B$2:$B889)-$B$4, P813="A1a", XLOOKUP(N813, 'Mythical Island'!$C$2:$C889, 'Mythical Island'!$B$2:$B889)-$B$4, OR(P813="A2-Dialga", P813="A2-Palkia", P813="A2"), XLOOKUP(N813, 'Space-Time Smackdown'!$C$2:$C889, 'Space-Time Smackdown'!$B$2:$B889)-$B$4))</f>
        <v/>
      </c>
      <c r="S813" s="277"/>
      <c r="T813" s="277"/>
      <c r="U813" s="277"/>
      <c r="V813" s="278"/>
      <c r="W813" s="443" t="str">
        <f t="array" ref="W813">IFERROR(IFS(OR(U813="A1-Mewtwo", U813="A1-Pikachu", U813="A1-Charizard", U813="A1"), $B$5-XLOOKUP(S813, 'Genetic Apex'!$C$2:$C889, 'Genetic Apex'!$B$2:$B889), U813="A1a", $B$5-XLOOKUP(S813, 'Mythical Island'!$C$2:$C889, 'Mythical Island'!$B$2:$B889), OR(U813="A2-Dialga", U813="A2-Palkia", U813="A2"), $B$5-XLOOKUP(S813, 'Space-Time Smackdown'!$C$2:$C889, 'Space-Time Smackdown'!$B$2:$B889)))</f>
        <v/>
      </c>
      <c r="X813" s="444" t="str">
        <f t="shared" si="3"/>
        <v/>
      </c>
      <c r="Y813" s="445" t="str">
        <f t="shared" si="4"/>
        <v/>
      </c>
      <c r="Z813" s="278"/>
      <c r="AA813" s="466"/>
      <c r="AB813" s="278"/>
      <c r="AC813" s="278"/>
      <c r="AD813" s="278"/>
      <c r="AE813" s="278"/>
      <c r="AF813" s="278"/>
      <c r="AG813" s="278" t="b">
        <f t="shared" si="5"/>
        <v>0</v>
      </c>
      <c r="AH813" s="454"/>
      <c r="AI813" s="278"/>
      <c r="AJ813" s="278"/>
      <c r="AK813" s="278"/>
      <c r="AL813" s="444" t="str">
        <f t="array" ref="AL813">IFERROR(IFS(OR(AJ813="A1-Mewtwo", AJ813="A1-Pikachu", AJ813="A1-Charizard", AJ813="A1"), XLOOKUP(AH813, 'Genetic Apex'!$C$2:$C889, 'Genetic Apex'!$B$2:$B889)-2, AJ813="A1a", XLOOKUP(AH813, 'Mythical Island'!$C$2:$C889, 'Mythical Island'!$B$2:$B889)-2, OR(AJ813="A2-Dialga", AJ813="A2-Palkia", AJ813="A2"), XLOOKUP(AH813, 'Space-Time Smackdown'!$C$2:$C889, 'Space-Time Smackdown'!$B$2:$B889)-2))</f>
        <v/>
      </c>
      <c r="AM813" s="444" t="str">
        <f t="shared" si="6"/>
        <v/>
      </c>
      <c r="AN813" s="448" t="str">
        <f t="shared" si="7"/>
        <v/>
      </c>
    </row>
    <row r="814">
      <c r="A814" s="277"/>
      <c r="B814" s="277"/>
      <c r="C814" s="441"/>
      <c r="D814" s="277"/>
      <c r="E814" s="277"/>
      <c r="F814" s="277"/>
      <c r="G814" s="277"/>
      <c r="H814" s="277" t="b">
        <f t="shared" si="1"/>
        <v>0</v>
      </c>
      <c r="I814" s="277"/>
      <c r="J814" s="277"/>
      <c r="K814" s="277"/>
      <c r="L814" s="277"/>
      <c r="M814" s="440" t="b">
        <f t="shared" si="2"/>
        <v>0</v>
      </c>
      <c r="N814" s="441"/>
      <c r="O814" s="277"/>
      <c r="P814" s="277"/>
      <c r="Q814" s="278"/>
      <c r="R814" s="449" t="str">
        <f t="array" ref="R814">IFERROR(IFS(OR(P814="A1-Mewtwo", P814="A1-Pikachu", P814="A1-Charizard", P814="A1"), XLOOKUP(N814, 'Genetic Apex'!$C$2:$C889, 'Genetic Apex'!$B$2:$B889)-$B$4, P814="A1a", XLOOKUP(N814, 'Mythical Island'!$C$2:$C889, 'Mythical Island'!$B$2:$B889)-$B$4, OR(P814="A2-Dialga", P814="A2-Palkia", P814="A2"), XLOOKUP(N814, 'Space-Time Smackdown'!$C$2:$C889, 'Space-Time Smackdown'!$B$2:$B889)-$B$4))</f>
        <v/>
      </c>
      <c r="S814" s="277"/>
      <c r="T814" s="277"/>
      <c r="U814" s="277"/>
      <c r="V814" s="278"/>
      <c r="W814" s="443" t="str">
        <f t="array" ref="W814">IFERROR(IFS(OR(U814="A1-Mewtwo", U814="A1-Pikachu", U814="A1-Charizard", U814="A1"), $B$5-XLOOKUP(S814, 'Genetic Apex'!$C$2:$C889, 'Genetic Apex'!$B$2:$B889), U814="A1a", $B$5-XLOOKUP(S814, 'Mythical Island'!$C$2:$C889, 'Mythical Island'!$B$2:$B889), OR(U814="A2-Dialga", U814="A2-Palkia", U814="A2"), $B$5-XLOOKUP(S814, 'Space-Time Smackdown'!$C$2:$C889, 'Space-Time Smackdown'!$B$2:$B889)))</f>
        <v/>
      </c>
      <c r="X814" s="444" t="str">
        <f t="shared" si="3"/>
        <v/>
      </c>
      <c r="Y814" s="445" t="str">
        <f t="shared" si="4"/>
        <v/>
      </c>
      <c r="Z814" s="278"/>
      <c r="AA814" s="466"/>
      <c r="AB814" s="278"/>
      <c r="AC814" s="278"/>
      <c r="AD814" s="278"/>
      <c r="AE814" s="278"/>
      <c r="AF814" s="278"/>
      <c r="AG814" s="278" t="b">
        <f t="shared" si="5"/>
        <v>0</v>
      </c>
      <c r="AH814" s="454"/>
      <c r="AI814" s="278"/>
      <c r="AJ814" s="278"/>
      <c r="AK814" s="278"/>
      <c r="AL814" s="444" t="str">
        <f t="array" ref="AL814">IFERROR(IFS(OR(AJ814="A1-Mewtwo", AJ814="A1-Pikachu", AJ814="A1-Charizard", AJ814="A1"), XLOOKUP(AH814, 'Genetic Apex'!$C$2:$C889, 'Genetic Apex'!$B$2:$B889)-2, AJ814="A1a", XLOOKUP(AH814, 'Mythical Island'!$C$2:$C889, 'Mythical Island'!$B$2:$B889)-2, OR(AJ814="A2-Dialga", AJ814="A2-Palkia", AJ814="A2"), XLOOKUP(AH814, 'Space-Time Smackdown'!$C$2:$C889, 'Space-Time Smackdown'!$B$2:$B889)-2))</f>
        <v/>
      </c>
      <c r="AM814" s="444" t="str">
        <f t="shared" si="6"/>
        <v/>
      </c>
      <c r="AN814" s="448" t="str">
        <f t="shared" si="7"/>
        <v/>
      </c>
    </row>
    <row r="815">
      <c r="A815" s="277"/>
      <c r="B815" s="277"/>
      <c r="C815" s="441"/>
      <c r="D815" s="277"/>
      <c r="E815" s="277"/>
      <c r="F815" s="277"/>
      <c r="G815" s="277"/>
      <c r="H815" s="277" t="b">
        <f t="shared" si="1"/>
        <v>0</v>
      </c>
      <c r="I815" s="277"/>
      <c r="J815" s="277"/>
      <c r="K815" s="277"/>
      <c r="L815" s="277"/>
      <c r="M815" s="440" t="b">
        <f t="shared" si="2"/>
        <v>0</v>
      </c>
      <c r="N815" s="441"/>
      <c r="O815" s="277"/>
      <c r="P815" s="277"/>
      <c r="Q815" s="278"/>
      <c r="R815" s="449" t="str">
        <f t="array" ref="R815">IFERROR(IFS(OR(P815="A1-Mewtwo", P815="A1-Pikachu", P815="A1-Charizard", P815="A1"), XLOOKUP(N815, 'Genetic Apex'!$C$2:$C889, 'Genetic Apex'!$B$2:$B889)-$B$4, P815="A1a", XLOOKUP(N815, 'Mythical Island'!$C$2:$C889, 'Mythical Island'!$B$2:$B889)-$B$4, OR(P815="A2-Dialga", P815="A2-Palkia", P815="A2"), XLOOKUP(N815, 'Space-Time Smackdown'!$C$2:$C889, 'Space-Time Smackdown'!$B$2:$B889)-$B$4))</f>
        <v/>
      </c>
      <c r="S815" s="277"/>
      <c r="T815" s="277"/>
      <c r="U815" s="277"/>
      <c r="V815" s="278"/>
      <c r="W815" s="443" t="str">
        <f t="array" ref="W815">IFERROR(IFS(OR(U815="A1-Mewtwo", U815="A1-Pikachu", U815="A1-Charizard", U815="A1"), $B$5-XLOOKUP(S815, 'Genetic Apex'!$C$2:$C889, 'Genetic Apex'!$B$2:$B889), U815="A1a", $B$5-XLOOKUP(S815, 'Mythical Island'!$C$2:$C889, 'Mythical Island'!$B$2:$B889), OR(U815="A2-Dialga", U815="A2-Palkia", U815="A2"), $B$5-XLOOKUP(S815, 'Space-Time Smackdown'!$C$2:$C889, 'Space-Time Smackdown'!$B$2:$B889)))</f>
        <v/>
      </c>
      <c r="X815" s="444" t="str">
        <f t="shared" si="3"/>
        <v/>
      </c>
      <c r="Y815" s="445" t="str">
        <f t="shared" si="4"/>
        <v/>
      </c>
      <c r="Z815" s="278"/>
      <c r="AA815" s="466"/>
      <c r="AB815" s="278"/>
      <c r="AC815" s="278"/>
      <c r="AD815" s="278"/>
      <c r="AE815" s="278"/>
      <c r="AF815" s="278"/>
      <c r="AG815" s="278" t="b">
        <f t="shared" si="5"/>
        <v>0</v>
      </c>
      <c r="AH815" s="454"/>
      <c r="AI815" s="278"/>
      <c r="AJ815" s="278"/>
      <c r="AK815" s="278"/>
      <c r="AL815" s="444" t="str">
        <f t="array" ref="AL815">IFERROR(IFS(OR(AJ815="A1-Mewtwo", AJ815="A1-Pikachu", AJ815="A1-Charizard", AJ815="A1"), XLOOKUP(AH815, 'Genetic Apex'!$C$2:$C889, 'Genetic Apex'!$B$2:$B889)-2, AJ815="A1a", XLOOKUP(AH815, 'Mythical Island'!$C$2:$C889, 'Mythical Island'!$B$2:$B889)-2, OR(AJ815="A2-Dialga", AJ815="A2-Palkia", AJ815="A2"), XLOOKUP(AH815, 'Space-Time Smackdown'!$C$2:$C889, 'Space-Time Smackdown'!$B$2:$B889)-2))</f>
        <v/>
      </c>
      <c r="AM815" s="444" t="str">
        <f t="shared" si="6"/>
        <v/>
      </c>
      <c r="AN815" s="448" t="str">
        <f t="shared" si="7"/>
        <v/>
      </c>
    </row>
    <row r="816">
      <c r="A816" s="277"/>
      <c r="B816" s="277"/>
      <c r="C816" s="441"/>
      <c r="D816" s="277"/>
      <c r="E816" s="277"/>
      <c r="F816" s="277"/>
      <c r="G816" s="277"/>
      <c r="H816" s="277" t="b">
        <f t="shared" si="1"/>
        <v>0</v>
      </c>
      <c r="I816" s="277"/>
      <c r="J816" s="277"/>
      <c r="K816" s="277"/>
      <c r="L816" s="277"/>
      <c r="M816" s="440" t="b">
        <f t="shared" si="2"/>
        <v>0</v>
      </c>
      <c r="N816" s="441"/>
      <c r="O816" s="277"/>
      <c r="P816" s="277"/>
      <c r="Q816" s="278"/>
      <c r="R816" s="449" t="str">
        <f t="array" ref="R816">IFERROR(IFS(OR(P816="A1-Mewtwo", P816="A1-Pikachu", P816="A1-Charizard", P816="A1"), XLOOKUP(N816, 'Genetic Apex'!$C$2:$C889, 'Genetic Apex'!$B$2:$B889)-$B$4, P816="A1a", XLOOKUP(N816, 'Mythical Island'!$C$2:$C889, 'Mythical Island'!$B$2:$B889)-$B$4, OR(P816="A2-Dialga", P816="A2-Palkia", P816="A2"), XLOOKUP(N816, 'Space-Time Smackdown'!$C$2:$C889, 'Space-Time Smackdown'!$B$2:$B889)-$B$4))</f>
        <v/>
      </c>
      <c r="S816" s="277"/>
      <c r="T816" s="277"/>
      <c r="U816" s="277"/>
      <c r="V816" s="278"/>
      <c r="W816" s="443" t="str">
        <f t="array" ref="W816">IFERROR(IFS(OR(U816="A1-Mewtwo", U816="A1-Pikachu", U816="A1-Charizard", U816="A1"), $B$5-XLOOKUP(S816, 'Genetic Apex'!$C$2:$C889, 'Genetic Apex'!$B$2:$B889), U816="A1a", $B$5-XLOOKUP(S816, 'Mythical Island'!$C$2:$C889, 'Mythical Island'!$B$2:$B889), OR(U816="A2-Dialga", U816="A2-Palkia", U816="A2"), $B$5-XLOOKUP(S816, 'Space-Time Smackdown'!$C$2:$C889, 'Space-Time Smackdown'!$B$2:$B889)))</f>
        <v/>
      </c>
      <c r="X816" s="444" t="str">
        <f t="shared" si="3"/>
        <v/>
      </c>
      <c r="Y816" s="445" t="str">
        <f t="shared" si="4"/>
        <v/>
      </c>
      <c r="Z816" s="278"/>
      <c r="AA816" s="466"/>
      <c r="AB816" s="278"/>
      <c r="AC816" s="278"/>
      <c r="AD816" s="278"/>
      <c r="AE816" s="278"/>
      <c r="AF816" s="278"/>
      <c r="AG816" s="278" t="b">
        <f t="shared" si="5"/>
        <v>0</v>
      </c>
      <c r="AH816" s="454"/>
      <c r="AI816" s="278"/>
      <c r="AJ816" s="278"/>
      <c r="AK816" s="278"/>
      <c r="AL816" s="444" t="str">
        <f t="array" ref="AL816">IFERROR(IFS(OR(AJ816="A1-Mewtwo", AJ816="A1-Pikachu", AJ816="A1-Charizard", AJ816="A1"), XLOOKUP(AH816, 'Genetic Apex'!$C$2:$C889, 'Genetic Apex'!$B$2:$B889)-2, AJ816="A1a", XLOOKUP(AH816, 'Mythical Island'!$C$2:$C889, 'Mythical Island'!$B$2:$B889)-2, OR(AJ816="A2-Dialga", AJ816="A2-Palkia", AJ816="A2"), XLOOKUP(AH816, 'Space-Time Smackdown'!$C$2:$C889, 'Space-Time Smackdown'!$B$2:$B889)-2))</f>
        <v/>
      </c>
      <c r="AM816" s="444" t="str">
        <f t="shared" si="6"/>
        <v/>
      </c>
      <c r="AN816" s="448" t="str">
        <f t="shared" si="7"/>
        <v/>
      </c>
    </row>
    <row r="817">
      <c r="A817" s="277"/>
      <c r="B817" s="277"/>
      <c r="C817" s="441"/>
      <c r="D817" s="277"/>
      <c r="E817" s="277"/>
      <c r="F817" s="277"/>
      <c r="G817" s="277"/>
      <c r="H817" s="277" t="b">
        <f t="shared" si="1"/>
        <v>0</v>
      </c>
      <c r="I817" s="277"/>
      <c r="J817" s="277"/>
      <c r="K817" s="277"/>
      <c r="L817" s="277"/>
      <c r="M817" s="440" t="b">
        <f t="shared" si="2"/>
        <v>0</v>
      </c>
      <c r="N817" s="441"/>
      <c r="O817" s="277"/>
      <c r="P817" s="277"/>
      <c r="Q817" s="278"/>
      <c r="R817" s="449" t="str">
        <f t="array" ref="R817">IFERROR(IFS(OR(P817="A1-Mewtwo", P817="A1-Pikachu", P817="A1-Charizard", P817="A1"), XLOOKUP(N817, 'Genetic Apex'!$C$2:$C889, 'Genetic Apex'!$B$2:$B889)-$B$4, P817="A1a", XLOOKUP(N817, 'Mythical Island'!$C$2:$C889, 'Mythical Island'!$B$2:$B889)-$B$4, OR(P817="A2-Dialga", P817="A2-Palkia", P817="A2"), XLOOKUP(N817, 'Space-Time Smackdown'!$C$2:$C889, 'Space-Time Smackdown'!$B$2:$B889)-$B$4))</f>
        <v/>
      </c>
      <c r="S817" s="277"/>
      <c r="T817" s="277"/>
      <c r="U817" s="277"/>
      <c r="V817" s="278"/>
      <c r="W817" s="443" t="str">
        <f t="array" ref="W817">IFERROR(IFS(OR(U817="A1-Mewtwo", U817="A1-Pikachu", U817="A1-Charizard", U817="A1"), $B$5-XLOOKUP(S817, 'Genetic Apex'!$C$2:$C889, 'Genetic Apex'!$B$2:$B889), U817="A1a", $B$5-XLOOKUP(S817, 'Mythical Island'!$C$2:$C889, 'Mythical Island'!$B$2:$B889), OR(U817="A2-Dialga", U817="A2-Palkia", U817="A2"), $B$5-XLOOKUP(S817, 'Space-Time Smackdown'!$C$2:$C889, 'Space-Time Smackdown'!$B$2:$B889)))</f>
        <v/>
      </c>
      <c r="X817" s="444" t="str">
        <f t="shared" si="3"/>
        <v/>
      </c>
      <c r="Y817" s="445" t="str">
        <f t="shared" si="4"/>
        <v/>
      </c>
      <c r="Z817" s="278"/>
      <c r="AA817" s="466"/>
      <c r="AB817" s="278"/>
      <c r="AC817" s="278"/>
      <c r="AD817" s="278"/>
      <c r="AE817" s="278"/>
      <c r="AF817" s="278"/>
      <c r="AG817" s="278" t="b">
        <f t="shared" si="5"/>
        <v>0</v>
      </c>
      <c r="AH817" s="454"/>
      <c r="AI817" s="278"/>
      <c r="AJ817" s="278"/>
      <c r="AK817" s="278"/>
      <c r="AL817" s="444" t="str">
        <f t="array" ref="AL817">IFERROR(IFS(OR(AJ817="A1-Mewtwo", AJ817="A1-Pikachu", AJ817="A1-Charizard", AJ817="A1"), XLOOKUP(AH817, 'Genetic Apex'!$C$2:$C889, 'Genetic Apex'!$B$2:$B889)-2, AJ817="A1a", XLOOKUP(AH817, 'Mythical Island'!$C$2:$C889, 'Mythical Island'!$B$2:$B889)-2, OR(AJ817="A2-Dialga", AJ817="A2-Palkia", AJ817="A2"), XLOOKUP(AH817, 'Space-Time Smackdown'!$C$2:$C889, 'Space-Time Smackdown'!$B$2:$B889)-2))</f>
        <v/>
      </c>
      <c r="AM817" s="444" t="str">
        <f t="shared" si="6"/>
        <v/>
      </c>
      <c r="AN817" s="448" t="str">
        <f t="shared" si="7"/>
        <v/>
      </c>
    </row>
    <row r="818">
      <c r="A818" s="277"/>
      <c r="B818" s="277"/>
      <c r="C818" s="441"/>
      <c r="D818" s="277"/>
      <c r="E818" s="277"/>
      <c r="F818" s="277"/>
      <c r="G818" s="277"/>
      <c r="H818" s="277" t="b">
        <f t="shared" si="1"/>
        <v>0</v>
      </c>
      <c r="I818" s="277"/>
      <c r="J818" s="277"/>
      <c r="K818" s="277"/>
      <c r="L818" s="277"/>
      <c r="M818" s="440" t="b">
        <f t="shared" si="2"/>
        <v>0</v>
      </c>
      <c r="N818" s="441"/>
      <c r="O818" s="277"/>
      <c r="P818" s="277"/>
      <c r="Q818" s="278"/>
      <c r="R818" s="449" t="str">
        <f t="array" ref="R818">IFERROR(IFS(OR(P818="A1-Mewtwo", P818="A1-Pikachu", P818="A1-Charizard", P818="A1"), XLOOKUP(N818, 'Genetic Apex'!$C$2:$C889, 'Genetic Apex'!$B$2:$B889)-$B$4, P818="A1a", XLOOKUP(N818, 'Mythical Island'!$C$2:$C889, 'Mythical Island'!$B$2:$B889)-$B$4, OR(P818="A2-Dialga", P818="A2-Palkia", P818="A2"), XLOOKUP(N818, 'Space-Time Smackdown'!$C$2:$C889, 'Space-Time Smackdown'!$B$2:$B889)-$B$4))</f>
        <v/>
      </c>
      <c r="S818" s="277"/>
      <c r="T818" s="277"/>
      <c r="U818" s="277"/>
      <c r="V818" s="278"/>
      <c r="W818" s="443" t="str">
        <f t="array" ref="W818">IFERROR(IFS(OR(U818="A1-Mewtwo", U818="A1-Pikachu", U818="A1-Charizard", U818="A1"), $B$5-XLOOKUP(S818, 'Genetic Apex'!$C$2:$C889, 'Genetic Apex'!$B$2:$B889), U818="A1a", $B$5-XLOOKUP(S818, 'Mythical Island'!$C$2:$C889, 'Mythical Island'!$B$2:$B889), OR(U818="A2-Dialga", U818="A2-Palkia", U818="A2"), $B$5-XLOOKUP(S818, 'Space-Time Smackdown'!$C$2:$C889, 'Space-Time Smackdown'!$B$2:$B889)))</f>
        <v/>
      </c>
      <c r="X818" s="444" t="str">
        <f t="shared" si="3"/>
        <v/>
      </c>
      <c r="Y818" s="445" t="str">
        <f t="shared" si="4"/>
        <v/>
      </c>
      <c r="Z818" s="278"/>
      <c r="AA818" s="466"/>
      <c r="AB818" s="278"/>
      <c r="AC818" s="278"/>
      <c r="AD818" s="278"/>
      <c r="AE818" s="278"/>
      <c r="AF818" s="278"/>
      <c r="AG818" s="278" t="b">
        <f t="shared" si="5"/>
        <v>0</v>
      </c>
      <c r="AH818" s="454"/>
      <c r="AI818" s="278"/>
      <c r="AJ818" s="278"/>
      <c r="AK818" s="278"/>
      <c r="AL818" s="444" t="str">
        <f t="array" ref="AL818">IFERROR(IFS(OR(AJ818="A1-Mewtwo", AJ818="A1-Pikachu", AJ818="A1-Charizard", AJ818="A1"), XLOOKUP(AH818, 'Genetic Apex'!$C$2:$C889, 'Genetic Apex'!$B$2:$B889)-2, AJ818="A1a", XLOOKUP(AH818, 'Mythical Island'!$C$2:$C889, 'Mythical Island'!$B$2:$B889)-2, OR(AJ818="A2-Dialga", AJ818="A2-Palkia", AJ818="A2"), XLOOKUP(AH818, 'Space-Time Smackdown'!$C$2:$C889, 'Space-Time Smackdown'!$B$2:$B889)-2))</f>
        <v/>
      </c>
      <c r="AM818" s="444" t="str">
        <f t="shared" si="6"/>
        <v/>
      </c>
      <c r="AN818" s="448" t="str">
        <f t="shared" si="7"/>
        <v/>
      </c>
    </row>
    <row r="819">
      <c r="A819" s="277"/>
      <c r="B819" s="277"/>
      <c r="C819" s="441"/>
      <c r="D819" s="277"/>
      <c r="E819" s="277"/>
      <c r="F819" s="277"/>
      <c r="G819" s="277"/>
      <c r="H819" s="277" t="b">
        <f t="shared" si="1"/>
        <v>0</v>
      </c>
      <c r="I819" s="277"/>
      <c r="J819" s="277"/>
      <c r="K819" s="277"/>
      <c r="L819" s="277"/>
      <c r="M819" s="440" t="b">
        <f t="shared" si="2"/>
        <v>0</v>
      </c>
      <c r="N819" s="441"/>
      <c r="O819" s="277"/>
      <c r="P819" s="277"/>
      <c r="Q819" s="278"/>
      <c r="R819" s="449" t="str">
        <f t="array" ref="R819">IFERROR(IFS(OR(P819="A1-Mewtwo", P819="A1-Pikachu", P819="A1-Charizard", P819="A1"), XLOOKUP(N819, 'Genetic Apex'!$C$2:$C889, 'Genetic Apex'!$B$2:$B889)-$B$4, P819="A1a", XLOOKUP(N819, 'Mythical Island'!$C$2:$C889, 'Mythical Island'!$B$2:$B889)-$B$4, OR(P819="A2-Dialga", P819="A2-Palkia", P819="A2"), XLOOKUP(N819, 'Space-Time Smackdown'!$C$2:$C889, 'Space-Time Smackdown'!$B$2:$B889)-$B$4))</f>
        <v/>
      </c>
      <c r="S819" s="277"/>
      <c r="T819" s="277"/>
      <c r="U819" s="277"/>
      <c r="V819" s="278"/>
      <c r="W819" s="443" t="str">
        <f t="array" ref="W819">IFERROR(IFS(OR(U819="A1-Mewtwo", U819="A1-Pikachu", U819="A1-Charizard", U819="A1"), $B$5-XLOOKUP(S819, 'Genetic Apex'!$C$2:$C889, 'Genetic Apex'!$B$2:$B889), U819="A1a", $B$5-XLOOKUP(S819, 'Mythical Island'!$C$2:$C889, 'Mythical Island'!$B$2:$B889), OR(U819="A2-Dialga", U819="A2-Palkia", U819="A2"), $B$5-XLOOKUP(S819, 'Space-Time Smackdown'!$C$2:$C889, 'Space-Time Smackdown'!$B$2:$B889)))</f>
        <v/>
      </c>
      <c r="X819" s="444" t="str">
        <f t="shared" si="3"/>
        <v/>
      </c>
      <c r="Y819" s="445" t="str">
        <f t="shared" si="4"/>
        <v/>
      </c>
      <c r="Z819" s="278"/>
      <c r="AA819" s="466"/>
      <c r="AB819" s="278"/>
      <c r="AC819" s="278"/>
      <c r="AD819" s="278"/>
      <c r="AE819" s="278"/>
      <c r="AF819" s="278"/>
      <c r="AG819" s="278" t="b">
        <f t="shared" si="5"/>
        <v>0</v>
      </c>
      <c r="AH819" s="454"/>
      <c r="AI819" s="278"/>
      <c r="AJ819" s="278"/>
      <c r="AK819" s="278"/>
      <c r="AL819" s="444" t="str">
        <f t="array" ref="AL819">IFERROR(IFS(OR(AJ819="A1-Mewtwo", AJ819="A1-Pikachu", AJ819="A1-Charizard", AJ819="A1"), XLOOKUP(AH819, 'Genetic Apex'!$C$2:$C889, 'Genetic Apex'!$B$2:$B889)-2, AJ819="A1a", XLOOKUP(AH819, 'Mythical Island'!$C$2:$C889, 'Mythical Island'!$B$2:$B889)-2, OR(AJ819="A2-Dialga", AJ819="A2-Palkia", AJ819="A2"), XLOOKUP(AH819, 'Space-Time Smackdown'!$C$2:$C889, 'Space-Time Smackdown'!$B$2:$B889)-2))</f>
        <v/>
      </c>
      <c r="AM819" s="444" t="str">
        <f t="shared" si="6"/>
        <v/>
      </c>
      <c r="AN819" s="448" t="str">
        <f t="shared" si="7"/>
        <v/>
      </c>
    </row>
    <row r="820">
      <c r="A820" s="277"/>
      <c r="B820" s="277"/>
      <c r="C820" s="441"/>
      <c r="D820" s="277"/>
      <c r="E820" s="277"/>
      <c r="F820" s="277"/>
      <c r="G820" s="277"/>
      <c r="H820" s="277" t="b">
        <f t="shared" si="1"/>
        <v>0</v>
      </c>
      <c r="I820" s="277"/>
      <c r="J820" s="277"/>
      <c r="K820" s="277"/>
      <c r="L820" s="277"/>
      <c r="M820" s="440" t="b">
        <f t="shared" si="2"/>
        <v>0</v>
      </c>
      <c r="N820" s="441"/>
      <c r="O820" s="277"/>
      <c r="P820" s="277"/>
      <c r="Q820" s="278"/>
      <c r="R820" s="449" t="str">
        <f t="array" ref="R820">IFERROR(IFS(OR(P820="A1-Mewtwo", P820="A1-Pikachu", P820="A1-Charizard", P820="A1"), XLOOKUP(N820, 'Genetic Apex'!$C$2:$C889, 'Genetic Apex'!$B$2:$B889)-$B$4, P820="A1a", XLOOKUP(N820, 'Mythical Island'!$C$2:$C889, 'Mythical Island'!$B$2:$B889)-$B$4, OR(P820="A2-Dialga", P820="A2-Palkia", P820="A2"), XLOOKUP(N820, 'Space-Time Smackdown'!$C$2:$C889, 'Space-Time Smackdown'!$B$2:$B889)-$B$4))</f>
        <v/>
      </c>
      <c r="S820" s="277"/>
      <c r="T820" s="277"/>
      <c r="U820" s="277"/>
      <c r="V820" s="278"/>
      <c r="W820" s="443" t="str">
        <f t="array" ref="W820">IFERROR(IFS(OR(U820="A1-Mewtwo", U820="A1-Pikachu", U820="A1-Charizard", U820="A1"), $B$5-XLOOKUP(S820, 'Genetic Apex'!$C$2:$C889, 'Genetic Apex'!$B$2:$B889), U820="A1a", $B$5-XLOOKUP(S820, 'Mythical Island'!$C$2:$C889, 'Mythical Island'!$B$2:$B889), OR(U820="A2-Dialga", U820="A2-Palkia", U820="A2"), $B$5-XLOOKUP(S820, 'Space-Time Smackdown'!$C$2:$C889, 'Space-Time Smackdown'!$B$2:$B889)))</f>
        <v/>
      </c>
      <c r="X820" s="444" t="str">
        <f t="shared" si="3"/>
        <v/>
      </c>
      <c r="Y820" s="445" t="str">
        <f t="shared" si="4"/>
        <v/>
      </c>
      <c r="Z820" s="278"/>
      <c r="AA820" s="466"/>
      <c r="AB820" s="278"/>
      <c r="AC820" s="278"/>
      <c r="AD820" s="278"/>
      <c r="AE820" s="278"/>
      <c r="AF820" s="278"/>
      <c r="AG820" s="278" t="b">
        <f t="shared" si="5"/>
        <v>0</v>
      </c>
      <c r="AH820" s="454"/>
      <c r="AI820" s="278"/>
      <c r="AJ820" s="278"/>
      <c r="AK820" s="278"/>
      <c r="AL820" s="444" t="str">
        <f t="array" ref="AL820">IFERROR(IFS(OR(AJ820="A1-Mewtwo", AJ820="A1-Pikachu", AJ820="A1-Charizard", AJ820="A1"), XLOOKUP(AH820, 'Genetic Apex'!$C$2:$C889, 'Genetic Apex'!$B$2:$B889)-2, AJ820="A1a", XLOOKUP(AH820, 'Mythical Island'!$C$2:$C889, 'Mythical Island'!$B$2:$B889)-2, OR(AJ820="A2-Dialga", AJ820="A2-Palkia", AJ820="A2"), XLOOKUP(AH820, 'Space-Time Smackdown'!$C$2:$C889, 'Space-Time Smackdown'!$B$2:$B889)-2))</f>
        <v/>
      </c>
      <c r="AM820" s="444" t="str">
        <f t="shared" si="6"/>
        <v/>
      </c>
      <c r="AN820" s="448" t="str">
        <f t="shared" si="7"/>
        <v/>
      </c>
    </row>
    <row r="821">
      <c r="A821" s="277"/>
      <c r="B821" s="277"/>
      <c r="C821" s="441"/>
      <c r="D821" s="277"/>
      <c r="E821" s="277"/>
      <c r="F821" s="277"/>
      <c r="G821" s="277"/>
      <c r="H821" s="277" t="b">
        <f t="shared" si="1"/>
        <v>0</v>
      </c>
      <c r="I821" s="277"/>
      <c r="J821" s="277"/>
      <c r="K821" s="277"/>
      <c r="L821" s="277"/>
      <c r="M821" s="440" t="b">
        <f t="shared" si="2"/>
        <v>0</v>
      </c>
      <c r="N821" s="441"/>
      <c r="O821" s="277"/>
      <c r="P821" s="277"/>
      <c r="Q821" s="278"/>
      <c r="R821" s="449" t="str">
        <f t="array" ref="R821">IFERROR(IFS(OR(P821="A1-Mewtwo", P821="A1-Pikachu", P821="A1-Charizard", P821="A1"), XLOOKUP(N821, 'Genetic Apex'!$C$2:$C889, 'Genetic Apex'!$B$2:$B889)-$B$4, P821="A1a", XLOOKUP(N821, 'Mythical Island'!$C$2:$C889, 'Mythical Island'!$B$2:$B889)-$B$4, OR(P821="A2-Dialga", P821="A2-Palkia", P821="A2"), XLOOKUP(N821, 'Space-Time Smackdown'!$C$2:$C889, 'Space-Time Smackdown'!$B$2:$B889)-$B$4))</f>
        <v/>
      </c>
      <c r="S821" s="277"/>
      <c r="T821" s="277"/>
      <c r="U821" s="277"/>
      <c r="V821" s="278"/>
      <c r="W821" s="443" t="str">
        <f t="array" ref="W821">IFERROR(IFS(OR(U821="A1-Mewtwo", U821="A1-Pikachu", U821="A1-Charizard", U821="A1"), $B$5-XLOOKUP(S821, 'Genetic Apex'!$C$2:$C889, 'Genetic Apex'!$B$2:$B889), U821="A1a", $B$5-XLOOKUP(S821, 'Mythical Island'!$C$2:$C889, 'Mythical Island'!$B$2:$B889), OR(U821="A2-Dialga", U821="A2-Palkia", U821="A2"), $B$5-XLOOKUP(S821, 'Space-Time Smackdown'!$C$2:$C889, 'Space-Time Smackdown'!$B$2:$B889)))</f>
        <v/>
      </c>
      <c r="X821" s="444" t="str">
        <f t="shared" si="3"/>
        <v/>
      </c>
      <c r="Y821" s="445" t="str">
        <f t="shared" si="4"/>
        <v/>
      </c>
      <c r="Z821" s="278"/>
      <c r="AA821" s="466"/>
      <c r="AB821" s="278"/>
      <c r="AC821" s="278"/>
      <c r="AD821" s="278"/>
      <c r="AE821" s="278"/>
      <c r="AF821" s="278"/>
      <c r="AG821" s="278" t="b">
        <f t="shared" si="5"/>
        <v>0</v>
      </c>
      <c r="AH821" s="454"/>
      <c r="AI821" s="278"/>
      <c r="AJ821" s="278"/>
      <c r="AK821" s="278"/>
      <c r="AL821" s="444" t="str">
        <f t="array" ref="AL821">IFERROR(IFS(OR(AJ821="A1-Mewtwo", AJ821="A1-Pikachu", AJ821="A1-Charizard", AJ821="A1"), XLOOKUP(AH821, 'Genetic Apex'!$C$2:$C889, 'Genetic Apex'!$B$2:$B889)-2, AJ821="A1a", XLOOKUP(AH821, 'Mythical Island'!$C$2:$C889, 'Mythical Island'!$B$2:$B889)-2, OR(AJ821="A2-Dialga", AJ821="A2-Palkia", AJ821="A2"), XLOOKUP(AH821, 'Space-Time Smackdown'!$C$2:$C889, 'Space-Time Smackdown'!$B$2:$B889)-2))</f>
        <v/>
      </c>
      <c r="AM821" s="444" t="str">
        <f t="shared" si="6"/>
        <v/>
      </c>
      <c r="AN821" s="448" t="str">
        <f t="shared" si="7"/>
        <v/>
      </c>
    </row>
    <row r="822">
      <c r="A822" s="277"/>
      <c r="B822" s="277"/>
      <c r="C822" s="441"/>
      <c r="D822" s="277"/>
      <c r="E822" s="277"/>
      <c r="F822" s="277"/>
      <c r="G822" s="277"/>
      <c r="H822" s="277" t="b">
        <f t="shared" si="1"/>
        <v>0</v>
      </c>
      <c r="I822" s="277"/>
      <c r="J822" s="277"/>
      <c r="K822" s="277"/>
      <c r="L822" s="277"/>
      <c r="M822" s="440" t="b">
        <f t="shared" si="2"/>
        <v>0</v>
      </c>
      <c r="N822" s="441"/>
      <c r="O822" s="277"/>
      <c r="P822" s="277"/>
      <c r="Q822" s="278"/>
      <c r="R822" s="449" t="str">
        <f t="array" ref="R822">IFERROR(IFS(OR(P822="A1-Mewtwo", P822="A1-Pikachu", P822="A1-Charizard", P822="A1"), XLOOKUP(N822, 'Genetic Apex'!$C$2:$C889, 'Genetic Apex'!$B$2:$B889)-$B$4, P822="A1a", XLOOKUP(N822, 'Mythical Island'!$C$2:$C889, 'Mythical Island'!$B$2:$B889)-$B$4, OR(P822="A2-Dialga", P822="A2-Palkia", P822="A2"), XLOOKUP(N822, 'Space-Time Smackdown'!$C$2:$C889, 'Space-Time Smackdown'!$B$2:$B889)-$B$4))</f>
        <v/>
      </c>
      <c r="S822" s="277"/>
      <c r="T822" s="277"/>
      <c r="U822" s="277"/>
      <c r="V822" s="278"/>
      <c r="W822" s="443" t="str">
        <f t="array" ref="W822">IFERROR(IFS(OR(U822="A1-Mewtwo", U822="A1-Pikachu", U822="A1-Charizard", U822="A1"), $B$5-XLOOKUP(S822, 'Genetic Apex'!$C$2:$C889, 'Genetic Apex'!$B$2:$B889), U822="A1a", $B$5-XLOOKUP(S822, 'Mythical Island'!$C$2:$C889, 'Mythical Island'!$B$2:$B889), OR(U822="A2-Dialga", U822="A2-Palkia", U822="A2"), $B$5-XLOOKUP(S822, 'Space-Time Smackdown'!$C$2:$C889, 'Space-Time Smackdown'!$B$2:$B889)))</f>
        <v/>
      </c>
      <c r="X822" s="444" t="str">
        <f t="shared" si="3"/>
        <v/>
      </c>
      <c r="Y822" s="445" t="str">
        <f t="shared" si="4"/>
        <v/>
      </c>
      <c r="Z822" s="278"/>
      <c r="AA822" s="466"/>
      <c r="AB822" s="278"/>
      <c r="AC822" s="278"/>
      <c r="AD822" s="278"/>
      <c r="AE822" s="278"/>
      <c r="AF822" s="278"/>
      <c r="AG822" s="278" t="b">
        <f t="shared" si="5"/>
        <v>0</v>
      </c>
      <c r="AH822" s="454"/>
      <c r="AI822" s="278"/>
      <c r="AJ822" s="278"/>
      <c r="AK822" s="278"/>
      <c r="AL822" s="444" t="str">
        <f t="array" ref="AL822">IFERROR(IFS(OR(AJ822="A1-Mewtwo", AJ822="A1-Pikachu", AJ822="A1-Charizard", AJ822="A1"), XLOOKUP(AH822, 'Genetic Apex'!$C$2:$C889, 'Genetic Apex'!$B$2:$B889)-2, AJ822="A1a", XLOOKUP(AH822, 'Mythical Island'!$C$2:$C889, 'Mythical Island'!$B$2:$B889)-2, OR(AJ822="A2-Dialga", AJ822="A2-Palkia", AJ822="A2"), XLOOKUP(AH822, 'Space-Time Smackdown'!$C$2:$C889, 'Space-Time Smackdown'!$B$2:$B889)-2))</f>
        <v/>
      </c>
      <c r="AM822" s="444" t="str">
        <f t="shared" si="6"/>
        <v/>
      </c>
      <c r="AN822" s="448" t="str">
        <f t="shared" si="7"/>
        <v/>
      </c>
    </row>
    <row r="823">
      <c r="A823" s="277"/>
      <c r="B823" s="277"/>
      <c r="C823" s="441"/>
      <c r="D823" s="277"/>
      <c r="E823" s="277"/>
      <c r="F823" s="277"/>
      <c r="G823" s="277"/>
      <c r="H823" s="277" t="b">
        <f t="shared" si="1"/>
        <v>0</v>
      </c>
      <c r="I823" s="277"/>
      <c r="J823" s="277"/>
      <c r="K823" s="277"/>
      <c r="L823" s="277"/>
      <c r="M823" s="440" t="b">
        <f t="shared" si="2"/>
        <v>0</v>
      </c>
      <c r="N823" s="441"/>
      <c r="O823" s="277"/>
      <c r="P823" s="277"/>
      <c r="Q823" s="278"/>
      <c r="R823" s="449" t="str">
        <f t="array" ref="R823">IFERROR(IFS(OR(P823="A1-Mewtwo", P823="A1-Pikachu", P823="A1-Charizard", P823="A1"), XLOOKUP(N823, 'Genetic Apex'!$C$2:$C889, 'Genetic Apex'!$B$2:$B889)-$B$4, P823="A1a", XLOOKUP(N823, 'Mythical Island'!$C$2:$C889, 'Mythical Island'!$B$2:$B889)-$B$4, OR(P823="A2-Dialga", P823="A2-Palkia", P823="A2"), XLOOKUP(N823, 'Space-Time Smackdown'!$C$2:$C889, 'Space-Time Smackdown'!$B$2:$B889)-$B$4))</f>
        <v/>
      </c>
      <c r="S823" s="277"/>
      <c r="T823" s="277"/>
      <c r="U823" s="277"/>
      <c r="V823" s="278"/>
      <c r="W823" s="443" t="str">
        <f t="array" ref="W823">IFERROR(IFS(OR(U823="A1-Mewtwo", U823="A1-Pikachu", U823="A1-Charizard", U823="A1"), $B$5-XLOOKUP(S823, 'Genetic Apex'!$C$2:$C889, 'Genetic Apex'!$B$2:$B889), U823="A1a", $B$5-XLOOKUP(S823, 'Mythical Island'!$C$2:$C889, 'Mythical Island'!$B$2:$B889), OR(U823="A2-Dialga", U823="A2-Palkia", U823="A2"), $B$5-XLOOKUP(S823, 'Space-Time Smackdown'!$C$2:$C889, 'Space-Time Smackdown'!$B$2:$B889)))</f>
        <v/>
      </c>
      <c r="X823" s="444" t="str">
        <f t="shared" si="3"/>
        <v/>
      </c>
      <c r="Y823" s="445" t="str">
        <f t="shared" si="4"/>
        <v/>
      </c>
      <c r="Z823" s="278"/>
      <c r="AA823" s="466"/>
      <c r="AB823" s="278"/>
      <c r="AC823" s="278"/>
      <c r="AD823" s="278"/>
      <c r="AE823" s="278"/>
      <c r="AF823" s="278"/>
      <c r="AG823" s="278" t="b">
        <f t="shared" si="5"/>
        <v>0</v>
      </c>
      <c r="AH823" s="454"/>
      <c r="AI823" s="278"/>
      <c r="AJ823" s="278"/>
      <c r="AK823" s="278"/>
      <c r="AL823" s="444" t="str">
        <f t="array" ref="AL823">IFERROR(IFS(OR(AJ823="A1-Mewtwo", AJ823="A1-Pikachu", AJ823="A1-Charizard", AJ823="A1"), XLOOKUP(AH823, 'Genetic Apex'!$C$2:$C889, 'Genetic Apex'!$B$2:$B889)-2, AJ823="A1a", XLOOKUP(AH823, 'Mythical Island'!$C$2:$C889, 'Mythical Island'!$B$2:$B889)-2, OR(AJ823="A2-Dialga", AJ823="A2-Palkia", AJ823="A2"), XLOOKUP(AH823, 'Space-Time Smackdown'!$C$2:$C889, 'Space-Time Smackdown'!$B$2:$B889)-2))</f>
        <v/>
      </c>
      <c r="AM823" s="444" t="str">
        <f t="shared" si="6"/>
        <v/>
      </c>
      <c r="AN823" s="448" t="str">
        <f t="shared" si="7"/>
        <v/>
      </c>
    </row>
    <row r="824">
      <c r="A824" s="277"/>
      <c r="B824" s="277"/>
      <c r="C824" s="441"/>
      <c r="D824" s="277"/>
      <c r="E824" s="277"/>
      <c r="F824" s="277"/>
      <c r="G824" s="277"/>
      <c r="H824" s="277" t="b">
        <f t="shared" si="1"/>
        <v>0</v>
      </c>
      <c r="I824" s="277"/>
      <c r="J824" s="277"/>
      <c r="K824" s="277"/>
      <c r="L824" s="277"/>
      <c r="M824" s="440" t="b">
        <f t="shared" si="2"/>
        <v>0</v>
      </c>
      <c r="N824" s="441"/>
      <c r="O824" s="277"/>
      <c r="P824" s="277"/>
      <c r="Q824" s="278"/>
      <c r="R824" s="449" t="str">
        <f t="array" ref="R824">IFERROR(IFS(OR(P824="A1-Mewtwo", P824="A1-Pikachu", P824="A1-Charizard", P824="A1"), XLOOKUP(N824, 'Genetic Apex'!$C$2:$C889, 'Genetic Apex'!$B$2:$B889)-$B$4, P824="A1a", XLOOKUP(N824, 'Mythical Island'!$C$2:$C889, 'Mythical Island'!$B$2:$B889)-$B$4, OR(P824="A2-Dialga", P824="A2-Palkia", P824="A2"), XLOOKUP(N824, 'Space-Time Smackdown'!$C$2:$C889, 'Space-Time Smackdown'!$B$2:$B889)-$B$4))</f>
        <v/>
      </c>
      <c r="S824" s="277"/>
      <c r="T824" s="277"/>
      <c r="U824" s="277"/>
      <c r="V824" s="278"/>
      <c r="W824" s="443" t="str">
        <f t="array" ref="W824">IFERROR(IFS(OR(U824="A1-Mewtwo", U824="A1-Pikachu", U824="A1-Charizard", U824="A1"), $B$5-XLOOKUP(S824, 'Genetic Apex'!$C$2:$C889, 'Genetic Apex'!$B$2:$B889), U824="A1a", $B$5-XLOOKUP(S824, 'Mythical Island'!$C$2:$C889, 'Mythical Island'!$B$2:$B889), OR(U824="A2-Dialga", U824="A2-Palkia", U824="A2"), $B$5-XLOOKUP(S824, 'Space-Time Smackdown'!$C$2:$C889, 'Space-Time Smackdown'!$B$2:$B889)))</f>
        <v/>
      </c>
      <c r="X824" s="444" t="str">
        <f t="shared" si="3"/>
        <v/>
      </c>
      <c r="Y824" s="445" t="str">
        <f t="shared" si="4"/>
        <v/>
      </c>
      <c r="Z824" s="278"/>
      <c r="AA824" s="466"/>
      <c r="AB824" s="278"/>
      <c r="AC824" s="278"/>
      <c r="AD824" s="278"/>
      <c r="AE824" s="278"/>
      <c r="AF824" s="278"/>
      <c r="AG824" s="278" t="b">
        <f t="shared" si="5"/>
        <v>0</v>
      </c>
      <c r="AH824" s="454"/>
      <c r="AI824" s="278"/>
      <c r="AJ824" s="278"/>
      <c r="AK824" s="278"/>
      <c r="AL824" s="444" t="str">
        <f t="array" ref="AL824">IFERROR(IFS(OR(AJ824="A1-Mewtwo", AJ824="A1-Pikachu", AJ824="A1-Charizard", AJ824="A1"), XLOOKUP(AH824, 'Genetic Apex'!$C$2:$C889, 'Genetic Apex'!$B$2:$B889)-2, AJ824="A1a", XLOOKUP(AH824, 'Mythical Island'!$C$2:$C889, 'Mythical Island'!$B$2:$B889)-2, OR(AJ824="A2-Dialga", AJ824="A2-Palkia", AJ824="A2"), XLOOKUP(AH824, 'Space-Time Smackdown'!$C$2:$C889, 'Space-Time Smackdown'!$B$2:$B889)-2))</f>
        <v/>
      </c>
      <c r="AM824" s="444" t="str">
        <f t="shared" si="6"/>
        <v/>
      </c>
      <c r="AN824" s="448" t="str">
        <f t="shared" si="7"/>
        <v/>
      </c>
    </row>
    <row r="825">
      <c r="A825" s="277"/>
      <c r="B825" s="277"/>
      <c r="C825" s="441"/>
      <c r="D825" s="277"/>
      <c r="E825" s="277"/>
      <c r="F825" s="277"/>
      <c r="G825" s="277"/>
      <c r="H825" s="277" t="b">
        <f t="shared" si="1"/>
        <v>0</v>
      </c>
      <c r="I825" s="277"/>
      <c r="J825" s="277"/>
      <c r="K825" s="277"/>
      <c r="L825" s="277"/>
      <c r="M825" s="440" t="b">
        <f t="shared" si="2"/>
        <v>0</v>
      </c>
      <c r="N825" s="441"/>
      <c r="O825" s="277"/>
      <c r="P825" s="277"/>
      <c r="Q825" s="278"/>
      <c r="R825" s="449" t="str">
        <f t="array" ref="R825">IFERROR(IFS(OR(P825="A1-Mewtwo", P825="A1-Pikachu", P825="A1-Charizard", P825="A1"), XLOOKUP(N825, 'Genetic Apex'!$C$2:$C889, 'Genetic Apex'!$B$2:$B889)-$B$4, P825="A1a", XLOOKUP(N825, 'Mythical Island'!$C$2:$C889, 'Mythical Island'!$B$2:$B889)-$B$4, OR(P825="A2-Dialga", P825="A2-Palkia", P825="A2"), XLOOKUP(N825, 'Space-Time Smackdown'!$C$2:$C889, 'Space-Time Smackdown'!$B$2:$B889)-$B$4))</f>
        <v/>
      </c>
      <c r="S825" s="277"/>
      <c r="T825" s="277"/>
      <c r="U825" s="277"/>
      <c r="V825" s="278"/>
      <c r="W825" s="443" t="str">
        <f t="array" ref="W825">IFERROR(IFS(OR(U825="A1-Mewtwo", U825="A1-Pikachu", U825="A1-Charizard", U825="A1"), $B$5-XLOOKUP(S825, 'Genetic Apex'!$C$2:$C889, 'Genetic Apex'!$B$2:$B889), U825="A1a", $B$5-XLOOKUP(S825, 'Mythical Island'!$C$2:$C889, 'Mythical Island'!$B$2:$B889), OR(U825="A2-Dialga", U825="A2-Palkia", U825="A2"), $B$5-XLOOKUP(S825, 'Space-Time Smackdown'!$C$2:$C889, 'Space-Time Smackdown'!$B$2:$B889)))</f>
        <v/>
      </c>
      <c r="X825" s="444" t="str">
        <f t="shared" si="3"/>
        <v/>
      </c>
      <c r="Y825" s="445" t="str">
        <f t="shared" si="4"/>
        <v/>
      </c>
      <c r="Z825" s="278"/>
      <c r="AA825" s="466"/>
      <c r="AB825" s="278"/>
      <c r="AC825" s="278"/>
      <c r="AD825" s="278"/>
      <c r="AE825" s="278"/>
      <c r="AF825" s="278"/>
      <c r="AG825" s="278" t="b">
        <f t="shared" si="5"/>
        <v>0</v>
      </c>
      <c r="AH825" s="454"/>
      <c r="AI825" s="278"/>
      <c r="AJ825" s="278"/>
      <c r="AK825" s="278"/>
      <c r="AL825" s="444" t="str">
        <f t="array" ref="AL825">IFERROR(IFS(OR(AJ825="A1-Mewtwo", AJ825="A1-Pikachu", AJ825="A1-Charizard", AJ825="A1"), XLOOKUP(AH825, 'Genetic Apex'!$C$2:$C889, 'Genetic Apex'!$B$2:$B889)-2, AJ825="A1a", XLOOKUP(AH825, 'Mythical Island'!$C$2:$C889, 'Mythical Island'!$B$2:$B889)-2, OR(AJ825="A2-Dialga", AJ825="A2-Palkia", AJ825="A2"), XLOOKUP(AH825, 'Space-Time Smackdown'!$C$2:$C889, 'Space-Time Smackdown'!$B$2:$B889)-2))</f>
        <v/>
      </c>
      <c r="AM825" s="444" t="str">
        <f t="shared" si="6"/>
        <v/>
      </c>
      <c r="AN825" s="448" t="str">
        <f t="shared" si="7"/>
        <v/>
      </c>
    </row>
    <row r="826">
      <c r="A826" s="277"/>
      <c r="B826" s="277"/>
      <c r="C826" s="441"/>
      <c r="D826" s="277"/>
      <c r="E826" s="277"/>
      <c r="F826" s="277"/>
      <c r="G826" s="277"/>
      <c r="H826" s="277" t="b">
        <f t="shared" si="1"/>
        <v>0</v>
      </c>
      <c r="I826" s="277"/>
      <c r="J826" s="277"/>
      <c r="K826" s="277"/>
      <c r="L826" s="277"/>
      <c r="M826" s="440" t="b">
        <f t="shared" si="2"/>
        <v>0</v>
      </c>
      <c r="N826" s="441"/>
      <c r="O826" s="277"/>
      <c r="P826" s="277"/>
      <c r="Q826" s="278"/>
      <c r="R826" s="449" t="str">
        <f t="array" ref="R826">IFERROR(IFS(OR(P826="A1-Mewtwo", P826="A1-Pikachu", P826="A1-Charizard", P826="A1"), XLOOKUP(N826, 'Genetic Apex'!$C$2:$C889, 'Genetic Apex'!$B$2:$B889)-$B$4, P826="A1a", XLOOKUP(N826, 'Mythical Island'!$C$2:$C889, 'Mythical Island'!$B$2:$B889)-$B$4, OR(P826="A2-Dialga", P826="A2-Palkia", P826="A2"), XLOOKUP(N826, 'Space-Time Smackdown'!$C$2:$C889, 'Space-Time Smackdown'!$B$2:$B889)-$B$4))</f>
        <v/>
      </c>
      <c r="S826" s="277"/>
      <c r="T826" s="277"/>
      <c r="U826" s="277"/>
      <c r="V826" s="278"/>
      <c r="W826" s="443" t="str">
        <f t="array" ref="W826">IFERROR(IFS(OR(U826="A1-Mewtwo", U826="A1-Pikachu", U826="A1-Charizard", U826="A1"), $B$5-XLOOKUP(S826, 'Genetic Apex'!$C$2:$C889, 'Genetic Apex'!$B$2:$B889), U826="A1a", $B$5-XLOOKUP(S826, 'Mythical Island'!$C$2:$C889, 'Mythical Island'!$B$2:$B889), OR(U826="A2-Dialga", U826="A2-Palkia", U826="A2"), $B$5-XLOOKUP(S826, 'Space-Time Smackdown'!$C$2:$C889, 'Space-Time Smackdown'!$B$2:$B889)))</f>
        <v/>
      </c>
      <c r="X826" s="444" t="str">
        <f t="shared" si="3"/>
        <v/>
      </c>
      <c r="Y826" s="445" t="str">
        <f t="shared" si="4"/>
        <v/>
      </c>
      <c r="Z826" s="278"/>
      <c r="AA826" s="466"/>
      <c r="AB826" s="278"/>
      <c r="AC826" s="278"/>
      <c r="AD826" s="278"/>
      <c r="AE826" s="278"/>
      <c r="AF826" s="278"/>
      <c r="AG826" s="278" t="b">
        <f t="shared" si="5"/>
        <v>0</v>
      </c>
      <c r="AH826" s="454"/>
      <c r="AI826" s="278"/>
      <c r="AJ826" s="278"/>
      <c r="AK826" s="278"/>
      <c r="AL826" s="444" t="str">
        <f t="array" ref="AL826">IFERROR(IFS(OR(AJ826="A1-Mewtwo", AJ826="A1-Pikachu", AJ826="A1-Charizard", AJ826="A1"), XLOOKUP(AH826, 'Genetic Apex'!$C$2:$C889, 'Genetic Apex'!$B$2:$B889)-2, AJ826="A1a", XLOOKUP(AH826, 'Mythical Island'!$C$2:$C889, 'Mythical Island'!$B$2:$B889)-2, OR(AJ826="A2-Dialga", AJ826="A2-Palkia", AJ826="A2"), XLOOKUP(AH826, 'Space-Time Smackdown'!$C$2:$C889, 'Space-Time Smackdown'!$B$2:$B889)-2))</f>
        <v/>
      </c>
      <c r="AM826" s="444" t="str">
        <f t="shared" si="6"/>
        <v/>
      </c>
      <c r="AN826" s="448" t="str">
        <f t="shared" si="7"/>
        <v/>
      </c>
    </row>
    <row r="827">
      <c r="A827" s="277"/>
      <c r="B827" s="277"/>
      <c r="C827" s="441"/>
      <c r="D827" s="277"/>
      <c r="E827" s="277"/>
      <c r="F827" s="277"/>
      <c r="G827" s="277"/>
      <c r="H827" s="277" t="b">
        <f t="shared" si="1"/>
        <v>0</v>
      </c>
      <c r="I827" s="277"/>
      <c r="J827" s="277"/>
      <c r="K827" s="277"/>
      <c r="L827" s="277"/>
      <c r="M827" s="440" t="b">
        <f t="shared" si="2"/>
        <v>0</v>
      </c>
      <c r="N827" s="441"/>
      <c r="O827" s="277"/>
      <c r="P827" s="277"/>
      <c r="Q827" s="278"/>
      <c r="R827" s="449" t="str">
        <f t="array" ref="R827">IFERROR(IFS(OR(P827="A1-Mewtwo", P827="A1-Pikachu", P827="A1-Charizard", P827="A1"), XLOOKUP(N827, 'Genetic Apex'!$C$2:$C889, 'Genetic Apex'!$B$2:$B889)-$B$4, P827="A1a", XLOOKUP(N827, 'Mythical Island'!$C$2:$C889, 'Mythical Island'!$B$2:$B889)-$B$4, OR(P827="A2-Dialga", P827="A2-Palkia", P827="A2"), XLOOKUP(N827, 'Space-Time Smackdown'!$C$2:$C889, 'Space-Time Smackdown'!$B$2:$B889)-$B$4))</f>
        <v/>
      </c>
      <c r="S827" s="277"/>
      <c r="T827" s="277"/>
      <c r="U827" s="277"/>
      <c r="V827" s="278"/>
      <c r="W827" s="443" t="str">
        <f t="array" ref="W827">IFERROR(IFS(OR(U827="A1-Mewtwo", U827="A1-Pikachu", U827="A1-Charizard", U827="A1"), $B$5-XLOOKUP(S827, 'Genetic Apex'!$C$2:$C889, 'Genetic Apex'!$B$2:$B889), U827="A1a", $B$5-XLOOKUP(S827, 'Mythical Island'!$C$2:$C889, 'Mythical Island'!$B$2:$B889), OR(U827="A2-Dialga", U827="A2-Palkia", U827="A2"), $B$5-XLOOKUP(S827, 'Space-Time Smackdown'!$C$2:$C889, 'Space-Time Smackdown'!$B$2:$B889)))</f>
        <v/>
      </c>
      <c r="X827" s="444" t="str">
        <f t="shared" si="3"/>
        <v/>
      </c>
      <c r="Y827" s="445" t="str">
        <f t="shared" si="4"/>
        <v/>
      </c>
      <c r="Z827" s="278"/>
      <c r="AA827" s="466"/>
      <c r="AB827" s="278"/>
      <c r="AC827" s="278"/>
      <c r="AD827" s="278"/>
      <c r="AE827" s="278"/>
      <c r="AF827" s="278"/>
      <c r="AG827" s="278" t="b">
        <f t="shared" si="5"/>
        <v>0</v>
      </c>
      <c r="AH827" s="454"/>
      <c r="AI827" s="278"/>
      <c r="AJ827" s="278"/>
      <c r="AK827" s="278"/>
      <c r="AL827" s="444" t="str">
        <f t="array" ref="AL827">IFERROR(IFS(OR(AJ827="A1-Mewtwo", AJ827="A1-Pikachu", AJ827="A1-Charizard", AJ827="A1"), XLOOKUP(AH827, 'Genetic Apex'!$C$2:$C889, 'Genetic Apex'!$B$2:$B889)-2, AJ827="A1a", XLOOKUP(AH827, 'Mythical Island'!$C$2:$C889, 'Mythical Island'!$B$2:$B889)-2, OR(AJ827="A2-Dialga", AJ827="A2-Palkia", AJ827="A2"), XLOOKUP(AH827, 'Space-Time Smackdown'!$C$2:$C889, 'Space-Time Smackdown'!$B$2:$B889)-2))</f>
        <v/>
      </c>
      <c r="AM827" s="444" t="str">
        <f t="shared" si="6"/>
        <v/>
      </c>
      <c r="AN827" s="448" t="str">
        <f t="shared" si="7"/>
        <v/>
      </c>
    </row>
    <row r="828">
      <c r="A828" s="277"/>
      <c r="B828" s="277"/>
      <c r="C828" s="441"/>
      <c r="D828" s="277"/>
      <c r="E828" s="277"/>
      <c r="F828" s="277"/>
      <c r="G828" s="277"/>
      <c r="H828" s="277" t="b">
        <f t="shared" si="1"/>
        <v>0</v>
      </c>
      <c r="I828" s="277"/>
      <c r="J828" s="277"/>
      <c r="K828" s="277"/>
      <c r="L828" s="277"/>
      <c r="M828" s="440" t="b">
        <f t="shared" si="2"/>
        <v>0</v>
      </c>
      <c r="N828" s="441"/>
      <c r="O828" s="277"/>
      <c r="P828" s="277"/>
      <c r="Q828" s="278"/>
      <c r="R828" s="449" t="str">
        <f t="array" ref="R828">IFERROR(IFS(OR(P828="A1-Mewtwo", P828="A1-Pikachu", P828="A1-Charizard", P828="A1"), XLOOKUP(N828, 'Genetic Apex'!$C$2:$C889, 'Genetic Apex'!$B$2:$B889)-$B$4, P828="A1a", XLOOKUP(N828, 'Mythical Island'!$C$2:$C889, 'Mythical Island'!$B$2:$B889)-$B$4, OR(P828="A2-Dialga", P828="A2-Palkia", P828="A2"), XLOOKUP(N828, 'Space-Time Smackdown'!$C$2:$C889, 'Space-Time Smackdown'!$B$2:$B889)-$B$4))</f>
        <v/>
      </c>
      <c r="S828" s="277"/>
      <c r="T828" s="277"/>
      <c r="U828" s="277"/>
      <c r="V828" s="278"/>
      <c r="W828" s="443" t="str">
        <f t="array" ref="W828">IFERROR(IFS(OR(U828="A1-Mewtwo", U828="A1-Pikachu", U828="A1-Charizard", U828="A1"), $B$5-XLOOKUP(S828, 'Genetic Apex'!$C$2:$C889, 'Genetic Apex'!$B$2:$B889), U828="A1a", $B$5-XLOOKUP(S828, 'Mythical Island'!$C$2:$C889, 'Mythical Island'!$B$2:$B889), OR(U828="A2-Dialga", U828="A2-Palkia", U828="A2"), $B$5-XLOOKUP(S828, 'Space-Time Smackdown'!$C$2:$C889, 'Space-Time Smackdown'!$B$2:$B889)))</f>
        <v/>
      </c>
      <c r="X828" s="444" t="str">
        <f t="shared" si="3"/>
        <v/>
      </c>
      <c r="Y828" s="445" t="str">
        <f t="shared" si="4"/>
        <v/>
      </c>
      <c r="Z828" s="278"/>
      <c r="AA828" s="466"/>
      <c r="AB828" s="278"/>
      <c r="AC828" s="278"/>
      <c r="AD828" s="278"/>
      <c r="AE828" s="278"/>
      <c r="AF828" s="278"/>
      <c r="AG828" s="278" t="b">
        <f t="shared" si="5"/>
        <v>0</v>
      </c>
      <c r="AH828" s="454"/>
      <c r="AI828" s="278"/>
      <c r="AJ828" s="278"/>
      <c r="AK828" s="278"/>
      <c r="AL828" s="444" t="str">
        <f t="array" ref="AL828">IFERROR(IFS(OR(AJ828="A1-Mewtwo", AJ828="A1-Pikachu", AJ828="A1-Charizard", AJ828="A1"), XLOOKUP(AH828, 'Genetic Apex'!$C$2:$C889, 'Genetic Apex'!$B$2:$B889)-2, AJ828="A1a", XLOOKUP(AH828, 'Mythical Island'!$C$2:$C889, 'Mythical Island'!$B$2:$B889)-2, OR(AJ828="A2-Dialga", AJ828="A2-Palkia", AJ828="A2"), XLOOKUP(AH828, 'Space-Time Smackdown'!$C$2:$C889, 'Space-Time Smackdown'!$B$2:$B889)-2))</f>
        <v/>
      </c>
      <c r="AM828" s="444" t="str">
        <f t="shared" si="6"/>
        <v/>
      </c>
      <c r="AN828" s="448" t="str">
        <f t="shared" si="7"/>
        <v/>
      </c>
    </row>
    <row r="829">
      <c r="A829" s="277"/>
      <c r="B829" s="277"/>
      <c r="C829" s="441"/>
      <c r="D829" s="277"/>
      <c r="E829" s="277"/>
      <c r="F829" s="277"/>
      <c r="G829" s="277"/>
      <c r="H829" s="277" t="b">
        <f t="shared" si="1"/>
        <v>0</v>
      </c>
      <c r="I829" s="277"/>
      <c r="J829" s="277"/>
      <c r="K829" s="277"/>
      <c r="L829" s="277"/>
      <c r="M829" s="440" t="b">
        <f t="shared" si="2"/>
        <v>0</v>
      </c>
      <c r="N829" s="441"/>
      <c r="O829" s="277"/>
      <c r="P829" s="277"/>
      <c r="Q829" s="278"/>
      <c r="R829" s="449" t="str">
        <f t="array" ref="R829">IFERROR(IFS(OR(P829="A1-Mewtwo", P829="A1-Pikachu", P829="A1-Charizard", P829="A1"), XLOOKUP(N829, 'Genetic Apex'!$C$2:$C889, 'Genetic Apex'!$B$2:$B889)-$B$4, P829="A1a", XLOOKUP(N829, 'Mythical Island'!$C$2:$C889, 'Mythical Island'!$B$2:$B889)-$B$4, OR(P829="A2-Dialga", P829="A2-Palkia", P829="A2"), XLOOKUP(N829, 'Space-Time Smackdown'!$C$2:$C889, 'Space-Time Smackdown'!$B$2:$B889)-$B$4))</f>
        <v/>
      </c>
      <c r="S829" s="277"/>
      <c r="T829" s="277"/>
      <c r="U829" s="277"/>
      <c r="V829" s="278"/>
      <c r="W829" s="443" t="str">
        <f t="array" ref="W829">IFERROR(IFS(OR(U829="A1-Mewtwo", U829="A1-Pikachu", U829="A1-Charizard", U829="A1"), $B$5-XLOOKUP(S829, 'Genetic Apex'!$C$2:$C889, 'Genetic Apex'!$B$2:$B889), U829="A1a", $B$5-XLOOKUP(S829, 'Mythical Island'!$C$2:$C889, 'Mythical Island'!$B$2:$B889), OR(U829="A2-Dialga", U829="A2-Palkia", U829="A2"), $B$5-XLOOKUP(S829, 'Space-Time Smackdown'!$C$2:$C889, 'Space-Time Smackdown'!$B$2:$B889)))</f>
        <v/>
      </c>
      <c r="X829" s="444" t="str">
        <f t="shared" si="3"/>
        <v/>
      </c>
      <c r="Y829" s="445" t="str">
        <f t="shared" si="4"/>
        <v/>
      </c>
      <c r="Z829" s="278"/>
      <c r="AA829" s="466"/>
      <c r="AB829" s="278"/>
      <c r="AC829" s="278"/>
      <c r="AD829" s="278"/>
      <c r="AE829" s="278"/>
      <c r="AF829" s="278"/>
      <c r="AG829" s="278" t="b">
        <f t="shared" si="5"/>
        <v>0</v>
      </c>
      <c r="AH829" s="454"/>
      <c r="AI829" s="278"/>
      <c r="AJ829" s="278"/>
      <c r="AK829" s="278"/>
      <c r="AL829" s="444" t="str">
        <f t="array" ref="AL829">IFERROR(IFS(OR(AJ829="A1-Mewtwo", AJ829="A1-Pikachu", AJ829="A1-Charizard", AJ829="A1"), XLOOKUP(AH829, 'Genetic Apex'!$C$2:$C889, 'Genetic Apex'!$B$2:$B889)-2, AJ829="A1a", XLOOKUP(AH829, 'Mythical Island'!$C$2:$C889, 'Mythical Island'!$B$2:$B889)-2, OR(AJ829="A2-Dialga", AJ829="A2-Palkia", AJ829="A2"), XLOOKUP(AH829, 'Space-Time Smackdown'!$C$2:$C889, 'Space-Time Smackdown'!$B$2:$B889)-2))</f>
        <v/>
      </c>
      <c r="AM829" s="444" t="str">
        <f t="shared" si="6"/>
        <v/>
      </c>
      <c r="AN829" s="448" t="str">
        <f t="shared" si="7"/>
        <v/>
      </c>
    </row>
    <row r="830">
      <c r="A830" s="277"/>
      <c r="B830" s="277"/>
      <c r="C830" s="441"/>
      <c r="D830" s="277"/>
      <c r="E830" s="277"/>
      <c r="F830" s="277"/>
      <c r="G830" s="277"/>
      <c r="H830" s="277" t="b">
        <f t="shared" si="1"/>
        <v>0</v>
      </c>
      <c r="I830" s="277"/>
      <c r="J830" s="277"/>
      <c r="K830" s="277"/>
      <c r="L830" s="277"/>
      <c r="M830" s="440" t="b">
        <f t="shared" si="2"/>
        <v>0</v>
      </c>
      <c r="N830" s="441"/>
      <c r="O830" s="277"/>
      <c r="P830" s="277"/>
      <c r="Q830" s="278"/>
      <c r="R830" s="449" t="str">
        <f t="array" ref="R830">IFERROR(IFS(OR(P830="A1-Mewtwo", P830="A1-Pikachu", P830="A1-Charizard", P830="A1"), XLOOKUP(N830, 'Genetic Apex'!$C$2:$C889, 'Genetic Apex'!$B$2:$B889)-$B$4, P830="A1a", XLOOKUP(N830, 'Mythical Island'!$C$2:$C889, 'Mythical Island'!$B$2:$B889)-$B$4, OR(P830="A2-Dialga", P830="A2-Palkia", P830="A2"), XLOOKUP(N830, 'Space-Time Smackdown'!$C$2:$C889, 'Space-Time Smackdown'!$B$2:$B889)-$B$4))</f>
        <v/>
      </c>
      <c r="S830" s="277"/>
      <c r="T830" s="277"/>
      <c r="U830" s="277"/>
      <c r="V830" s="278"/>
      <c r="W830" s="443" t="str">
        <f t="array" ref="W830">IFERROR(IFS(OR(U830="A1-Mewtwo", U830="A1-Pikachu", U830="A1-Charizard", U830="A1"), $B$5-XLOOKUP(S830, 'Genetic Apex'!$C$2:$C889, 'Genetic Apex'!$B$2:$B889), U830="A1a", $B$5-XLOOKUP(S830, 'Mythical Island'!$C$2:$C889, 'Mythical Island'!$B$2:$B889), OR(U830="A2-Dialga", U830="A2-Palkia", U830="A2"), $B$5-XLOOKUP(S830, 'Space-Time Smackdown'!$C$2:$C889, 'Space-Time Smackdown'!$B$2:$B889)))</f>
        <v/>
      </c>
      <c r="X830" s="444" t="str">
        <f t="shared" si="3"/>
        <v/>
      </c>
      <c r="Y830" s="445" t="str">
        <f t="shared" si="4"/>
        <v/>
      </c>
      <c r="Z830" s="278"/>
      <c r="AA830" s="466"/>
      <c r="AB830" s="278"/>
      <c r="AC830" s="278"/>
      <c r="AD830" s="278"/>
      <c r="AE830" s="278"/>
      <c r="AF830" s="278"/>
      <c r="AG830" s="278" t="b">
        <f t="shared" si="5"/>
        <v>0</v>
      </c>
      <c r="AH830" s="454"/>
      <c r="AI830" s="278"/>
      <c r="AJ830" s="278"/>
      <c r="AK830" s="278"/>
      <c r="AL830" s="444" t="str">
        <f t="array" ref="AL830">IFERROR(IFS(OR(AJ830="A1-Mewtwo", AJ830="A1-Pikachu", AJ830="A1-Charizard", AJ830="A1"), XLOOKUP(AH830, 'Genetic Apex'!$C$2:$C889, 'Genetic Apex'!$B$2:$B889)-2, AJ830="A1a", XLOOKUP(AH830, 'Mythical Island'!$C$2:$C889, 'Mythical Island'!$B$2:$B889)-2, OR(AJ830="A2-Dialga", AJ830="A2-Palkia", AJ830="A2"), XLOOKUP(AH830, 'Space-Time Smackdown'!$C$2:$C889, 'Space-Time Smackdown'!$B$2:$B889)-2))</f>
        <v/>
      </c>
      <c r="AM830" s="444" t="str">
        <f t="shared" si="6"/>
        <v/>
      </c>
      <c r="AN830" s="448" t="str">
        <f t="shared" si="7"/>
        <v/>
      </c>
    </row>
    <row r="831">
      <c r="A831" s="277"/>
      <c r="B831" s="277"/>
      <c r="C831" s="441"/>
      <c r="D831" s="277"/>
      <c r="E831" s="277"/>
      <c r="F831" s="277"/>
      <c r="G831" s="277"/>
      <c r="H831" s="277" t="b">
        <f t="shared" si="1"/>
        <v>0</v>
      </c>
      <c r="I831" s="277"/>
      <c r="J831" s="277"/>
      <c r="K831" s="277"/>
      <c r="L831" s="277"/>
      <c r="M831" s="440" t="b">
        <f t="shared" si="2"/>
        <v>0</v>
      </c>
      <c r="N831" s="441"/>
      <c r="O831" s="277"/>
      <c r="P831" s="277"/>
      <c r="Q831" s="278"/>
      <c r="R831" s="449" t="str">
        <f t="array" ref="R831">IFERROR(IFS(OR(P831="A1-Mewtwo", P831="A1-Pikachu", P831="A1-Charizard", P831="A1"), XLOOKUP(N831, 'Genetic Apex'!$C$2:$C889, 'Genetic Apex'!$B$2:$B889)-$B$4, P831="A1a", XLOOKUP(N831, 'Mythical Island'!$C$2:$C889, 'Mythical Island'!$B$2:$B889)-$B$4, OR(P831="A2-Dialga", P831="A2-Palkia", P831="A2"), XLOOKUP(N831, 'Space-Time Smackdown'!$C$2:$C889, 'Space-Time Smackdown'!$B$2:$B889)-$B$4))</f>
        <v/>
      </c>
      <c r="S831" s="277"/>
      <c r="T831" s="277"/>
      <c r="U831" s="277"/>
      <c r="V831" s="278"/>
      <c r="W831" s="443" t="str">
        <f t="array" ref="W831">IFERROR(IFS(OR(U831="A1-Mewtwo", U831="A1-Pikachu", U831="A1-Charizard", U831="A1"), $B$5-XLOOKUP(S831, 'Genetic Apex'!$C$2:$C889, 'Genetic Apex'!$B$2:$B889), U831="A1a", $B$5-XLOOKUP(S831, 'Mythical Island'!$C$2:$C889, 'Mythical Island'!$B$2:$B889), OR(U831="A2-Dialga", U831="A2-Palkia", U831="A2"), $B$5-XLOOKUP(S831, 'Space-Time Smackdown'!$C$2:$C889, 'Space-Time Smackdown'!$B$2:$B889)))</f>
        <v/>
      </c>
      <c r="X831" s="444" t="str">
        <f t="shared" si="3"/>
        <v/>
      </c>
      <c r="Y831" s="445" t="str">
        <f t="shared" si="4"/>
        <v/>
      </c>
      <c r="Z831" s="278"/>
      <c r="AA831" s="466"/>
      <c r="AB831" s="278"/>
      <c r="AC831" s="278"/>
      <c r="AD831" s="278"/>
      <c r="AE831" s="278"/>
      <c r="AF831" s="278"/>
      <c r="AG831" s="278" t="b">
        <f t="shared" si="5"/>
        <v>0</v>
      </c>
      <c r="AH831" s="454"/>
      <c r="AI831" s="278"/>
      <c r="AJ831" s="278"/>
      <c r="AK831" s="278"/>
      <c r="AL831" s="444" t="str">
        <f t="array" ref="AL831">IFERROR(IFS(OR(AJ831="A1-Mewtwo", AJ831="A1-Pikachu", AJ831="A1-Charizard", AJ831="A1"), XLOOKUP(AH831, 'Genetic Apex'!$C$2:$C889, 'Genetic Apex'!$B$2:$B889)-2, AJ831="A1a", XLOOKUP(AH831, 'Mythical Island'!$C$2:$C889, 'Mythical Island'!$B$2:$B889)-2, OR(AJ831="A2-Dialga", AJ831="A2-Palkia", AJ831="A2"), XLOOKUP(AH831, 'Space-Time Smackdown'!$C$2:$C889, 'Space-Time Smackdown'!$B$2:$B889)-2))</f>
        <v/>
      </c>
      <c r="AM831" s="444" t="str">
        <f t="shared" si="6"/>
        <v/>
      </c>
      <c r="AN831" s="448" t="str">
        <f t="shared" si="7"/>
        <v/>
      </c>
    </row>
    <row r="832">
      <c r="A832" s="277"/>
      <c r="B832" s="277"/>
      <c r="C832" s="441"/>
      <c r="D832" s="277"/>
      <c r="E832" s="277"/>
      <c r="F832" s="277"/>
      <c r="G832" s="277"/>
      <c r="H832" s="277" t="b">
        <f t="shared" si="1"/>
        <v>0</v>
      </c>
      <c r="I832" s="277"/>
      <c r="J832" s="277"/>
      <c r="K832" s="277"/>
      <c r="L832" s="277"/>
      <c r="M832" s="440" t="b">
        <f t="shared" si="2"/>
        <v>0</v>
      </c>
      <c r="N832" s="441"/>
      <c r="O832" s="277"/>
      <c r="P832" s="277"/>
      <c r="Q832" s="278"/>
      <c r="R832" s="449" t="str">
        <f t="array" ref="R832">IFERROR(IFS(OR(P832="A1-Mewtwo", P832="A1-Pikachu", P832="A1-Charizard", P832="A1"), XLOOKUP(N832, 'Genetic Apex'!$C$2:$C889, 'Genetic Apex'!$B$2:$B889)-$B$4, P832="A1a", XLOOKUP(N832, 'Mythical Island'!$C$2:$C889, 'Mythical Island'!$B$2:$B889)-$B$4, OR(P832="A2-Dialga", P832="A2-Palkia", P832="A2"), XLOOKUP(N832, 'Space-Time Smackdown'!$C$2:$C889, 'Space-Time Smackdown'!$B$2:$B889)-$B$4))</f>
        <v/>
      </c>
      <c r="S832" s="277"/>
      <c r="T832" s="277"/>
      <c r="U832" s="277"/>
      <c r="V832" s="278"/>
      <c r="W832" s="443" t="str">
        <f t="array" ref="W832">IFERROR(IFS(OR(U832="A1-Mewtwo", U832="A1-Pikachu", U832="A1-Charizard", U832="A1"), $B$5-XLOOKUP(S832, 'Genetic Apex'!$C$2:$C889, 'Genetic Apex'!$B$2:$B889), U832="A1a", $B$5-XLOOKUP(S832, 'Mythical Island'!$C$2:$C889, 'Mythical Island'!$B$2:$B889), OR(U832="A2-Dialga", U832="A2-Palkia", U832="A2"), $B$5-XLOOKUP(S832, 'Space-Time Smackdown'!$C$2:$C889, 'Space-Time Smackdown'!$B$2:$B889)))</f>
        <v/>
      </c>
      <c r="X832" s="444" t="str">
        <f t="shared" si="3"/>
        <v/>
      </c>
      <c r="Y832" s="445" t="str">
        <f t="shared" si="4"/>
        <v/>
      </c>
      <c r="Z832" s="278"/>
      <c r="AA832" s="466"/>
      <c r="AB832" s="278"/>
      <c r="AC832" s="278"/>
      <c r="AD832" s="278"/>
      <c r="AE832" s="278"/>
      <c r="AF832" s="278"/>
      <c r="AG832" s="278" t="b">
        <f t="shared" si="5"/>
        <v>0</v>
      </c>
      <c r="AH832" s="454"/>
      <c r="AI832" s="278"/>
      <c r="AJ832" s="278"/>
      <c r="AK832" s="278"/>
      <c r="AL832" s="444" t="str">
        <f t="array" ref="AL832">IFERROR(IFS(OR(AJ832="A1-Mewtwo", AJ832="A1-Pikachu", AJ832="A1-Charizard", AJ832="A1"), XLOOKUP(AH832, 'Genetic Apex'!$C$2:$C889, 'Genetic Apex'!$B$2:$B889)-2, AJ832="A1a", XLOOKUP(AH832, 'Mythical Island'!$C$2:$C889, 'Mythical Island'!$B$2:$B889)-2, OR(AJ832="A2-Dialga", AJ832="A2-Palkia", AJ832="A2"), XLOOKUP(AH832, 'Space-Time Smackdown'!$C$2:$C889, 'Space-Time Smackdown'!$B$2:$B889)-2))</f>
        <v/>
      </c>
      <c r="AM832" s="444" t="str">
        <f t="shared" si="6"/>
        <v/>
      </c>
      <c r="AN832" s="448" t="str">
        <f t="shared" si="7"/>
        <v/>
      </c>
    </row>
    <row r="833">
      <c r="A833" s="277"/>
      <c r="B833" s="277"/>
      <c r="C833" s="441"/>
      <c r="D833" s="277"/>
      <c r="E833" s="277"/>
      <c r="F833" s="277"/>
      <c r="G833" s="277"/>
      <c r="H833" s="277" t="b">
        <f t="shared" si="1"/>
        <v>0</v>
      </c>
      <c r="I833" s="277"/>
      <c r="J833" s="277"/>
      <c r="K833" s="277"/>
      <c r="L833" s="277"/>
      <c r="M833" s="440" t="b">
        <f t="shared" si="2"/>
        <v>0</v>
      </c>
      <c r="N833" s="441"/>
      <c r="O833" s="277"/>
      <c r="P833" s="277"/>
      <c r="Q833" s="278"/>
      <c r="R833" s="449" t="str">
        <f t="array" ref="R833">IFERROR(IFS(OR(P833="A1-Mewtwo", P833="A1-Pikachu", P833="A1-Charizard", P833="A1"), XLOOKUP(N833, 'Genetic Apex'!$C$2:$C889, 'Genetic Apex'!$B$2:$B889)-$B$4, P833="A1a", XLOOKUP(N833, 'Mythical Island'!$C$2:$C889, 'Mythical Island'!$B$2:$B889)-$B$4, OR(P833="A2-Dialga", P833="A2-Palkia", P833="A2"), XLOOKUP(N833, 'Space-Time Smackdown'!$C$2:$C889, 'Space-Time Smackdown'!$B$2:$B889)-$B$4))</f>
        <v/>
      </c>
      <c r="S833" s="277"/>
      <c r="T833" s="277"/>
      <c r="U833" s="277"/>
      <c r="V833" s="278"/>
      <c r="W833" s="443" t="str">
        <f t="array" ref="W833">IFERROR(IFS(OR(U833="A1-Mewtwo", U833="A1-Pikachu", U833="A1-Charizard", U833="A1"), $B$5-XLOOKUP(S833, 'Genetic Apex'!$C$2:$C889, 'Genetic Apex'!$B$2:$B889), U833="A1a", $B$5-XLOOKUP(S833, 'Mythical Island'!$C$2:$C889, 'Mythical Island'!$B$2:$B889), OR(U833="A2-Dialga", U833="A2-Palkia", U833="A2"), $B$5-XLOOKUP(S833, 'Space-Time Smackdown'!$C$2:$C889, 'Space-Time Smackdown'!$B$2:$B889)))</f>
        <v/>
      </c>
      <c r="X833" s="444" t="str">
        <f t="shared" si="3"/>
        <v/>
      </c>
      <c r="Y833" s="445" t="str">
        <f t="shared" si="4"/>
        <v/>
      </c>
      <c r="Z833" s="278"/>
      <c r="AA833" s="466"/>
      <c r="AB833" s="278"/>
      <c r="AC833" s="278"/>
      <c r="AD833" s="278"/>
      <c r="AE833" s="278"/>
      <c r="AF833" s="278"/>
      <c r="AG833" s="278" t="b">
        <f t="shared" si="5"/>
        <v>0</v>
      </c>
      <c r="AH833" s="454"/>
      <c r="AI833" s="278"/>
      <c r="AJ833" s="278"/>
      <c r="AK833" s="278"/>
      <c r="AL833" s="444" t="str">
        <f t="array" ref="AL833">IFERROR(IFS(OR(AJ833="A1-Mewtwo", AJ833="A1-Pikachu", AJ833="A1-Charizard", AJ833="A1"), XLOOKUP(AH833, 'Genetic Apex'!$C$2:$C889, 'Genetic Apex'!$B$2:$B889)-2, AJ833="A1a", XLOOKUP(AH833, 'Mythical Island'!$C$2:$C889, 'Mythical Island'!$B$2:$B889)-2, OR(AJ833="A2-Dialga", AJ833="A2-Palkia", AJ833="A2"), XLOOKUP(AH833, 'Space-Time Smackdown'!$C$2:$C889, 'Space-Time Smackdown'!$B$2:$B889)-2))</f>
        <v/>
      </c>
      <c r="AM833" s="444" t="str">
        <f t="shared" si="6"/>
        <v/>
      </c>
      <c r="AN833" s="448" t="str">
        <f t="shared" si="7"/>
        <v/>
      </c>
    </row>
    <row r="834">
      <c r="A834" s="277"/>
      <c r="B834" s="277"/>
      <c r="C834" s="441"/>
      <c r="D834" s="277"/>
      <c r="E834" s="277"/>
      <c r="F834" s="277"/>
      <c r="G834" s="277"/>
      <c r="H834" s="277" t="b">
        <f t="shared" si="1"/>
        <v>0</v>
      </c>
      <c r="I834" s="277"/>
      <c r="J834" s="277"/>
      <c r="K834" s="277"/>
      <c r="L834" s="277"/>
      <c r="M834" s="440" t="b">
        <f t="shared" si="2"/>
        <v>0</v>
      </c>
      <c r="N834" s="441"/>
      <c r="O834" s="277"/>
      <c r="P834" s="277"/>
      <c r="Q834" s="278"/>
      <c r="R834" s="449" t="str">
        <f t="array" ref="R834">IFERROR(IFS(OR(P834="A1-Mewtwo", P834="A1-Pikachu", P834="A1-Charizard", P834="A1"), XLOOKUP(N834, 'Genetic Apex'!$C$2:$C889, 'Genetic Apex'!$B$2:$B889)-$B$4, P834="A1a", XLOOKUP(N834, 'Mythical Island'!$C$2:$C889, 'Mythical Island'!$B$2:$B889)-$B$4, OR(P834="A2-Dialga", P834="A2-Palkia", P834="A2"), XLOOKUP(N834, 'Space-Time Smackdown'!$C$2:$C889, 'Space-Time Smackdown'!$B$2:$B889)-$B$4))</f>
        <v/>
      </c>
      <c r="S834" s="277"/>
      <c r="T834" s="277"/>
      <c r="U834" s="277"/>
      <c r="V834" s="278"/>
      <c r="W834" s="443" t="str">
        <f t="array" ref="W834">IFERROR(IFS(OR(U834="A1-Mewtwo", U834="A1-Pikachu", U834="A1-Charizard", U834="A1"), $B$5-XLOOKUP(S834, 'Genetic Apex'!$C$2:$C889, 'Genetic Apex'!$B$2:$B889), U834="A1a", $B$5-XLOOKUP(S834, 'Mythical Island'!$C$2:$C889, 'Mythical Island'!$B$2:$B889), OR(U834="A2-Dialga", U834="A2-Palkia", U834="A2"), $B$5-XLOOKUP(S834, 'Space-Time Smackdown'!$C$2:$C889, 'Space-Time Smackdown'!$B$2:$B889)))</f>
        <v/>
      </c>
      <c r="X834" s="444" t="str">
        <f t="shared" si="3"/>
        <v/>
      </c>
      <c r="Y834" s="445" t="str">
        <f t="shared" si="4"/>
        <v/>
      </c>
      <c r="Z834" s="278"/>
      <c r="AA834" s="466"/>
      <c r="AB834" s="278"/>
      <c r="AC834" s="278"/>
      <c r="AD834" s="278"/>
      <c r="AE834" s="278"/>
      <c r="AF834" s="278"/>
      <c r="AG834" s="278" t="b">
        <f t="shared" si="5"/>
        <v>0</v>
      </c>
      <c r="AH834" s="454"/>
      <c r="AI834" s="278"/>
      <c r="AJ834" s="278"/>
      <c r="AK834" s="278"/>
      <c r="AL834" s="444" t="str">
        <f t="array" ref="AL834">IFERROR(IFS(OR(AJ834="A1-Mewtwo", AJ834="A1-Pikachu", AJ834="A1-Charizard", AJ834="A1"), XLOOKUP(AH834, 'Genetic Apex'!$C$2:$C889, 'Genetic Apex'!$B$2:$B889)-2, AJ834="A1a", XLOOKUP(AH834, 'Mythical Island'!$C$2:$C889, 'Mythical Island'!$B$2:$B889)-2, OR(AJ834="A2-Dialga", AJ834="A2-Palkia", AJ834="A2"), XLOOKUP(AH834, 'Space-Time Smackdown'!$C$2:$C889, 'Space-Time Smackdown'!$B$2:$B889)-2))</f>
        <v/>
      </c>
      <c r="AM834" s="444" t="str">
        <f t="shared" si="6"/>
        <v/>
      </c>
      <c r="AN834" s="448" t="str">
        <f t="shared" si="7"/>
        <v/>
      </c>
    </row>
    <row r="835">
      <c r="A835" s="277"/>
      <c r="B835" s="277"/>
      <c r="C835" s="441"/>
      <c r="D835" s="277"/>
      <c r="E835" s="277"/>
      <c r="F835" s="277"/>
      <c r="G835" s="277"/>
      <c r="H835" s="277" t="b">
        <f t="shared" si="1"/>
        <v>0</v>
      </c>
      <c r="I835" s="277"/>
      <c r="J835" s="277"/>
      <c r="K835" s="277"/>
      <c r="L835" s="277"/>
      <c r="M835" s="440" t="b">
        <f t="shared" si="2"/>
        <v>0</v>
      </c>
      <c r="N835" s="441"/>
      <c r="O835" s="277"/>
      <c r="P835" s="277"/>
      <c r="Q835" s="278"/>
      <c r="R835" s="449" t="str">
        <f t="array" ref="R835">IFERROR(IFS(OR(P835="A1-Mewtwo", P835="A1-Pikachu", P835="A1-Charizard", P835="A1"), XLOOKUP(N835, 'Genetic Apex'!$C$2:$C889, 'Genetic Apex'!$B$2:$B889)-$B$4, P835="A1a", XLOOKUP(N835, 'Mythical Island'!$C$2:$C889, 'Mythical Island'!$B$2:$B889)-$B$4, OR(P835="A2-Dialga", P835="A2-Palkia", P835="A2"), XLOOKUP(N835, 'Space-Time Smackdown'!$C$2:$C889, 'Space-Time Smackdown'!$B$2:$B889)-$B$4))</f>
        <v/>
      </c>
      <c r="S835" s="277"/>
      <c r="T835" s="277"/>
      <c r="U835" s="277"/>
      <c r="V835" s="278"/>
      <c r="W835" s="443" t="str">
        <f t="array" ref="W835">IFERROR(IFS(OR(U835="A1-Mewtwo", U835="A1-Pikachu", U835="A1-Charizard", U835="A1"), $B$5-XLOOKUP(S835, 'Genetic Apex'!$C$2:$C889, 'Genetic Apex'!$B$2:$B889), U835="A1a", $B$5-XLOOKUP(S835, 'Mythical Island'!$C$2:$C889, 'Mythical Island'!$B$2:$B889), OR(U835="A2-Dialga", U835="A2-Palkia", U835="A2"), $B$5-XLOOKUP(S835, 'Space-Time Smackdown'!$C$2:$C889, 'Space-Time Smackdown'!$B$2:$B889)))</f>
        <v/>
      </c>
      <c r="X835" s="444" t="str">
        <f t="shared" si="3"/>
        <v/>
      </c>
      <c r="Y835" s="445" t="str">
        <f t="shared" si="4"/>
        <v/>
      </c>
      <c r="Z835" s="278"/>
      <c r="AA835" s="466"/>
      <c r="AB835" s="278"/>
      <c r="AC835" s="278"/>
      <c r="AD835" s="278"/>
      <c r="AE835" s="278"/>
      <c r="AF835" s="278"/>
      <c r="AG835" s="278" t="b">
        <f t="shared" si="5"/>
        <v>0</v>
      </c>
      <c r="AH835" s="454"/>
      <c r="AI835" s="278"/>
      <c r="AJ835" s="278"/>
      <c r="AK835" s="278"/>
      <c r="AL835" s="444" t="str">
        <f t="array" ref="AL835">IFERROR(IFS(OR(AJ835="A1-Mewtwo", AJ835="A1-Pikachu", AJ835="A1-Charizard", AJ835="A1"), XLOOKUP(AH835, 'Genetic Apex'!$C$2:$C889, 'Genetic Apex'!$B$2:$B889)-2, AJ835="A1a", XLOOKUP(AH835, 'Mythical Island'!$C$2:$C889, 'Mythical Island'!$B$2:$B889)-2, OR(AJ835="A2-Dialga", AJ835="A2-Palkia", AJ835="A2"), XLOOKUP(AH835, 'Space-Time Smackdown'!$C$2:$C889, 'Space-Time Smackdown'!$B$2:$B889)-2))</f>
        <v/>
      </c>
      <c r="AM835" s="444" t="str">
        <f t="shared" si="6"/>
        <v/>
      </c>
      <c r="AN835" s="448" t="str">
        <f t="shared" si="7"/>
        <v/>
      </c>
    </row>
    <row r="836">
      <c r="A836" s="277"/>
      <c r="B836" s="277"/>
      <c r="C836" s="441"/>
      <c r="D836" s="277"/>
      <c r="E836" s="277"/>
      <c r="F836" s="277"/>
      <c r="G836" s="277"/>
      <c r="H836" s="277" t="b">
        <f t="shared" si="1"/>
        <v>0</v>
      </c>
      <c r="I836" s="277"/>
      <c r="J836" s="277"/>
      <c r="K836" s="277"/>
      <c r="L836" s="277"/>
      <c r="M836" s="440" t="b">
        <f t="shared" si="2"/>
        <v>0</v>
      </c>
      <c r="N836" s="441"/>
      <c r="O836" s="277"/>
      <c r="P836" s="277"/>
      <c r="Q836" s="278"/>
      <c r="R836" s="449" t="str">
        <f t="array" ref="R836">IFERROR(IFS(OR(P836="A1-Mewtwo", P836="A1-Pikachu", P836="A1-Charizard", P836="A1"), XLOOKUP(N836, 'Genetic Apex'!$C$2:$C889, 'Genetic Apex'!$B$2:$B889)-$B$4, P836="A1a", XLOOKUP(N836, 'Mythical Island'!$C$2:$C889, 'Mythical Island'!$B$2:$B889)-$B$4, OR(P836="A2-Dialga", P836="A2-Palkia", P836="A2"), XLOOKUP(N836, 'Space-Time Smackdown'!$C$2:$C889, 'Space-Time Smackdown'!$B$2:$B889)-$B$4))</f>
        <v/>
      </c>
      <c r="S836" s="277"/>
      <c r="T836" s="277"/>
      <c r="U836" s="277"/>
      <c r="V836" s="278"/>
      <c r="W836" s="443" t="str">
        <f t="array" ref="W836">IFERROR(IFS(OR(U836="A1-Mewtwo", U836="A1-Pikachu", U836="A1-Charizard", U836="A1"), $B$5-XLOOKUP(S836, 'Genetic Apex'!$C$2:$C889, 'Genetic Apex'!$B$2:$B889), U836="A1a", $B$5-XLOOKUP(S836, 'Mythical Island'!$C$2:$C889, 'Mythical Island'!$B$2:$B889), OR(U836="A2-Dialga", U836="A2-Palkia", U836="A2"), $B$5-XLOOKUP(S836, 'Space-Time Smackdown'!$C$2:$C889, 'Space-Time Smackdown'!$B$2:$B889)))</f>
        <v/>
      </c>
      <c r="X836" s="444" t="str">
        <f t="shared" si="3"/>
        <v/>
      </c>
      <c r="Y836" s="445" t="str">
        <f t="shared" si="4"/>
        <v/>
      </c>
      <c r="Z836" s="278"/>
      <c r="AA836" s="466"/>
      <c r="AB836" s="278"/>
      <c r="AC836" s="278"/>
      <c r="AD836" s="278"/>
      <c r="AE836" s="278"/>
      <c r="AF836" s="278"/>
      <c r="AG836" s="278" t="b">
        <f t="shared" si="5"/>
        <v>0</v>
      </c>
      <c r="AH836" s="454"/>
      <c r="AI836" s="278"/>
      <c r="AJ836" s="278"/>
      <c r="AK836" s="278"/>
      <c r="AL836" s="444" t="str">
        <f t="array" ref="AL836">IFERROR(IFS(OR(AJ836="A1-Mewtwo", AJ836="A1-Pikachu", AJ836="A1-Charizard", AJ836="A1"), XLOOKUP(AH836, 'Genetic Apex'!$C$2:$C889, 'Genetic Apex'!$B$2:$B889)-2, AJ836="A1a", XLOOKUP(AH836, 'Mythical Island'!$C$2:$C889, 'Mythical Island'!$B$2:$B889)-2, OR(AJ836="A2-Dialga", AJ836="A2-Palkia", AJ836="A2"), XLOOKUP(AH836, 'Space-Time Smackdown'!$C$2:$C889, 'Space-Time Smackdown'!$B$2:$B889)-2))</f>
        <v/>
      </c>
      <c r="AM836" s="444" t="str">
        <f t="shared" si="6"/>
        <v/>
      </c>
      <c r="AN836" s="448" t="str">
        <f t="shared" si="7"/>
        <v/>
      </c>
    </row>
    <row r="837">
      <c r="A837" s="277"/>
      <c r="B837" s="277"/>
      <c r="C837" s="441"/>
      <c r="D837" s="277"/>
      <c r="E837" s="277"/>
      <c r="F837" s="277"/>
      <c r="G837" s="277"/>
      <c r="H837" s="277" t="b">
        <f t="shared" si="1"/>
        <v>0</v>
      </c>
      <c r="I837" s="277"/>
      <c r="J837" s="277"/>
      <c r="K837" s="277"/>
      <c r="L837" s="277"/>
      <c r="M837" s="440" t="b">
        <f t="shared" si="2"/>
        <v>0</v>
      </c>
      <c r="N837" s="441"/>
      <c r="O837" s="277"/>
      <c r="P837" s="277"/>
      <c r="Q837" s="278"/>
      <c r="R837" s="449" t="str">
        <f t="array" ref="R837">IFERROR(IFS(OR(P837="A1-Mewtwo", P837="A1-Pikachu", P837="A1-Charizard", P837="A1"), XLOOKUP(N837, 'Genetic Apex'!$C$2:$C889, 'Genetic Apex'!$B$2:$B889)-$B$4, P837="A1a", XLOOKUP(N837, 'Mythical Island'!$C$2:$C889, 'Mythical Island'!$B$2:$B889)-$B$4, OR(P837="A2-Dialga", P837="A2-Palkia", P837="A2"), XLOOKUP(N837, 'Space-Time Smackdown'!$C$2:$C889, 'Space-Time Smackdown'!$B$2:$B889)-$B$4))</f>
        <v/>
      </c>
      <c r="S837" s="277"/>
      <c r="T837" s="277"/>
      <c r="U837" s="277"/>
      <c r="V837" s="278"/>
      <c r="W837" s="443" t="str">
        <f t="array" ref="W837">IFERROR(IFS(OR(U837="A1-Mewtwo", U837="A1-Pikachu", U837="A1-Charizard", U837="A1"), $B$5-XLOOKUP(S837, 'Genetic Apex'!$C$2:$C889, 'Genetic Apex'!$B$2:$B889), U837="A1a", $B$5-XLOOKUP(S837, 'Mythical Island'!$C$2:$C889, 'Mythical Island'!$B$2:$B889), OR(U837="A2-Dialga", U837="A2-Palkia", U837="A2"), $B$5-XLOOKUP(S837, 'Space-Time Smackdown'!$C$2:$C889, 'Space-Time Smackdown'!$B$2:$B889)))</f>
        <v/>
      </c>
      <c r="X837" s="444" t="str">
        <f t="shared" si="3"/>
        <v/>
      </c>
      <c r="Y837" s="445" t="str">
        <f t="shared" si="4"/>
        <v/>
      </c>
      <c r="Z837" s="278"/>
      <c r="AA837" s="466"/>
      <c r="AB837" s="278"/>
      <c r="AC837" s="278"/>
      <c r="AD837" s="278"/>
      <c r="AE837" s="278"/>
      <c r="AF837" s="278"/>
      <c r="AG837" s="278" t="b">
        <f t="shared" si="5"/>
        <v>0</v>
      </c>
      <c r="AH837" s="454"/>
      <c r="AI837" s="278"/>
      <c r="AJ837" s="278"/>
      <c r="AK837" s="278"/>
      <c r="AL837" s="444" t="str">
        <f t="array" ref="AL837">IFERROR(IFS(OR(AJ837="A1-Mewtwo", AJ837="A1-Pikachu", AJ837="A1-Charizard", AJ837="A1"), XLOOKUP(AH837, 'Genetic Apex'!$C$2:$C889, 'Genetic Apex'!$B$2:$B889)-2, AJ837="A1a", XLOOKUP(AH837, 'Mythical Island'!$C$2:$C889, 'Mythical Island'!$B$2:$B889)-2, OR(AJ837="A2-Dialga", AJ837="A2-Palkia", AJ837="A2"), XLOOKUP(AH837, 'Space-Time Smackdown'!$C$2:$C889, 'Space-Time Smackdown'!$B$2:$B889)-2))</f>
        <v/>
      </c>
      <c r="AM837" s="444" t="str">
        <f t="shared" si="6"/>
        <v/>
      </c>
      <c r="AN837" s="448" t="str">
        <f t="shared" si="7"/>
        <v/>
      </c>
    </row>
    <row r="838">
      <c r="A838" s="277"/>
      <c r="B838" s="277"/>
      <c r="C838" s="441"/>
      <c r="D838" s="277"/>
      <c r="E838" s="277"/>
      <c r="F838" s="277"/>
      <c r="G838" s="277"/>
      <c r="H838" s="277" t="b">
        <f t="shared" si="1"/>
        <v>0</v>
      </c>
      <c r="I838" s="277"/>
      <c r="J838" s="277"/>
      <c r="K838" s="277"/>
      <c r="L838" s="277"/>
      <c r="M838" s="440" t="b">
        <f t="shared" si="2"/>
        <v>0</v>
      </c>
      <c r="N838" s="441"/>
      <c r="O838" s="277"/>
      <c r="P838" s="277"/>
      <c r="Q838" s="278"/>
      <c r="R838" s="449" t="str">
        <f t="array" ref="R838">IFERROR(IFS(OR(P838="A1-Mewtwo", P838="A1-Pikachu", P838="A1-Charizard", P838="A1"), XLOOKUP(N838, 'Genetic Apex'!$C$2:$C889, 'Genetic Apex'!$B$2:$B889)-$B$4, P838="A1a", XLOOKUP(N838, 'Mythical Island'!$C$2:$C889, 'Mythical Island'!$B$2:$B889)-$B$4, OR(P838="A2-Dialga", P838="A2-Palkia", P838="A2"), XLOOKUP(N838, 'Space-Time Smackdown'!$C$2:$C889, 'Space-Time Smackdown'!$B$2:$B889)-$B$4))</f>
        <v/>
      </c>
      <c r="S838" s="277"/>
      <c r="T838" s="277"/>
      <c r="U838" s="277"/>
      <c r="V838" s="278"/>
      <c r="W838" s="443" t="str">
        <f t="array" ref="W838">IFERROR(IFS(OR(U838="A1-Mewtwo", U838="A1-Pikachu", U838="A1-Charizard", U838="A1"), $B$5-XLOOKUP(S838, 'Genetic Apex'!$C$2:$C889, 'Genetic Apex'!$B$2:$B889), U838="A1a", $B$5-XLOOKUP(S838, 'Mythical Island'!$C$2:$C889, 'Mythical Island'!$B$2:$B889), OR(U838="A2-Dialga", U838="A2-Palkia", U838="A2"), $B$5-XLOOKUP(S838, 'Space-Time Smackdown'!$C$2:$C889, 'Space-Time Smackdown'!$B$2:$B889)))</f>
        <v/>
      </c>
      <c r="X838" s="444" t="str">
        <f t="shared" si="3"/>
        <v/>
      </c>
      <c r="Y838" s="445" t="str">
        <f t="shared" si="4"/>
        <v/>
      </c>
      <c r="Z838" s="278"/>
      <c r="AA838" s="466"/>
      <c r="AB838" s="278"/>
      <c r="AC838" s="278"/>
      <c r="AD838" s="278"/>
      <c r="AE838" s="278"/>
      <c r="AF838" s="278"/>
      <c r="AG838" s="278" t="b">
        <f t="shared" si="5"/>
        <v>0</v>
      </c>
      <c r="AH838" s="454"/>
      <c r="AI838" s="278"/>
      <c r="AJ838" s="278"/>
      <c r="AK838" s="278"/>
      <c r="AL838" s="444" t="str">
        <f t="array" ref="AL838">IFERROR(IFS(OR(AJ838="A1-Mewtwo", AJ838="A1-Pikachu", AJ838="A1-Charizard", AJ838="A1"), XLOOKUP(AH838, 'Genetic Apex'!$C$2:$C889, 'Genetic Apex'!$B$2:$B889)-2, AJ838="A1a", XLOOKUP(AH838, 'Mythical Island'!$C$2:$C889, 'Mythical Island'!$B$2:$B889)-2, OR(AJ838="A2-Dialga", AJ838="A2-Palkia", AJ838="A2"), XLOOKUP(AH838, 'Space-Time Smackdown'!$C$2:$C889, 'Space-Time Smackdown'!$B$2:$B889)-2))</f>
        <v/>
      </c>
      <c r="AM838" s="444" t="str">
        <f t="shared" si="6"/>
        <v/>
      </c>
      <c r="AN838" s="448" t="str">
        <f t="shared" si="7"/>
        <v/>
      </c>
    </row>
    <row r="839">
      <c r="A839" s="277"/>
      <c r="B839" s="277"/>
      <c r="C839" s="441"/>
      <c r="D839" s="277"/>
      <c r="E839" s="277"/>
      <c r="F839" s="277"/>
      <c r="G839" s="277"/>
      <c r="H839" s="277" t="b">
        <f t="shared" si="1"/>
        <v>0</v>
      </c>
      <c r="I839" s="277"/>
      <c r="J839" s="277"/>
      <c r="K839" s="277"/>
      <c r="L839" s="277"/>
      <c r="M839" s="440" t="b">
        <f t="shared" si="2"/>
        <v>0</v>
      </c>
      <c r="N839" s="441"/>
      <c r="O839" s="277"/>
      <c r="P839" s="277"/>
      <c r="Q839" s="278"/>
      <c r="R839" s="449" t="str">
        <f t="array" ref="R839">IFERROR(IFS(OR(P839="A1-Mewtwo", P839="A1-Pikachu", P839="A1-Charizard", P839="A1"), XLOOKUP(N839, 'Genetic Apex'!$C$2:$C889, 'Genetic Apex'!$B$2:$B889)-$B$4, P839="A1a", XLOOKUP(N839, 'Mythical Island'!$C$2:$C889, 'Mythical Island'!$B$2:$B889)-$B$4, OR(P839="A2-Dialga", P839="A2-Palkia", P839="A2"), XLOOKUP(N839, 'Space-Time Smackdown'!$C$2:$C889, 'Space-Time Smackdown'!$B$2:$B889)-$B$4))</f>
        <v/>
      </c>
      <c r="S839" s="277"/>
      <c r="T839" s="277"/>
      <c r="U839" s="277"/>
      <c r="V839" s="278"/>
      <c r="W839" s="443" t="str">
        <f t="array" ref="W839">IFERROR(IFS(OR(U839="A1-Mewtwo", U839="A1-Pikachu", U839="A1-Charizard", U839="A1"), $B$5-XLOOKUP(S839, 'Genetic Apex'!$C$2:$C889, 'Genetic Apex'!$B$2:$B889), U839="A1a", $B$5-XLOOKUP(S839, 'Mythical Island'!$C$2:$C889, 'Mythical Island'!$B$2:$B889), OR(U839="A2-Dialga", U839="A2-Palkia", U839="A2"), $B$5-XLOOKUP(S839, 'Space-Time Smackdown'!$C$2:$C889, 'Space-Time Smackdown'!$B$2:$B889)))</f>
        <v/>
      </c>
      <c r="X839" s="444" t="str">
        <f t="shared" si="3"/>
        <v/>
      </c>
      <c r="Y839" s="445" t="str">
        <f t="shared" si="4"/>
        <v/>
      </c>
      <c r="Z839" s="278"/>
      <c r="AA839" s="466"/>
      <c r="AB839" s="278"/>
      <c r="AC839" s="278"/>
      <c r="AD839" s="278"/>
      <c r="AE839" s="278"/>
      <c r="AF839" s="278"/>
      <c r="AG839" s="278" t="b">
        <f t="shared" si="5"/>
        <v>0</v>
      </c>
      <c r="AH839" s="454"/>
      <c r="AI839" s="278"/>
      <c r="AJ839" s="278"/>
      <c r="AK839" s="278"/>
      <c r="AL839" s="444" t="str">
        <f t="array" ref="AL839">IFERROR(IFS(OR(AJ839="A1-Mewtwo", AJ839="A1-Pikachu", AJ839="A1-Charizard", AJ839="A1"), XLOOKUP(AH839, 'Genetic Apex'!$C$2:$C889, 'Genetic Apex'!$B$2:$B889)-2, AJ839="A1a", XLOOKUP(AH839, 'Mythical Island'!$C$2:$C889, 'Mythical Island'!$B$2:$B889)-2, OR(AJ839="A2-Dialga", AJ839="A2-Palkia", AJ839="A2"), XLOOKUP(AH839, 'Space-Time Smackdown'!$C$2:$C889, 'Space-Time Smackdown'!$B$2:$B889)-2))</f>
        <v/>
      </c>
      <c r="AM839" s="444" t="str">
        <f t="shared" si="6"/>
        <v/>
      </c>
      <c r="AN839" s="448" t="str">
        <f t="shared" si="7"/>
        <v/>
      </c>
    </row>
    <row r="840">
      <c r="A840" s="277"/>
      <c r="B840" s="277"/>
      <c r="C840" s="441"/>
      <c r="D840" s="277"/>
      <c r="E840" s="277"/>
      <c r="F840" s="277"/>
      <c r="G840" s="277"/>
      <c r="H840" s="277" t="b">
        <f t="shared" si="1"/>
        <v>0</v>
      </c>
      <c r="I840" s="277"/>
      <c r="J840" s="277"/>
      <c r="K840" s="277"/>
      <c r="L840" s="277"/>
      <c r="M840" s="440" t="b">
        <f t="shared" si="2"/>
        <v>0</v>
      </c>
      <c r="N840" s="441"/>
      <c r="O840" s="277"/>
      <c r="P840" s="277"/>
      <c r="Q840" s="278"/>
      <c r="R840" s="449" t="str">
        <f t="array" ref="R840">IFERROR(IFS(OR(P840="A1-Mewtwo", P840="A1-Pikachu", P840="A1-Charizard", P840="A1"), XLOOKUP(N840, 'Genetic Apex'!$C$2:$C889, 'Genetic Apex'!$B$2:$B889)-$B$4, P840="A1a", XLOOKUP(N840, 'Mythical Island'!$C$2:$C889, 'Mythical Island'!$B$2:$B889)-$B$4, OR(P840="A2-Dialga", P840="A2-Palkia", P840="A2"), XLOOKUP(N840, 'Space-Time Smackdown'!$C$2:$C889, 'Space-Time Smackdown'!$B$2:$B889)-$B$4))</f>
        <v/>
      </c>
      <c r="S840" s="277"/>
      <c r="T840" s="277"/>
      <c r="U840" s="277"/>
      <c r="V840" s="278"/>
      <c r="W840" s="443" t="str">
        <f t="array" ref="W840">IFERROR(IFS(OR(U840="A1-Mewtwo", U840="A1-Pikachu", U840="A1-Charizard", U840="A1"), $B$5-XLOOKUP(S840, 'Genetic Apex'!$C$2:$C889, 'Genetic Apex'!$B$2:$B889), U840="A1a", $B$5-XLOOKUP(S840, 'Mythical Island'!$C$2:$C889, 'Mythical Island'!$B$2:$B889), OR(U840="A2-Dialga", U840="A2-Palkia", U840="A2"), $B$5-XLOOKUP(S840, 'Space-Time Smackdown'!$C$2:$C889, 'Space-Time Smackdown'!$B$2:$B889)))</f>
        <v/>
      </c>
      <c r="X840" s="444" t="str">
        <f t="shared" si="3"/>
        <v/>
      </c>
      <c r="Y840" s="445" t="str">
        <f t="shared" si="4"/>
        <v/>
      </c>
      <c r="Z840" s="278"/>
      <c r="AA840" s="466"/>
      <c r="AB840" s="278"/>
      <c r="AC840" s="278"/>
      <c r="AD840" s="278"/>
      <c r="AE840" s="278"/>
      <c r="AF840" s="278"/>
      <c r="AG840" s="278" t="b">
        <f t="shared" si="5"/>
        <v>0</v>
      </c>
      <c r="AH840" s="454"/>
      <c r="AI840" s="278"/>
      <c r="AJ840" s="278"/>
      <c r="AK840" s="278"/>
      <c r="AL840" s="444" t="str">
        <f t="array" ref="AL840">IFERROR(IFS(OR(AJ840="A1-Mewtwo", AJ840="A1-Pikachu", AJ840="A1-Charizard", AJ840="A1"), XLOOKUP(AH840, 'Genetic Apex'!$C$2:$C889, 'Genetic Apex'!$B$2:$B889)-2, AJ840="A1a", XLOOKUP(AH840, 'Mythical Island'!$C$2:$C889, 'Mythical Island'!$B$2:$B889)-2, OR(AJ840="A2-Dialga", AJ840="A2-Palkia", AJ840="A2"), XLOOKUP(AH840, 'Space-Time Smackdown'!$C$2:$C889, 'Space-Time Smackdown'!$B$2:$B889)-2))</f>
        <v/>
      </c>
      <c r="AM840" s="444" t="str">
        <f t="shared" si="6"/>
        <v/>
      </c>
      <c r="AN840" s="448" t="str">
        <f t="shared" si="7"/>
        <v/>
      </c>
    </row>
    <row r="841">
      <c r="A841" s="277"/>
      <c r="B841" s="277"/>
      <c r="C841" s="441"/>
      <c r="D841" s="277"/>
      <c r="E841" s="277"/>
      <c r="F841" s="277"/>
      <c r="G841" s="277"/>
      <c r="H841" s="277" t="b">
        <f t="shared" si="1"/>
        <v>0</v>
      </c>
      <c r="I841" s="277"/>
      <c r="J841" s="277"/>
      <c r="K841" s="277"/>
      <c r="L841" s="277"/>
      <c r="M841" s="440" t="b">
        <f t="shared" si="2"/>
        <v>0</v>
      </c>
      <c r="N841" s="441"/>
      <c r="O841" s="277"/>
      <c r="P841" s="277"/>
      <c r="Q841" s="278"/>
      <c r="R841" s="449" t="str">
        <f t="array" ref="R841">IFERROR(IFS(OR(P841="A1-Mewtwo", P841="A1-Pikachu", P841="A1-Charizard", P841="A1"), XLOOKUP(N841, 'Genetic Apex'!$C$2:$C889, 'Genetic Apex'!$B$2:$B889)-$B$4, P841="A1a", XLOOKUP(N841, 'Mythical Island'!$C$2:$C889, 'Mythical Island'!$B$2:$B889)-$B$4, OR(P841="A2-Dialga", P841="A2-Palkia", P841="A2"), XLOOKUP(N841, 'Space-Time Smackdown'!$C$2:$C889, 'Space-Time Smackdown'!$B$2:$B889)-$B$4))</f>
        <v/>
      </c>
      <c r="S841" s="277"/>
      <c r="T841" s="277"/>
      <c r="U841" s="277"/>
      <c r="V841" s="278"/>
      <c r="W841" s="443" t="str">
        <f t="array" ref="W841">IFERROR(IFS(OR(U841="A1-Mewtwo", U841="A1-Pikachu", U841="A1-Charizard", U841="A1"), $B$5-XLOOKUP(S841, 'Genetic Apex'!$C$2:$C889, 'Genetic Apex'!$B$2:$B889), U841="A1a", $B$5-XLOOKUP(S841, 'Mythical Island'!$C$2:$C889, 'Mythical Island'!$B$2:$B889), OR(U841="A2-Dialga", U841="A2-Palkia", U841="A2"), $B$5-XLOOKUP(S841, 'Space-Time Smackdown'!$C$2:$C889, 'Space-Time Smackdown'!$B$2:$B889)))</f>
        <v/>
      </c>
      <c r="X841" s="444" t="str">
        <f t="shared" si="3"/>
        <v/>
      </c>
      <c r="Y841" s="445" t="str">
        <f t="shared" si="4"/>
        <v/>
      </c>
      <c r="Z841" s="278"/>
      <c r="AA841" s="466"/>
      <c r="AB841" s="278"/>
      <c r="AC841" s="278"/>
      <c r="AD841" s="278"/>
      <c r="AE841" s="278"/>
      <c r="AF841" s="278"/>
      <c r="AG841" s="278" t="b">
        <f t="shared" si="5"/>
        <v>0</v>
      </c>
      <c r="AH841" s="454"/>
      <c r="AI841" s="278"/>
      <c r="AJ841" s="278"/>
      <c r="AK841" s="278"/>
      <c r="AL841" s="444" t="str">
        <f t="array" ref="AL841">IFERROR(IFS(OR(AJ841="A1-Mewtwo", AJ841="A1-Pikachu", AJ841="A1-Charizard", AJ841="A1"), XLOOKUP(AH841, 'Genetic Apex'!$C$2:$C889, 'Genetic Apex'!$B$2:$B889)-2, AJ841="A1a", XLOOKUP(AH841, 'Mythical Island'!$C$2:$C889, 'Mythical Island'!$B$2:$B889)-2, OR(AJ841="A2-Dialga", AJ841="A2-Palkia", AJ841="A2"), XLOOKUP(AH841, 'Space-Time Smackdown'!$C$2:$C889, 'Space-Time Smackdown'!$B$2:$B889)-2))</f>
        <v/>
      </c>
      <c r="AM841" s="444" t="str">
        <f t="shared" si="6"/>
        <v/>
      </c>
      <c r="AN841" s="448" t="str">
        <f t="shared" si="7"/>
        <v/>
      </c>
    </row>
    <row r="842">
      <c r="A842" s="277"/>
      <c r="B842" s="277"/>
      <c r="C842" s="441"/>
      <c r="D842" s="277"/>
      <c r="E842" s="277"/>
      <c r="F842" s="277"/>
      <c r="G842" s="277"/>
      <c r="H842" s="277" t="b">
        <f t="shared" si="1"/>
        <v>0</v>
      </c>
      <c r="I842" s="277"/>
      <c r="J842" s="277"/>
      <c r="K842" s="277"/>
      <c r="L842" s="277"/>
      <c r="M842" s="440" t="b">
        <f t="shared" si="2"/>
        <v>0</v>
      </c>
      <c r="N842" s="441"/>
      <c r="O842" s="277"/>
      <c r="P842" s="277"/>
      <c r="Q842" s="278"/>
      <c r="R842" s="449" t="str">
        <f t="array" ref="R842">IFERROR(IFS(OR(P842="A1-Mewtwo", P842="A1-Pikachu", P842="A1-Charizard", P842="A1"), XLOOKUP(N842, 'Genetic Apex'!$C$2:$C889, 'Genetic Apex'!$B$2:$B889)-$B$4, P842="A1a", XLOOKUP(N842, 'Mythical Island'!$C$2:$C889, 'Mythical Island'!$B$2:$B889)-$B$4, OR(P842="A2-Dialga", P842="A2-Palkia", P842="A2"), XLOOKUP(N842, 'Space-Time Smackdown'!$C$2:$C889, 'Space-Time Smackdown'!$B$2:$B889)-$B$4))</f>
        <v/>
      </c>
      <c r="S842" s="277"/>
      <c r="T842" s="277"/>
      <c r="U842" s="277"/>
      <c r="V842" s="278"/>
      <c r="W842" s="443" t="str">
        <f t="array" ref="W842">IFERROR(IFS(OR(U842="A1-Mewtwo", U842="A1-Pikachu", U842="A1-Charizard", U842="A1"), $B$5-XLOOKUP(S842, 'Genetic Apex'!$C$2:$C889, 'Genetic Apex'!$B$2:$B889), U842="A1a", $B$5-XLOOKUP(S842, 'Mythical Island'!$C$2:$C889, 'Mythical Island'!$B$2:$B889), OR(U842="A2-Dialga", U842="A2-Palkia", U842="A2"), $B$5-XLOOKUP(S842, 'Space-Time Smackdown'!$C$2:$C889, 'Space-Time Smackdown'!$B$2:$B889)))</f>
        <v/>
      </c>
      <c r="X842" s="444" t="str">
        <f t="shared" si="3"/>
        <v/>
      </c>
      <c r="Y842" s="445" t="str">
        <f t="shared" si="4"/>
        <v/>
      </c>
      <c r="Z842" s="278"/>
      <c r="AA842" s="466"/>
      <c r="AB842" s="278"/>
      <c r="AC842" s="278"/>
      <c r="AD842" s="278"/>
      <c r="AE842" s="278"/>
      <c r="AF842" s="278"/>
      <c r="AG842" s="278" t="b">
        <f t="shared" si="5"/>
        <v>0</v>
      </c>
      <c r="AH842" s="454"/>
      <c r="AI842" s="278"/>
      <c r="AJ842" s="278"/>
      <c r="AK842" s="278"/>
      <c r="AL842" s="444" t="str">
        <f t="array" ref="AL842">IFERROR(IFS(OR(AJ842="A1-Mewtwo", AJ842="A1-Pikachu", AJ842="A1-Charizard", AJ842="A1"), XLOOKUP(AH842, 'Genetic Apex'!$C$2:$C889, 'Genetic Apex'!$B$2:$B889)-2, AJ842="A1a", XLOOKUP(AH842, 'Mythical Island'!$C$2:$C889, 'Mythical Island'!$B$2:$B889)-2, OR(AJ842="A2-Dialga", AJ842="A2-Palkia", AJ842="A2"), XLOOKUP(AH842, 'Space-Time Smackdown'!$C$2:$C889, 'Space-Time Smackdown'!$B$2:$B889)-2))</f>
        <v/>
      </c>
      <c r="AM842" s="444" t="str">
        <f t="shared" si="6"/>
        <v/>
      </c>
      <c r="AN842" s="448" t="str">
        <f t="shared" si="7"/>
        <v/>
      </c>
    </row>
    <row r="843">
      <c r="A843" s="277"/>
      <c r="B843" s="277"/>
      <c r="C843" s="441"/>
      <c r="D843" s="277"/>
      <c r="E843" s="277"/>
      <c r="F843" s="277"/>
      <c r="G843" s="277"/>
      <c r="H843" s="277" t="b">
        <f t="shared" si="1"/>
        <v>0</v>
      </c>
      <c r="I843" s="277"/>
      <c r="J843" s="277"/>
      <c r="K843" s="277"/>
      <c r="L843" s="277"/>
      <c r="M843" s="440" t="b">
        <f t="shared" si="2"/>
        <v>0</v>
      </c>
      <c r="N843" s="441"/>
      <c r="O843" s="277"/>
      <c r="P843" s="277"/>
      <c r="Q843" s="278"/>
      <c r="R843" s="449" t="str">
        <f t="array" ref="R843">IFERROR(IFS(OR(P843="A1-Mewtwo", P843="A1-Pikachu", P843="A1-Charizard", P843="A1"), XLOOKUP(N843, 'Genetic Apex'!$C$2:$C889, 'Genetic Apex'!$B$2:$B889)-$B$4, P843="A1a", XLOOKUP(N843, 'Mythical Island'!$C$2:$C889, 'Mythical Island'!$B$2:$B889)-$B$4, OR(P843="A2-Dialga", P843="A2-Palkia", P843="A2"), XLOOKUP(N843, 'Space-Time Smackdown'!$C$2:$C889, 'Space-Time Smackdown'!$B$2:$B889)-$B$4))</f>
        <v/>
      </c>
      <c r="S843" s="277"/>
      <c r="T843" s="277"/>
      <c r="U843" s="277"/>
      <c r="V843" s="278"/>
      <c r="W843" s="443" t="str">
        <f t="array" ref="W843">IFERROR(IFS(OR(U843="A1-Mewtwo", U843="A1-Pikachu", U843="A1-Charizard", U843="A1"), $B$5-XLOOKUP(S843, 'Genetic Apex'!$C$2:$C889, 'Genetic Apex'!$B$2:$B889), U843="A1a", $B$5-XLOOKUP(S843, 'Mythical Island'!$C$2:$C889, 'Mythical Island'!$B$2:$B889), OR(U843="A2-Dialga", U843="A2-Palkia", U843="A2"), $B$5-XLOOKUP(S843, 'Space-Time Smackdown'!$C$2:$C889, 'Space-Time Smackdown'!$B$2:$B889)))</f>
        <v/>
      </c>
      <c r="X843" s="444" t="str">
        <f t="shared" si="3"/>
        <v/>
      </c>
      <c r="Y843" s="445" t="str">
        <f t="shared" si="4"/>
        <v/>
      </c>
      <c r="Z843" s="278"/>
      <c r="AA843" s="466"/>
      <c r="AB843" s="278"/>
      <c r="AC843" s="278"/>
      <c r="AD843" s="278"/>
      <c r="AE843" s="278"/>
      <c r="AF843" s="278"/>
      <c r="AG843" s="278" t="b">
        <f t="shared" si="5"/>
        <v>0</v>
      </c>
      <c r="AH843" s="454"/>
      <c r="AI843" s="278"/>
      <c r="AJ843" s="278"/>
      <c r="AK843" s="278"/>
      <c r="AL843" s="444" t="str">
        <f t="array" ref="AL843">IFERROR(IFS(OR(AJ843="A1-Mewtwo", AJ843="A1-Pikachu", AJ843="A1-Charizard", AJ843="A1"), XLOOKUP(AH843, 'Genetic Apex'!$C$2:$C889, 'Genetic Apex'!$B$2:$B889)-2, AJ843="A1a", XLOOKUP(AH843, 'Mythical Island'!$C$2:$C889, 'Mythical Island'!$B$2:$B889)-2, OR(AJ843="A2-Dialga", AJ843="A2-Palkia", AJ843="A2"), XLOOKUP(AH843, 'Space-Time Smackdown'!$C$2:$C889, 'Space-Time Smackdown'!$B$2:$B889)-2))</f>
        <v/>
      </c>
      <c r="AM843" s="444" t="str">
        <f t="shared" si="6"/>
        <v/>
      </c>
      <c r="AN843" s="448" t="str">
        <f t="shared" si="7"/>
        <v/>
      </c>
    </row>
    <row r="844">
      <c r="A844" s="277"/>
      <c r="B844" s="277"/>
      <c r="C844" s="441"/>
      <c r="D844" s="277"/>
      <c r="E844" s="277"/>
      <c r="F844" s="277"/>
      <c r="G844" s="277"/>
      <c r="H844" s="277" t="b">
        <f t="shared" si="1"/>
        <v>0</v>
      </c>
      <c r="I844" s="277"/>
      <c r="J844" s="277"/>
      <c r="K844" s="277"/>
      <c r="L844" s="277"/>
      <c r="M844" s="440" t="b">
        <f t="shared" si="2"/>
        <v>0</v>
      </c>
      <c r="N844" s="441"/>
      <c r="O844" s="277"/>
      <c r="P844" s="277"/>
      <c r="Q844" s="278"/>
      <c r="R844" s="449" t="str">
        <f t="array" ref="R844">IFERROR(IFS(OR(P844="A1-Mewtwo", P844="A1-Pikachu", P844="A1-Charizard", P844="A1"), XLOOKUP(N844, 'Genetic Apex'!$C$2:$C889, 'Genetic Apex'!$B$2:$B889)-$B$4, P844="A1a", XLOOKUP(N844, 'Mythical Island'!$C$2:$C889, 'Mythical Island'!$B$2:$B889)-$B$4, OR(P844="A2-Dialga", P844="A2-Palkia", P844="A2"), XLOOKUP(N844, 'Space-Time Smackdown'!$C$2:$C889, 'Space-Time Smackdown'!$B$2:$B889)-$B$4))</f>
        <v/>
      </c>
      <c r="S844" s="277"/>
      <c r="T844" s="277"/>
      <c r="U844" s="277"/>
      <c r="V844" s="278"/>
      <c r="W844" s="443" t="str">
        <f t="array" ref="W844">IFERROR(IFS(OR(U844="A1-Mewtwo", U844="A1-Pikachu", U844="A1-Charizard", U844="A1"), $B$5-XLOOKUP(S844, 'Genetic Apex'!$C$2:$C889, 'Genetic Apex'!$B$2:$B889), U844="A1a", $B$5-XLOOKUP(S844, 'Mythical Island'!$C$2:$C889, 'Mythical Island'!$B$2:$B889), OR(U844="A2-Dialga", U844="A2-Palkia", U844="A2"), $B$5-XLOOKUP(S844, 'Space-Time Smackdown'!$C$2:$C889, 'Space-Time Smackdown'!$B$2:$B889)))</f>
        <v/>
      </c>
      <c r="X844" s="444" t="str">
        <f t="shared" si="3"/>
        <v/>
      </c>
      <c r="Y844" s="445" t="str">
        <f t="shared" si="4"/>
        <v/>
      </c>
      <c r="Z844" s="278"/>
      <c r="AA844" s="466"/>
      <c r="AB844" s="278"/>
      <c r="AC844" s="278"/>
      <c r="AD844" s="278"/>
      <c r="AE844" s="278"/>
      <c r="AF844" s="278"/>
      <c r="AG844" s="278" t="b">
        <f t="shared" si="5"/>
        <v>0</v>
      </c>
      <c r="AH844" s="454"/>
      <c r="AI844" s="278"/>
      <c r="AJ844" s="278"/>
      <c r="AK844" s="278"/>
      <c r="AL844" s="444" t="str">
        <f t="array" ref="AL844">IFERROR(IFS(OR(AJ844="A1-Mewtwo", AJ844="A1-Pikachu", AJ844="A1-Charizard", AJ844="A1"), XLOOKUP(AH844, 'Genetic Apex'!$C$2:$C889, 'Genetic Apex'!$B$2:$B889)-2, AJ844="A1a", XLOOKUP(AH844, 'Mythical Island'!$C$2:$C889, 'Mythical Island'!$B$2:$B889)-2, OR(AJ844="A2-Dialga", AJ844="A2-Palkia", AJ844="A2"), XLOOKUP(AH844, 'Space-Time Smackdown'!$C$2:$C889, 'Space-Time Smackdown'!$B$2:$B889)-2))</f>
        <v/>
      </c>
      <c r="AM844" s="444" t="str">
        <f t="shared" si="6"/>
        <v/>
      </c>
      <c r="AN844" s="448" t="str">
        <f t="shared" si="7"/>
        <v/>
      </c>
    </row>
    <row r="845">
      <c r="A845" s="277"/>
      <c r="B845" s="277"/>
      <c r="C845" s="441"/>
      <c r="D845" s="277"/>
      <c r="E845" s="277"/>
      <c r="F845" s="277"/>
      <c r="G845" s="277"/>
      <c r="H845" s="277" t="b">
        <f t="shared" si="1"/>
        <v>0</v>
      </c>
      <c r="I845" s="277"/>
      <c r="J845" s="277"/>
      <c r="K845" s="277"/>
      <c r="L845" s="277"/>
      <c r="M845" s="440" t="b">
        <f t="shared" si="2"/>
        <v>0</v>
      </c>
      <c r="N845" s="441"/>
      <c r="O845" s="277"/>
      <c r="P845" s="277"/>
      <c r="Q845" s="278"/>
      <c r="R845" s="449" t="str">
        <f t="array" ref="R845">IFERROR(IFS(OR(P845="A1-Mewtwo", P845="A1-Pikachu", P845="A1-Charizard", P845="A1"), XLOOKUP(N845, 'Genetic Apex'!$C$2:$C889, 'Genetic Apex'!$B$2:$B889)-$B$4, P845="A1a", XLOOKUP(N845, 'Mythical Island'!$C$2:$C889, 'Mythical Island'!$B$2:$B889)-$B$4, OR(P845="A2-Dialga", P845="A2-Palkia", P845="A2"), XLOOKUP(N845, 'Space-Time Smackdown'!$C$2:$C889, 'Space-Time Smackdown'!$B$2:$B889)-$B$4))</f>
        <v/>
      </c>
      <c r="S845" s="277"/>
      <c r="T845" s="277"/>
      <c r="U845" s="277"/>
      <c r="V845" s="278"/>
      <c r="W845" s="443" t="str">
        <f t="array" ref="W845">IFERROR(IFS(OR(U845="A1-Mewtwo", U845="A1-Pikachu", U845="A1-Charizard", U845="A1"), $B$5-XLOOKUP(S845, 'Genetic Apex'!$C$2:$C889, 'Genetic Apex'!$B$2:$B889), U845="A1a", $B$5-XLOOKUP(S845, 'Mythical Island'!$C$2:$C889, 'Mythical Island'!$B$2:$B889), OR(U845="A2-Dialga", U845="A2-Palkia", U845="A2"), $B$5-XLOOKUP(S845, 'Space-Time Smackdown'!$C$2:$C889, 'Space-Time Smackdown'!$B$2:$B889)))</f>
        <v/>
      </c>
      <c r="X845" s="444" t="str">
        <f t="shared" si="3"/>
        <v/>
      </c>
      <c r="Y845" s="445" t="str">
        <f t="shared" si="4"/>
        <v/>
      </c>
      <c r="Z845" s="278"/>
      <c r="AA845" s="466"/>
      <c r="AB845" s="278"/>
      <c r="AC845" s="278"/>
      <c r="AD845" s="278"/>
      <c r="AE845" s="278"/>
      <c r="AF845" s="278"/>
      <c r="AG845" s="278" t="b">
        <f t="shared" si="5"/>
        <v>0</v>
      </c>
      <c r="AH845" s="454"/>
      <c r="AI845" s="278"/>
      <c r="AJ845" s="278"/>
      <c r="AK845" s="278"/>
      <c r="AL845" s="444" t="str">
        <f t="array" ref="AL845">IFERROR(IFS(OR(AJ845="A1-Mewtwo", AJ845="A1-Pikachu", AJ845="A1-Charizard", AJ845="A1"), XLOOKUP(AH845, 'Genetic Apex'!$C$2:$C889, 'Genetic Apex'!$B$2:$B889)-2, AJ845="A1a", XLOOKUP(AH845, 'Mythical Island'!$C$2:$C889, 'Mythical Island'!$B$2:$B889)-2, OR(AJ845="A2-Dialga", AJ845="A2-Palkia", AJ845="A2"), XLOOKUP(AH845, 'Space-Time Smackdown'!$C$2:$C889, 'Space-Time Smackdown'!$B$2:$B889)-2))</f>
        <v/>
      </c>
      <c r="AM845" s="444" t="str">
        <f t="shared" si="6"/>
        <v/>
      </c>
      <c r="AN845" s="448" t="str">
        <f t="shared" si="7"/>
        <v/>
      </c>
    </row>
    <row r="846">
      <c r="A846" s="277"/>
      <c r="B846" s="277"/>
      <c r="C846" s="441"/>
      <c r="D846" s="277"/>
      <c r="E846" s="277"/>
      <c r="F846" s="277"/>
      <c r="G846" s="277"/>
      <c r="H846" s="277" t="b">
        <f t="shared" si="1"/>
        <v>0</v>
      </c>
      <c r="I846" s="277"/>
      <c r="J846" s="277"/>
      <c r="K846" s="277"/>
      <c r="L846" s="277"/>
      <c r="M846" s="440" t="b">
        <f t="shared" si="2"/>
        <v>0</v>
      </c>
      <c r="N846" s="441"/>
      <c r="O846" s="277"/>
      <c r="P846" s="277"/>
      <c r="Q846" s="278"/>
      <c r="R846" s="449" t="str">
        <f t="array" ref="R846">IFERROR(IFS(OR(P846="A1-Mewtwo", P846="A1-Pikachu", P846="A1-Charizard", P846="A1"), XLOOKUP(N846, 'Genetic Apex'!$C$2:$C889, 'Genetic Apex'!$B$2:$B889)-$B$4, P846="A1a", XLOOKUP(N846, 'Mythical Island'!$C$2:$C889, 'Mythical Island'!$B$2:$B889)-$B$4, OR(P846="A2-Dialga", P846="A2-Palkia", P846="A2"), XLOOKUP(N846, 'Space-Time Smackdown'!$C$2:$C889, 'Space-Time Smackdown'!$B$2:$B889)-$B$4))</f>
        <v/>
      </c>
      <c r="S846" s="277"/>
      <c r="T846" s="277"/>
      <c r="U846" s="277"/>
      <c r="V846" s="278"/>
      <c r="W846" s="443" t="str">
        <f t="array" ref="W846">IFERROR(IFS(OR(U846="A1-Mewtwo", U846="A1-Pikachu", U846="A1-Charizard", U846="A1"), $B$5-XLOOKUP(S846, 'Genetic Apex'!$C$2:$C889, 'Genetic Apex'!$B$2:$B889), U846="A1a", $B$5-XLOOKUP(S846, 'Mythical Island'!$C$2:$C889, 'Mythical Island'!$B$2:$B889), OR(U846="A2-Dialga", U846="A2-Palkia", U846="A2"), $B$5-XLOOKUP(S846, 'Space-Time Smackdown'!$C$2:$C889, 'Space-Time Smackdown'!$B$2:$B889)))</f>
        <v/>
      </c>
      <c r="X846" s="444" t="str">
        <f t="shared" si="3"/>
        <v/>
      </c>
      <c r="Y846" s="445" t="str">
        <f t="shared" si="4"/>
        <v/>
      </c>
      <c r="Z846" s="278"/>
      <c r="AA846" s="466"/>
      <c r="AB846" s="278"/>
      <c r="AC846" s="278"/>
      <c r="AD846" s="278"/>
      <c r="AE846" s="278"/>
      <c r="AF846" s="278"/>
      <c r="AG846" s="278" t="b">
        <f t="shared" si="5"/>
        <v>0</v>
      </c>
      <c r="AH846" s="454"/>
      <c r="AI846" s="278"/>
      <c r="AJ846" s="278"/>
      <c r="AK846" s="278"/>
      <c r="AL846" s="444" t="str">
        <f t="array" ref="AL846">IFERROR(IFS(OR(AJ846="A1-Mewtwo", AJ846="A1-Pikachu", AJ846="A1-Charizard", AJ846="A1"), XLOOKUP(AH846, 'Genetic Apex'!$C$2:$C889, 'Genetic Apex'!$B$2:$B889)-2, AJ846="A1a", XLOOKUP(AH846, 'Mythical Island'!$C$2:$C889, 'Mythical Island'!$B$2:$B889)-2, OR(AJ846="A2-Dialga", AJ846="A2-Palkia", AJ846="A2"), XLOOKUP(AH846, 'Space-Time Smackdown'!$C$2:$C889, 'Space-Time Smackdown'!$B$2:$B889)-2))</f>
        <v/>
      </c>
      <c r="AM846" s="444" t="str">
        <f t="shared" si="6"/>
        <v/>
      </c>
      <c r="AN846" s="448" t="str">
        <f t="shared" si="7"/>
        <v/>
      </c>
    </row>
    <row r="847">
      <c r="A847" s="277"/>
      <c r="B847" s="277"/>
      <c r="C847" s="441"/>
      <c r="D847" s="277"/>
      <c r="E847" s="277"/>
      <c r="F847" s="277"/>
      <c r="G847" s="277"/>
      <c r="H847" s="277" t="b">
        <f t="shared" si="1"/>
        <v>0</v>
      </c>
      <c r="I847" s="277"/>
      <c r="J847" s="277"/>
      <c r="K847" s="277"/>
      <c r="L847" s="277"/>
      <c r="M847" s="440" t="b">
        <f t="shared" si="2"/>
        <v>0</v>
      </c>
      <c r="N847" s="441"/>
      <c r="O847" s="277"/>
      <c r="P847" s="277"/>
      <c r="Q847" s="278"/>
      <c r="R847" s="449" t="str">
        <f t="array" ref="R847">IFERROR(IFS(OR(P847="A1-Mewtwo", P847="A1-Pikachu", P847="A1-Charizard", P847="A1"), XLOOKUP(N847, 'Genetic Apex'!$C$2:$C889, 'Genetic Apex'!$B$2:$B889)-$B$4, P847="A1a", XLOOKUP(N847, 'Mythical Island'!$C$2:$C889, 'Mythical Island'!$B$2:$B889)-$B$4, OR(P847="A2-Dialga", P847="A2-Palkia", P847="A2"), XLOOKUP(N847, 'Space-Time Smackdown'!$C$2:$C889, 'Space-Time Smackdown'!$B$2:$B889)-$B$4))</f>
        <v/>
      </c>
      <c r="S847" s="277"/>
      <c r="T847" s="277"/>
      <c r="U847" s="277"/>
      <c r="V847" s="278"/>
      <c r="W847" s="443" t="str">
        <f t="array" ref="W847">IFERROR(IFS(OR(U847="A1-Mewtwo", U847="A1-Pikachu", U847="A1-Charizard", U847="A1"), $B$5-XLOOKUP(S847, 'Genetic Apex'!$C$2:$C889, 'Genetic Apex'!$B$2:$B889), U847="A1a", $B$5-XLOOKUP(S847, 'Mythical Island'!$C$2:$C889, 'Mythical Island'!$B$2:$B889), OR(U847="A2-Dialga", U847="A2-Palkia", U847="A2"), $B$5-XLOOKUP(S847, 'Space-Time Smackdown'!$C$2:$C889, 'Space-Time Smackdown'!$B$2:$B889)))</f>
        <v/>
      </c>
      <c r="X847" s="444" t="str">
        <f t="shared" si="3"/>
        <v/>
      </c>
      <c r="Y847" s="445" t="str">
        <f t="shared" si="4"/>
        <v/>
      </c>
      <c r="Z847" s="278"/>
      <c r="AA847" s="466"/>
      <c r="AB847" s="278"/>
      <c r="AC847" s="278"/>
      <c r="AD847" s="278"/>
      <c r="AE847" s="278"/>
      <c r="AF847" s="278"/>
      <c r="AG847" s="278" t="b">
        <f t="shared" si="5"/>
        <v>0</v>
      </c>
      <c r="AH847" s="454"/>
      <c r="AI847" s="278"/>
      <c r="AJ847" s="278"/>
      <c r="AK847" s="278"/>
      <c r="AL847" s="444" t="str">
        <f t="array" ref="AL847">IFERROR(IFS(OR(AJ847="A1-Mewtwo", AJ847="A1-Pikachu", AJ847="A1-Charizard", AJ847="A1"), XLOOKUP(AH847, 'Genetic Apex'!$C$2:$C889, 'Genetic Apex'!$B$2:$B889)-2, AJ847="A1a", XLOOKUP(AH847, 'Mythical Island'!$C$2:$C889, 'Mythical Island'!$B$2:$B889)-2, OR(AJ847="A2-Dialga", AJ847="A2-Palkia", AJ847="A2"), XLOOKUP(AH847, 'Space-Time Smackdown'!$C$2:$C889, 'Space-Time Smackdown'!$B$2:$B889)-2))</f>
        <v/>
      </c>
      <c r="AM847" s="444" t="str">
        <f t="shared" si="6"/>
        <v/>
      </c>
      <c r="AN847" s="448" t="str">
        <f t="shared" si="7"/>
        <v/>
      </c>
    </row>
    <row r="848">
      <c r="A848" s="277"/>
      <c r="B848" s="277"/>
      <c r="C848" s="441"/>
      <c r="D848" s="277"/>
      <c r="E848" s="277"/>
      <c r="F848" s="277"/>
      <c r="G848" s="277"/>
      <c r="H848" s="277" t="b">
        <f t="shared" si="1"/>
        <v>0</v>
      </c>
      <c r="I848" s="277"/>
      <c r="J848" s="277"/>
      <c r="K848" s="277"/>
      <c r="L848" s="277"/>
      <c r="M848" s="440" t="b">
        <f t="shared" si="2"/>
        <v>0</v>
      </c>
      <c r="N848" s="441"/>
      <c r="O848" s="277"/>
      <c r="P848" s="277"/>
      <c r="Q848" s="278"/>
      <c r="R848" s="449" t="str">
        <f t="array" ref="R848">IFERROR(IFS(OR(P848="A1-Mewtwo", P848="A1-Pikachu", P848="A1-Charizard", P848="A1"), XLOOKUP(N848, 'Genetic Apex'!$C$2:$C889, 'Genetic Apex'!$B$2:$B889)-$B$4, P848="A1a", XLOOKUP(N848, 'Mythical Island'!$C$2:$C889, 'Mythical Island'!$B$2:$B889)-$B$4, OR(P848="A2-Dialga", P848="A2-Palkia", P848="A2"), XLOOKUP(N848, 'Space-Time Smackdown'!$C$2:$C889, 'Space-Time Smackdown'!$B$2:$B889)-$B$4))</f>
        <v/>
      </c>
      <c r="S848" s="277"/>
      <c r="T848" s="277"/>
      <c r="U848" s="277"/>
      <c r="V848" s="278"/>
      <c r="W848" s="443" t="str">
        <f t="array" ref="W848">IFERROR(IFS(OR(U848="A1-Mewtwo", U848="A1-Pikachu", U848="A1-Charizard", U848="A1"), $B$5-XLOOKUP(S848, 'Genetic Apex'!$C$2:$C889, 'Genetic Apex'!$B$2:$B889), U848="A1a", $B$5-XLOOKUP(S848, 'Mythical Island'!$C$2:$C889, 'Mythical Island'!$B$2:$B889), OR(U848="A2-Dialga", U848="A2-Palkia", U848="A2"), $B$5-XLOOKUP(S848, 'Space-Time Smackdown'!$C$2:$C889, 'Space-Time Smackdown'!$B$2:$B889)))</f>
        <v/>
      </c>
      <c r="X848" s="444" t="str">
        <f t="shared" si="3"/>
        <v/>
      </c>
      <c r="Y848" s="445" t="str">
        <f t="shared" si="4"/>
        <v/>
      </c>
      <c r="Z848" s="278"/>
      <c r="AA848" s="466"/>
      <c r="AB848" s="278"/>
      <c r="AC848" s="278"/>
      <c r="AD848" s="278"/>
      <c r="AE848" s="278"/>
      <c r="AF848" s="278"/>
      <c r="AG848" s="278" t="b">
        <f t="shared" si="5"/>
        <v>0</v>
      </c>
      <c r="AH848" s="454"/>
      <c r="AI848" s="278"/>
      <c r="AJ848" s="278"/>
      <c r="AK848" s="278"/>
      <c r="AL848" s="444" t="str">
        <f t="array" ref="AL848">IFERROR(IFS(OR(AJ848="A1-Mewtwo", AJ848="A1-Pikachu", AJ848="A1-Charizard", AJ848="A1"), XLOOKUP(AH848, 'Genetic Apex'!$C$2:$C889, 'Genetic Apex'!$B$2:$B889)-2, AJ848="A1a", XLOOKUP(AH848, 'Mythical Island'!$C$2:$C889, 'Mythical Island'!$B$2:$B889)-2, OR(AJ848="A2-Dialga", AJ848="A2-Palkia", AJ848="A2"), XLOOKUP(AH848, 'Space-Time Smackdown'!$C$2:$C889, 'Space-Time Smackdown'!$B$2:$B889)-2))</f>
        <v/>
      </c>
      <c r="AM848" s="444" t="str">
        <f t="shared" si="6"/>
        <v/>
      </c>
      <c r="AN848" s="448" t="str">
        <f t="shared" si="7"/>
        <v/>
      </c>
    </row>
    <row r="849">
      <c r="A849" s="277"/>
      <c r="B849" s="277"/>
      <c r="C849" s="441"/>
      <c r="D849" s="277"/>
      <c r="E849" s="277"/>
      <c r="F849" s="277"/>
      <c r="G849" s="277"/>
      <c r="H849" s="277" t="b">
        <f t="shared" si="1"/>
        <v>0</v>
      </c>
      <c r="I849" s="277"/>
      <c r="J849" s="277"/>
      <c r="K849" s="277"/>
      <c r="L849" s="277"/>
      <c r="M849" s="440" t="b">
        <f t="shared" si="2"/>
        <v>0</v>
      </c>
      <c r="N849" s="441"/>
      <c r="O849" s="277"/>
      <c r="P849" s="277"/>
      <c r="Q849" s="278"/>
      <c r="R849" s="449" t="str">
        <f t="array" ref="R849">IFERROR(IFS(OR(P849="A1-Mewtwo", P849="A1-Pikachu", P849="A1-Charizard", P849="A1"), XLOOKUP(N849, 'Genetic Apex'!$C$2:$C889, 'Genetic Apex'!$B$2:$B889)-$B$4, P849="A1a", XLOOKUP(N849, 'Mythical Island'!$C$2:$C889, 'Mythical Island'!$B$2:$B889)-$B$4, OR(P849="A2-Dialga", P849="A2-Palkia", P849="A2"), XLOOKUP(N849, 'Space-Time Smackdown'!$C$2:$C889, 'Space-Time Smackdown'!$B$2:$B889)-$B$4))</f>
        <v/>
      </c>
      <c r="S849" s="277"/>
      <c r="T849" s="277"/>
      <c r="U849" s="277"/>
      <c r="V849" s="278"/>
      <c r="W849" s="443" t="str">
        <f t="array" ref="W849">IFERROR(IFS(OR(U849="A1-Mewtwo", U849="A1-Pikachu", U849="A1-Charizard", U849="A1"), $B$5-XLOOKUP(S849, 'Genetic Apex'!$C$2:$C889, 'Genetic Apex'!$B$2:$B889), U849="A1a", $B$5-XLOOKUP(S849, 'Mythical Island'!$C$2:$C889, 'Mythical Island'!$B$2:$B889), OR(U849="A2-Dialga", U849="A2-Palkia", U849="A2"), $B$5-XLOOKUP(S849, 'Space-Time Smackdown'!$C$2:$C889, 'Space-Time Smackdown'!$B$2:$B889)))</f>
        <v/>
      </c>
      <c r="X849" s="444" t="str">
        <f t="shared" si="3"/>
        <v/>
      </c>
      <c r="Y849" s="445" t="str">
        <f t="shared" si="4"/>
        <v/>
      </c>
      <c r="Z849" s="278"/>
      <c r="AA849" s="466"/>
      <c r="AB849" s="278"/>
      <c r="AC849" s="278"/>
      <c r="AD849" s="278"/>
      <c r="AE849" s="278"/>
      <c r="AF849" s="278"/>
      <c r="AG849" s="278" t="b">
        <f t="shared" si="5"/>
        <v>0</v>
      </c>
      <c r="AH849" s="454"/>
      <c r="AI849" s="278"/>
      <c r="AJ849" s="278"/>
      <c r="AK849" s="278"/>
      <c r="AL849" s="444" t="str">
        <f t="array" ref="AL849">IFERROR(IFS(OR(AJ849="A1-Mewtwo", AJ849="A1-Pikachu", AJ849="A1-Charizard", AJ849="A1"), XLOOKUP(AH849, 'Genetic Apex'!$C$2:$C889, 'Genetic Apex'!$B$2:$B889)-2, AJ849="A1a", XLOOKUP(AH849, 'Mythical Island'!$C$2:$C889, 'Mythical Island'!$B$2:$B889)-2, OR(AJ849="A2-Dialga", AJ849="A2-Palkia", AJ849="A2"), XLOOKUP(AH849, 'Space-Time Smackdown'!$C$2:$C889, 'Space-Time Smackdown'!$B$2:$B889)-2))</f>
        <v/>
      </c>
      <c r="AM849" s="444" t="str">
        <f t="shared" si="6"/>
        <v/>
      </c>
      <c r="AN849" s="448" t="str">
        <f t="shared" si="7"/>
        <v/>
      </c>
    </row>
    <row r="850">
      <c r="A850" s="277"/>
      <c r="B850" s="277"/>
      <c r="C850" s="441"/>
      <c r="D850" s="277"/>
      <c r="E850" s="277"/>
      <c r="F850" s="277"/>
      <c r="G850" s="277"/>
      <c r="H850" s="277" t="b">
        <f t="shared" si="1"/>
        <v>0</v>
      </c>
      <c r="I850" s="277"/>
      <c r="J850" s="277"/>
      <c r="K850" s="277"/>
      <c r="L850" s="277"/>
      <c r="M850" s="440" t="b">
        <f t="shared" si="2"/>
        <v>0</v>
      </c>
      <c r="N850" s="441"/>
      <c r="O850" s="277"/>
      <c r="P850" s="277"/>
      <c r="Q850" s="278"/>
      <c r="R850" s="449" t="str">
        <f t="array" ref="R850">IFERROR(IFS(OR(P850="A1-Mewtwo", P850="A1-Pikachu", P850="A1-Charizard", P850="A1"), XLOOKUP(N850, 'Genetic Apex'!$C$2:$C889, 'Genetic Apex'!$B$2:$B889)-$B$4, P850="A1a", XLOOKUP(N850, 'Mythical Island'!$C$2:$C889, 'Mythical Island'!$B$2:$B889)-$B$4, OR(P850="A2-Dialga", P850="A2-Palkia", P850="A2"), XLOOKUP(N850, 'Space-Time Smackdown'!$C$2:$C889, 'Space-Time Smackdown'!$B$2:$B889)-$B$4))</f>
        <v/>
      </c>
      <c r="S850" s="277"/>
      <c r="T850" s="277"/>
      <c r="U850" s="277"/>
      <c r="V850" s="278"/>
      <c r="W850" s="443" t="str">
        <f t="array" ref="W850">IFERROR(IFS(OR(U850="A1-Mewtwo", U850="A1-Pikachu", U850="A1-Charizard", U850="A1"), $B$5-XLOOKUP(S850, 'Genetic Apex'!$C$2:$C889, 'Genetic Apex'!$B$2:$B889), U850="A1a", $B$5-XLOOKUP(S850, 'Mythical Island'!$C$2:$C889, 'Mythical Island'!$B$2:$B889), OR(U850="A2-Dialga", U850="A2-Palkia", U850="A2"), $B$5-XLOOKUP(S850, 'Space-Time Smackdown'!$C$2:$C889, 'Space-Time Smackdown'!$B$2:$B889)))</f>
        <v/>
      </c>
      <c r="X850" s="444" t="str">
        <f t="shared" si="3"/>
        <v/>
      </c>
      <c r="Y850" s="445" t="str">
        <f t="shared" si="4"/>
        <v/>
      </c>
      <c r="Z850" s="278"/>
      <c r="AA850" s="466"/>
      <c r="AB850" s="278"/>
      <c r="AC850" s="278"/>
      <c r="AD850" s="278"/>
      <c r="AE850" s="278"/>
      <c r="AF850" s="278"/>
      <c r="AG850" s="278" t="b">
        <f t="shared" si="5"/>
        <v>0</v>
      </c>
      <c r="AH850" s="454"/>
      <c r="AI850" s="278"/>
      <c r="AJ850" s="278"/>
      <c r="AK850" s="278"/>
      <c r="AL850" s="444" t="str">
        <f t="array" ref="AL850">IFERROR(IFS(OR(AJ850="A1-Mewtwo", AJ850="A1-Pikachu", AJ850="A1-Charizard", AJ850="A1"), XLOOKUP(AH850, 'Genetic Apex'!$C$2:$C889, 'Genetic Apex'!$B$2:$B889)-2, AJ850="A1a", XLOOKUP(AH850, 'Mythical Island'!$C$2:$C889, 'Mythical Island'!$B$2:$B889)-2, OR(AJ850="A2-Dialga", AJ850="A2-Palkia", AJ850="A2"), XLOOKUP(AH850, 'Space-Time Smackdown'!$C$2:$C889, 'Space-Time Smackdown'!$B$2:$B889)-2))</f>
        <v/>
      </c>
      <c r="AM850" s="444" t="str">
        <f t="shared" si="6"/>
        <v/>
      </c>
      <c r="AN850" s="448" t="str">
        <f t="shared" si="7"/>
        <v/>
      </c>
    </row>
    <row r="851">
      <c r="A851" s="277"/>
      <c r="B851" s="277"/>
      <c r="C851" s="441"/>
      <c r="D851" s="277"/>
      <c r="E851" s="277"/>
      <c r="F851" s="277"/>
      <c r="G851" s="277"/>
      <c r="H851" s="277" t="b">
        <f t="shared" si="1"/>
        <v>0</v>
      </c>
      <c r="I851" s="277"/>
      <c r="J851" s="277"/>
      <c r="K851" s="277"/>
      <c r="L851" s="277"/>
      <c r="M851" s="440" t="b">
        <f t="shared" si="2"/>
        <v>0</v>
      </c>
      <c r="N851" s="441"/>
      <c r="O851" s="277"/>
      <c r="P851" s="277"/>
      <c r="Q851" s="278"/>
      <c r="R851" s="449" t="str">
        <f t="array" ref="R851">IFERROR(IFS(OR(P851="A1-Mewtwo", P851="A1-Pikachu", P851="A1-Charizard", P851="A1"), XLOOKUP(N851, 'Genetic Apex'!$C$2:$C889, 'Genetic Apex'!$B$2:$B889)-$B$4, P851="A1a", XLOOKUP(N851, 'Mythical Island'!$C$2:$C889, 'Mythical Island'!$B$2:$B889)-$B$4, OR(P851="A2-Dialga", P851="A2-Palkia", P851="A2"), XLOOKUP(N851, 'Space-Time Smackdown'!$C$2:$C889, 'Space-Time Smackdown'!$B$2:$B889)-$B$4))</f>
        <v/>
      </c>
      <c r="S851" s="277"/>
      <c r="T851" s="277"/>
      <c r="U851" s="277"/>
      <c r="V851" s="278"/>
      <c r="W851" s="443" t="str">
        <f t="array" ref="W851">IFERROR(IFS(OR(U851="A1-Mewtwo", U851="A1-Pikachu", U851="A1-Charizard", U851="A1"), $B$5-XLOOKUP(S851, 'Genetic Apex'!$C$2:$C889, 'Genetic Apex'!$B$2:$B889), U851="A1a", $B$5-XLOOKUP(S851, 'Mythical Island'!$C$2:$C889, 'Mythical Island'!$B$2:$B889), OR(U851="A2-Dialga", U851="A2-Palkia", U851="A2"), $B$5-XLOOKUP(S851, 'Space-Time Smackdown'!$C$2:$C889, 'Space-Time Smackdown'!$B$2:$B889)))</f>
        <v/>
      </c>
      <c r="X851" s="444" t="str">
        <f t="shared" si="3"/>
        <v/>
      </c>
      <c r="Y851" s="445" t="str">
        <f t="shared" si="4"/>
        <v/>
      </c>
      <c r="Z851" s="278"/>
      <c r="AA851" s="466"/>
      <c r="AB851" s="278"/>
      <c r="AC851" s="278"/>
      <c r="AD851" s="278"/>
      <c r="AE851" s="278"/>
      <c r="AF851" s="278"/>
      <c r="AG851" s="278" t="b">
        <f t="shared" si="5"/>
        <v>0</v>
      </c>
      <c r="AH851" s="454"/>
      <c r="AI851" s="278"/>
      <c r="AJ851" s="278"/>
      <c r="AK851" s="278"/>
      <c r="AL851" s="444" t="str">
        <f t="array" ref="AL851">IFERROR(IFS(OR(AJ851="A1-Mewtwo", AJ851="A1-Pikachu", AJ851="A1-Charizard", AJ851="A1"), XLOOKUP(AH851, 'Genetic Apex'!$C$2:$C889, 'Genetic Apex'!$B$2:$B889)-2, AJ851="A1a", XLOOKUP(AH851, 'Mythical Island'!$C$2:$C889, 'Mythical Island'!$B$2:$B889)-2, OR(AJ851="A2-Dialga", AJ851="A2-Palkia", AJ851="A2"), XLOOKUP(AH851, 'Space-Time Smackdown'!$C$2:$C889, 'Space-Time Smackdown'!$B$2:$B889)-2))</f>
        <v/>
      </c>
      <c r="AM851" s="444" t="str">
        <f t="shared" si="6"/>
        <v/>
      </c>
      <c r="AN851" s="448" t="str">
        <f t="shared" si="7"/>
        <v/>
      </c>
    </row>
    <row r="852">
      <c r="A852" s="277"/>
      <c r="B852" s="277"/>
      <c r="C852" s="441"/>
      <c r="D852" s="277"/>
      <c r="E852" s="277"/>
      <c r="F852" s="277"/>
      <c r="G852" s="277"/>
      <c r="H852" s="277" t="b">
        <f t="shared" si="1"/>
        <v>0</v>
      </c>
      <c r="I852" s="277"/>
      <c r="J852" s="277"/>
      <c r="K852" s="277"/>
      <c r="L852" s="277"/>
      <c r="M852" s="440" t="b">
        <f t="shared" si="2"/>
        <v>0</v>
      </c>
      <c r="N852" s="441"/>
      <c r="O852" s="277"/>
      <c r="P852" s="277"/>
      <c r="Q852" s="278"/>
      <c r="R852" s="449" t="str">
        <f t="array" ref="R852">IFERROR(IFS(OR(P852="A1-Mewtwo", P852="A1-Pikachu", P852="A1-Charizard", P852="A1"), XLOOKUP(N852, 'Genetic Apex'!$C$2:$C889, 'Genetic Apex'!$B$2:$B889)-$B$4, P852="A1a", XLOOKUP(N852, 'Mythical Island'!$C$2:$C889, 'Mythical Island'!$B$2:$B889)-$B$4, OR(P852="A2-Dialga", P852="A2-Palkia", P852="A2"), XLOOKUP(N852, 'Space-Time Smackdown'!$C$2:$C889, 'Space-Time Smackdown'!$B$2:$B889)-$B$4))</f>
        <v/>
      </c>
      <c r="S852" s="277"/>
      <c r="T852" s="277"/>
      <c r="U852" s="277"/>
      <c r="V852" s="278"/>
      <c r="W852" s="443" t="str">
        <f t="array" ref="W852">IFERROR(IFS(OR(U852="A1-Mewtwo", U852="A1-Pikachu", U852="A1-Charizard", U852="A1"), $B$5-XLOOKUP(S852, 'Genetic Apex'!$C$2:$C889, 'Genetic Apex'!$B$2:$B889), U852="A1a", $B$5-XLOOKUP(S852, 'Mythical Island'!$C$2:$C889, 'Mythical Island'!$B$2:$B889), OR(U852="A2-Dialga", U852="A2-Palkia", U852="A2"), $B$5-XLOOKUP(S852, 'Space-Time Smackdown'!$C$2:$C889, 'Space-Time Smackdown'!$B$2:$B889)))</f>
        <v/>
      </c>
      <c r="X852" s="444" t="str">
        <f t="shared" si="3"/>
        <v/>
      </c>
      <c r="Y852" s="445" t="str">
        <f t="shared" si="4"/>
        <v/>
      </c>
      <c r="Z852" s="278"/>
      <c r="AA852" s="466"/>
      <c r="AB852" s="278"/>
      <c r="AC852" s="278"/>
      <c r="AD852" s="278"/>
      <c r="AE852" s="278"/>
      <c r="AF852" s="278"/>
      <c r="AG852" s="278" t="b">
        <f t="shared" si="5"/>
        <v>0</v>
      </c>
      <c r="AH852" s="454"/>
      <c r="AI852" s="278"/>
      <c r="AJ852" s="278"/>
      <c r="AK852" s="278"/>
      <c r="AL852" s="444" t="str">
        <f t="array" ref="AL852">IFERROR(IFS(OR(AJ852="A1-Mewtwo", AJ852="A1-Pikachu", AJ852="A1-Charizard", AJ852="A1"), XLOOKUP(AH852, 'Genetic Apex'!$C$2:$C889, 'Genetic Apex'!$B$2:$B889)-2, AJ852="A1a", XLOOKUP(AH852, 'Mythical Island'!$C$2:$C889, 'Mythical Island'!$B$2:$B889)-2, OR(AJ852="A2-Dialga", AJ852="A2-Palkia", AJ852="A2"), XLOOKUP(AH852, 'Space-Time Smackdown'!$C$2:$C889, 'Space-Time Smackdown'!$B$2:$B889)-2))</f>
        <v/>
      </c>
      <c r="AM852" s="444" t="str">
        <f t="shared" si="6"/>
        <v/>
      </c>
      <c r="AN852" s="448" t="str">
        <f t="shared" si="7"/>
        <v/>
      </c>
    </row>
    <row r="853">
      <c r="A853" s="277"/>
      <c r="B853" s="277"/>
      <c r="C853" s="441"/>
      <c r="D853" s="277"/>
      <c r="E853" s="277"/>
      <c r="F853" s="277"/>
      <c r="G853" s="277"/>
      <c r="H853" s="277" t="b">
        <f t="shared" si="1"/>
        <v>0</v>
      </c>
      <c r="I853" s="277"/>
      <c r="J853" s="277"/>
      <c r="K853" s="277"/>
      <c r="L853" s="277"/>
      <c r="M853" s="440" t="b">
        <f t="shared" si="2"/>
        <v>0</v>
      </c>
      <c r="N853" s="441"/>
      <c r="O853" s="277"/>
      <c r="P853" s="277"/>
      <c r="Q853" s="278"/>
      <c r="R853" s="449" t="str">
        <f t="array" ref="R853">IFERROR(IFS(OR(P853="A1-Mewtwo", P853="A1-Pikachu", P853="A1-Charizard", P853="A1"), XLOOKUP(N853, 'Genetic Apex'!$C$2:$C889, 'Genetic Apex'!$B$2:$B889)-$B$4, P853="A1a", XLOOKUP(N853, 'Mythical Island'!$C$2:$C889, 'Mythical Island'!$B$2:$B889)-$B$4, OR(P853="A2-Dialga", P853="A2-Palkia", P853="A2"), XLOOKUP(N853, 'Space-Time Smackdown'!$C$2:$C889, 'Space-Time Smackdown'!$B$2:$B889)-$B$4))</f>
        <v/>
      </c>
      <c r="S853" s="277"/>
      <c r="T853" s="277"/>
      <c r="U853" s="277"/>
      <c r="V853" s="278"/>
      <c r="W853" s="443" t="str">
        <f t="array" ref="W853">IFERROR(IFS(OR(U853="A1-Mewtwo", U853="A1-Pikachu", U853="A1-Charizard", U853="A1"), $B$5-XLOOKUP(S853, 'Genetic Apex'!$C$2:$C889, 'Genetic Apex'!$B$2:$B889), U853="A1a", $B$5-XLOOKUP(S853, 'Mythical Island'!$C$2:$C889, 'Mythical Island'!$B$2:$B889), OR(U853="A2-Dialga", U853="A2-Palkia", U853="A2"), $B$5-XLOOKUP(S853, 'Space-Time Smackdown'!$C$2:$C889, 'Space-Time Smackdown'!$B$2:$B889)))</f>
        <v/>
      </c>
      <c r="X853" s="444" t="str">
        <f t="shared" si="3"/>
        <v/>
      </c>
      <c r="Y853" s="445" t="str">
        <f t="shared" si="4"/>
        <v/>
      </c>
      <c r="Z853" s="278"/>
      <c r="AA853" s="466"/>
      <c r="AB853" s="278"/>
      <c r="AC853" s="278"/>
      <c r="AD853" s="278"/>
      <c r="AE853" s="278"/>
      <c r="AF853" s="278"/>
      <c r="AG853" s="278" t="b">
        <f t="shared" si="5"/>
        <v>0</v>
      </c>
      <c r="AH853" s="454"/>
      <c r="AI853" s="278"/>
      <c r="AJ853" s="278"/>
      <c r="AK853" s="278"/>
      <c r="AL853" s="444" t="str">
        <f t="array" ref="AL853">IFERROR(IFS(OR(AJ853="A1-Mewtwo", AJ853="A1-Pikachu", AJ853="A1-Charizard", AJ853="A1"), XLOOKUP(AH853, 'Genetic Apex'!$C$2:$C889, 'Genetic Apex'!$B$2:$B889)-2, AJ853="A1a", XLOOKUP(AH853, 'Mythical Island'!$C$2:$C889, 'Mythical Island'!$B$2:$B889)-2, OR(AJ853="A2-Dialga", AJ853="A2-Palkia", AJ853="A2"), XLOOKUP(AH853, 'Space-Time Smackdown'!$C$2:$C889, 'Space-Time Smackdown'!$B$2:$B889)-2))</f>
        <v/>
      </c>
      <c r="AM853" s="444" t="str">
        <f t="shared" si="6"/>
        <v/>
      </c>
      <c r="AN853" s="448" t="str">
        <f t="shared" si="7"/>
        <v/>
      </c>
    </row>
    <row r="854">
      <c r="A854" s="277"/>
      <c r="B854" s="277"/>
      <c r="C854" s="441"/>
      <c r="D854" s="277"/>
      <c r="E854" s="277"/>
      <c r="F854" s="277"/>
      <c r="G854" s="277"/>
      <c r="H854" s="277" t="b">
        <f t="shared" si="1"/>
        <v>0</v>
      </c>
      <c r="I854" s="277"/>
      <c r="J854" s="277"/>
      <c r="K854" s="277"/>
      <c r="L854" s="277"/>
      <c r="M854" s="440" t="b">
        <f t="shared" si="2"/>
        <v>0</v>
      </c>
      <c r="N854" s="441"/>
      <c r="O854" s="277"/>
      <c r="P854" s="277"/>
      <c r="Q854" s="278"/>
      <c r="R854" s="449" t="str">
        <f t="array" ref="R854">IFERROR(IFS(OR(P854="A1-Mewtwo", P854="A1-Pikachu", P854="A1-Charizard", P854="A1"), XLOOKUP(N854, 'Genetic Apex'!$C$2:$C889, 'Genetic Apex'!$B$2:$B889)-$B$4, P854="A1a", XLOOKUP(N854, 'Mythical Island'!$C$2:$C889, 'Mythical Island'!$B$2:$B889)-$B$4, OR(P854="A2-Dialga", P854="A2-Palkia", P854="A2"), XLOOKUP(N854, 'Space-Time Smackdown'!$C$2:$C889, 'Space-Time Smackdown'!$B$2:$B889)-$B$4))</f>
        <v/>
      </c>
      <c r="S854" s="277"/>
      <c r="T854" s="277"/>
      <c r="U854" s="277"/>
      <c r="V854" s="278"/>
      <c r="W854" s="443" t="str">
        <f t="array" ref="W854">IFERROR(IFS(OR(U854="A1-Mewtwo", U854="A1-Pikachu", U854="A1-Charizard", U854="A1"), $B$5-XLOOKUP(S854, 'Genetic Apex'!$C$2:$C889, 'Genetic Apex'!$B$2:$B889), U854="A1a", $B$5-XLOOKUP(S854, 'Mythical Island'!$C$2:$C889, 'Mythical Island'!$B$2:$B889), OR(U854="A2-Dialga", U854="A2-Palkia", U854="A2"), $B$5-XLOOKUP(S854, 'Space-Time Smackdown'!$C$2:$C889, 'Space-Time Smackdown'!$B$2:$B889)))</f>
        <v/>
      </c>
      <c r="X854" s="444" t="str">
        <f t="shared" si="3"/>
        <v/>
      </c>
      <c r="Y854" s="445" t="str">
        <f t="shared" si="4"/>
        <v/>
      </c>
      <c r="Z854" s="278"/>
      <c r="AA854" s="466"/>
      <c r="AB854" s="278"/>
      <c r="AC854" s="278"/>
      <c r="AD854" s="278"/>
      <c r="AE854" s="278"/>
      <c r="AF854" s="278"/>
      <c r="AG854" s="278" t="b">
        <f t="shared" si="5"/>
        <v>0</v>
      </c>
      <c r="AH854" s="454"/>
      <c r="AI854" s="278"/>
      <c r="AJ854" s="278"/>
      <c r="AK854" s="278"/>
      <c r="AL854" s="444" t="str">
        <f t="array" ref="AL854">IFERROR(IFS(OR(AJ854="A1-Mewtwo", AJ854="A1-Pikachu", AJ854="A1-Charizard", AJ854="A1"), XLOOKUP(AH854, 'Genetic Apex'!$C$2:$C889, 'Genetic Apex'!$B$2:$B889)-2, AJ854="A1a", XLOOKUP(AH854, 'Mythical Island'!$C$2:$C889, 'Mythical Island'!$B$2:$B889)-2, OR(AJ854="A2-Dialga", AJ854="A2-Palkia", AJ854="A2"), XLOOKUP(AH854, 'Space-Time Smackdown'!$C$2:$C889, 'Space-Time Smackdown'!$B$2:$B889)-2))</f>
        <v/>
      </c>
      <c r="AM854" s="444" t="str">
        <f t="shared" si="6"/>
        <v/>
      </c>
      <c r="AN854" s="448" t="str">
        <f t="shared" si="7"/>
        <v/>
      </c>
    </row>
    <row r="855">
      <c r="A855" s="277"/>
      <c r="B855" s="277"/>
      <c r="C855" s="441"/>
      <c r="D855" s="277"/>
      <c r="E855" s="277"/>
      <c r="F855" s="277"/>
      <c r="G855" s="277"/>
      <c r="H855" s="277" t="b">
        <f t="shared" si="1"/>
        <v>0</v>
      </c>
      <c r="I855" s="277"/>
      <c r="J855" s="277"/>
      <c r="K855" s="277"/>
      <c r="L855" s="277"/>
      <c r="M855" s="440" t="b">
        <f t="shared" si="2"/>
        <v>0</v>
      </c>
      <c r="N855" s="441"/>
      <c r="O855" s="277"/>
      <c r="P855" s="277"/>
      <c r="Q855" s="278"/>
      <c r="R855" s="449" t="str">
        <f t="array" ref="R855">IFERROR(IFS(OR(P855="A1-Mewtwo", P855="A1-Pikachu", P855="A1-Charizard", P855="A1"), XLOOKUP(N855, 'Genetic Apex'!$C$2:$C889, 'Genetic Apex'!$B$2:$B889)-$B$4, P855="A1a", XLOOKUP(N855, 'Mythical Island'!$C$2:$C889, 'Mythical Island'!$B$2:$B889)-$B$4, OR(P855="A2-Dialga", P855="A2-Palkia", P855="A2"), XLOOKUP(N855, 'Space-Time Smackdown'!$C$2:$C889, 'Space-Time Smackdown'!$B$2:$B889)-$B$4))</f>
        <v/>
      </c>
      <c r="S855" s="277"/>
      <c r="T855" s="277"/>
      <c r="U855" s="277"/>
      <c r="V855" s="278"/>
      <c r="W855" s="443" t="str">
        <f t="array" ref="W855">IFERROR(IFS(OR(U855="A1-Mewtwo", U855="A1-Pikachu", U855="A1-Charizard", U855="A1"), $B$5-XLOOKUP(S855, 'Genetic Apex'!$C$2:$C889, 'Genetic Apex'!$B$2:$B889), U855="A1a", $B$5-XLOOKUP(S855, 'Mythical Island'!$C$2:$C889, 'Mythical Island'!$B$2:$B889), OR(U855="A2-Dialga", U855="A2-Palkia", U855="A2"), $B$5-XLOOKUP(S855, 'Space-Time Smackdown'!$C$2:$C889, 'Space-Time Smackdown'!$B$2:$B889)))</f>
        <v/>
      </c>
      <c r="X855" s="444" t="str">
        <f t="shared" si="3"/>
        <v/>
      </c>
      <c r="Y855" s="445" t="str">
        <f t="shared" si="4"/>
        <v/>
      </c>
      <c r="Z855" s="278"/>
      <c r="AA855" s="466"/>
      <c r="AB855" s="278"/>
      <c r="AC855" s="278"/>
      <c r="AD855" s="278"/>
      <c r="AE855" s="278"/>
      <c r="AF855" s="278"/>
      <c r="AG855" s="278" t="b">
        <f t="shared" si="5"/>
        <v>0</v>
      </c>
      <c r="AH855" s="454"/>
      <c r="AI855" s="278"/>
      <c r="AJ855" s="278"/>
      <c r="AK855" s="278"/>
      <c r="AL855" s="444" t="str">
        <f t="array" ref="AL855">IFERROR(IFS(OR(AJ855="A1-Mewtwo", AJ855="A1-Pikachu", AJ855="A1-Charizard", AJ855="A1"), XLOOKUP(AH855, 'Genetic Apex'!$C$2:$C889, 'Genetic Apex'!$B$2:$B889)-2, AJ855="A1a", XLOOKUP(AH855, 'Mythical Island'!$C$2:$C889, 'Mythical Island'!$B$2:$B889)-2, OR(AJ855="A2-Dialga", AJ855="A2-Palkia", AJ855="A2"), XLOOKUP(AH855, 'Space-Time Smackdown'!$C$2:$C889, 'Space-Time Smackdown'!$B$2:$B889)-2))</f>
        <v/>
      </c>
      <c r="AM855" s="444" t="str">
        <f t="shared" si="6"/>
        <v/>
      </c>
      <c r="AN855" s="448" t="str">
        <f t="shared" si="7"/>
        <v/>
      </c>
    </row>
    <row r="856">
      <c r="A856" s="277"/>
      <c r="B856" s="277"/>
      <c r="C856" s="441"/>
      <c r="D856" s="277"/>
      <c r="E856" s="277"/>
      <c r="F856" s="277"/>
      <c r="G856" s="277"/>
      <c r="H856" s="277" t="b">
        <f t="shared" si="1"/>
        <v>0</v>
      </c>
      <c r="I856" s="277"/>
      <c r="J856" s="277"/>
      <c r="K856" s="277"/>
      <c r="L856" s="277"/>
      <c r="M856" s="440" t="b">
        <f t="shared" si="2"/>
        <v>0</v>
      </c>
      <c r="N856" s="441"/>
      <c r="O856" s="277"/>
      <c r="P856" s="277"/>
      <c r="Q856" s="278"/>
      <c r="R856" s="449" t="str">
        <f t="array" ref="R856">IFERROR(IFS(OR(P856="A1-Mewtwo", P856="A1-Pikachu", P856="A1-Charizard", P856="A1"), XLOOKUP(N856, 'Genetic Apex'!$C$2:$C889, 'Genetic Apex'!$B$2:$B889)-$B$4, P856="A1a", XLOOKUP(N856, 'Mythical Island'!$C$2:$C889, 'Mythical Island'!$B$2:$B889)-$B$4, OR(P856="A2-Dialga", P856="A2-Palkia", P856="A2"), XLOOKUP(N856, 'Space-Time Smackdown'!$C$2:$C889, 'Space-Time Smackdown'!$B$2:$B889)-$B$4))</f>
        <v/>
      </c>
      <c r="S856" s="277"/>
      <c r="T856" s="277"/>
      <c r="U856" s="277"/>
      <c r="V856" s="278"/>
      <c r="W856" s="443" t="str">
        <f t="array" ref="W856">IFERROR(IFS(OR(U856="A1-Mewtwo", U856="A1-Pikachu", U856="A1-Charizard", U856="A1"), $B$5-XLOOKUP(S856, 'Genetic Apex'!$C$2:$C889, 'Genetic Apex'!$B$2:$B889), U856="A1a", $B$5-XLOOKUP(S856, 'Mythical Island'!$C$2:$C889, 'Mythical Island'!$B$2:$B889), OR(U856="A2-Dialga", U856="A2-Palkia", U856="A2"), $B$5-XLOOKUP(S856, 'Space-Time Smackdown'!$C$2:$C889, 'Space-Time Smackdown'!$B$2:$B889)))</f>
        <v/>
      </c>
      <c r="X856" s="444" t="str">
        <f t="shared" si="3"/>
        <v/>
      </c>
      <c r="Y856" s="445" t="str">
        <f t="shared" si="4"/>
        <v/>
      </c>
      <c r="Z856" s="278"/>
      <c r="AA856" s="466"/>
      <c r="AB856" s="278"/>
      <c r="AC856" s="278"/>
      <c r="AD856" s="278"/>
      <c r="AE856" s="278"/>
      <c r="AF856" s="278"/>
      <c r="AG856" s="278" t="b">
        <f t="shared" si="5"/>
        <v>0</v>
      </c>
      <c r="AH856" s="454"/>
      <c r="AI856" s="278"/>
      <c r="AJ856" s="278"/>
      <c r="AK856" s="278"/>
      <c r="AL856" s="444" t="str">
        <f t="array" ref="AL856">IFERROR(IFS(OR(AJ856="A1-Mewtwo", AJ856="A1-Pikachu", AJ856="A1-Charizard", AJ856="A1"), XLOOKUP(AH856, 'Genetic Apex'!$C$2:$C889, 'Genetic Apex'!$B$2:$B889)-2, AJ856="A1a", XLOOKUP(AH856, 'Mythical Island'!$C$2:$C889, 'Mythical Island'!$B$2:$B889)-2, OR(AJ856="A2-Dialga", AJ856="A2-Palkia", AJ856="A2"), XLOOKUP(AH856, 'Space-Time Smackdown'!$C$2:$C889, 'Space-Time Smackdown'!$B$2:$B889)-2))</f>
        <v/>
      </c>
      <c r="AM856" s="444" t="str">
        <f t="shared" si="6"/>
        <v/>
      </c>
      <c r="AN856" s="448" t="str">
        <f t="shared" si="7"/>
        <v/>
      </c>
    </row>
    <row r="857">
      <c r="A857" s="277"/>
      <c r="B857" s="277"/>
      <c r="C857" s="441"/>
      <c r="D857" s="277"/>
      <c r="E857" s="277"/>
      <c r="F857" s="277"/>
      <c r="G857" s="277"/>
      <c r="H857" s="277" t="b">
        <f t="shared" si="1"/>
        <v>0</v>
      </c>
      <c r="I857" s="277"/>
      <c r="J857" s="277"/>
      <c r="K857" s="277"/>
      <c r="L857" s="277"/>
      <c r="M857" s="440" t="b">
        <f t="shared" si="2"/>
        <v>0</v>
      </c>
      <c r="N857" s="441"/>
      <c r="O857" s="277"/>
      <c r="P857" s="277"/>
      <c r="Q857" s="278"/>
      <c r="R857" s="449" t="str">
        <f t="array" ref="R857">IFERROR(IFS(OR(P857="A1-Mewtwo", P857="A1-Pikachu", P857="A1-Charizard", P857="A1"), XLOOKUP(N857, 'Genetic Apex'!$C$2:$C889, 'Genetic Apex'!$B$2:$B889)-$B$4, P857="A1a", XLOOKUP(N857, 'Mythical Island'!$C$2:$C889, 'Mythical Island'!$B$2:$B889)-$B$4, OR(P857="A2-Dialga", P857="A2-Palkia", P857="A2"), XLOOKUP(N857, 'Space-Time Smackdown'!$C$2:$C889, 'Space-Time Smackdown'!$B$2:$B889)-$B$4))</f>
        <v/>
      </c>
      <c r="S857" s="277"/>
      <c r="T857" s="277"/>
      <c r="U857" s="277"/>
      <c r="V857" s="278"/>
      <c r="W857" s="443" t="str">
        <f t="array" ref="W857">IFERROR(IFS(OR(U857="A1-Mewtwo", U857="A1-Pikachu", U857="A1-Charizard", U857="A1"), $B$5-XLOOKUP(S857, 'Genetic Apex'!$C$2:$C889, 'Genetic Apex'!$B$2:$B889), U857="A1a", $B$5-XLOOKUP(S857, 'Mythical Island'!$C$2:$C889, 'Mythical Island'!$B$2:$B889), OR(U857="A2-Dialga", U857="A2-Palkia", U857="A2"), $B$5-XLOOKUP(S857, 'Space-Time Smackdown'!$C$2:$C889, 'Space-Time Smackdown'!$B$2:$B889)))</f>
        <v/>
      </c>
      <c r="X857" s="444" t="str">
        <f t="shared" si="3"/>
        <v/>
      </c>
      <c r="Y857" s="445" t="str">
        <f t="shared" si="4"/>
        <v/>
      </c>
      <c r="Z857" s="278"/>
      <c r="AA857" s="466"/>
      <c r="AB857" s="278"/>
      <c r="AC857" s="278"/>
      <c r="AD857" s="278"/>
      <c r="AE857" s="278"/>
      <c r="AF857" s="278"/>
      <c r="AG857" s="278" t="b">
        <f t="shared" si="5"/>
        <v>0</v>
      </c>
      <c r="AH857" s="454"/>
      <c r="AI857" s="278"/>
      <c r="AJ857" s="278"/>
      <c r="AK857" s="278"/>
      <c r="AL857" s="444" t="str">
        <f t="array" ref="AL857">IFERROR(IFS(OR(AJ857="A1-Mewtwo", AJ857="A1-Pikachu", AJ857="A1-Charizard", AJ857="A1"), XLOOKUP(AH857, 'Genetic Apex'!$C$2:$C889, 'Genetic Apex'!$B$2:$B889)-2, AJ857="A1a", XLOOKUP(AH857, 'Mythical Island'!$C$2:$C889, 'Mythical Island'!$B$2:$B889)-2, OR(AJ857="A2-Dialga", AJ857="A2-Palkia", AJ857="A2"), XLOOKUP(AH857, 'Space-Time Smackdown'!$C$2:$C889, 'Space-Time Smackdown'!$B$2:$B889)-2))</f>
        <v/>
      </c>
      <c r="AM857" s="444" t="str">
        <f t="shared" si="6"/>
        <v/>
      </c>
      <c r="AN857" s="448" t="str">
        <f t="shared" si="7"/>
        <v/>
      </c>
    </row>
    <row r="858">
      <c r="A858" s="277"/>
      <c r="B858" s="277"/>
      <c r="C858" s="441"/>
      <c r="D858" s="277"/>
      <c r="E858" s="277"/>
      <c r="F858" s="277"/>
      <c r="G858" s="277"/>
      <c r="H858" s="277" t="b">
        <f t="shared" si="1"/>
        <v>0</v>
      </c>
      <c r="I858" s="277"/>
      <c r="J858" s="277"/>
      <c r="K858" s="277"/>
      <c r="L858" s="277"/>
      <c r="M858" s="440" t="b">
        <f t="shared" si="2"/>
        <v>0</v>
      </c>
      <c r="N858" s="441"/>
      <c r="O858" s="277"/>
      <c r="P858" s="277"/>
      <c r="Q858" s="278"/>
      <c r="R858" s="449" t="str">
        <f t="array" ref="R858">IFERROR(IFS(OR(P858="A1-Mewtwo", P858="A1-Pikachu", P858="A1-Charizard", P858="A1"), XLOOKUP(N858, 'Genetic Apex'!$C$2:$C889, 'Genetic Apex'!$B$2:$B889)-$B$4, P858="A1a", XLOOKUP(N858, 'Mythical Island'!$C$2:$C889, 'Mythical Island'!$B$2:$B889)-$B$4, OR(P858="A2-Dialga", P858="A2-Palkia", P858="A2"), XLOOKUP(N858, 'Space-Time Smackdown'!$C$2:$C889, 'Space-Time Smackdown'!$B$2:$B889)-$B$4))</f>
        <v/>
      </c>
      <c r="S858" s="277"/>
      <c r="T858" s="277"/>
      <c r="U858" s="277"/>
      <c r="V858" s="278"/>
      <c r="W858" s="443" t="str">
        <f t="array" ref="W858">IFERROR(IFS(OR(U858="A1-Mewtwo", U858="A1-Pikachu", U858="A1-Charizard", U858="A1"), $B$5-XLOOKUP(S858, 'Genetic Apex'!$C$2:$C889, 'Genetic Apex'!$B$2:$B889), U858="A1a", $B$5-XLOOKUP(S858, 'Mythical Island'!$C$2:$C889, 'Mythical Island'!$B$2:$B889), OR(U858="A2-Dialga", U858="A2-Palkia", U858="A2"), $B$5-XLOOKUP(S858, 'Space-Time Smackdown'!$C$2:$C889, 'Space-Time Smackdown'!$B$2:$B889)))</f>
        <v/>
      </c>
      <c r="X858" s="444" t="str">
        <f t="shared" si="3"/>
        <v/>
      </c>
      <c r="Y858" s="445" t="str">
        <f t="shared" si="4"/>
        <v/>
      </c>
      <c r="Z858" s="278"/>
      <c r="AA858" s="466"/>
      <c r="AB858" s="278"/>
      <c r="AC858" s="278"/>
      <c r="AD858" s="278"/>
      <c r="AE858" s="278"/>
      <c r="AF858" s="278"/>
      <c r="AG858" s="278" t="b">
        <f t="shared" si="5"/>
        <v>0</v>
      </c>
      <c r="AH858" s="454"/>
      <c r="AI858" s="278"/>
      <c r="AJ858" s="278"/>
      <c r="AK858" s="278"/>
      <c r="AL858" s="444" t="str">
        <f t="array" ref="AL858">IFERROR(IFS(OR(AJ858="A1-Mewtwo", AJ858="A1-Pikachu", AJ858="A1-Charizard", AJ858="A1"), XLOOKUP(AH858, 'Genetic Apex'!$C$2:$C889, 'Genetic Apex'!$B$2:$B889)-2, AJ858="A1a", XLOOKUP(AH858, 'Mythical Island'!$C$2:$C889, 'Mythical Island'!$B$2:$B889)-2, OR(AJ858="A2-Dialga", AJ858="A2-Palkia", AJ858="A2"), XLOOKUP(AH858, 'Space-Time Smackdown'!$C$2:$C889, 'Space-Time Smackdown'!$B$2:$B889)-2))</f>
        <v/>
      </c>
      <c r="AM858" s="444" t="str">
        <f t="shared" si="6"/>
        <v/>
      </c>
      <c r="AN858" s="448" t="str">
        <f t="shared" si="7"/>
        <v/>
      </c>
    </row>
    <row r="859">
      <c r="A859" s="277"/>
      <c r="B859" s="277"/>
      <c r="C859" s="441"/>
      <c r="D859" s="277"/>
      <c r="E859" s="277"/>
      <c r="F859" s="277"/>
      <c r="G859" s="277"/>
      <c r="H859" s="277" t="b">
        <f t="shared" si="1"/>
        <v>0</v>
      </c>
      <c r="I859" s="277"/>
      <c r="J859" s="277"/>
      <c r="K859" s="277"/>
      <c r="L859" s="277"/>
      <c r="M859" s="440" t="b">
        <f t="shared" si="2"/>
        <v>0</v>
      </c>
      <c r="N859" s="441"/>
      <c r="O859" s="277"/>
      <c r="P859" s="277"/>
      <c r="Q859" s="278"/>
      <c r="R859" s="449" t="str">
        <f t="array" ref="R859">IFERROR(IFS(OR(P859="A1-Mewtwo", P859="A1-Pikachu", P859="A1-Charizard", P859="A1"), XLOOKUP(N859, 'Genetic Apex'!$C$2:$C889, 'Genetic Apex'!$B$2:$B889)-$B$4, P859="A1a", XLOOKUP(N859, 'Mythical Island'!$C$2:$C889, 'Mythical Island'!$B$2:$B889)-$B$4, OR(P859="A2-Dialga", P859="A2-Palkia", P859="A2"), XLOOKUP(N859, 'Space-Time Smackdown'!$C$2:$C889, 'Space-Time Smackdown'!$B$2:$B889)-$B$4))</f>
        <v/>
      </c>
      <c r="S859" s="277"/>
      <c r="T859" s="277"/>
      <c r="U859" s="277"/>
      <c r="V859" s="278"/>
      <c r="W859" s="443" t="str">
        <f t="array" ref="W859">IFERROR(IFS(OR(U859="A1-Mewtwo", U859="A1-Pikachu", U859="A1-Charizard", U859="A1"), $B$5-XLOOKUP(S859, 'Genetic Apex'!$C$2:$C889, 'Genetic Apex'!$B$2:$B889), U859="A1a", $B$5-XLOOKUP(S859, 'Mythical Island'!$C$2:$C889, 'Mythical Island'!$B$2:$B889), OR(U859="A2-Dialga", U859="A2-Palkia", U859="A2"), $B$5-XLOOKUP(S859, 'Space-Time Smackdown'!$C$2:$C889, 'Space-Time Smackdown'!$B$2:$B889)))</f>
        <v/>
      </c>
      <c r="X859" s="444" t="str">
        <f t="shared" si="3"/>
        <v/>
      </c>
      <c r="Y859" s="445" t="str">
        <f t="shared" si="4"/>
        <v/>
      </c>
      <c r="Z859" s="278"/>
      <c r="AA859" s="466"/>
      <c r="AB859" s="278"/>
      <c r="AC859" s="278"/>
      <c r="AD859" s="278"/>
      <c r="AE859" s="278"/>
      <c r="AF859" s="278"/>
      <c r="AG859" s="278" t="b">
        <f t="shared" si="5"/>
        <v>0</v>
      </c>
      <c r="AH859" s="454"/>
      <c r="AI859" s="278"/>
      <c r="AJ859" s="278"/>
      <c r="AK859" s="278"/>
      <c r="AL859" s="444" t="str">
        <f t="array" ref="AL859">IFERROR(IFS(OR(AJ859="A1-Mewtwo", AJ859="A1-Pikachu", AJ859="A1-Charizard", AJ859="A1"), XLOOKUP(AH859, 'Genetic Apex'!$C$2:$C889, 'Genetic Apex'!$B$2:$B889)-2, AJ859="A1a", XLOOKUP(AH859, 'Mythical Island'!$C$2:$C889, 'Mythical Island'!$B$2:$B889)-2, OR(AJ859="A2-Dialga", AJ859="A2-Palkia", AJ859="A2"), XLOOKUP(AH859, 'Space-Time Smackdown'!$C$2:$C889, 'Space-Time Smackdown'!$B$2:$B889)-2))</f>
        <v/>
      </c>
      <c r="AM859" s="444" t="str">
        <f t="shared" si="6"/>
        <v/>
      </c>
      <c r="AN859" s="448" t="str">
        <f t="shared" si="7"/>
        <v/>
      </c>
    </row>
    <row r="860">
      <c r="A860" s="277"/>
      <c r="B860" s="277"/>
      <c r="C860" s="441"/>
      <c r="D860" s="277"/>
      <c r="E860" s="277"/>
      <c r="F860" s="277"/>
      <c r="G860" s="277"/>
      <c r="H860" s="277" t="b">
        <f t="shared" si="1"/>
        <v>0</v>
      </c>
      <c r="I860" s="277"/>
      <c r="J860" s="277"/>
      <c r="K860" s="277"/>
      <c r="L860" s="277"/>
      <c r="M860" s="440" t="b">
        <f t="shared" si="2"/>
        <v>0</v>
      </c>
      <c r="N860" s="441"/>
      <c r="O860" s="277"/>
      <c r="P860" s="277"/>
      <c r="Q860" s="278"/>
      <c r="R860" s="449" t="str">
        <f t="array" ref="R860">IFERROR(IFS(OR(P860="A1-Mewtwo", P860="A1-Pikachu", P860="A1-Charizard", P860="A1"), XLOOKUP(N860, 'Genetic Apex'!$C$2:$C889, 'Genetic Apex'!$B$2:$B889)-$B$4, P860="A1a", XLOOKUP(N860, 'Mythical Island'!$C$2:$C889, 'Mythical Island'!$B$2:$B889)-$B$4, OR(P860="A2-Dialga", P860="A2-Palkia", P860="A2"), XLOOKUP(N860, 'Space-Time Smackdown'!$C$2:$C889, 'Space-Time Smackdown'!$B$2:$B889)-$B$4))</f>
        <v/>
      </c>
      <c r="S860" s="277"/>
      <c r="T860" s="277"/>
      <c r="U860" s="277"/>
      <c r="V860" s="278"/>
      <c r="W860" s="443" t="str">
        <f t="array" ref="W860">IFERROR(IFS(OR(U860="A1-Mewtwo", U860="A1-Pikachu", U860="A1-Charizard", U860="A1"), $B$5-XLOOKUP(S860, 'Genetic Apex'!$C$2:$C889, 'Genetic Apex'!$B$2:$B889), U860="A1a", $B$5-XLOOKUP(S860, 'Mythical Island'!$C$2:$C889, 'Mythical Island'!$B$2:$B889), OR(U860="A2-Dialga", U860="A2-Palkia", U860="A2"), $B$5-XLOOKUP(S860, 'Space-Time Smackdown'!$C$2:$C889, 'Space-Time Smackdown'!$B$2:$B889)))</f>
        <v/>
      </c>
      <c r="X860" s="444" t="str">
        <f t="shared" si="3"/>
        <v/>
      </c>
      <c r="Y860" s="445" t="str">
        <f t="shared" si="4"/>
        <v/>
      </c>
      <c r="Z860" s="278"/>
      <c r="AA860" s="466"/>
      <c r="AB860" s="278"/>
      <c r="AC860" s="278"/>
      <c r="AD860" s="278"/>
      <c r="AE860" s="278"/>
      <c r="AF860" s="278"/>
      <c r="AG860" s="278" t="b">
        <f t="shared" si="5"/>
        <v>0</v>
      </c>
      <c r="AH860" s="454"/>
      <c r="AI860" s="278"/>
      <c r="AJ860" s="278"/>
      <c r="AK860" s="278"/>
      <c r="AL860" s="444" t="str">
        <f t="array" ref="AL860">IFERROR(IFS(OR(AJ860="A1-Mewtwo", AJ860="A1-Pikachu", AJ860="A1-Charizard", AJ860="A1"), XLOOKUP(AH860, 'Genetic Apex'!$C$2:$C889, 'Genetic Apex'!$B$2:$B889)-2, AJ860="A1a", XLOOKUP(AH860, 'Mythical Island'!$C$2:$C889, 'Mythical Island'!$B$2:$B889)-2, OR(AJ860="A2-Dialga", AJ860="A2-Palkia", AJ860="A2"), XLOOKUP(AH860, 'Space-Time Smackdown'!$C$2:$C889, 'Space-Time Smackdown'!$B$2:$B889)-2))</f>
        <v/>
      </c>
      <c r="AM860" s="444" t="str">
        <f t="shared" si="6"/>
        <v/>
      </c>
      <c r="AN860" s="448" t="str">
        <f t="shared" si="7"/>
        <v/>
      </c>
    </row>
    <row r="861">
      <c r="A861" s="277"/>
      <c r="B861" s="277"/>
      <c r="C861" s="441"/>
      <c r="D861" s="277"/>
      <c r="E861" s="277"/>
      <c r="F861" s="277"/>
      <c r="G861" s="277"/>
      <c r="H861" s="277" t="b">
        <f t="shared" si="1"/>
        <v>0</v>
      </c>
      <c r="I861" s="277"/>
      <c r="J861" s="277"/>
      <c r="K861" s="277"/>
      <c r="L861" s="277"/>
      <c r="M861" s="440" t="b">
        <f t="shared" si="2"/>
        <v>0</v>
      </c>
      <c r="N861" s="441"/>
      <c r="O861" s="277"/>
      <c r="P861" s="277"/>
      <c r="Q861" s="278"/>
      <c r="R861" s="449" t="str">
        <f t="array" ref="R861">IFERROR(IFS(OR(P861="A1-Mewtwo", P861="A1-Pikachu", P861="A1-Charizard", P861="A1"), XLOOKUP(N861, 'Genetic Apex'!$C$2:$C889, 'Genetic Apex'!$B$2:$B889)-$B$4, P861="A1a", XLOOKUP(N861, 'Mythical Island'!$C$2:$C889, 'Mythical Island'!$B$2:$B889)-$B$4, OR(P861="A2-Dialga", P861="A2-Palkia", P861="A2"), XLOOKUP(N861, 'Space-Time Smackdown'!$C$2:$C889, 'Space-Time Smackdown'!$B$2:$B889)-$B$4))</f>
        <v/>
      </c>
      <c r="S861" s="277"/>
      <c r="T861" s="277"/>
      <c r="U861" s="277"/>
      <c r="V861" s="278"/>
      <c r="W861" s="443" t="str">
        <f t="array" ref="W861">IFERROR(IFS(OR(U861="A1-Mewtwo", U861="A1-Pikachu", U861="A1-Charizard", U861="A1"), $B$5-XLOOKUP(S861, 'Genetic Apex'!$C$2:$C889, 'Genetic Apex'!$B$2:$B889), U861="A1a", $B$5-XLOOKUP(S861, 'Mythical Island'!$C$2:$C889, 'Mythical Island'!$B$2:$B889), OR(U861="A2-Dialga", U861="A2-Palkia", U861="A2"), $B$5-XLOOKUP(S861, 'Space-Time Smackdown'!$C$2:$C889, 'Space-Time Smackdown'!$B$2:$B889)))</f>
        <v/>
      </c>
      <c r="X861" s="444" t="str">
        <f t="shared" si="3"/>
        <v/>
      </c>
      <c r="Y861" s="445" t="str">
        <f t="shared" si="4"/>
        <v/>
      </c>
      <c r="Z861" s="278"/>
      <c r="AA861" s="466"/>
      <c r="AB861" s="278"/>
      <c r="AC861" s="278"/>
      <c r="AD861" s="278"/>
      <c r="AE861" s="278"/>
      <c r="AF861" s="278"/>
      <c r="AG861" s="278" t="b">
        <f t="shared" si="5"/>
        <v>0</v>
      </c>
      <c r="AH861" s="454"/>
      <c r="AI861" s="278"/>
      <c r="AJ861" s="278"/>
      <c r="AK861" s="278"/>
      <c r="AL861" s="444" t="str">
        <f t="array" ref="AL861">IFERROR(IFS(OR(AJ861="A1-Mewtwo", AJ861="A1-Pikachu", AJ861="A1-Charizard", AJ861="A1"), XLOOKUP(AH861, 'Genetic Apex'!$C$2:$C889, 'Genetic Apex'!$B$2:$B889)-2, AJ861="A1a", XLOOKUP(AH861, 'Mythical Island'!$C$2:$C889, 'Mythical Island'!$B$2:$B889)-2, OR(AJ861="A2-Dialga", AJ861="A2-Palkia", AJ861="A2"), XLOOKUP(AH861, 'Space-Time Smackdown'!$C$2:$C889, 'Space-Time Smackdown'!$B$2:$B889)-2))</f>
        <v/>
      </c>
      <c r="AM861" s="444" t="str">
        <f t="shared" si="6"/>
        <v/>
      </c>
      <c r="AN861" s="448" t="str">
        <f t="shared" si="7"/>
        <v/>
      </c>
    </row>
    <row r="862">
      <c r="A862" s="277"/>
      <c r="B862" s="277"/>
      <c r="C862" s="441"/>
      <c r="D862" s="277"/>
      <c r="E862" s="277"/>
      <c r="F862" s="277"/>
      <c r="G862" s="277"/>
      <c r="H862" s="277" t="b">
        <f t="shared" si="1"/>
        <v>0</v>
      </c>
      <c r="I862" s="277"/>
      <c r="J862" s="277"/>
      <c r="K862" s="277"/>
      <c r="L862" s="277"/>
      <c r="M862" s="440" t="b">
        <f t="shared" si="2"/>
        <v>0</v>
      </c>
      <c r="N862" s="441"/>
      <c r="O862" s="277"/>
      <c r="P862" s="277"/>
      <c r="Q862" s="278"/>
      <c r="R862" s="449" t="str">
        <f t="array" ref="R862">IFERROR(IFS(OR(P862="A1-Mewtwo", P862="A1-Pikachu", P862="A1-Charizard", P862="A1"), XLOOKUP(N862, 'Genetic Apex'!$C$2:$C889, 'Genetic Apex'!$B$2:$B889)-$B$4, P862="A1a", XLOOKUP(N862, 'Mythical Island'!$C$2:$C889, 'Mythical Island'!$B$2:$B889)-$B$4, OR(P862="A2-Dialga", P862="A2-Palkia", P862="A2"), XLOOKUP(N862, 'Space-Time Smackdown'!$C$2:$C889, 'Space-Time Smackdown'!$B$2:$B889)-$B$4))</f>
        <v/>
      </c>
      <c r="S862" s="277"/>
      <c r="T862" s="277"/>
      <c r="U862" s="277"/>
      <c r="V862" s="278"/>
      <c r="W862" s="443" t="str">
        <f t="array" ref="W862">IFERROR(IFS(OR(U862="A1-Mewtwo", U862="A1-Pikachu", U862="A1-Charizard", U862="A1"), $B$5-XLOOKUP(S862, 'Genetic Apex'!$C$2:$C889, 'Genetic Apex'!$B$2:$B889), U862="A1a", $B$5-XLOOKUP(S862, 'Mythical Island'!$C$2:$C889, 'Mythical Island'!$B$2:$B889), OR(U862="A2-Dialga", U862="A2-Palkia", U862="A2"), $B$5-XLOOKUP(S862, 'Space-Time Smackdown'!$C$2:$C889, 'Space-Time Smackdown'!$B$2:$B889)))</f>
        <v/>
      </c>
      <c r="X862" s="444" t="str">
        <f t="shared" si="3"/>
        <v/>
      </c>
      <c r="Y862" s="445" t="str">
        <f t="shared" si="4"/>
        <v/>
      </c>
      <c r="Z862" s="278"/>
      <c r="AA862" s="466"/>
      <c r="AB862" s="278"/>
      <c r="AC862" s="278"/>
      <c r="AD862" s="278"/>
      <c r="AE862" s="278"/>
      <c r="AF862" s="278"/>
      <c r="AG862" s="278" t="b">
        <f t="shared" si="5"/>
        <v>0</v>
      </c>
      <c r="AH862" s="454"/>
      <c r="AI862" s="278"/>
      <c r="AJ862" s="278"/>
      <c r="AK862" s="278"/>
      <c r="AL862" s="444" t="str">
        <f t="array" ref="AL862">IFERROR(IFS(OR(AJ862="A1-Mewtwo", AJ862="A1-Pikachu", AJ862="A1-Charizard", AJ862="A1"), XLOOKUP(AH862, 'Genetic Apex'!$C$2:$C889, 'Genetic Apex'!$B$2:$B889)-2, AJ862="A1a", XLOOKUP(AH862, 'Mythical Island'!$C$2:$C889, 'Mythical Island'!$B$2:$B889)-2, OR(AJ862="A2-Dialga", AJ862="A2-Palkia", AJ862="A2"), XLOOKUP(AH862, 'Space-Time Smackdown'!$C$2:$C889, 'Space-Time Smackdown'!$B$2:$B889)-2))</f>
        <v/>
      </c>
      <c r="AM862" s="444" t="str">
        <f t="shared" si="6"/>
        <v/>
      </c>
      <c r="AN862" s="448" t="str">
        <f t="shared" si="7"/>
        <v/>
      </c>
    </row>
    <row r="863">
      <c r="A863" s="277"/>
      <c r="B863" s="277"/>
      <c r="C863" s="441"/>
      <c r="D863" s="277"/>
      <c r="E863" s="277"/>
      <c r="F863" s="277"/>
      <c r="G863" s="277"/>
      <c r="H863" s="277" t="b">
        <f t="shared" si="1"/>
        <v>0</v>
      </c>
      <c r="I863" s="277"/>
      <c r="J863" s="277"/>
      <c r="K863" s="277"/>
      <c r="L863" s="277"/>
      <c r="M863" s="440" t="b">
        <f t="shared" si="2"/>
        <v>0</v>
      </c>
      <c r="N863" s="441"/>
      <c r="O863" s="277"/>
      <c r="P863" s="277"/>
      <c r="Q863" s="278"/>
      <c r="R863" s="449" t="str">
        <f t="array" ref="R863">IFERROR(IFS(OR(P863="A1-Mewtwo", P863="A1-Pikachu", P863="A1-Charizard", P863="A1"), XLOOKUP(N863, 'Genetic Apex'!$C$2:$C889, 'Genetic Apex'!$B$2:$B889)-$B$4, P863="A1a", XLOOKUP(N863, 'Mythical Island'!$C$2:$C889, 'Mythical Island'!$B$2:$B889)-$B$4, OR(P863="A2-Dialga", P863="A2-Palkia", P863="A2"), XLOOKUP(N863, 'Space-Time Smackdown'!$C$2:$C889, 'Space-Time Smackdown'!$B$2:$B889)-$B$4))</f>
        <v/>
      </c>
      <c r="S863" s="277"/>
      <c r="T863" s="277"/>
      <c r="U863" s="277"/>
      <c r="V863" s="278"/>
      <c r="W863" s="443" t="str">
        <f t="array" ref="W863">IFERROR(IFS(OR(U863="A1-Mewtwo", U863="A1-Pikachu", U863="A1-Charizard", U863="A1"), $B$5-XLOOKUP(S863, 'Genetic Apex'!$C$2:$C889, 'Genetic Apex'!$B$2:$B889), U863="A1a", $B$5-XLOOKUP(S863, 'Mythical Island'!$C$2:$C889, 'Mythical Island'!$B$2:$B889), OR(U863="A2-Dialga", U863="A2-Palkia", U863="A2"), $B$5-XLOOKUP(S863, 'Space-Time Smackdown'!$C$2:$C889, 'Space-Time Smackdown'!$B$2:$B889)))</f>
        <v/>
      </c>
      <c r="X863" s="444" t="str">
        <f t="shared" si="3"/>
        <v/>
      </c>
      <c r="Y863" s="445" t="str">
        <f t="shared" si="4"/>
        <v/>
      </c>
      <c r="Z863" s="278"/>
      <c r="AA863" s="466"/>
      <c r="AB863" s="278"/>
      <c r="AC863" s="278"/>
      <c r="AD863" s="278"/>
      <c r="AE863" s="278"/>
      <c r="AF863" s="278"/>
      <c r="AG863" s="278" t="b">
        <f t="shared" si="5"/>
        <v>0</v>
      </c>
      <c r="AH863" s="454"/>
      <c r="AI863" s="278"/>
      <c r="AJ863" s="278"/>
      <c r="AK863" s="278"/>
      <c r="AL863" s="444" t="str">
        <f t="array" ref="AL863">IFERROR(IFS(OR(AJ863="A1-Mewtwo", AJ863="A1-Pikachu", AJ863="A1-Charizard", AJ863="A1"), XLOOKUP(AH863, 'Genetic Apex'!$C$2:$C889, 'Genetic Apex'!$B$2:$B889)-2, AJ863="A1a", XLOOKUP(AH863, 'Mythical Island'!$C$2:$C889, 'Mythical Island'!$B$2:$B889)-2, OR(AJ863="A2-Dialga", AJ863="A2-Palkia", AJ863="A2"), XLOOKUP(AH863, 'Space-Time Smackdown'!$C$2:$C889, 'Space-Time Smackdown'!$B$2:$B889)-2))</f>
        <v/>
      </c>
      <c r="AM863" s="444" t="str">
        <f t="shared" si="6"/>
        <v/>
      </c>
      <c r="AN863" s="448" t="str">
        <f t="shared" si="7"/>
        <v/>
      </c>
    </row>
    <row r="864">
      <c r="A864" s="277"/>
      <c r="B864" s="277"/>
      <c r="C864" s="441"/>
      <c r="D864" s="277"/>
      <c r="E864" s="277"/>
      <c r="F864" s="277"/>
      <c r="G864" s="277"/>
      <c r="H864" s="277" t="b">
        <f t="shared" si="1"/>
        <v>0</v>
      </c>
      <c r="I864" s="277"/>
      <c r="J864" s="277"/>
      <c r="K864" s="277"/>
      <c r="L864" s="277"/>
      <c r="M864" s="440" t="b">
        <f t="shared" si="2"/>
        <v>0</v>
      </c>
      <c r="N864" s="441"/>
      <c r="O864" s="277"/>
      <c r="P864" s="277"/>
      <c r="Q864" s="278"/>
      <c r="R864" s="449" t="str">
        <f t="array" ref="R864">IFERROR(IFS(OR(P864="A1-Mewtwo", P864="A1-Pikachu", P864="A1-Charizard", P864="A1"), XLOOKUP(N864, 'Genetic Apex'!$C$2:$C889, 'Genetic Apex'!$B$2:$B889)-$B$4, P864="A1a", XLOOKUP(N864, 'Mythical Island'!$C$2:$C889, 'Mythical Island'!$B$2:$B889)-$B$4, OR(P864="A2-Dialga", P864="A2-Palkia", P864="A2"), XLOOKUP(N864, 'Space-Time Smackdown'!$C$2:$C889, 'Space-Time Smackdown'!$B$2:$B889)-$B$4))</f>
        <v/>
      </c>
      <c r="S864" s="277"/>
      <c r="T864" s="277"/>
      <c r="U864" s="277"/>
      <c r="V864" s="278"/>
      <c r="W864" s="443" t="str">
        <f t="array" ref="W864">IFERROR(IFS(OR(U864="A1-Mewtwo", U864="A1-Pikachu", U864="A1-Charizard", U864="A1"), $B$5-XLOOKUP(S864, 'Genetic Apex'!$C$2:$C889, 'Genetic Apex'!$B$2:$B889), U864="A1a", $B$5-XLOOKUP(S864, 'Mythical Island'!$C$2:$C889, 'Mythical Island'!$B$2:$B889), OR(U864="A2-Dialga", U864="A2-Palkia", U864="A2"), $B$5-XLOOKUP(S864, 'Space-Time Smackdown'!$C$2:$C889, 'Space-Time Smackdown'!$B$2:$B889)))</f>
        <v/>
      </c>
      <c r="X864" s="444" t="str">
        <f t="shared" si="3"/>
        <v/>
      </c>
      <c r="Y864" s="445" t="str">
        <f t="shared" si="4"/>
        <v/>
      </c>
      <c r="Z864" s="278"/>
      <c r="AA864" s="466"/>
      <c r="AB864" s="278"/>
      <c r="AC864" s="278"/>
      <c r="AD864" s="278"/>
      <c r="AE864" s="278"/>
      <c r="AF864" s="278"/>
      <c r="AG864" s="278" t="b">
        <f t="shared" si="5"/>
        <v>0</v>
      </c>
      <c r="AH864" s="454"/>
      <c r="AI864" s="278"/>
      <c r="AJ864" s="278"/>
      <c r="AK864" s="278"/>
      <c r="AL864" s="444" t="str">
        <f t="array" ref="AL864">IFERROR(IFS(OR(AJ864="A1-Mewtwo", AJ864="A1-Pikachu", AJ864="A1-Charizard", AJ864="A1"), XLOOKUP(AH864, 'Genetic Apex'!$C$2:$C889, 'Genetic Apex'!$B$2:$B889)-2, AJ864="A1a", XLOOKUP(AH864, 'Mythical Island'!$C$2:$C889, 'Mythical Island'!$B$2:$B889)-2, OR(AJ864="A2-Dialga", AJ864="A2-Palkia", AJ864="A2"), XLOOKUP(AH864, 'Space-Time Smackdown'!$C$2:$C889, 'Space-Time Smackdown'!$B$2:$B889)-2))</f>
        <v/>
      </c>
      <c r="AM864" s="444" t="str">
        <f t="shared" si="6"/>
        <v/>
      </c>
      <c r="AN864" s="448" t="str">
        <f t="shared" si="7"/>
        <v/>
      </c>
    </row>
    <row r="865">
      <c r="A865" s="277"/>
      <c r="B865" s="277"/>
      <c r="C865" s="441"/>
      <c r="D865" s="277"/>
      <c r="E865" s="277"/>
      <c r="F865" s="277"/>
      <c r="G865" s="277"/>
      <c r="H865" s="277" t="b">
        <f t="shared" si="1"/>
        <v>0</v>
      </c>
      <c r="I865" s="277"/>
      <c r="J865" s="277"/>
      <c r="K865" s="277"/>
      <c r="L865" s="277"/>
      <c r="M865" s="440" t="b">
        <f t="shared" si="2"/>
        <v>0</v>
      </c>
      <c r="N865" s="441"/>
      <c r="O865" s="277"/>
      <c r="P865" s="277"/>
      <c r="Q865" s="278"/>
      <c r="R865" s="449" t="str">
        <f t="array" ref="R865">IFERROR(IFS(OR(P865="A1-Mewtwo", P865="A1-Pikachu", P865="A1-Charizard", P865="A1"), XLOOKUP(N865, 'Genetic Apex'!$C$2:$C889, 'Genetic Apex'!$B$2:$B889)-$B$4, P865="A1a", XLOOKUP(N865, 'Mythical Island'!$C$2:$C889, 'Mythical Island'!$B$2:$B889)-$B$4, OR(P865="A2-Dialga", P865="A2-Palkia", P865="A2"), XLOOKUP(N865, 'Space-Time Smackdown'!$C$2:$C889, 'Space-Time Smackdown'!$B$2:$B889)-$B$4))</f>
        <v/>
      </c>
      <c r="S865" s="277"/>
      <c r="T865" s="277"/>
      <c r="U865" s="277"/>
      <c r="V865" s="278"/>
      <c r="W865" s="443" t="str">
        <f t="array" ref="W865">IFERROR(IFS(OR(U865="A1-Mewtwo", U865="A1-Pikachu", U865="A1-Charizard", U865="A1"), $B$5-XLOOKUP(S865, 'Genetic Apex'!$C$2:$C889, 'Genetic Apex'!$B$2:$B889), U865="A1a", $B$5-XLOOKUP(S865, 'Mythical Island'!$C$2:$C889, 'Mythical Island'!$B$2:$B889), OR(U865="A2-Dialga", U865="A2-Palkia", U865="A2"), $B$5-XLOOKUP(S865, 'Space-Time Smackdown'!$C$2:$C889, 'Space-Time Smackdown'!$B$2:$B889)))</f>
        <v/>
      </c>
      <c r="X865" s="444" t="str">
        <f t="shared" si="3"/>
        <v/>
      </c>
      <c r="Y865" s="445" t="str">
        <f t="shared" si="4"/>
        <v/>
      </c>
      <c r="Z865" s="278"/>
      <c r="AA865" s="466"/>
      <c r="AB865" s="278"/>
      <c r="AC865" s="278"/>
      <c r="AD865" s="278"/>
      <c r="AE865" s="278"/>
      <c r="AF865" s="278"/>
      <c r="AG865" s="278" t="b">
        <f t="shared" si="5"/>
        <v>0</v>
      </c>
      <c r="AH865" s="454"/>
      <c r="AI865" s="278"/>
      <c r="AJ865" s="278"/>
      <c r="AK865" s="278"/>
      <c r="AL865" s="444" t="str">
        <f t="array" ref="AL865">IFERROR(IFS(OR(AJ865="A1-Mewtwo", AJ865="A1-Pikachu", AJ865="A1-Charizard", AJ865="A1"), XLOOKUP(AH865, 'Genetic Apex'!$C$2:$C889, 'Genetic Apex'!$B$2:$B889)-2, AJ865="A1a", XLOOKUP(AH865, 'Mythical Island'!$C$2:$C889, 'Mythical Island'!$B$2:$B889)-2, OR(AJ865="A2-Dialga", AJ865="A2-Palkia", AJ865="A2"), XLOOKUP(AH865, 'Space-Time Smackdown'!$C$2:$C889, 'Space-Time Smackdown'!$B$2:$B889)-2))</f>
        <v/>
      </c>
      <c r="AM865" s="444" t="str">
        <f t="shared" si="6"/>
        <v/>
      </c>
      <c r="AN865" s="448" t="str">
        <f t="shared" si="7"/>
        <v/>
      </c>
    </row>
    <row r="866">
      <c r="A866" s="277"/>
      <c r="B866" s="277"/>
      <c r="C866" s="441"/>
      <c r="D866" s="277"/>
      <c r="E866" s="277"/>
      <c r="F866" s="277"/>
      <c r="G866" s="277"/>
      <c r="H866" s="277" t="b">
        <f t="shared" si="1"/>
        <v>0</v>
      </c>
      <c r="I866" s="277"/>
      <c r="J866" s="277"/>
      <c r="K866" s="277"/>
      <c r="L866" s="277"/>
      <c r="M866" s="440" t="b">
        <f t="shared" si="2"/>
        <v>0</v>
      </c>
      <c r="N866" s="441"/>
      <c r="O866" s="277"/>
      <c r="P866" s="277"/>
      <c r="Q866" s="278"/>
      <c r="R866" s="449" t="str">
        <f t="array" ref="R866">IFERROR(IFS(OR(P866="A1-Mewtwo", P866="A1-Pikachu", P866="A1-Charizard", P866="A1"), XLOOKUP(N866, 'Genetic Apex'!$C$2:$C889, 'Genetic Apex'!$B$2:$B889)-$B$4, P866="A1a", XLOOKUP(N866, 'Mythical Island'!$C$2:$C889, 'Mythical Island'!$B$2:$B889)-$B$4, OR(P866="A2-Dialga", P866="A2-Palkia", P866="A2"), XLOOKUP(N866, 'Space-Time Smackdown'!$C$2:$C889, 'Space-Time Smackdown'!$B$2:$B889)-$B$4))</f>
        <v/>
      </c>
      <c r="S866" s="277"/>
      <c r="T866" s="277"/>
      <c r="U866" s="277"/>
      <c r="V866" s="278"/>
      <c r="W866" s="443" t="str">
        <f t="array" ref="W866">IFERROR(IFS(OR(U866="A1-Mewtwo", U866="A1-Pikachu", U866="A1-Charizard", U866="A1"), $B$5-XLOOKUP(S866, 'Genetic Apex'!$C$2:$C889, 'Genetic Apex'!$B$2:$B889), U866="A1a", $B$5-XLOOKUP(S866, 'Mythical Island'!$C$2:$C889, 'Mythical Island'!$B$2:$B889), OR(U866="A2-Dialga", U866="A2-Palkia", U866="A2"), $B$5-XLOOKUP(S866, 'Space-Time Smackdown'!$C$2:$C889, 'Space-Time Smackdown'!$B$2:$B889)))</f>
        <v/>
      </c>
      <c r="X866" s="444" t="str">
        <f t="shared" si="3"/>
        <v/>
      </c>
      <c r="Y866" s="445" t="str">
        <f t="shared" si="4"/>
        <v/>
      </c>
      <c r="Z866" s="278"/>
      <c r="AA866" s="466"/>
      <c r="AB866" s="278"/>
      <c r="AC866" s="278"/>
      <c r="AD866" s="278"/>
      <c r="AE866" s="278"/>
      <c r="AF866" s="278"/>
      <c r="AG866" s="278" t="b">
        <f t="shared" si="5"/>
        <v>0</v>
      </c>
      <c r="AH866" s="454"/>
      <c r="AI866" s="278"/>
      <c r="AJ866" s="278"/>
      <c r="AK866" s="278"/>
      <c r="AL866" s="444" t="str">
        <f t="array" ref="AL866">IFERROR(IFS(OR(AJ866="A1-Mewtwo", AJ866="A1-Pikachu", AJ866="A1-Charizard", AJ866="A1"), XLOOKUP(AH866, 'Genetic Apex'!$C$2:$C889, 'Genetic Apex'!$B$2:$B889)-2, AJ866="A1a", XLOOKUP(AH866, 'Mythical Island'!$C$2:$C889, 'Mythical Island'!$B$2:$B889)-2, OR(AJ866="A2-Dialga", AJ866="A2-Palkia", AJ866="A2"), XLOOKUP(AH866, 'Space-Time Smackdown'!$C$2:$C889, 'Space-Time Smackdown'!$B$2:$B889)-2))</f>
        <v/>
      </c>
      <c r="AM866" s="444" t="str">
        <f t="shared" si="6"/>
        <v/>
      </c>
      <c r="AN866" s="448" t="str">
        <f t="shared" si="7"/>
        <v/>
      </c>
    </row>
    <row r="867">
      <c r="A867" s="277"/>
      <c r="B867" s="277"/>
      <c r="C867" s="441"/>
      <c r="D867" s="277"/>
      <c r="E867" s="277"/>
      <c r="F867" s="277"/>
      <c r="G867" s="277"/>
      <c r="H867" s="277" t="b">
        <f t="shared" si="1"/>
        <v>0</v>
      </c>
      <c r="I867" s="277"/>
      <c r="J867" s="277"/>
      <c r="K867" s="277"/>
      <c r="L867" s="277"/>
      <c r="M867" s="440" t="b">
        <f t="shared" si="2"/>
        <v>0</v>
      </c>
      <c r="N867" s="441"/>
      <c r="O867" s="277"/>
      <c r="P867" s="277"/>
      <c r="Q867" s="278"/>
      <c r="R867" s="449" t="str">
        <f t="array" ref="R867">IFERROR(IFS(OR(P867="A1-Mewtwo", P867="A1-Pikachu", P867="A1-Charizard", P867="A1"), XLOOKUP(N867, 'Genetic Apex'!$C$2:$C889, 'Genetic Apex'!$B$2:$B889)-$B$4, P867="A1a", XLOOKUP(N867, 'Mythical Island'!$C$2:$C889, 'Mythical Island'!$B$2:$B889)-$B$4, OR(P867="A2-Dialga", P867="A2-Palkia", P867="A2"), XLOOKUP(N867, 'Space-Time Smackdown'!$C$2:$C889, 'Space-Time Smackdown'!$B$2:$B889)-$B$4))</f>
        <v/>
      </c>
      <c r="S867" s="277"/>
      <c r="T867" s="277"/>
      <c r="U867" s="277"/>
      <c r="V867" s="278"/>
      <c r="W867" s="443" t="str">
        <f t="array" ref="W867">IFERROR(IFS(OR(U867="A1-Mewtwo", U867="A1-Pikachu", U867="A1-Charizard", U867="A1"), $B$5-XLOOKUP(S867, 'Genetic Apex'!$C$2:$C889, 'Genetic Apex'!$B$2:$B889), U867="A1a", $B$5-XLOOKUP(S867, 'Mythical Island'!$C$2:$C889, 'Mythical Island'!$B$2:$B889), OR(U867="A2-Dialga", U867="A2-Palkia", U867="A2"), $B$5-XLOOKUP(S867, 'Space-Time Smackdown'!$C$2:$C889, 'Space-Time Smackdown'!$B$2:$B889)))</f>
        <v/>
      </c>
      <c r="X867" s="444" t="str">
        <f t="shared" si="3"/>
        <v/>
      </c>
      <c r="Y867" s="445" t="str">
        <f t="shared" si="4"/>
        <v/>
      </c>
      <c r="Z867" s="278"/>
      <c r="AA867" s="466"/>
      <c r="AB867" s="278"/>
      <c r="AC867" s="278"/>
      <c r="AD867" s="278"/>
      <c r="AE867" s="278"/>
      <c r="AF867" s="278"/>
      <c r="AG867" s="278" t="b">
        <f t="shared" si="5"/>
        <v>0</v>
      </c>
      <c r="AH867" s="454"/>
      <c r="AI867" s="278"/>
      <c r="AJ867" s="278"/>
      <c r="AK867" s="278"/>
      <c r="AL867" s="444" t="str">
        <f t="array" ref="AL867">IFERROR(IFS(OR(AJ867="A1-Mewtwo", AJ867="A1-Pikachu", AJ867="A1-Charizard", AJ867="A1"), XLOOKUP(AH867, 'Genetic Apex'!$C$2:$C889, 'Genetic Apex'!$B$2:$B889)-2, AJ867="A1a", XLOOKUP(AH867, 'Mythical Island'!$C$2:$C889, 'Mythical Island'!$B$2:$B889)-2, OR(AJ867="A2-Dialga", AJ867="A2-Palkia", AJ867="A2"), XLOOKUP(AH867, 'Space-Time Smackdown'!$C$2:$C889, 'Space-Time Smackdown'!$B$2:$B889)-2))</f>
        <v/>
      </c>
      <c r="AM867" s="444" t="str">
        <f t="shared" si="6"/>
        <v/>
      </c>
      <c r="AN867" s="448" t="str">
        <f t="shared" si="7"/>
        <v/>
      </c>
    </row>
    <row r="868">
      <c r="A868" s="277"/>
      <c r="B868" s="277"/>
      <c r="C868" s="441"/>
      <c r="D868" s="277"/>
      <c r="E868" s="277"/>
      <c r="F868" s="277"/>
      <c r="G868" s="277"/>
      <c r="H868" s="277" t="b">
        <f t="shared" si="1"/>
        <v>0</v>
      </c>
      <c r="I868" s="277"/>
      <c r="J868" s="277"/>
      <c r="K868" s="277"/>
      <c r="L868" s="277"/>
      <c r="M868" s="440" t="b">
        <f t="shared" si="2"/>
        <v>0</v>
      </c>
      <c r="N868" s="441"/>
      <c r="O868" s="277"/>
      <c r="P868" s="277"/>
      <c r="Q868" s="278"/>
      <c r="R868" s="449" t="str">
        <f t="array" ref="R868">IFERROR(IFS(OR(P868="A1-Mewtwo", P868="A1-Pikachu", P868="A1-Charizard", P868="A1"), XLOOKUP(N868, 'Genetic Apex'!$C$2:$C889, 'Genetic Apex'!$B$2:$B889)-$B$4, P868="A1a", XLOOKUP(N868, 'Mythical Island'!$C$2:$C889, 'Mythical Island'!$B$2:$B889)-$B$4, OR(P868="A2-Dialga", P868="A2-Palkia", P868="A2"), XLOOKUP(N868, 'Space-Time Smackdown'!$C$2:$C889, 'Space-Time Smackdown'!$B$2:$B889)-$B$4))</f>
        <v/>
      </c>
      <c r="S868" s="277"/>
      <c r="T868" s="277"/>
      <c r="U868" s="277"/>
      <c r="V868" s="278"/>
      <c r="W868" s="443" t="str">
        <f t="array" ref="W868">IFERROR(IFS(OR(U868="A1-Mewtwo", U868="A1-Pikachu", U868="A1-Charizard", U868="A1"), $B$5-XLOOKUP(S868, 'Genetic Apex'!$C$2:$C889, 'Genetic Apex'!$B$2:$B889), U868="A1a", $B$5-XLOOKUP(S868, 'Mythical Island'!$C$2:$C889, 'Mythical Island'!$B$2:$B889), OR(U868="A2-Dialga", U868="A2-Palkia", U868="A2"), $B$5-XLOOKUP(S868, 'Space-Time Smackdown'!$C$2:$C889, 'Space-Time Smackdown'!$B$2:$B889)))</f>
        <v/>
      </c>
      <c r="X868" s="444" t="str">
        <f t="shared" si="3"/>
        <v/>
      </c>
      <c r="Y868" s="445" t="str">
        <f t="shared" si="4"/>
        <v/>
      </c>
      <c r="Z868" s="278"/>
      <c r="AA868" s="466"/>
      <c r="AB868" s="278"/>
      <c r="AC868" s="278"/>
      <c r="AD868" s="278"/>
      <c r="AE868" s="278"/>
      <c r="AF868" s="278"/>
      <c r="AG868" s="278" t="b">
        <f t="shared" si="5"/>
        <v>0</v>
      </c>
      <c r="AH868" s="454"/>
      <c r="AI868" s="278"/>
      <c r="AJ868" s="278"/>
      <c r="AK868" s="278"/>
      <c r="AL868" s="444" t="str">
        <f t="array" ref="AL868">IFERROR(IFS(OR(AJ868="A1-Mewtwo", AJ868="A1-Pikachu", AJ868="A1-Charizard", AJ868="A1"), XLOOKUP(AH868, 'Genetic Apex'!$C$2:$C889, 'Genetic Apex'!$B$2:$B889)-2, AJ868="A1a", XLOOKUP(AH868, 'Mythical Island'!$C$2:$C889, 'Mythical Island'!$B$2:$B889)-2, OR(AJ868="A2-Dialga", AJ868="A2-Palkia", AJ868="A2"), XLOOKUP(AH868, 'Space-Time Smackdown'!$C$2:$C889, 'Space-Time Smackdown'!$B$2:$B889)-2))</f>
        <v/>
      </c>
      <c r="AM868" s="444" t="str">
        <f t="shared" si="6"/>
        <v/>
      </c>
      <c r="AN868" s="448" t="str">
        <f t="shared" si="7"/>
        <v/>
      </c>
    </row>
    <row r="869">
      <c r="A869" s="277"/>
      <c r="B869" s="277"/>
      <c r="C869" s="441"/>
      <c r="D869" s="277"/>
      <c r="E869" s="277"/>
      <c r="F869" s="277"/>
      <c r="G869" s="277"/>
      <c r="H869" s="277" t="b">
        <f t="shared" si="1"/>
        <v>0</v>
      </c>
      <c r="I869" s="277"/>
      <c r="J869" s="277"/>
      <c r="K869" s="277"/>
      <c r="L869" s="277"/>
      <c r="M869" s="440" t="b">
        <f t="shared" si="2"/>
        <v>0</v>
      </c>
      <c r="N869" s="441"/>
      <c r="O869" s="277"/>
      <c r="P869" s="277"/>
      <c r="Q869" s="278"/>
      <c r="R869" s="449" t="str">
        <f t="array" ref="R869">IFERROR(IFS(OR(P869="A1-Mewtwo", P869="A1-Pikachu", P869="A1-Charizard", P869="A1"), XLOOKUP(N869, 'Genetic Apex'!$C$2:$C889, 'Genetic Apex'!$B$2:$B889)-$B$4, P869="A1a", XLOOKUP(N869, 'Mythical Island'!$C$2:$C889, 'Mythical Island'!$B$2:$B889)-$B$4, OR(P869="A2-Dialga", P869="A2-Palkia", P869="A2"), XLOOKUP(N869, 'Space-Time Smackdown'!$C$2:$C889, 'Space-Time Smackdown'!$B$2:$B889)-$B$4))</f>
        <v/>
      </c>
      <c r="S869" s="277"/>
      <c r="T869" s="277"/>
      <c r="U869" s="277"/>
      <c r="V869" s="278"/>
      <c r="W869" s="443" t="str">
        <f t="array" ref="W869">IFERROR(IFS(OR(U869="A1-Mewtwo", U869="A1-Pikachu", U869="A1-Charizard", U869="A1"), $B$5-XLOOKUP(S869, 'Genetic Apex'!$C$2:$C889, 'Genetic Apex'!$B$2:$B889), U869="A1a", $B$5-XLOOKUP(S869, 'Mythical Island'!$C$2:$C889, 'Mythical Island'!$B$2:$B889), OR(U869="A2-Dialga", U869="A2-Palkia", U869="A2"), $B$5-XLOOKUP(S869, 'Space-Time Smackdown'!$C$2:$C889, 'Space-Time Smackdown'!$B$2:$B889)))</f>
        <v/>
      </c>
      <c r="X869" s="444" t="str">
        <f t="shared" si="3"/>
        <v/>
      </c>
      <c r="Y869" s="445" t="str">
        <f t="shared" si="4"/>
        <v/>
      </c>
      <c r="Z869" s="278"/>
      <c r="AA869" s="466"/>
      <c r="AB869" s="278"/>
      <c r="AC869" s="278"/>
      <c r="AD869" s="278"/>
      <c r="AE869" s="278"/>
      <c r="AF869" s="278"/>
      <c r="AG869" s="278" t="b">
        <f t="shared" si="5"/>
        <v>0</v>
      </c>
      <c r="AH869" s="454"/>
      <c r="AI869" s="278"/>
      <c r="AJ869" s="278"/>
      <c r="AK869" s="278"/>
      <c r="AL869" s="444" t="str">
        <f t="array" ref="AL869">IFERROR(IFS(OR(AJ869="A1-Mewtwo", AJ869="A1-Pikachu", AJ869="A1-Charizard", AJ869="A1"), XLOOKUP(AH869, 'Genetic Apex'!$C$2:$C889, 'Genetic Apex'!$B$2:$B889)-2, AJ869="A1a", XLOOKUP(AH869, 'Mythical Island'!$C$2:$C889, 'Mythical Island'!$B$2:$B889)-2, OR(AJ869="A2-Dialga", AJ869="A2-Palkia", AJ869="A2"), XLOOKUP(AH869, 'Space-Time Smackdown'!$C$2:$C889, 'Space-Time Smackdown'!$B$2:$B889)-2))</f>
        <v/>
      </c>
      <c r="AM869" s="444" t="str">
        <f t="shared" si="6"/>
        <v/>
      </c>
      <c r="AN869" s="448" t="str">
        <f t="shared" si="7"/>
        <v/>
      </c>
    </row>
    <row r="870">
      <c r="A870" s="277"/>
      <c r="B870" s="277"/>
      <c r="C870" s="441"/>
      <c r="D870" s="277"/>
      <c r="E870" s="277"/>
      <c r="F870" s="277"/>
      <c r="G870" s="277"/>
      <c r="H870" s="277" t="b">
        <f t="shared" si="1"/>
        <v>0</v>
      </c>
      <c r="I870" s="277"/>
      <c r="J870" s="277"/>
      <c r="K870" s="277"/>
      <c r="L870" s="277"/>
      <c r="M870" s="440" t="b">
        <f t="shared" si="2"/>
        <v>0</v>
      </c>
      <c r="N870" s="441"/>
      <c r="O870" s="277"/>
      <c r="P870" s="277"/>
      <c r="Q870" s="278"/>
      <c r="R870" s="449" t="str">
        <f t="array" ref="R870">IFERROR(IFS(OR(P870="A1-Mewtwo", P870="A1-Pikachu", P870="A1-Charizard", P870="A1"), XLOOKUP(N870, 'Genetic Apex'!$C$2:$C889, 'Genetic Apex'!$B$2:$B889)-$B$4, P870="A1a", XLOOKUP(N870, 'Mythical Island'!$C$2:$C889, 'Mythical Island'!$B$2:$B889)-$B$4, OR(P870="A2-Dialga", P870="A2-Palkia", P870="A2"), XLOOKUP(N870, 'Space-Time Smackdown'!$C$2:$C889, 'Space-Time Smackdown'!$B$2:$B889)-$B$4))</f>
        <v/>
      </c>
      <c r="S870" s="277"/>
      <c r="T870" s="277"/>
      <c r="U870" s="277"/>
      <c r="V870" s="278"/>
      <c r="W870" s="443" t="str">
        <f t="array" ref="W870">IFERROR(IFS(OR(U870="A1-Mewtwo", U870="A1-Pikachu", U870="A1-Charizard", U870="A1"), $B$5-XLOOKUP(S870, 'Genetic Apex'!$C$2:$C889, 'Genetic Apex'!$B$2:$B889), U870="A1a", $B$5-XLOOKUP(S870, 'Mythical Island'!$C$2:$C889, 'Mythical Island'!$B$2:$B889), OR(U870="A2-Dialga", U870="A2-Palkia", U870="A2"), $B$5-XLOOKUP(S870, 'Space-Time Smackdown'!$C$2:$C889, 'Space-Time Smackdown'!$B$2:$B889)))</f>
        <v/>
      </c>
      <c r="X870" s="444" t="str">
        <f t="shared" si="3"/>
        <v/>
      </c>
      <c r="Y870" s="445" t="str">
        <f t="shared" si="4"/>
        <v/>
      </c>
      <c r="Z870" s="278"/>
      <c r="AA870" s="466"/>
      <c r="AB870" s="278"/>
      <c r="AC870" s="278"/>
      <c r="AD870" s="278"/>
      <c r="AE870" s="278"/>
      <c r="AF870" s="278"/>
      <c r="AG870" s="278" t="b">
        <f t="shared" si="5"/>
        <v>0</v>
      </c>
      <c r="AH870" s="454"/>
      <c r="AI870" s="278"/>
      <c r="AJ870" s="278"/>
      <c r="AK870" s="278"/>
      <c r="AL870" s="444" t="str">
        <f t="array" ref="AL870">IFERROR(IFS(OR(AJ870="A1-Mewtwo", AJ870="A1-Pikachu", AJ870="A1-Charizard", AJ870="A1"), XLOOKUP(AH870, 'Genetic Apex'!$C$2:$C889, 'Genetic Apex'!$B$2:$B889)-2, AJ870="A1a", XLOOKUP(AH870, 'Mythical Island'!$C$2:$C889, 'Mythical Island'!$B$2:$B889)-2, OR(AJ870="A2-Dialga", AJ870="A2-Palkia", AJ870="A2"), XLOOKUP(AH870, 'Space-Time Smackdown'!$C$2:$C889, 'Space-Time Smackdown'!$B$2:$B889)-2))</f>
        <v/>
      </c>
      <c r="AM870" s="444" t="str">
        <f t="shared" si="6"/>
        <v/>
      </c>
      <c r="AN870" s="448" t="str">
        <f t="shared" si="7"/>
        <v/>
      </c>
    </row>
    <row r="871">
      <c r="A871" s="277"/>
      <c r="B871" s="277"/>
      <c r="C871" s="441"/>
      <c r="D871" s="277"/>
      <c r="E871" s="277"/>
      <c r="F871" s="277"/>
      <c r="G871" s="277"/>
      <c r="H871" s="277" t="b">
        <f t="shared" si="1"/>
        <v>0</v>
      </c>
      <c r="I871" s="277"/>
      <c r="J871" s="277"/>
      <c r="K871" s="277"/>
      <c r="L871" s="277"/>
      <c r="M871" s="440" t="b">
        <f t="shared" si="2"/>
        <v>0</v>
      </c>
      <c r="N871" s="441"/>
      <c r="O871" s="277"/>
      <c r="P871" s="277"/>
      <c r="Q871" s="278"/>
      <c r="R871" s="449" t="str">
        <f t="array" ref="R871">IFERROR(IFS(OR(P871="A1-Mewtwo", P871="A1-Pikachu", P871="A1-Charizard", P871="A1"), XLOOKUP(N871, 'Genetic Apex'!$C$2:$C889, 'Genetic Apex'!$B$2:$B889)-$B$4, P871="A1a", XLOOKUP(N871, 'Mythical Island'!$C$2:$C889, 'Mythical Island'!$B$2:$B889)-$B$4, OR(P871="A2-Dialga", P871="A2-Palkia", P871="A2"), XLOOKUP(N871, 'Space-Time Smackdown'!$C$2:$C889, 'Space-Time Smackdown'!$B$2:$B889)-$B$4))</f>
        <v/>
      </c>
      <c r="S871" s="277"/>
      <c r="T871" s="277"/>
      <c r="U871" s="277"/>
      <c r="V871" s="278"/>
      <c r="W871" s="443" t="str">
        <f t="array" ref="W871">IFERROR(IFS(OR(U871="A1-Mewtwo", U871="A1-Pikachu", U871="A1-Charizard", U871="A1"), $B$5-XLOOKUP(S871, 'Genetic Apex'!$C$2:$C889, 'Genetic Apex'!$B$2:$B889), U871="A1a", $B$5-XLOOKUP(S871, 'Mythical Island'!$C$2:$C889, 'Mythical Island'!$B$2:$B889), OR(U871="A2-Dialga", U871="A2-Palkia", U871="A2"), $B$5-XLOOKUP(S871, 'Space-Time Smackdown'!$C$2:$C889, 'Space-Time Smackdown'!$B$2:$B889)))</f>
        <v/>
      </c>
      <c r="X871" s="444" t="str">
        <f t="shared" si="3"/>
        <v/>
      </c>
      <c r="Y871" s="445" t="str">
        <f t="shared" si="4"/>
        <v/>
      </c>
      <c r="Z871" s="278"/>
      <c r="AA871" s="466"/>
      <c r="AB871" s="278"/>
      <c r="AC871" s="278"/>
      <c r="AD871" s="278"/>
      <c r="AE871" s="278"/>
      <c r="AF871" s="278"/>
      <c r="AG871" s="278" t="b">
        <f t="shared" si="5"/>
        <v>0</v>
      </c>
      <c r="AH871" s="454"/>
      <c r="AI871" s="278"/>
      <c r="AJ871" s="278"/>
      <c r="AK871" s="278"/>
      <c r="AL871" s="444" t="str">
        <f t="array" ref="AL871">IFERROR(IFS(OR(AJ871="A1-Mewtwo", AJ871="A1-Pikachu", AJ871="A1-Charizard", AJ871="A1"), XLOOKUP(AH871, 'Genetic Apex'!$C$2:$C889, 'Genetic Apex'!$B$2:$B889)-2, AJ871="A1a", XLOOKUP(AH871, 'Mythical Island'!$C$2:$C889, 'Mythical Island'!$B$2:$B889)-2, OR(AJ871="A2-Dialga", AJ871="A2-Palkia", AJ871="A2"), XLOOKUP(AH871, 'Space-Time Smackdown'!$C$2:$C889, 'Space-Time Smackdown'!$B$2:$B889)-2))</f>
        <v/>
      </c>
      <c r="AM871" s="444" t="str">
        <f t="shared" si="6"/>
        <v/>
      </c>
      <c r="AN871" s="448" t="str">
        <f t="shared" si="7"/>
        <v/>
      </c>
    </row>
    <row r="872">
      <c r="A872" s="277"/>
      <c r="B872" s="277"/>
      <c r="C872" s="441"/>
      <c r="D872" s="277"/>
      <c r="E872" s="277"/>
      <c r="F872" s="277"/>
      <c r="G872" s="277"/>
      <c r="H872" s="277" t="b">
        <f t="shared" si="1"/>
        <v>0</v>
      </c>
      <c r="I872" s="277"/>
      <c r="J872" s="277"/>
      <c r="K872" s="277"/>
      <c r="L872" s="277"/>
      <c r="M872" s="440" t="b">
        <f t="shared" si="2"/>
        <v>0</v>
      </c>
      <c r="N872" s="441"/>
      <c r="O872" s="277"/>
      <c r="P872" s="277"/>
      <c r="Q872" s="278"/>
      <c r="R872" s="449" t="str">
        <f t="array" ref="R872">IFERROR(IFS(OR(P872="A1-Mewtwo", P872="A1-Pikachu", P872="A1-Charizard", P872="A1"), XLOOKUP(N872, 'Genetic Apex'!$C$2:$C889, 'Genetic Apex'!$B$2:$B889)-$B$4, P872="A1a", XLOOKUP(N872, 'Mythical Island'!$C$2:$C889, 'Mythical Island'!$B$2:$B889)-$B$4, OR(P872="A2-Dialga", P872="A2-Palkia", P872="A2"), XLOOKUP(N872, 'Space-Time Smackdown'!$C$2:$C889, 'Space-Time Smackdown'!$B$2:$B889)-$B$4))</f>
        <v/>
      </c>
      <c r="S872" s="277"/>
      <c r="T872" s="277"/>
      <c r="U872" s="277"/>
      <c r="V872" s="278"/>
      <c r="W872" s="443" t="str">
        <f t="array" ref="W872">IFERROR(IFS(OR(U872="A1-Mewtwo", U872="A1-Pikachu", U872="A1-Charizard", U872="A1"), $B$5-XLOOKUP(S872, 'Genetic Apex'!$C$2:$C889, 'Genetic Apex'!$B$2:$B889), U872="A1a", $B$5-XLOOKUP(S872, 'Mythical Island'!$C$2:$C889, 'Mythical Island'!$B$2:$B889), OR(U872="A2-Dialga", U872="A2-Palkia", U872="A2"), $B$5-XLOOKUP(S872, 'Space-Time Smackdown'!$C$2:$C889, 'Space-Time Smackdown'!$B$2:$B889)))</f>
        <v/>
      </c>
      <c r="X872" s="444" t="str">
        <f t="shared" si="3"/>
        <v/>
      </c>
      <c r="Y872" s="445" t="str">
        <f t="shared" si="4"/>
        <v/>
      </c>
      <c r="Z872" s="278"/>
      <c r="AA872" s="466"/>
      <c r="AB872" s="278"/>
      <c r="AC872" s="278"/>
      <c r="AD872" s="278"/>
      <c r="AE872" s="278"/>
      <c r="AF872" s="278"/>
      <c r="AG872" s="278" t="b">
        <f t="shared" si="5"/>
        <v>0</v>
      </c>
      <c r="AH872" s="454"/>
      <c r="AI872" s="278"/>
      <c r="AJ872" s="278"/>
      <c r="AK872" s="278"/>
      <c r="AL872" s="444" t="str">
        <f t="array" ref="AL872">IFERROR(IFS(OR(AJ872="A1-Mewtwo", AJ872="A1-Pikachu", AJ872="A1-Charizard", AJ872="A1"), XLOOKUP(AH872, 'Genetic Apex'!$C$2:$C889, 'Genetic Apex'!$B$2:$B889)-2, AJ872="A1a", XLOOKUP(AH872, 'Mythical Island'!$C$2:$C889, 'Mythical Island'!$B$2:$B889)-2, OR(AJ872="A2-Dialga", AJ872="A2-Palkia", AJ872="A2"), XLOOKUP(AH872, 'Space-Time Smackdown'!$C$2:$C889, 'Space-Time Smackdown'!$B$2:$B889)-2))</f>
        <v/>
      </c>
      <c r="AM872" s="444" t="str">
        <f t="shared" si="6"/>
        <v/>
      </c>
      <c r="AN872" s="448" t="str">
        <f t="shared" si="7"/>
        <v/>
      </c>
    </row>
    <row r="873">
      <c r="A873" s="277"/>
      <c r="B873" s="277"/>
      <c r="C873" s="441"/>
      <c r="D873" s="277"/>
      <c r="E873" s="277"/>
      <c r="F873" s="277"/>
      <c r="G873" s="277"/>
      <c r="H873" s="277" t="b">
        <f t="shared" si="1"/>
        <v>0</v>
      </c>
      <c r="I873" s="277"/>
      <c r="J873" s="277"/>
      <c r="K873" s="277"/>
      <c r="L873" s="277"/>
      <c r="M873" s="440" t="b">
        <f t="shared" si="2"/>
        <v>0</v>
      </c>
      <c r="N873" s="441"/>
      <c r="O873" s="277"/>
      <c r="P873" s="277"/>
      <c r="Q873" s="278"/>
      <c r="R873" s="449" t="str">
        <f t="array" ref="R873">IFERROR(IFS(OR(P873="A1-Mewtwo", P873="A1-Pikachu", P873="A1-Charizard", P873="A1"), XLOOKUP(N873, 'Genetic Apex'!$C$2:$C889, 'Genetic Apex'!$B$2:$B889)-$B$4, P873="A1a", XLOOKUP(N873, 'Mythical Island'!$C$2:$C889, 'Mythical Island'!$B$2:$B889)-$B$4, OR(P873="A2-Dialga", P873="A2-Palkia", P873="A2"), XLOOKUP(N873, 'Space-Time Smackdown'!$C$2:$C889, 'Space-Time Smackdown'!$B$2:$B889)-$B$4))</f>
        <v/>
      </c>
      <c r="S873" s="277"/>
      <c r="T873" s="277"/>
      <c r="U873" s="277"/>
      <c r="V873" s="278"/>
      <c r="W873" s="443" t="str">
        <f t="array" ref="W873">IFERROR(IFS(OR(U873="A1-Mewtwo", U873="A1-Pikachu", U873="A1-Charizard", U873="A1"), $B$5-XLOOKUP(S873, 'Genetic Apex'!$C$2:$C889, 'Genetic Apex'!$B$2:$B889), U873="A1a", $B$5-XLOOKUP(S873, 'Mythical Island'!$C$2:$C889, 'Mythical Island'!$B$2:$B889), OR(U873="A2-Dialga", U873="A2-Palkia", U873="A2"), $B$5-XLOOKUP(S873, 'Space-Time Smackdown'!$C$2:$C889, 'Space-Time Smackdown'!$B$2:$B889)))</f>
        <v/>
      </c>
      <c r="X873" s="444" t="str">
        <f t="shared" si="3"/>
        <v/>
      </c>
      <c r="Y873" s="445" t="str">
        <f t="shared" si="4"/>
        <v/>
      </c>
      <c r="Z873" s="278"/>
      <c r="AA873" s="466"/>
      <c r="AB873" s="278"/>
      <c r="AC873" s="278"/>
      <c r="AD873" s="278"/>
      <c r="AE873" s="278"/>
      <c r="AF873" s="278"/>
      <c r="AG873" s="278" t="b">
        <f t="shared" si="5"/>
        <v>0</v>
      </c>
      <c r="AH873" s="454"/>
      <c r="AI873" s="278"/>
      <c r="AJ873" s="278"/>
      <c r="AK873" s="278"/>
      <c r="AL873" s="444" t="str">
        <f t="array" ref="AL873">IFERROR(IFS(OR(AJ873="A1-Mewtwo", AJ873="A1-Pikachu", AJ873="A1-Charizard", AJ873="A1"), XLOOKUP(AH873, 'Genetic Apex'!$C$2:$C889, 'Genetic Apex'!$B$2:$B889)-2, AJ873="A1a", XLOOKUP(AH873, 'Mythical Island'!$C$2:$C889, 'Mythical Island'!$B$2:$B889)-2, OR(AJ873="A2-Dialga", AJ873="A2-Palkia", AJ873="A2"), XLOOKUP(AH873, 'Space-Time Smackdown'!$C$2:$C889, 'Space-Time Smackdown'!$B$2:$B889)-2))</f>
        <v/>
      </c>
      <c r="AM873" s="444" t="str">
        <f t="shared" si="6"/>
        <v/>
      </c>
      <c r="AN873" s="448" t="str">
        <f t="shared" si="7"/>
        <v/>
      </c>
    </row>
    <row r="874">
      <c r="A874" s="277"/>
      <c r="B874" s="277"/>
      <c r="C874" s="441"/>
      <c r="D874" s="277"/>
      <c r="E874" s="277"/>
      <c r="F874" s="277"/>
      <c r="G874" s="277"/>
      <c r="H874" s="277" t="b">
        <f t="shared" si="1"/>
        <v>0</v>
      </c>
      <c r="I874" s="277"/>
      <c r="J874" s="277"/>
      <c r="K874" s="277"/>
      <c r="L874" s="277"/>
      <c r="M874" s="440" t="b">
        <f t="shared" si="2"/>
        <v>0</v>
      </c>
      <c r="N874" s="441"/>
      <c r="O874" s="277"/>
      <c r="P874" s="277"/>
      <c r="Q874" s="278"/>
      <c r="R874" s="449" t="str">
        <f t="array" ref="R874">IFERROR(IFS(OR(P874="A1-Mewtwo", P874="A1-Pikachu", P874="A1-Charizard", P874="A1"), XLOOKUP(N874, 'Genetic Apex'!$C$2:$C889, 'Genetic Apex'!$B$2:$B889)-$B$4, P874="A1a", XLOOKUP(N874, 'Mythical Island'!$C$2:$C889, 'Mythical Island'!$B$2:$B889)-$B$4, OR(P874="A2-Dialga", P874="A2-Palkia", P874="A2"), XLOOKUP(N874, 'Space-Time Smackdown'!$C$2:$C889, 'Space-Time Smackdown'!$B$2:$B889)-$B$4))</f>
        <v/>
      </c>
      <c r="S874" s="277"/>
      <c r="T874" s="277"/>
      <c r="U874" s="277"/>
      <c r="V874" s="278"/>
      <c r="W874" s="443" t="str">
        <f t="array" ref="W874">IFERROR(IFS(OR(U874="A1-Mewtwo", U874="A1-Pikachu", U874="A1-Charizard", U874="A1"), $B$5-XLOOKUP(S874, 'Genetic Apex'!$C$2:$C889, 'Genetic Apex'!$B$2:$B889), U874="A1a", $B$5-XLOOKUP(S874, 'Mythical Island'!$C$2:$C889, 'Mythical Island'!$B$2:$B889), OR(U874="A2-Dialga", U874="A2-Palkia", U874="A2"), $B$5-XLOOKUP(S874, 'Space-Time Smackdown'!$C$2:$C889, 'Space-Time Smackdown'!$B$2:$B889)))</f>
        <v/>
      </c>
      <c r="X874" s="444" t="str">
        <f t="shared" si="3"/>
        <v/>
      </c>
      <c r="Y874" s="445" t="str">
        <f t="shared" si="4"/>
        <v/>
      </c>
      <c r="Z874" s="278"/>
      <c r="AA874" s="466"/>
      <c r="AB874" s="278"/>
      <c r="AC874" s="278"/>
      <c r="AD874" s="278"/>
      <c r="AE874" s="278"/>
      <c r="AF874" s="278"/>
      <c r="AG874" s="278" t="b">
        <f t="shared" si="5"/>
        <v>0</v>
      </c>
      <c r="AH874" s="454"/>
      <c r="AI874" s="278"/>
      <c r="AJ874" s="278"/>
      <c r="AK874" s="278"/>
      <c r="AL874" s="444" t="str">
        <f t="array" ref="AL874">IFERROR(IFS(OR(AJ874="A1-Mewtwo", AJ874="A1-Pikachu", AJ874="A1-Charizard", AJ874="A1"), XLOOKUP(AH874, 'Genetic Apex'!$C$2:$C889, 'Genetic Apex'!$B$2:$B889)-2, AJ874="A1a", XLOOKUP(AH874, 'Mythical Island'!$C$2:$C889, 'Mythical Island'!$B$2:$B889)-2, OR(AJ874="A2-Dialga", AJ874="A2-Palkia", AJ874="A2"), XLOOKUP(AH874, 'Space-Time Smackdown'!$C$2:$C889, 'Space-Time Smackdown'!$B$2:$B889)-2))</f>
        <v/>
      </c>
      <c r="AM874" s="444" t="str">
        <f t="shared" si="6"/>
        <v/>
      </c>
      <c r="AN874" s="448" t="str">
        <f t="shared" si="7"/>
        <v/>
      </c>
    </row>
    <row r="875">
      <c r="A875" s="277"/>
      <c r="B875" s="277"/>
      <c r="C875" s="441"/>
      <c r="D875" s="277"/>
      <c r="E875" s="277"/>
      <c r="F875" s="277"/>
      <c r="G875" s="277"/>
      <c r="H875" s="277" t="b">
        <f t="shared" si="1"/>
        <v>0</v>
      </c>
      <c r="I875" s="277"/>
      <c r="J875" s="277"/>
      <c r="K875" s="277"/>
      <c r="L875" s="277"/>
      <c r="M875" s="440" t="b">
        <f t="shared" si="2"/>
        <v>0</v>
      </c>
      <c r="N875" s="441"/>
      <c r="O875" s="277"/>
      <c r="P875" s="277"/>
      <c r="Q875" s="278"/>
      <c r="R875" s="449" t="str">
        <f t="array" ref="R875">IFERROR(IFS(OR(P875="A1-Mewtwo", P875="A1-Pikachu", P875="A1-Charizard", P875="A1"), XLOOKUP(N875, 'Genetic Apex'!$C$2:$C889, 'Genetic Apex'!$B$2:$B889)-$B$4, P875="A1a", XLOOKUP(N875, 'Mythical Island'!$C$2:$C889, 'Mythical Island'!$B$2:$B889)-$B$4, OR(P875="A2-Dialga", P875="A2-Palkia", P875="A2"), XLOOKUP(N875, 'Space-Time Smackdown'!$C$2:$C889, 'Space-Time Smackdown'!$B$2:$B889)-$B$4))</f>
        <v/>
      </c>
      <c r="S875" s="277"/>
      <c r="T875" s="277"/>
      <c r="U875" s="277"/>
      <c r="V875" s="278"/>
      <c r="W875" s="443" t="str">
        <f t="array" ref="W875">IFERROR(IFS(OR(U875="A1-Mewtwo", U875="A1-Pikachu", U875="A1-Charizard", U875="A1"), $B$5-XLOOKUP(S875, 'Genetic Apex'!$C$2:$C889, 'Genetic Apex'!$B$2:$B889), U875="A1a", $B$5-XLOOKUP(S875, 'Mythical Island'!$C$2:$C889, 'Mythical Island'!$B$2:$B889), OR(U875="A2-Dialga", U875="A2-Palkia", U875="A2"), $B$5-XLOOKUP(S875, 'Space-Time Smackdown'!$C$2:$C889, 'Space-Time Smackdown'!$B$2:$B889)))</f>
        <v/>
      </c>
      <c r="X875" s="444" t="str">
        <f t="shared" si="3"/>
        <v/>
      </c>
      <c r="Y875" s="445" t="str">
        <f t="shared" si="4"/>
        <v/>
      </c>
      <c r="Z875" s="278"/>
      <c r="AA875" s="466"/>
      <c r="AB875" s="278"/>
      <c r="AC875" s="278"/>
      <c r="AD875" s="278"/>
      <c r="AE875" s="278"/>
      <c r="AF875" s="278"/>
      <c r="AG875" s="278" t="b">
        <f t="shared" si="5"/>
        <v>0</v>
      </c>
      <c r="AH875" s="454"/>
      <c r="AI875" s="278"/>
      <c r="AJ875" s="278"/>
      <c r="AK875" s="278"/>
      <c r="AL875" s="444" t="str">
        <f t="array" ref="AL875">IFERROR(IFS(OR(AJ875="A1-Mewtwo", AJ875="A1-Pikachu", AJ875="A1-Charizard", AJ875="A1"), XLOOKUP(AH875, 'Genetic Apex'!$C$2:$C889, 'Genetic Apex'!$B$2:$B889)-2, AJ875="A1a", XLOOKUP(AH875, 'Mythical Island'!$C$2:$C889, 'Mythical Island'!$B$2:$B889)-2, OR(AJ875="A2-Dialga", AJ875="A2-Palkia", AJ875="A2"), XLOOKUP(AH875, 'Space-Time Smackdown'!$C$2:$C889, 'Space-Time Smackdown'!$B$2:$B889)-2))</f>
        <v/>
      </c>
      <c r="AM875" s="444" t="str">
        <f t="shared" si="6"/>
        <v/>
      </c>
      <c r="AN875" s="448" t="str">
        <f t="shared" si="7"/>
        <v/>
      </c>
    </row>
    <row r="876">
      <c r="A876" s="277"/>
      <c r="B876" s="277"/>
      <c r="C876" s="441"/>
      <c r="D876" s="277"/>
      <c r="E876" s="277"/>
      <c r="F876" s="277"/>
      <c r="G876" s="277"/>
      <c r="H876" s="277" t="b">
        <f t="shared" si="1"/>
        <v>0</v>
      </c>
      <c r="I876" s="277"/>
      <c r="J876" s="277"/>
      <c r="K876" s="277"/>
      <c r="L876" s="277"/>
      <c r="M876" s="440" t="b">
        <f t="shared" si="2"/>
        <v>0</v>
      </c>
      <c r="N876" s="441"/>
      <c r="O876" s="277"/>
      <c r="P876" s="277"/>
      <c r="Q876" s="278"/>
      <c r="R876" s="449" t="str">
        <f t="array" ref="R876">IFERROR(IFS(OR(P876="A1-Mewtwo", P876="A1-Pikachu", P876="A1-Charizard", P876="A1"), XLOOKUP(N876, 'Genetic Apex'!$C$2:$C889, 'Genetic Apex'!$B$2:$B889)-$B$4, P876="A1a", XLOOKUP(N876, 'Mythical Island'!$C$2:$C889, 'Mythical Island'!$B$2:$B889)-$B$4, OR(P876="A2-Dialga", P876="A2-Palkia", P876="A2"), XLOOKUP(N876, 'Space-Time Smackdown'!$C$2:$C889, 'Space-Time Smackdown'!$B$2:$B889)-$B$4))</f>
        <v/>
      </c>
      <c r="S876" s="277"/>
      <c r="T876" s="277"/>
      <c r="U876" s="277"/>
      <c r="V876" s="278"/>
      <c r="W876" s="443" t="str">
        <f t="array" ref="W876">IFERROR(IFS(OR(U876="A1-Mewtwo", U876="A1-Pikachu", U876="A1-Charizard", U876="A1"), $B$5-XLOOKUP(S876, 'Genetic Apex'!$C$2:$C889, 'Genetic Apex'!$B$2:$B889), U876="A1a", $B$5-XLOOKUP(S876, 'Mythical Island'!$C$2:$C889, 'Mythical Island'!$B$2:$B889), OR(U876="A2-Dialga", U876="A2-Palkia", U876="A2"), $B$5-XLOOKUP(S876, 'Space-Time Smackdown'!$C$2:$C889, 'Space-Time Smackdown'!$B$2:$B889)))</f>
        <v/>
      </c>
      <c r="X876" s="444" t="str">
        <f t="shared" si="3"/>
        <v/>
      </c>
      <c r="Y876" s="445" t="str">
        <f t="shared" si="4"/>
        <v/>
      </c>
      <c r="Z876" s="278"/>
      <c r="AA876" s="466"/>
      <c r="AB876" s="278"/>
      <c r="AC876" s="278"/>
      <c r="AD876" s="278"/>
      <c r="AE876" s="278"/>
      <c r="AF876" s="278"/>
      <c r="AG876" s="278" t="b">
        <f t="shared" si="5"/>
        <v>0</v>
      </c>
      <c r="AH876" s="454"/>
      <c r="AI876" s="278"/>
      <c r="AJ876" s="278"/>
      <c r="AK876" s="278"/>
      <c r="AL876" s="444" t="str">
        <f t="array" ref="AL876">IFERROR(IFS(OR(AJ876="A1-Mewtwo", AJ876="A1-Pikachu", AJ876="A1-Charizard", AJ876="A1"), XLOOKUP(AH876, 'Genetic Apex'!$C$2:$C889, 'Genetic Apex'!$B$2:$B889)-2, AJ876="A1a", XLOOKUP(AH876, 'Mythical Island'!$C$2:$C889, 'Mythical Island'!$B$2:$B889)-2, OR(AJ876="A2-Dialga", AJ876="A2-Palkia", AJ876="A2"), XLOOKUP(AH876, 'Space-Time Smackdown'!$C$2:$C889, 'Space-Time Smackdown'!$B$2:$B889)-2))</f>
        <v/>
      </c>
      <c r="AM876" s="444" t="str">
        <f t="shared" si="6"/>
        <v/>
      </c>
      <c r="AN876" s="448" t="str">
        <f t="shared" si="7"/>
        <v/>
      </c>
    </row>
    <row r="877">
      <c r="A877" s="277"/>
      <c r="B877" s="277"/>
      <c r="C877" s="441"/>
      <c r="D877" s="277"/>
      <c r="E877" s="277"/>
      <c r="F877" s="277"/>
      <c r="G877" s="277"/>
      <c r="H877" s="277" t="b">
        <f t="shared" si="1"/>
        <v>0</v>
      </c>
      <c r="I877" s="277"/>
      <c r="J877" s="277"/>
      <c r="K877" s="277"/>
      <c r="L877" s="277"/>
      <c r="M877" s="440" t="b">
        <f t="shared" si="2"/>
        <v>0</v>
      </c>
      <c r="N877" s="441"/>
      <c r="O877" s="277"/>
      <c r="P877" s="277"/>
      <c r="Q877" s="278"/>
      <c r="R877" s="449" t="str">
        <f t="array" ref="R877">IFERROR(IFS(OR(P877="A1-Mewtwo", P877="A1-Pikachu", P877="A1-Charizard", P877="A1"), XLOOKUP(N877, 'Genetic Apex'!$C$2:$C889, 'Genetic Apex'!$B$2:$B889)-$B$4, P877="A1a", XLOOKUP(N877, 'Mythical Island'!$C$2:$C889, 'Mythical Island'!$B$2:$B889)-$B$4, OR(P877="A2-Dialga", P877="A2-Palkia", P877="A2"), XLOOKUP(N877, 'Space-Time Smackdown'!$C$2:$C889, 'Space-Time Smackdown'!$B$2:$B889)-$B$4))</f>
        <v/>
      </c>
      <c r="S877" s="277"/>
      <c r="T877" s="277"/>
      <c r="U877" s="277"/>
      <c r="V877" s="278"/>
      <c r="W877" s="443" t="str">
        <f t="array" ref="W877">IFERROR(IFS(OR(U877="A1-Mewtwo", U877="A1-Pikachu", U877="A1-Charizard", U877="A1"), $B$5-XLOOKUP(S877, 'Genetic Apex'!$C$2:$C889, 'Genetic Apex'!$B$2:$B889), U877="A1a", $B$5-XLOOKUP(S877, 'Mythical Island'!$C$2:$C889, 'Mythical Island'!$B$2:$B889), OR(U877="A2-Dialga", U877="A2-Palkia", U877="A2"), $B$5-XLOOKUP(S877, 'Space-Time Smackdown'!$C$2:$C889, 'Space-Time Smackdown'!$B$2:$B889)))</f>
        <v/>
      </c>
      <c r="X877" s="444" t="str">
        <f t="shared" si="3"/>
        <v/>
      </c>
      <c r="Y877" s="445" t="str">
        <f t="shared" si="4"/>
        <v/>
      </c>
      <c r="Z877" s="278"/>
      <c r="AA877" s="466"/>
      <c r="AB877" s="278"/>
      <c r="AC877" s="278"/>
      <c r="AD877" s="278"/>
      <c r="AE877" s="278"/>
      <c r="AF877" s="278"/>
      <c r="AG877" s="278" t="b">
        <f t="shared" si="5"/>
        <v>0</v>
      </c>
      <c r="AH877" s="454"/>
      <c r="AI877" s="278"/>
      <c r="AJ877" s="278"/>
      <c r="AK877" s="278"/>
      <c r="AL877" s="444" t="str">
        <f t="array" ref="AL877">IFERROR(IFS(OR(AJ877="A1-Mewtwo", AJ877="A1-Pikachu", AJ877="A1-Charizard", AJ877="A1"), XLOOKUP(AH877, 'Genetic Apex'!$C$2:$C889, 'Genetic Apex'!$B$2:$B889)-2, AJ877="A1a", XLOOKUP(AH877, 'Mythical Island'!$C$2:$C889, 'Mythical Island'!$B$2:$B889)-2, OR(AJ877="A2-Dialga", AJ877="A2-Palkia", AJ877="A2"), XLOOKUP(AH877, 'Space-Time Smackdown'!$C$2:$C889, 'Space-Time Smackdown'!$B$2:$B889)-2))</f>
        <v/>
      </c>
      <c r="AM877" s="444" t="str">
        <f t="shared" si="6"/>
        <v/>
      </c>
      <c r="AN877" s="448" t="str">
        <f t="shared" si="7"/>
        <v/>
      </c>
    </row>
    <row r="878">
      <c r="A878" s="277"/>
      <c r="B878" s="277"/>
      <c r="C878" s="441"/>
      <c r="D878" s="277"/>
      <c r="E878" s="277"/>
      <c r="F878" s="277"/>
      <c r="G878" s="277"/>
      <c r="H878" s="277" t="b">
        <f t="shared" si="1"/>
        <v>0</v>
      </c>
      <c r="I878" s="277"/>
      <c r="J878" s="277"/>
      <c r="K878" s="277"/>
      <c r="L878" s="277"/>
      <c r="M878" s="440" t="b">
        <f t="shared" si="2"/>
        <v>0</v>
      </c>
      <c r="N878" s="441"/>
      <c r="O878" s="277"/>
      <c r="P878" s="277"/>
      <c r="Q878" s="278"/>
      <c r="R878" s="449" t="str">
        <f t="array" ref="R878">IFERROR(IFS(OR(P878="A1-Mewtwo", P878="A1-Pikachu", P878="A1-Charizard", P878="A1"), XLOOKUP(N878, 'Genetic Apex'!$C$2:$C889, 'Genetic Apex'!$B$2:$B889)-$B$4, P878="A1a", XLOOKUP(N878, 'Mythical Island'!$C$2:$C889, 'Mythical Island'!$B$2:$B889)-$B$4, OR(P878="A2-Dialga", P878="A2-Palkia", P878="A2"), XLOOKUP(N878, 'Space-Time Smackdown'!$C$2:$C889, 'Space-Time Smackdown'!$B$2:$B889)-$B$4))</f>
        <v/>
      </c>
      <c r="S878" s="277"/>
      <c r="T878" s="277"/>
      <c r="U878" s="277"/>
      <c r="V878" s="278"/>
      <c r="W878" s="443" t="str">
        <f t="array" ref="W878">IFERROR(IFS(OR(U878="A1-Mewtwo", U878="A1-Pikachu", U878="A1-Charizard", U878="A1"), $B$5-XLOOKUP(S878, 'Genetic Apex'!$C$2:$C889, 'Genetic Apex'!$B$2:$B889), U878="A1a", $B$5-XLOOKUP(S878, 'Mythical Island'!$C$2:$C889, 'Mythical Island'!$B$2:$B889), OR(U878="A2-Dialga", U878="A2-Palkia", U878="A2"), $B$5-XLOOKUP(S878, 'Space-Time Smackdown'!$C$2:$C889, 'Space-Time Smackdown'!$B$2:$B889)))</f>
        <v/>
      </c>
      <c r="X878" s="444" t="str">
        <f t="shared" si="3"/>
        <v/>
      </c>
      <c r="Y878" s="445" t="str">
        <f t="shared" si="4"/>
        <v/>
      </c>
      <c r="Z878" s="278"/>
      <c r="AA878" s="466"/>
      <c r="AB878" s="278"/>
      <c r="AC878" s="278"/>
      <c r="AD878" s="278"/>
      <c r="AE878" s="278"/>
      <c r="AF878" s="278"/>
      <c r="AG878" s="278" t="b">
        <f t="shared" si="5"/>
        <v>0</v>
      </c>
      <c r="AH878" s="454"/>
      <c r="AI878" s="278"/>
      <c r="AJ878" s="278"/>
      <c r="AK878" s="278"/>
      <c r="AL878" s="444" t="str">
        <f t="array" ref="AL878">IFERROR(IFS(OR(AJ878="A1-Mewtwo", AJ878="A1-Pikachu", AJ878="A1-Charizard", AJ878="A1"), XLOOKUP(AH878, 'Genetic Apex'!$C$2:$C889, 'Genetic Apex'!$B$2:$B889)-2, AJ878="A1a", XLOOKUP(AH878, 'Mythical Island'!$C$2:$C889, 'Mythical Island'!$B$2:$B889)-2, OR(AJ878="A2-Dialga", AJ878="A2-Palkia", AJ878="A2"), XLOOKUP(AH878, 'Space-Time Smackdown'!$C$2:$C889, 'Space-Time Smackdown'!$B$2:$B889)-2))</f>
        <v/>
      </c>
      <c r="AM878" s="444" t="str">
        <f t="shared" si="6"/>
        <v/>
      </c>
      <c r="AN878" s="448" t="str">
        <f t="shared" si="7"/>
        <v/>
      </c>
    </row>
    <row r="879">
      <c r="A879" s="277"/>
      <c r="B879" s="277"/>
      <c r="C879" s="441"/>
      <c r="D879" s="277"/>
      <c r="E879" s="277"/>
      <c r="F879" s="277"/>
      <c r="G879" s="277"/>
      <c r="H879" s="277" t="b">
        <f t="shared" si="1"/>
        <v>0</v>
      </c>
      <c r="I879" s="277"/>
      <c r="J879" s="277"/>
      <c r="K879" s="277"/>
      <c r="L879" s="277"/>
      <c r="M879" s="440" t="b">
        <f t="shared" si="2"/>
        <v>0</v>
      </c>
      <c r="N879" s="441"/>
      <c r="O879" s="277"/>
      <c r="P879" s="277"/>
      <c r="Q879" s="278"/>
      <c r="R879" s="449" t="str">
        <f t="array" ref="R879">IFERROR(IFS(OR(P879="A1-Mewtwo", P879="A1-Pikachu", P879="A1-Charizard", P879="A1"), XLOOKUP(N879, 'Genetic Apex'!$C$2:$C889, 'Genetic Apex'!$B$2:$B889)-$B$4, P879="A1a", XLOOKUP(N879, 'Mythical Island'!$C$2:$C889, 'Mythical Island'!$B$2:$B889)-$B$4, OR(P879="A2-Dialga", P879="A2-Palkia", P879="A2"), XLOOKUP(N879, 'Space-Time Smackdown'!$C$2:$C889, 'Space-Time Smackdown'!$B$2:$B889)-$B$4))</f>
        <v/>
      </c>
      <c r="S879" s="277"/>
      <c r="T879" s="277"/>
      <c r="U879" s="277"/>
      <c r="V879" s="278"/>
      <c r="W879" s="443" t="str">
        <f t="array" ref="W879">IFERROR(IFS(OR(U879="A1-Mewtwo", U879="A1-Pikachu", U879="A1-Charizard", U879="A1"), $B$5-XLOOKUP(S879, 'Genetic Apex'!$C$2:$C889, 'Genetic Apex'!$B$2:$B889), U879="A1a", $B$5-XLOOKUP(S879, 'Mythical Island'!$C$2:$C889, 'Mythical Island'!$B$2:$B889), OR(U879="A2-Dialga", U879="A2-Palkia", U879="A2"), $B$5-XLOOKUP(S879, 'Space-Time Smackdown'!$C$2:$C889, 'Space-Time Smackdown'!$B$2:$B889)))</f>
        <v/>
      </c>
      <c r="X879" s="444" t="str">
        <f t="shared" si="3"/>
        <v/>
      </c>
      <c r="Y879" s="445" t="str">
        <f t="shared" si="4"/>
        <v/>
      </c>
      <c r="Z879" s="278"/>
      <c r="AA879" s="466"/>
      <c r="AB879" s="278"/>
      <c r="AC879" s="278"/>
      <c r="AD879" s="278"/>
      <c r="AE879" s="278"/>
      <c r="AF879" s="278"/>
      <c r="AG879" s="278" t="b">
        <f t="shared" si="5"/>
        <v>0</v>
      </c>
      <c r="AH879" s="454"/>
      <c r="AI879" s="278"/>
      <c r="AJ879" s="278"/>
      <c r="AK879" s="278"/>
      <c r="AL879" s="444" t="str">
        <f t="array" ref="AL879">IFERROR(IFS(OR(AJ879="A1-Mewtwo", AJ879="A1-Pikachu", AJ879="A1-Charizard", AJ879="A1"), XLOOKUP(AH879, 'Genetic Apex'!$C$2:$C889, 'Genetic Apex'!$B$2:$B889)-2, AJ879="A1a", XLOOKUP(AH879, 'Mythical Island'!$C$2:$C889, 'Mythical Island'!$B$2:$B889)-2, OR(AJ879="A2-Dialga", AJ879="A2-Palkia", AJ879="A2"), XLOOKUP(AH879, 'Space-Time Smackdown'!$C$2:$C889, 'Space-Time Smackdown'!$B$2:$B889)-2))</f>
        <v/>
      </c>
      <c r="AM879" s="444" t="str">
        <f t="shared" si="6"/>
        <v/>
      </c>
      <c r="AN879" s="448" t="str">
        <f t="shared" si="7"/>
        <v/>
      </c>
    </row>
    <row r="880">
      <c r="A880" s="277"/>
      <c r="B880" s="277"/>
      <c r="C880" s="441"/>
      <c r="D880" s="277"/>
      <c r="E880" s="277"/>
      <c r="F880" s="277"/>
      <c r="G880" s="277"/>
      <c r="H880" s="277" t="b">
        <f t="shared" si="1"/>
        <v>0</v>
      </c>
      <c r="I880" s="277"/>
      <c r="J880" s="277"/>
      <c r="K880" s="277"/>
      <c r="L880" s="277"/>
      <c r="M880" s="440" t="b">
        <f t="shared" si="2"/>
        <v>0</v>
      </c>
      <c r="N880" s="441"/>
      <c r="O880" s="277"/>
      <c r="P880" s="277"/>
      <c r="Q880" s="278"/>
      <c r="R880" s="449" t="str">
        <f t="array" ref="R880">IFERROR(IFS(OR(P880="A1-Mewtwo", P880="A1-Pikachu", P880="A1-Charizard", P880="A1"), XLOOKUP(N880, 'Genetic Apex'!$C$2:$C889, 'Genetic Apex'!$B$2:$B889)-$B$4, P880="A1a", XLOOKUP(N880, 'Mythical Island'!$C$2:$C889, 'Mythical Island'!$B$2:$B889)-$B$4, OR(P880="A2-Dialga", P880="A2-Palkia", P880="A2"), XLOOKUP(N880, 'Space-Time Smackdown'!$C$2:$C889, 'Space-Time Smackdown'!$B$2:$B889)-$B$4))</f>
        <v/>
      </c>
      <c r="S880" s="277"/>
      <c r="T880" s="277"/>
      <c r="U880" s="277"/>
      <c r="V880" s="278"/>
      <c r="W880" s="443" t="str">
        <f t="array" ref="W880">IFERROR(IFS(OR(U880="A1-Mewtwo", U880="A1-Pikachu", U880="A1-Charizard", U880="A1"), $B$5-XLOOKUP(S880, 'Genetic Apex'!$C$2:$C889, 'Genetic Apex'!$B$2:$B889), U880="A1a", $B$5-XLOOKUP(S880, 'Mythical Island'!$C$2:$C889, 'Mythical Island'!$B$2:$B889), OR(U880="A2-Dialga", U880="A2-Palkia", U880="A2"), $B$5-XLOOKUP(S880, 'Space-Time Smackdown'!$C$2:$C889, 'Space-Time Smackdown'!$B$2:$B889)))</f>
        <v/>
      </c>
      <c r="X880" s="444" t="str">
        <f t="shared" si="3"/>
        <v/>
      </c>
      <c r="Y880" s="445" t="str">
        <f t="shared" si="4"/>
        <v/>
      </c>
      <c r="Z880" s="278"/>
      <c r="AA880" s="466"/>
      <c r="AB880" s="278"/>
      <c r="AC880" s="278"/>
      <c r="AD880" s="278"/>
      <c r="AE880" s="278"/>
      <c r="AF880" s="278"/>
      <c r="AG880" s="278" t="b">
        <f t="shared" si="5"/>
        <v>0</v>
      </c>
      <c r="AH880" s="454"/>
      <c r="AI880" s="278"/>
      <c r="AJ880" s="278"/>
      <c r="AK880" s="278"/>
      <c r="AL880" s="444" t="str">
        <f t="array" ref="AL880">IFERROR(IFS(OR(AJ880="A1-Mewtwo", AJ880="A1-Pikachu", AJ880="A1-Charizard", AJ880="A1"), XLOOKUP(AH880, 'Genetic Apex'!$C$2:$C889, 'Genetic Apex'!$B$2:$B889)-2, AJ880="A1a", XLOOKUP(AH880, 'Mythical Island'!$C$2:$C889, 'Mythical Island'!$B$2:$B889)-2, OR(AJ880="A2-Dialga", AJ880="A2-Palkia", AJ880="A2"), XLOOKUP(AH880, 'Space-Time Smackdown'!$C$2:$C889, 'Space-Time Smackdown'!$B$2:$B889)-2))</f>
        <v/>
      </c>
      <c r="AM880" s="444" t="str">
        <f t="shared" si="6"/>
        <v/>
      </c>
      <c r="AN880" s="448" t="str">
        <f t="shared" si="7"/>
        <v/>
      </c>
    </row>
    <row r="881">
      <c r="A881" s="277"/>
      <c r="B881" s="277"/>
      <c r="C881" s="441"/>
      <c r="D881" s="277"/>
      <c r="E881" s="277"/>
      <c r="F881" s="277"/>
      <c r="G881" s="277"/>
      <c r="H881" s="277" t="b">
        <f t="shared" si="1"/>
        <v>0</v>
      </c>
      <c r="I881" s="277"/>
      <c r="J881" s="277"/>
      <c r="K881" s="277"/>
      <c r="L881" s="277"/>
      <c r="M881" s="440" t="b">
        <f t="shared" si="2"/>
        <v>0</v>
      </c>
      <c r="N881" s="441"/>
      <c r="O881" s="277"/>
      <c r="P881" s="277"/>
      <c r="Q881" s="278"/>
      <c r="R881" s="449" t="str">
        <f t="array" ref="R881">IFERROR(IFS(OR(P881="A1-Mewtwo", P881="A1-Pikachu", P881="A1-Charizard", P881="A1"), XLOOKUP(N881, 'Genetic Apex'!$C$2:$C889, 'Genetic Apex'!$B$2:$B889)-$B$4, P881="A1a", XLOOKUP(N881, 'Mythical Island'!$C$2:$C889, 'Mythical Island'!$B$2:$B889)-$B$4, OR(P881="A2-Dialga", P881="A2-Palkia", P881="A2"), XLOOKUP(N881, 'Space-Time Smackdown'!$C$2:$C889, 'Space-Time Smackdown'!$B$2:$B889)-$B$4))</f>
        <v/>
      </c>
      <c r="S881" s="277"/>
      <c r="T881" s="277"/>
      <c r="U881" s="277"/>
      <c r="V881" s="278"/>
      <c r="W881" s="443" t="str">
        <f t="array" ref="W881">IFERROR(IFS(OR(U881="A1-Mewtwo", U881="A1-Pikachu", U881="A1-Charizard", U881="A1"), $B$5-XLOOKUP(S881, 'Genetic Apex'!$C$2:$C889, 'Genetic Apex'!$B$2:$B889), U881="A1a", $B$5-XLOOKUP(S881, 'Mythical Island'!$C$2:$C889, 'Mythical Island'!$B$2:$B889), OR(U881="A2-Dialga", U881="A2-Palkia", U881="A2"), $B$5-XLOOKUP(S881, 'Space-Time Smackdown'!$C$2:$C889, 'Space-Time Smackdown'!$B$2:$B889)))</f>
        <v/>
      </c>
      <c r="X881" s="444" t="str">
        <f t="shared" si="3"/>
        <v/>
      </c>
      <c r="Y881" s="445" t="str">
        <f t="shared" si="4"/>
        <v/>
      </c>
      <c r="Z881" s="278"/>
      <c r="AA881" s="466"/>
      <c r="AB881" s="278"/>
      <c r="AC881" s="278"/>
      <c r="AD881" s="278"/>
      <c r="AE881" s="278"/>
      <c r="AF881" s="278"/>
      <c r="AG881" s="278" t="b">
        <f t="shared" si="5"/>
        <v>0</v>
      </c>
      <c r="AH881" s="454"/>
      <c r="AI881" s="278"/>
      <c r="AJ881" s="278"/>
      <c r="AK881" s="278"/>
      <c r="AL881" s="444" t="str">
        <f t="array" ref="AL881">IFERROR(IFS(OR(AJ881="A1-Mewtwo", AJ881="A1-Pikachu", AJ881="A1-Charizard", AJ881="A1"), XLOOKUP(AH881, 'Genetic Apex'!$C$2:$C889, 'Genetic Apex'!$B$2:$B889)-2, AJ881="A1a", XLOOKUP(AH881, 'Mythical Island'!$C$2:$C889, 'Mythical Island'!$B$2:$B889)-2, OR(AJ881="A2-Dialga", AJ881="A2-Palkia", AJ881="A2"), XLOOKUP(AH881, 'Space-Time Smackdown'!$C$2:$C889, 'Space-Time Smackdown'!$B$2:$B889)-2))</f>
        <v/>
      </c>
      <c r="AM881" s="444" t="str">
        <f t="shared" si="6"/>
        <v/>
      </c>
      <c r="AN881" s="448" t="str">
        <f t="shared" si="7"/>
        <v/>
      </c>
    </row>
    <row r="882">
      <c r="A882" s="277"/>
      <c r="B882" s="277"/>
      <c r="C882" s="441"/>
      <c r="D882" s="277"/>
      <c r="E882" s="277"/>
      <c r="F882" s="277"/>
      <c r="G882" s="277"/>
      <c r="H882" s="277" t="b">
        <f t="shared" si="1"/>
        <v>0</v>
      </c>
      <c r="I882" s="277"/>
      <c r="J882" s="277"/>
      <c r="K882" s="277"/>
      <c r="L882" s="277"/>
      <c r="M882" s="440" t="b">
        <f t="shared" si="2"/>
        <v>0</v>
      </c>
      <c r="N882" s="441"/>
      <c r="O882" s="277"/>
      <c r="P882" s="277"/>
      <c r="Q882" s="278"/>
      <c r="R882" s="449" t="str">
        <f t="array" ref="R882">IFERROR(IFS(OR(P882="A1-Mewtwo", P882="A1-Pikachu", P882="A1-Charizard", P882="A1"), XLOOKUP(N882, 'Genetic Apex'!$C$2:$C889, 'Genetic Apex'!$B$2:$B889)-$B$4, P882="A1a", XLOOKUP(N882, 'Mythical Island'!$C$2:$C889, 'Mythical Island'!$B$2:$B889)-$B$4, OR(P882="A2-Dialga", P882="A2-Palkia", P882="A2"), XLOOKUP(N882, 'Space-Time Smackdown'!$C$2:$C889, 'Space-Time Smackdown'!$B$2:$B889)-$B$4))</f>
        <v/>
      </c>
      <c r="S882" s="277"/>
      <c r="T882" s="277"/>
      <c r="U882" s="277"/>
      <c r="V882" s="278"/>
      <c r="W882" s="443" t="str">
        <f t="array" ref="W882">IFERROR(IFS(OR(U882="A1-Mewtwo", U882="A1-Pikachu", U882="A1-Charizard", U882="A1"), $B$5-XLOOKUP(S882, 'Genetic Apex'!$C$2:$C889, 'Genetic Apex'!$B$2:$B889), U882="A1a", $B$5-XLOOKUP(S882, 'Mythical Island'!$C$2:$C889, 'Mythical Island'!$B$2:$B889), OR(U882="A2-Dialga", U882="A2-Palkia", U882="A2"), $B$5-XLOOKUP(S882, 'Space-Time Smackdown'!$C$2:$C889, 'Space-Time Smackdown'!$B$2:$B889)))</f>
        <v/>
      </c>
      <c r="X882" s="444" t="str">
        <f t="shared" si="3"/>
        <v/>
      </c>
      <c r="Y882" s="445" t="str">
        <f t="shared" si="4"/>
        <v/>
      </c>
      <c r="Z882" s="278"/>
      <c r="AA882" s="466"/>
      <c r="AB882" s="278"/>
      <c r="AC882" s="278"/>
      <c r="AD882" s="278"/>
      <c r="AE882" s="278"/>
      <c r="AF882" s="278"/>
      <c r="AG882" s="278" t="b">
        <f t="shared" si="5"/>
        <v>0</v>
      </c>
      <c r="AH882" s="454"/>
      <c r="AI882" s="278"/>
      <c r="AJ882" s="278"/>
      <c r="AK882" s="278"/>
      <c r="AL882" s="444" t="str">
        <f t="array" ref="AL882">IFERROR(IFS(OR(AJ882="A1-Mewtwo", AJ882="A1-Pikachu", AJ882="A1-Charizard", AJ882="A1"), XLOOKUP(AH882, 'Genetic Apex'!$C$2:$C889, 'Genetic Apex'!$B$2:$B889)-2, AJ882="A1a", XLOOKUP(AH882, 'Mythical Island'!$C$2:$C889, 'Mythical Island'!$B$2:$B889)-2, OR(AJ882="A2-Dialga", AJ882="A2-Palkia", AJ882="A2"), XLOOKUP(AH882, 'Space-Time Smackdown'!$C$2:$C889, 'Space-Time Smackdown'!$B$2:$B889)-2))</f>
        <v/>
      </c>
      <c r="AM882" s="444" t="str">
        <f t="shared" si="6"/>
        <v/>
      </c>
      <c r="AN882" s="448" t="str">
        <f t="shared" si="7"/>
        <v/>
      </c>
    </row>
    <row r="883">
      <c r="A883" s="277"/>
      <c r="B883" s="277"/>
      <c r="C883" s="441"/>
      <c r="D883" s="277"/>
      <c r="E883" s="277"/>
      <c r="F883" s="277"/>
      <c r="G883" s="277"/>
      <c r="H883" s="277" t="b">
        <f t="shared" si="1"/>
        <v>0</v>
      </c>
      <c r="I883" s="277"/>
      <c r="J883" s="277"/>
      <c r="K883" s="277"/>
      <c r="L883" s="277"/>
      <c r="M883" s="440" t="b">
        <f t="shared" si="2"/>
        <v>0</v>
      </c>
      <c r="N883" s="441"/>
      <c r="O883" s="277"/>
      <c r="P883" s="277"/>
      <c r="Q883" s="278"/>
      <c r="R883" s="449" t="str">
        <f t="array" ref="R883">IFERROR(IFS(OR(P883="A1-Mewtwo", P883="A1-Pikachu", P883="A1-Charizard", P883="A1"), XLOOKUP(N883, 'Genetic Apex'!$C$2:$C889, 'Genetic Apex'!$B$2:$B889)-$B$4, P883="A1a", XLOOKUP(N883, 'Mythical Island'!$C$2:$C889, 'Mythical Island'!$B$2:$B889)-$B$4, OR(P883="A2-Dialga", P883="A2-Palkia", P883="A2"), XLOOKUP(N883, 'Space-Time Smackdown'!$C$2:$C889, 'Space-Time Smackdown'!$B$2:$B889)-$B$4))</f>
        <v/>
      </c>
      <c r="S883" s="277"/>
      <c r="T883" s="277"/>
      <c r="U883" s="277"/>
      <c r="V883" s="278"/>
      <c r="W883" s="443" t="str">
        <f t="array" ref="W883">IFERROR(IFS(OR(U883="A1-Mewtwo", U883="A1-Pikachu", U883="A1-Charizard", U883="A1"), $B$5-XLOOKUP(S883, 'Genetic Apex'!$C$2:$C889, 'Genetic Apex'!$B$2:$B889), U883="A1a", $B$5-XLOOKUP(S883, 'Mythical Island'!$C$2:$C889, 'Mythical Island'!$B$2:$B889), OR(U883="A2-Dialga", U883="A2-Palkia", U883="A2"), $B$5-XLOOKUP(S883, 'Space-Time Smackdown'!$C$2:$C889, 'Space-Time Smackdown'!$B$2:$B889)))</f>
        <v/>
      </c>
      <c r="X883" s="444" t="str">
        <f t="shared" si="3"/>
        <v/>
      </c>
      <c r="Y883" s="445" t="str">
        <f t="shared" si="4"/>
        <v/>
      </c>
      <c r="Z883" s="278"/>
      <c r="AA883" s="466"/>
      <c r="AB883" s="278"/>
      <c r="AC883" s="278"/>
      <c r="AD883" s="278"/>
      <c r="AE883" s="278"/>
      <c r="AF883" s="278"/>
      <c r="AG883" s="278" t="b">
        <f t="shared" si="5"/>
        <v>0</v>
      </c>
      <c r="AH883" s="454"/>
      <c r="AI883" s="278"/>
      <c r="AJ883" s="278"/>
      <c r="AK883" s="278"/>
      <c r="AL883" s="444" t="str">
        <f t="array" ref="AL883">IFERROR(IFS(OR(AJ883="A1-Mewtwo", AJ883="A1-Pikachu", AJ883="A1-Charizard", AJ883="A1"), XLOOKUP(AH883, 'Genetic Apex'!$C$2:$C889, 'Genetic Apex'!$B$2:$B889)-2, AJ883="A1a", XLOOKUP(AH883, 'Mythical Island'!$C$2:$C889, 'Mythical Island'!$B$2:$B889)-2, OR(AJ883="A2-Dialga", AJ883="A2-Palkia", AJ883="A2"), XLOOKUP(AH883, 'Space-Time Smackdown'!$C$2:$C889, 'Space-Time Smackdown'!$B$2:$B889)-2))</f>
        <v/>
      </c>
      <c r="AM883" s="444" t="str">
        <f t="shared" si="6"/>
        <v/>
      </c>
      <c r="AN883" s="448" t="str">
        <f t="shared" si="7"/>
        <v/>
      </c>
    </row>
    <row r="884">
      <c r="A884" s="277"/>
      <c r="B884" s="277"/>
      <c r="C884" s="441"/>
      <c r="D884" s="277"/>
      <c r="E884" s="277"/>
      <c r="F884" s="277"/>
      <c r="G884" s="277"/>
      <c r="H884" s="277" t="b">
        <f t="shared" si="1"/>
        <v>0</v>
      </c>
      <c r="I884" s="277"/>
      <c r="J884" s="277"/>
      <c r="K884" s="277"/>
      <c r="L884" s="277"/>
      <c r="M884" s="440" t="b">
        <f t="shared" si="2"/>
        <v>0</v>
      </c>
      <c r="N884" s="441"/>
      <c r="O884" s="277"/>
      <c r="P884" s="277"/>
      <c r="Q884" s="278"/>
      <c r="R884" s="449" t="str">
        <f t="array" ref="R884">IFERROR(IFS(OR(P884="A1-Mewtwo", P884="A1-Pikachu", P884="A1-Charizard", P884="A1"), XLOOKUP(N884, 'Genetic Apex'!$C$2:$C889, 'Genetic Apex'!$B$2:$B889)-$B$4, P884="A1a", XLOOKUP(N884, 'Mythical Island'!$C$2:$C889, 'Mythical Island'!$B$2:$B889)-$B$4, OR(P884="A2-Dialga", P884="A2-Palkia", P884="A2"), XLOOKUP(N884, 'Space-Time Smackdown'!$C$2:$C889, 'Space-Time Smackdown'!$B$2:$B889)-$B$4))</f>
        <v/>
      </c>
      <c r="S884" s="277"/>
      <c r="T884" s="277"/>
      <c r="U884" s="277"/>
      <c r="V884" s="278"/>
      <c r="W884" s="443" t="str">
        <f t="array" ref="W884">IFERROR(IFS(OR(U884="A1-Mewtwo", U884="A1-Pikachu", U884="A1-Charizard", U884="A1"), $B$5-XLOOKUP(S884, 'Genetic Apex'!$C$2:$C889, 'Genetic Apex'!$B$2:$B889), U884="A1a", $B$5-XLOOKUP(S884, 'Mythical Island'!$C$2:$C889, 'Mythical Island'!$B$2:$B889), OR(U884="A2-Dialga", U884="A2-Palkia", U884="A2"), $B$5-XLOOKUP(S884, 'Space-Time Smackdown'!$C$2:$C889, 'Space-Time Smackdown'!$B$2:$B889)))</f>
        <v/>
      </c>
      <c r="X884" s="444" t="str">
        <f t="shared" si="3"/>
        <v/>
      </c>
      <c r="Y884" s="445" t="str">
        <f t="shared" si="4"/>
        <v/>
      </c>
      <c r="Z884" s="278"/>
      <c r="AA884" s="466"/>
      <c r="AB884" s="278"/>
      <c r="AC884" s="278"/>
      <c r="AD884" s="278"/>
      <c r="AE884" s="278"/>
      <c r="AF884" s="278"/>
      <c r="AG884" s="278" t="b">
        <f t="shared" si="5"/>
        <v>0</v>
      </c>
      <c r="AH884" s="454"/>
      <c r="AI884" s="278"/>
      <c r="AJ884" s="278"/>
      <c r="AK884" s="278"/>
      <c r="AL884" s="444" t="str">
        <f t="array" ref="AL884">IFERROR(IFS(OR(AJ884="A1-Mewtwo", AJ884="A1-Pikachu", AJ884="A1-Charizard", AJ884="A1"), XLOOKUP(AH884, 'Genetic Apex'!$C$2:$C889, 'Genetic Apex'!$B$2:$B889)-2, AJ884="A1a", XLOOKUP(AH884, 'Mythical Island'!$C$2:$C889, 'Mythical Island'!$B$2:$B889)-2, OR(AJ884="A2-Dialga", AJ884="A2-Palkia", AJ884="A2"), XLOOKUP(AH884, 'Space-Time Smackdown'!$C$2:$C889, 'Space-Time Smackdown'!$B$2:$B889)-2))</f>
        <v/>
      </c>
      <c r="AM884" s="444" t="str">
        <f t="shared" si="6"/>
        <v/>
      </c>
      <c r="AN884" s="448" t="str">
        <f t="shared" si="7"/>
        <v/>
      </c>
    </row>
    <row r="885">
      <c r="A885" s="277"/>
      <c r="B885" s="277"/>
      <c r="C885" s="441"/>
      <c r="D885" s="277"/>
      <c r="E885" s="277"/>
      <c r="F885" s="277"/>
      <c r="G885" s="277"/>
      <c r="H885" s="277" t="b">
        <f t="shared" si="1"/>
        <v>0</v>
      </c>
      <c r="I885" s="277"/>
      <c r="J885" s="277"/>
      <c r="K885" s="277"/>
      <c r="L885" s="277"/>
      <c r="M885" s="440" t="b">
        <f t="shared" si="2"/>
        <v>0</v>
      </c>
      <c r="N885" s="441"/>
      <c r="O885" s="277"/>
      <c r="P885" s="277"/>
      <c r="Q885" s="278"/>
      <c r="R885" s="449" t="str">
        <f t="array" ref="R885">IFERROR(IFS(OR(P885="A1-Mewtwo", P885="A1-Pikachu", P885="A1-Charizard", P885="A1"), XLOOKUP(N885, 'Genetic Apex'!$C$2:$C889, 'Genetic Apex'!$B$2:$B889)-$B$4, P885="A1a", XLOOKUP(N885, 'Mythical Island'!$C$2:$C889, 'Mythical Island'!$B$2:$B889)-$B$4, OR(P885="A2-Dialga", P885="A2-Palkia", P885="A2"), XLOOKUP(N885, 'Space-Time Smackdown'!$C$2:$C889, 'Space-Time Smackdown'!$B$2:$B889)-$B$4))</f>
        <v/>
      </c>
      <c r="S885" s="277"/>
      <c r="T885" s="277"/>
      <c r="U885" s="277"/>
      <c r="V885" s="278"/>
      <c r="W885" s="443" t="str">
        <f t="array" ref="W885">IFERROR(IFS(OR(U885="A1-Mewtwo", U885="A1-Pikachu", U885="A1-Charizard", U885="A1"), $B$5-XLOOKUP(S885, 'Genetic Apex'!$C$2:$C889, 'Genetic Apex'!$B$2:$B889), U885="A1a", $B$5-XLOOKUP(S885, 'Mythical Island'!$C$2:$C889, 'Mythical Island'!$B$2:$B889), OR(U885="A2-Dialga", U885="A2-Palkia", U885="A2"), $B$5-XLOOKUP(S885, 'Space-Time Smackdown'!$C$2:$C889, 'Space-Time Smackdown'!$B$2:$B889)))</f>
        <v/>
      </c>
      <c r="X885" s="444" t="str">
        <f t="shared" si="3"/>
        <v/>
      </c>
      <c r="Y885" s="445" t="str">
        <f t="shared" si="4"/>
        <v/>
      </c>
      <c r="Z885" s="278"/>
      <c r="AA885" s="466"/>
      <c r="AB885" s="278"/>
      <c r="AC885" s="278"/>
      <c r="AD885" s="278"/>
      <c r="AE885" s="278"/>
      <c r="AF885" s="278"/>
      <c r="AG885" s="278" t="b">
        <f t="shared" si="5"/>
        <v>0</v>
      </c>
      <c r="AH885" s="454"/>
      <c r="AI885" s="278"/>
      <c r="AJ885" s="278"/>
      <c r="AK885" s="278"/>
      <c r="AL885" s="444" t="str">
        <f t="array" ref="AL885">IFERROR(IFS(OR(AJ885="A1-Mewtwo", AJ885="A1-Pikachu", AJ885="A1-Charizard", AJ885="A1"), XLOOKUP(AH885, 'Genetic Apex'!$C$2:$C889, 'Genetic Apex'!$B$2:$B889)-2, AJ885="A1a", XLOOKUP(AH885, 'Mythical Island'!$C$2:$C889, 'Mythical Island'!$B$2:$B889)-2, OR(AJ885="A2-Dialga", AJ885="A2-Palkia", AJ885="A2"), XLOOKUP(AH885, 'Space-Time Smackdown'!$C$2:$C889, 'Space-Time Smackdown'!$B$2:$B889)-2))</f>
        <v/>
      </c>
      <c r="AM885" s="444" t="str">
        <f t="shared" si="6"/>
        <v/>
      </c>
      <c r="AN885" s="448" t="str">
        <f t="shared" si="7"/>
        <v/>
      </c>
    </row>
    <row r="886">
      <c r="A886" s="277"/>
      <c r="B886" s="277"/>
      <c r="C886" s="441"/>
      <c r="D886" s="277"/>
      <c r="E886" s="277"/>
      <c r="F886" s="277"/>
      <c r="G886" s="277"/>
      <c r="H886" s="277" t="b">
        <f t="shared" si="1"/>
        <v>0</v>
      </c>
      <c r="I886" s="277"/>
      <c r="J886" s="277"/>
      <c r="K886" s="277"/>
      <c r="L886" s="277"/>
      <c r="M886" s="440" t="b">
        <f t="shared" si="2"/>
        <v>0</v>
      </c>
      <c r="N886" s="441"/>
      <c r="O886" s="277"/>
      <c r="P886" s="277"/>
      <c r="Q886" s="278"/>
      <c r="R886" s="449" t="str">
        <f t="array" ref="R886">IFERROR(IFS(OR(P886="A1-Mewtwo", P886="A1-Pikachu", P886="A1-Charizard", P886="A1"), XLOOKUP(N886, 'Genetic Apex'!$C$2:$C889, 'Genetic Apex'!$B$2:$B889)-$B$4, P886="A1a", XLOOKUP(N886, 'Mythical Island'!$C$2:$C889, 'Mythical Island'!$B$2:$B889)-$B$4, OR(P886="A2-Dialga", P886="A2-Palkia", P886="A2"), XLOOKUP(N886, 'Space-Time Smackdown'!$C$2:$C889, 'Space-Time Smackdown'!$B$2:$B889)-$B$4))</f>
        <v/>
      </c>
      <c r="S886" s="277"/>
      <c r="T886" s="277"/>
      <c r="U886" s="277"/>
      <c r="V886" s="278"/>
      <c r="W886" s="443" t="str">
        <f t="array" ref="W886">IFERROR(IFS(OR(U886="A1-Mewtwo", U886="A1-Pikachu", U886="A1-Charizard", U886="A1"), $B$5-XLOOKUP(S886, 'Genetic Apex'!$C$2:$C889, 'Genetic Apex'!$B$2:$B889), U886="A1a", $B$5-XLOOKUP(S886, 'Mythical Island'!$C$2:$C889, 'Mythical Island'!$B$2:$B889), OR(U886="A2-Dialga", U886="A2-Palkia", U886="A2"), $B$5-XLOOKUP(S886, 'Space-Time Smackdown'!$C$2:$C889, 'Space-Time Smackdown'!$B$2:$B889)))</f>
        <v/>
      </c>
      <c r="X886" s="444" t="str">
        <f t="shared" si="3"/>
        <v/>
      </c>
      <c r="Y886" s="445" t="str">
        <f t="shared" si="4"/>
        <v/>
      </c>
      <c r="Z886" s="294"/>
      <c r="AA886" s="467"/>
      <c r="AB886" s="278"/>
      <c r="AC886" s="278"/>
      <c r="AD886" s="278"/>
      <c r="AE886" s="278"/>
      <c r="AF886" s="278"/>
      <c r="AG886" s="278" t="b">
        <f t="shared" si="5"/>
        <v>0</v>
      </c>
      <c r="AH886" s="454"/>
      <c r="AI886" s="278"/>
      <c r="AJ886" s="278"/>
      <c r="AK886" s="278"/>
      <c r="AL886" s="444" t="str">
        <f t="array" ref="AL886">IFERROR(IFS(OR(AJ886="A1-Mewtwo", AJ886="A1-Pikachu", AJ886="A1-Charizard", AJ886="A1"), XLOOKUP(AH886, 'Genetic Apex'!$C$2:$C889, 'Genetic Apex'!$B$2:$B889)-2, AJ886="A1a", XLOOKUP(AH886, 'Mythical Island'!$C$2:$C889, 'Mythical Island'!$B$2:$B889)-2, OR(AJ886="A2-Dialga", AJ886="A2-Palkia", AJ886="A2"), XLOOKUP(AH886, 'Space-Time Smackdown'!$C$2:$C889, 'Space-Time Smackdown'!$B$2:$B889)-2))</f>
        <v/>
      </c>
      <c r="AM886" s="444" t="str">
        <f t="shared" si="6"/>
        <v/>
      </c>
      <c r="AN886" s="448" t="str">
        <f t="shared" si="7"/>
        <v/>
      </c>
    </row>
    <row r="887">
      <c r="A887" s="277"/>
      <c r="B887" s="277"/>
      <c r="C887" s="441"/>
      <c r="D887" s="277"/>
      <c r="E887" s="277"/>
      <c r="F887" s="277"/>
      <c r="G887" s="277"/>
      <c r="H887" s="277" t="b">
        <f t="shared" si="1"/>
        <v>0</v>
      </c>
      <c r="I887" s="277"/>
      <c r="J887" s="277"/>
      <c r="K887" s="277"/>
      <c r="L887" s="277"/>
      <c r="M887" s="440" t="b">
        <f t="shared" si="2"/>
        <v>0</v>
      </c>
      <c r="N887" s="441"/>
      <c r="O887" s="277"/>
      <c r="P887" s="277"/>
      <c r="Q887" s="278"/>
      <c r="R887" s="449" t="str">
        <f t="array" ref="R887">IFERROR(IFS(OR(P887="A1-Mewtwo", P887="A1-Pikachu", P887="A1-Charizard", P887="A1"), XLOOKUP(N887, 'Genetic Apex'!$C$2:$C889, 'Genetic Apex'!$B$2:$B889)-$B$4, P887="A1a", XLOOKUP(N887, 'Mythical Island'!$C$2:$C889, 'Mythical Island'!$B$2:$B889)-$B$4, OR(P887="A2-Dialga", P887="A2-Palkia", P887="A2"), XLOOKUP(N887, 'Space-Time Smackdown'!$C$2:$C889, 'Space-Time Smackdown'!$B$2:$B889)-$B$4))</f>
        <v/>
      </c>
      <c r="S887" s="277"/>
      <c r="T887" s="277"/>
      <c r="U887" s="277"/>
      <c r="V887" s="278"/>
      <c r="W887" s="443" t="str">
        <f t="array" ref="W887">IFERROR(IFS(OR(U887="A1-Mewtwo", U887="A1-Pikachu", U887="A1-Charizard", U887="A1"), $B$5-XLOOKUP(S887, 'Genetic Apex'!$C$2:$C889, 'Genetic Apex'!$B$2:$B889), U887="A1a", $B$5-XLOOKUP(S887, 'Mythical Island'!$C$2:$C889, 'Mythical Island'!$B$2:$B889), OR(U887="A2-Dialga", U887="A2-Palkia", U887="A2"), $B$5-XLOOKUP(S887, 'Space-Time Smackdown'!$C$2:$C889, 'Space-Time Smackdown'!$B$2:$B889)))</f>
        <v/>
      </c>
      <c r="X887" s="444" t="str">
        <f t="shared" si="3"/>
        <v/>
      </c>
      <c r="Y887" s="445" t="str">
        <f t="shared" si="4"/>
        <v/>
      </c>
      <c r="Z887" s="294"/>
      <c r="AA887" s="467"/>
      <c r="AB887" s="278"/>
      <c r="AC887" s="278"/>
      <c r="AD887" s="278"/>
      <c r="AE887" s="278"/>
      <c r="AF887" s="278"/>
      <c r="AG887" s="278" t="b">
        <f t="shared" si="5"/>
        <v>0</v>
      </c>
      <c r="AH887" s="454"/>
      <c r="AI887" s="278"/>
      <c r="AJ887" s="278"/>
      <c r="AK887" s="278"/>
      <c r="AL887" s="444" t="str">
        <f t="array" ref="AL887">IFERROR(IFS(OR(AJ887="A1-Mewtwo", AJ887="A1-Pikachu", AJ887="A1-Charizard", AJ887="A1"), XLOOKUP(AH887, 'Genetic Apex'!$C$2:$C889, 'Genetic Apex'!$B$2:$B889)-2, AJ887="A1a", XLOOKUP(AH887, 'Mythical Island'!$C$2:$C889, 'Mythical Island'!$B$2:$B889)-2, OR(AJ887="A2-Dialga", AJ887="A2-Palkia", AJ887="A2"), XLOOKUP(AH887, 'Space-Time Smackdown'!$C$2:$C889, 'Space-Time Smackdown'!$B$2:$B889)-2))</f>
        <v/>
      </c>
      <c r="AM887" s="444" t="str">
        <f t="shared" si="6"/>
        <v/>
      </c>
      <c r="AN887" s="448" t="str">
        <f t="shared" si="7"/>
        <v/>
      </c>
    </row>
    <row r="888">
      <c r="A888" s="277"/>
      <c r="B888" s="277"/>
      <c r="C888" s="441"/>
      <c r="D888" s="277"/>
      <c r="E888" s="277"/>
      <c r="F888" s="277"/>
      <c r="G888" s="277"/>
      <c r="H888" s="277"/>
      <c r="I888" s="277"/>
      <c r="J888" s="277"/>
      <c r="K888" s="277"/>
      <c r="L888" s="277"/>
      <c r="M888" s="277"/>
      <c r="N888" s="277"/>
      <c r="O888" s="277"/>
      <c r="P888" s="277"/>
      <c r="Q888" s="278"/>
      <c r="R888" s="468"/>
      <c r="S888" s="277"/>
      <c r="T888" s="277"/>
      <c r="U888" s="277"/>
      <c r="V888" s="278"/>
      <c r="W888" s="443"/>
      <c r="X888" s="444" t="str">
        <f t="shared" si="3"/>
        <v/>
      </c>
      <c r="Y888" s="445" t="str">
        <f t="shared" si="4"/>
        <v/>
      </c>
      <c r="Z888" s="23"/>
      <c r="AA888" s="469"/>
      <c r="AB888" s="278"/>
      <c r="AC888" s="278"/>
      <c r="AD888" s="278"/>
      <c r="AE888" s="278"/>
      <c r="AF888" s="278"/>
      <c r="AG888" s="278" t="b">
        <f t="shared" si="5"/>
        <v>0</v>
      </c>
      <c r="AH888" s="454"/>
      <c r="AI888" s="278"/>
      <c r="AJ888" s="278"/>
      <c r="AK888" s="278"/>
      <c r="AL888" s="444" t="str">
        <f t="array" ref="AL888">IFERROR(IFS(OR(AJ888="A1-Mewtwo", AJ888="A1-Pikachu", AJ888="A1-Charizard", AJ888="A1"), XLOOKUP(AH888, 'Genetic Apex'!$C$2:$C889, 'Genetic Apex'!$B$2:$B889)-2, AJ888="A1a", XLOOKUP(AH888, 'Mythical Island'!$C$2:$C889, 'Mythical Island'!$B$2:$B889)-2, OR(AJ888="A2-Dialga", AJ888="A2-Palkia", AJ888="A2"), XLOOKUP(AH888, 'Space-Time Smackdown'!$C$2:$C889, 'Space-Time Smackdown'!$B$2:$B889)-2))</f>
        <v/>
      </c>
      <c r="AM888" s="444" t="str">
        <f t="shared" si="6"/>
        <v/>
      </c>
      <c r="AN888" s="448" t="str">
        <f t="shared" si="7"/>
        <v/>
      </c>
    </row>
    <row r="889">
      <c r="A889" s="277"/>
      <c r="B889" s="277"/>
      <c r="C889" s="441"/>
      <c r="D889" s="277"/>
      <c r="E889" s="277"/>
      <c r="F889" s="277"/>
      <c r="G889" s="277"/>
      <c r="H889" s="277"/>
      <c r="I889" s="277"/>
      <c r="J889" s="277"/>
      <c r="K889" s="277"/>
      <c r="L889" s="277"/>
      <c r="M889" s="277"/>
      <c r="N889" s="277"/>
      <c r="O889" s="277"/>
      <c r="P889" s="277"/>
      <c r="Q889" s="278"/>
      <c r="R889" s="468"/>
      <c r="S889" s="277"/>
      <c r="T889" s="277"/>
      <c r="U889" s="277"/>
      <c r="V889" s="278"/>
      <c r="W889" s="443"/>
      <c r="X889" s="444" t="str">
        <f t="shared" si="3"/>
        <v/>
      </c>
      <c r="Y889" s="445" t="str">
        <f t="shared" si="4"/>
        <v/>
      </c>
      <c r="Z889" s="23"/>
      <c r="AA889" s="469"/>
      <c r="AB889" s="278"/>
      <c r="AC889" s="278"/>
      <c r="AD889" s="278"/>
      <c r="AE889" s="278"/>
      <c r="AF889" s="278"/>
      <c r="AG889" s="278" t="b">
        <f t="shared" si="5"/>
        <v>0</v>
      </c>
      <c r="AH889" s="454"/>
      <c r="AI889" s="278"/>
      <c r="AJ889" s="278"/>
      <c r="AK889" s="278"/>
      <c r="AL889" s="444" t="str">
        <f t="array" ref="AL889">IFERROR(IFS(OR(AJ889="A1-Mewtwo", AJ889="A1-Pikachu", AJ889="A1-Charizard", AJ889="A1"), XLOOKUP(AH889, 'Genetic Apex'!$C$2:$C889, 'Genetic Apex'!$B$2:$B889)-2, AJ889="A1a", XLOOKUP(AH889, 'Mythical Island'!$C$2:$C889, 'Mythical Island'!$B$2:$B889)-2, OR(AJ889="A2-Dialga", AJ889="A2-Palkia", AJ889="A2"), XLOOKUP(AH889, 'Space-Time Smackdown'!$C$2:$C889, 'Space-Time Smackdown'!$B$2:$B889)-2))</f>
        <v/>
      </c>
      <c r="AM889" s="444" t="str">
        <f t="shared" si="6"/>
        <v/>
      </c>
      <c r="AN889" s="448" t="str">
        <f t="shared" si="7"/>
        <v/>
      </c>
    </row>
  </sheetData>
  <mergeCells count="22">
    <mergeCell ref="I2:L2"/>
    <mergeCell ref="N2:R2"/>
    <mergeCell ref="A3:B3"/>
    <mergeCell ref="A7:B7"/>
    <mergeCell ref="A17:B17"/>
    <mergeCell ref="A1:B2"/>
    <mergeCell ref="D1:L1"/>
    <mergeCell ref="N1:Y1"/>
    <mergeCell ref="Z1:AA2"/>
    <mergeCell ref="AH1:AN1"/>
    <mergeCell ref="D2:G2"/>
    <mergeCell ref="S2:Y2"/>
    <mergeCell ref="AH2:AN2"/>
    <mergeCell ref="Z18:AA18"/>
    <mergeCell ref="Z19:AA20"/>
    <mergeCell ref="AC1:AG1"/>
    <mergeCell ref="AC2:AG2"/>
    <mergeCell ref="Z3:AA3"/>
    <mergeCell ref="Z5:AA5"/>
    <mergeCell ref="Z12:AA12"/>
    <mergeCell ref="Z16:Z17"/>
    <mergeCell ref="AA16:AA17"/>
  </mergeCells>
  <conditionalFormatting sqref="Z14:AA14">
    <cfRule type="expression" dxfId="10" priority="1">
      <formula>$E15="A1"</formula>
    </cfRule>
  </conditionalFormatting>
  <conditionalFormatting sqref="Z14:AA14">
    <cfRule type="expression" dxfId="6" priority="2">
      <formula>$E15="A1-Charizard"</formula>
    </cfRule>
  </conditionalFormatting>
  <conditionalFormatting sqref="Z14:AA14">
    <cfRule type="expression" dxfId="5" priority="3">
      <formula>$E15="A1-Pikachu"</formula>
    </cfRule>
  </conditionalFormatting>
  <conditionalFormatting sqref="Z14:AA14">
    <cfRule type="expression" dxfId="4" priority="4">
      <formula>$E15="A1-Mewtwo"</formula>
    </cfRule>
  </conditionalFormatting>
  <conditionalFormatting sqref="A15 X15:Y15 AB15 AC15:AF17 AH15:AK15">
    <cfRule type="expression" dxfId="4" priority="5">
      <formula>$E15="A1-Mewtwo"</formula>
    </cfRule>
  </conditionalFormatting>
  <conditionalFormatting sqref="A15 X15:Y15 AB15 AC15:AF17 AH15:AK15">
    <cfRule type="expression" dxfId="5" priority="6">
      <formula>$E15="A1-Pikachu"</formula>
    </cfRule>
  </conditionalFormatting>
  <conditionalFormatting sqref="A15 X15:Y15 AB15 AC15:AF17 AH15:AK15">
    <cfRule type="expression" dxfId="6" priority="7">
      <formula>$E15="A1-Charizard"</formula>
    </cfRule>
  </conditionalFormatting>
  <conditionalFormatting sqref="A15 X15:Y15 AB15 AC15:AF17 AH15:AK15">
    <cfRule type="expression" dxfId="10" priority="8">
      <formula>$E15="A1"</formula>
    </cfRule>
  </conditionalFormatting>
  <conditionalFormatting sqref="N4:R889">
    <cfRule type="expression" dxfId="4" priority="9">
      <formula>$P4="A1-Mewtwo"</formula>
    </cfRule>
  </conditionalFormatting>
  <conditionalFormatting sqref="N4:R889">
    <cfRule type="expression" dxfId="5" priority="10">
      <formula>$P4="A1-Pikachu"</formula>
    </cfRule>
  </conditionalFormatting>
  <conditionalFormatting sqref="N4:R889">
    <cfRule type="expression" dxfId="6" priority="11">
      <formula>$P4="A1-Charizard"</formula>
    </cfRule>
  </conditionalFormatting>
  <conditionalFormatting sqref="N4:R889">
    <cfRule type="expression" dxfId="10" priority="12">
      <formula>$P4="A1"</formula>
    </cfRule>
  </conditionalFormatting>
  <conditionalFormatting sqref="N4:R889">
    <cfRule type="expression" dxfId="7" priority="13">
      <formula>$P4="A1a"</formula>
    </cfRule>
  </conditionalFormatting>
  <conditionalFormatting sqref="N4:R889">
    <cfRule type="expression" dxfId="8" priority="14">
      <formula>$P4="A2-Dialga"</formula>
    </cfRule>
  </conditionalFormatting>
  <conditionalFormatting sqref="N4:R889">
    <cfRule type="expression" dxfId="9" priority="15">
      <formula>$P4="A2-Palkia"</formula>
    </cfRule>
  </conditionalFormatting>
  <conditionalFormatting sqref="N4:R889">
    <cfRule type="expression" dxfId="19" priority="16">
      <formula>$P4="A2"</formula>
    </cfRule>
  </conditionalFormatting>
  <conditionalFormatting sqref="S4:W889">
    <cfRule type="expression" dxfId="4" priority="17">
      <formula>$U4="A1-Mewtwo"</formula>
    </cfRule>
  </conditionalFormatting>
  <conditionalFormatting sqref="S4:W889">
    <cfRule type="expression" dxfId="5" priority="18">
      <formula>$U4="A1-Pikachu"</formula>
    </cfRule>
  </conditionalFormatting>
  <conditionalFormatting sqref="S4:W889">
    <cfRule type="expression" dxfId="6" priority="19">
      <formula>$U4="A1-Charizard"</formula>
    </cfRule>
  </conditionalFormatting>
  <conditionalFormatting sqref="S4:W889">
    <cfRule type="expression" dxfId="10" priority="20">
      <formula>$U4="A1"</formula>
    </cfRule>
  </conditionalFormatting>
  <conditionalFormatting sqref="S4:W889">
    <cfRule type="expression" dxfId="7" priority="21">
      <formula>$U4="A1a"</formula>
    </cfRule>
  </conditionalFormatting>
  <conditionalFormatting sqref="S4:W889">
    <cfRule type="expression" dxfId="8" priority="22">
      <formula>$U4="A2-Dialga"</formula>
    </cfRule>
  </conditionalFormatting>
  <conditionalFormatting sqref="S4:W889">
    <cfRule type="expression" dxfId="9" priority="23">
      <formula>$U4="A2-Palkia"</formula>
    </cfRule>
  </conditionalFormatting>
  <conditionalFormatting sqref="S4:W889">
    <cfRule type="expression" dxfId="19" priority="24">
      <formula>$U4="A2"</formula>
    </cfRule>
  </conditionalFormatting>
  <conditionalFormatting sqref="Y4:Y889 AN4:AN889">
    <cfRule type="notContainsBlanks" dxfId="20" priority="25">
      <formula>LEN(TRIM(Y4))&gt;0</formula>
    </cfRule>
  </conditionalFormatting>
  <conditionalFormatting sqref="AH4:AL889">
    <cfRule type="expression" dxfId="4" priority="26">
      <formula>$AJ4="A1-Mewtwo"</formula>
    </cfRule>
  </conditionalFormatting>
  <conditionalFormatting sqref="AH4:AL889">
    <cfRule type="expression" dxfId="6" priority="27">
      <formula>$AJ4="A1-Charizard"</formula>
    </cfRule>
  </conditionalFormatting>
  <conditionalFormatting sqref="AH4:AL889">
    <cfRule type="expression" dxfId="5" priority="28">
      <formula>$AJ4="A1-Pikachu"</formula>
    </cfRule>
  </conditionalFormatting>
  <conditionalFormatting sqref="AH4:AL889">
    <cfRule type="expression" dxfId="10" priority="29">
      <formula>$AJ4="A1"</formula>
    </cfRule>
  </conditionalFormatting>
  <conditionalFormatting sqref="AH4:AL889">
    <cfRule type="expression" dxfId="7" priority="30">
      <formula>$AJ4="A1a"</formula>
    </cfRule>
  </conditionalFormatting>
  <conditionalFormatting sqref="AH4:AL889">
    <cfRule type="expression" dxfId="8" priority="31">
      <formula>$AJ4="A2-Dialga"</formula>
    </cfRule>
  </conditionalFormatting>
  <conditionalFormatting sqref="AH4:AL889">
    <cfRule type="expression" dxfId="9" priority="32">
      <formula>$AJ4="A2-Palkia"</formula>
    </cfRule>
  </conditionalFormatting>
  <conditionalFormatting sqref="AH4:AL889">
    <cfRule type="expression" dxfId="19" priority="33">
      <formula>$AJ4="A2"</formula>
    </cfRule>
  </conditionalFormatting>
  <drawing r:id="rId2"/>
  <legacyDrawing r:id="rId3"/>
</worksheet>
</file>