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28FA8A37-C2E2-482B-8458-3FE98CFDC76F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斷絲!$A$1:$BG$41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斷絲!$A$1:$W$42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138" r:id="rId36"/>
    <pivotCache cacheId="166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 a="1"/>
  <c r="L12" i="3" s="1"/>
  <c r="L11" i="3" a="1"/>
  <c r="L11" i="3" s="1"/>
  <c r="L13" i="3" a="1"/>
  <c r="L13" i="3" s="1"/>
  <c r="L162" i="3" a="1"/>
  <c r="L162" i="3" s="1"/>
  <c r="L158" i="3" a="1"/>
  <c r="L158" i="3" s="1"/>
  <c r="L157" i="3" a="1"/>
  <c r="L157" i="3" s="1"/>
  <c r="L156" i="3" a="1"/>
  <c r="L156" i="3" s="1"/>
  <c r="L154" i="3" a="1"/>
  <c r="L154" i="3" s="1"/>
  <c r="AM20" i="17" l="1"/>
  <c r="AF20" i="17"/>
  <c r="Z20" i="17"/>
  <c r="AF19" i="17"/>
  <c r="Z19" i="17"/>
  <c r="AF18" i="17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G4" i="17"/>
  <c r="AL4" i="17" s="1"/>
  <c r="AF4" i="17"/>
  <c r="Z4" i="17"/>
  <c r="AK4" i="17" l="1"/>
  <c r="AJ4" i="17"/>
  <c r="AG5" i="17"/>
  <c r="AH4" i="17"/>
  <c r="AI4" i="17" s="1"/>
  <c r="AL5" i="17" l="1"/>
  <c r="AH5" i="17"/>
  <c r="AI5" i="17" s="1"/>
  <c r="AG6" i="17"/>
  <c r="AJ5" i="17"/>
  <c r="AK5" i="17"/>
  <c r="AG7" i="17" l="1"/>
  <c r="AL6" i="17"/>
  <c r="AH6" i="17"/>
  <c r="AI6" i="17" s="1"/>
  <c r="AK6" i="17"/>
  <c r="AJ6" i="17"/>
  <c r="AG8" i="17" l="1"/>
  <c r="AK7" i="17"/>
  <c r="AJ7" i="17"/>
  <c r="AL7" i="17"/>
  <c r="AH7" i="17"/>
  <c r="AI7" i="17" s="1"/>
  <c r="AG9" i="17" l="1"/>
  <c r="AK8" i="17"/>
  <c r="AL8" i="17"/>
  <c r="AH8" i="17"/>
  <c r="AI8" i="17" s="1"/>
  <c r="AJ8" i="17"/>
  <c r="AG10" i="17" l="1"/>
  <c r="AK9" i="17"/>
  <c r="AJ9" i="17"/>
  <c r="AL9" i="17"/>
  <c r="AH9" i="17"/>
  <c r="AI9" i="17" s="1"/>
  <c r="AG11" i="17" l="1"/>
  <c r="AK10" i="17"/>
  <c r="AJ10" i="17"/>
  <c r="AL10" i="17"/>
  <c r="AH10" i="17"/>
  <c r="AI10" i="17" s="1"/>
  <c r="AG12" i="17" l="1"/>
  <c r="AK11" i="17"/>
  <c r="AJ11" i="17"/>
  <c r="AL11" i="17"/>
  <c r="AH11" i="17"/>
  <c r="AI11" i="17" s="1"/>
  <c r="AG13" i="17" l="1"/>
  <c r="AK12" i="17"/>
  <c r="AJ12" i="17"/>
  <c r="AL12" i="17"/>
  <c r="AH12" i="17"/>
  <c r="AI12" i="17" s="1"/>
  <c r="AG14" i="17" l="1"/>
  <c r="AK13" i="17"/>
  <c r="AJ13" i="17"/>
  <c r="AL13" i="17"/>
  <c r="AH13" i="17"/>
  <c r="AI13" i="17" s="1"/>
  <c r="AK14" i="17" l="1"/>
  <c r="AJ14" i="17"/>
  <c r="AG15" i="17"/>
  <c r="AL14" i="17"/>
  <c r="AH14" i="17"/>
  <c r="AI14" i="17" s="1"/>
  <c r="AJ15" i="17" l="1"/>
  <c r="AG16" i="17"/>
  <c r="AL15" i="17"/>
  <c r="AH15" i="17"/>
  <c r="AI15" i="17" s="1"/>
  <c r="AK15" i="17"/>
  <c r="AL16" i="17" l="1"/>
  <c r="AH16" i="17"/>
  <c r="AI16" i="17" s="1"/>
  <c r="AG17" i="17"/>
  <c r="AK16" i="17"/>
  <c r="AJ16" i="17"/>
  <c r="AL17" i="17" l="1"/>
  <c r="AH17" i="17"/>
  <c r="AI17" i="17" s="1"/>
  <c r="AG18" i="17"/>
  <c r="AK17" i="17"/>
  <c r="AJ17" i="17"/>
  <c r="AL18" i="17" l="1"/>
  <c r="AH18" i="17"/>
  <c r="AI18" i="17" s="1"/>
  <c r="AG19" i="17"/>
  <c r="AK18" i="17"/>
  <c r="AJ18" i="17"/>
  <c r="AL19" i="17" l="1"/>
  <c r="AH19" i="17"/>
  <c r="AI19" i="17" s="1"/>
  <c r="AG20" i="17"/>
  <c r="AK19" i="17"/>
  <c r="AJ19" i="17"/>
  <c r="AL20" i="17" l="1"/>
  <c r="AH20" i="17"/>
  <c r="AI20" i="17" s="1"/>
  <c r="AK20" i="17"/>
  <c r="AJ20" i="17"/>
  <c r="E39" i="2" l="1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O37" i="1" s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39" i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/>
  <c r="M40" i="7"/>
  <c r="M41" i="7" s="1"/>
  <c r="M39" i="7"/>
  <c r="M61" i="7" s="1"/>
  <c r="L37" i="1" l="1"/>
  <c r="AP22" i="35" l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L99" i="7" l="1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/>
  <c r="AL40" i="7"/>
  <c r="AL41" i="7" s="1"/>
  <c r="AL39" i="7"/>
  <c r="AL61" i="7" s="1"/>
  <c r="E66" i="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K99" i="7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X37" i="1" l="1"/>
  <c r="AA37" i="1"/>
  <c r="U37" i="1"/>
  <c r="U13" i="35"/>
  <c r="AN99" i="7" l="1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/>
  <c r="AN40" i="7"/>
  <c r="AN41" i="7" s="1"/>
  <c r="AN39" i="7"/>
  <c r="AN61" i="7" s="1"/>
  <c r="Z99" i="7" l="1"/>
  <c r="Z96" i="7"/>
  <c r="Z95" i="7"/>
  <c r="Z94" i="7"/>
  <c r="Z93" i="7"/>
  <c r="Z89" i="7"/>
  <c r="Z88" i="7"/>
  <c r="Z87" i="7"/>
  <c r="Z86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57" i="7"/>
  <c r="Z54" i="7"/>
  <c r="Z53" i="7"/>
  <c r="Z52" i="7"/>
  <c r="Z44" i="7"/>
  <c r="Z43" i="7" s="1"/>
  <c r="Z40" i="7"/>
  <c r="Z41" i="7" s="1"/>
  <c r="Z39" i="7"/>
  <c r="Z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P35" i="7"/>
  <c r="AP36" i="7"/>
  <c r="AP37" i="7"/>
  <c r="AP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AV37" i="35" l="1"/>
  <c r="V21" i="7" l="1"/>
  <c r="V22" i="7"/>
  <c r="V23" i="7"/>
  <c r="V24" i="7"/>
  <c r="AS99" i="7" l="1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M99" i="7" l="1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E99" i="7" l="1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T99" i="7" l="1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V25" i="7" l="1"/>
  <c r="V26" i="7"/>
  <c r="AP23" i="7"/>
  <c r="AP24" i="7"/>
  <c r="AP25" i="7"/>
  <c r="AP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H99" i="7"/>
  <c r="AG99" i="7"/>
  <c r="AH96" i="7"/>
  <c r="AG96" i="7"/>
  <c r="AH95" i="7"/>
  <c r="AG95" i="7"/>
  <c r="AH94" i="7"/>
  <c r="AG94" i="7"/>
  <c r="AH93" i="7"/>
  <c r="AG93" i="7"/>
  <c r="AH89" i="7"/>
  <c r="AG89" i="7"/>
  <c r="AH88" i="7"/>
  <c r="AG88" i="7"/>
  <c r="AH87" i="7"/>
  <c r="AG87" i="7"/>
  <c r="AH86" i="7"/>
  <c r="AG86" i="7"/>
  <c r="AH79" i="7"/>
  <c r="AG79" i="7"/>
  <c r="AH78" i="7"/>
  <c r="AG78" i="7"/>
  <c r="AH77" i="7"/>
  <c r="AG77" i="7"/>
  <c r="AH76" i="7"/>
  <c r="AG76" i="7"/>
  <c r="AH75" i="7"/>
  <c r="AG75" i="7"/>
  <c r="AH74" i="7"/>
  <c r="AG74" i="7"/>
  <c r="AH73" i="7"/>
  <c r="AG73" i="7"/>
  <c r="AH72" i="7"/>
  <c r="AG72" i="7"/>
  <c r="AH71" i="7"/>
  <c r="AG71" i="7"/>
  <c r="AH70" i="7"/>
  <c r="AG70" i="7"/>
  <c r="AH69" i="7"/>
  <c r="AG69" i="7"/>
  <c r="AH68" i="7"/>
  <c r="AG68" i="7"/>
  <c r="AH67" i="7"/>
  <c r="AG67" i="7"/>
  <c r="AH66" i="7"/>
  <c r="AG66" i="7"/>
  <c r="AH65" i="7"/>
  <c r="AG65" i="7"/>
  <c r="AH64" i="7"/>
  <c r="AG64" i="7"/>
  <c r="AH63" i="7"/>
  <c r="AG63" i="7"/>
  <c r="AH57" i="7"/>
  <c r="AG57" i="7"/>
  <c r="AH54" i="7"/>
  <c r="AG54" i="7"/>
  <c r="AH53" i="7"/>
  <c r="AG53" i="7"/>
  <c r="AH52" i="7"/>
  <c r="AG52" i="7"/>
  <c r="AH44" i="7"/>
  <c r="AH43" i="7" s="1"/>
  <c r="AG44" i="7"/>
  <c r="AG43" i="7" s="1"/>
  <c r="AH40" i="7"/>
  <c r="AH41" i="7" s="1"/>
  <c r="AG40" i="7"/>
  <c r="AG41" i="7" s="1"/>
  <c r="AH39" i="7"/>
  <c r="AH61" i="7" s="1"/>
  <c r="AG39" i="7"/>
  <c r="AG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AM9" i="35"/>
  <c r="AJ9" i="35"/>
  <c r="AM8" i="35"/>
  <c r="AJ8" i="35"/>
  <c r="AM7" i="35"/>
  <c r="AJ7" i="35"/>
  <c r="AM6" i="35"/>
  <c r="AJ6" i="35"/>
  <c r="W68" i="17"/>
  <c r="W67" i="17"/>
  <c r="W66" i="17"/>
  <c r="AP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P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V30" i="7"/>
  <c r="V31" i="7"/>
  <c r="V32" i="7"/>
  <c r="V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V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P16" i="7"/>
  <c r="AP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P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Q24" i="7"/>
  <c r="AP22" i="7"/>
  <c r="AV38" i="7"/>
  <c r="AU38" i="7"/>
  <c r="AV37" i="7"/>
  <c r="AU37" i="7"/>
  <c r="AV36" i="7"/>
  <c r="AU36" i="7"/>
  <c r="AV35" i="7"/>
  <c r="AU35" i="7"/>
  <c r="AV34" i="7"/>
  <c r="AU34" i="7"/>
  <c r="AV33" i="7"/>
  <c r="AU33" i="7"/>
  <c r="AV32" i="7"/>
  <c r="AU32" i="7"/>
  <c r="AV31" i="7"/>
  <c r="AU31" i="7"/>
  <c r="AV30" i="7"/>
  <c r="AU30" i="7"/>
  <c r="AV29" i="7"/>
  <c r="AU29" i="7"/>
  <c r="AV28" i="7"/>
  <c r="AU28" i="7"/>
  <c r="AV27" i="7"/>
  <c r="AU27" i="7"/>
  <c r="AV26" i="7"/>
  <c r="AU26" i="7"/>
  <c r="AV25" i="7"/>
  <c r="AU25" i="7"/>
  <c r="AV24" i="7"/>
  <c r="AU24" i="7"/>
  <c r="AV23" i="7"/>
  <c r="AU23" i="7"/>
  <c r="AV22" i="7"/>
  <c r="AU22" i="7"/>
  <c r="AV21" i="7"/>
  <c r="AU21" i="7"/>
  <c r="AV20" i="7"/>
  <c r="AU20" i="7"/>
  <c r="AV19" i="7"/>
  <c r="AU19" i="7"/>
  <c r="AV18" i="7"/>
  <c r="AU18" i="7"/>
  <c r="AV17" i="7"/>
  <c r="AU17" i="7"/>
  <c r="AV16" i="7"/>
  <c r="AU16" i="7"/>
  <c r="AV15" i="7"/>
  <c r="AU15" i="7"/>
  <c r="AV14" i="7"/>
  <c r="AU14" i="7"/>
  <c r="AV13" i="7"/>
  <c r="AU13" i="7"/>
  <c r="AV12" i="7"/>
  <c r="AU12" i="7"/>
  <c r="AV11" i="7"/>
  <c r="AU11" i="7"/>
  <c r="AV10" i="7"/>
  <c r="AU10" i="7"/>
  <c r="AV9" i="7"/>
  <c r="AU9" i="7"/>
  <c r="AV8" i="7"/>
  <c r="AU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8" i="46"/>
  <c r="V5" i="46"/>
  <c r="V14" i="46"/>
  <c r="V27" i="46"/>
  <c r="V33" i="46"/>
  <c r="V17" i="46"/>
  <c r="V16" i="46"/>
  <c r="V26" i="46"/>
  <c r="V29" i="46"/>
  <c r="V7" i="46"/>
  <c r="V19" i="46"/>
  <c r="V34" i="46"/>
  <c r="V6" i="46"/>
  <c r="V8" i="46"/>
  <c r="V35" i="46"/>
  <c r="V11" i="46"/>
  <c r="V9" i="46"/>
  <c r="V15" i="46"/>
  <c r="V18" i="46"/>
  <c r="V3" i="46"/>
  <c r="V4" i="46"/>
  <c r="V37" i="46"/>
  <c r="V25" i="46"/>
  <c r="V13" i="46"/>
  <c r="V10" i="46"/>
  <c r="V36" i="46"/>
  <c r="V12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U96" i="7" l="1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T96" i="7" l="1"/>
  <c r="AT95" i="7"/>
  <c r="AT88" i="7"/>
  <c r="AT87" i="7"/>
  <c r="AT86" i="7"/>
  <c r="AT79" i="7"/>
  <c r="AT78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57" i="7"/>
  <c r="AT54" i="7"/>
  <c r="AT53" i="7"/>
  <c r="AT52" i="7"/>
  <c r="AT44" i="7"/>
  <c r="AT43" i="7" s="1"/>
  <c r="AT40" i="7"/>
  <c r="AT41" i="7" s="1"/>
  <c r="AT39" i="7"/>
  <c r="AT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R96" i="7"/>
  <c r="AR95" i="7"/>
  <c r="AR88" i="7"/>
  <c r="AR87" i="7"/>
  <c r="AR86" i="7"/>
  <c r="AR79" i="7"/>
  <c r="AR78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57" i="7"/>
  <c r="AR54" i="7"/>
  <c r="AR53" i="7"/>
  <c r="AR52" i="7"/>
  <c r="AR44" i="7"/>
  <c r="AR43" i="7" s="1"/>
  <c r="AR40" i="7"/>
  <c r="AR41" i="7" s="1"/>
  <c r="AR39" i="7"/>
  <c r="AR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N99" i="7"/>
  <c r="N94" i="7"/>
  <c r="N93" i="7"/>
  <c r="N89" i="7"/>
  <c r="U99" i="7"/>
  <c r="U94" i="7"/>
  <c r="U89" i="7"/>
  <c r="U93" i="7"/>
  <c r="AT99" i="7"/>
  <c r="AT94" i="7"/>
  <c r="AT93" i="7"/>
  <c r="AT89" i="7"/>
  <c r="AR99" i="7"/>
  <c r="AR93" i="7"/>
  <c r="AR89" i="7"/>
  <c r="AR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P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10" i="1"/>
  <c r="R9" i="1"/>
  <c r="R8" i="1"/>
  <c r="R7" i="1"/>
  <c r="R6" i="1"/>
  <c r="AJ37" i="1" l="1"/>
  <c r="R37" i="1"/>
  <c r="AD37" i="1"/>
  <c r="AG37" i="1"/>
  <c r="B99" i="7" l="1"/>
  <c r="X99" i="7"/>
  <c r="AA99" i="7"/>
  <c r="AD99" i="7"/>
  <c r="AP99" i="7"/>
  <c r="AQ99" i="7"/>
  <c r="X95" i="7"/>
  <c r="AA95" i="7"/>
  <c r="AD95" i="7"/>
  <c r="B95" i="7"/>
  <c r="W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P28" i="7"/>
  <c r="V28" i="7"/>
  <c r="BE37" i="35" l="1"/>
  <c r="W24" i="7" l="1"/>
  <c r="W25" i="7"/>
  <c r="W26" i="7"/>
  <c r="V27" i="7"/>
  <c r="W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P33" i="7" l="1"/>
  <c r="AP34" i="7"/>
  <c r="AB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V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B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P14" i="7" l="1"/>
  <c r="AQ14" i="7"/>
  <c r="AP15" i="7"/>
  <c r="AQ15" i="7"/>
  <c r="AP27" i="7" l="1"/>
  <c r="AP30" i="7"/>
  <c r="AP31" i="7"/>
  <c r="Z25" i="46" l="1"/>
  <c r="X89" i="7" l="1"/>
  <c r="AA89" i="7"/>
  <c r="AD89" i="7"/>
  <c r="AP89" i="7"/>
  <c r="AQ89" i="7"/>
  <c r="AW89" i="7"/>
  <c r="AX89" i="7"/>
  <c r="AY89" i="7"/>
  <c r="AZ89" i="7"/>
  <c r="BA89" i="7"/>
  <c r="BB89" i="7"/>
  <c r="BC89" i="7"/>
  <c r="BD89" i="7"/>
  <c r="BE89" i="7"/>
  <c r="BF89" i="7"/>
  <c r="X93" i="7"/>
  <c r="AA93" i="7"/>
  <c r="AD93" i="7"/>
  <c r="AP93" i="7"/>
  <c r="AQ93" i="7"/>
  <c r="AW93" i="7"/>
  <c r="AX93" i="7"/>
  <c r="AY93" i="7"/>
  <c r="AZ93" i="7"/>
  <c r="BA93" i="7"/>
  <c r="BB93" i="7"/>
  <c r="BC93" i="7"/>
  <c r="BD93" i="7"/>
  <c r="BE93" i="7"/>
  <c r="BF93" i="7"/>
  <c r="X94" i="7"/>
  <c r="AA94" i="7"/>
  <c r="AD94" i="7"/>
  <c r="AP94" i="7"/>
  <c r="AQ94" i="7"/>
  <c r="AW94" i="7"/>
  <c r="AX94" i="7"/>
  <c r="AY94" i="7"/>
  <c r="AZ94" i="7"/>
  <c r="BA94" i="7"/>
  <c r="BB94" i="7"/>
  <c r="BC94" i="7"/>
  <c r="BD94" i="7"/>
  <c r="BE94" i="7"/>
  <c r="BF94" i="7"/>
  <c r="B94" i="7"/>
  <c r="B93" i="7"/>
  <c r="B89" i="7"/>
  <c r="X96" i="7" l="1"/>
  <c r="AA96" i="7"/>
  <c r="AD96" i="7"/>
  <c r="AP96" i="7"/>
  <c r="AQ96" i="7"/>
  <c r="AW96" i="7"/>
  <c r="AX96" i="7"/>
  <c r="AY96" i="7"/>
  <c r="AZ96" i="7"/>
  <c r="BA96" i="7"/>
  <c r="BB96" i="7"/>
  <c r="BC96" i="7"/>
  <c r="BD96" i="7"/>
  <c r="BE96" i="7"/>
  <c r="BF96" i="7"/>
  <c r="B78" i="7"/>
  <c r="X52" i="7"/>
  <c r="AA52" i="7"/>
  <c r="AD52" i="7"/>
  <c r="AW52" i="7"/>
  <c r="AX52" i="7"/>
  <c r="AY52" i="7"/>
  <c r="AZ52" i="7"/>
  <c r="BA52" i="7"/>
  <c r="BB52" i="7"/>
  <c r="BC52" i="7"/>
  <c r="BD52" i="7"/>
  <c r="BE52" i="7"/>
  <c r="BF52" i="7"/>
  <c r="X53" i="7"/>
  <c r="AA53" i="7"/>
  <c r="AD53" i="7"/>
  <c r="AW53" i="7"/>
  <c r="AX53" i="7"/>
  <c r="AY53" i="7"/>
  <c r="AZ53" i="7"/>
  <c r="BA53" i="7"/>
  <c r="BB53" i="7"/>
  <c r="BC53" i="7"/>
  <c r="BD53" i="7"/>
  <c r="BE53" i="7"/>
  <c r="BF53" i="7"/>
  <c r="X54" i="7"/>
  <c r="AA54" i="7"/>
  <c r="AD54" i="7"/>
  <c r="AW54" i="7"/>
  <c r="AX54" i="7"/>
  <c r="AY54" i="7"/>
  <c r="AZ54" i="7"/>
  <c r="BA54" i="7"/>
  <c r="BB54" i="7"/>
  <c r="BC54" i="7"/>
  <c r="BD54" i="7"/>
  <c r="BE54" i="7"/>
  <c r="BF54" i="7"/>
  <c r="X57" i="7"/>
  <c r="AA57" i="7"/>
  <c r="AD57" i="7"/>
  <c r="AW57" i="7"/>
  <c r="AX57" i="7"/>
  <c r="AY57" i="7"/>
  <c r="AZ57" i="7"/>
  <c r="BA57" i="7"/>
  <c r="BB57" i="7"/>
  <c r="BC57" i="7"/>
  <c r="BD57" i="7"/>
  <c r="BE57" i="7"/>
  <c r="BF57" i="7"/>
  <c r="BE61" i="7"/>
  <c r="BF61" i="7"/>
  <c r="X65" i="7"/>
  <c r="AA65" i="7"/>
  <c r="AD65" i="7"/>
  <c r="AW65" i="7"/>
  <c r="AX65" i="7"/>
  <c r="AY65" i="7"/>
  <c r="AZ65" i="7"/>
  <c r="BA65" i="7"/>
  <c r="BB65" i="7"/>
  <c r="BC65" i="7"/>
  <c r="BD65" i="7"/>
  <c r="BE65" i="7"/>
  <c r="BF65" i="7"/>
  <c r="X66" i="7"/>
  <c r="AA66" i="7"/>
  <c r="AD66" i="7"/>
  <c r="AW66" i="7"/>
  <c r="AX66" i="7"/>
  <c r="AY66" i="7"/>
  <c r="AZ66" i="7"/>
  <c r="BA66" i="7"/>
  <c r="BB66" i="7"/>
  <c r="BC66" i="7"/>
  <c r="BD66" i="7"/>
  <c r="BE66" i="7"/>
  <c r="BF66" i="7"/>
  <c r="X67" i="7"/>
  <c r="AA67" i="7"/>
  <c r="AD67" i="7"/>
  <c r="AW67" i="7"/>
  <c r="AX67" i="7"/>
  <c r="AY67" i="7"/>
  <c r="AZ67" i="7"/>
  <c r="BA67" i="7"/>
  <c r="BB67" i="7"/>
  <c r="BC67" i="7"/>
  <c r="BD67" i="7"/>
  <c r="BE67" i="7"/>
  <c r="BF67" i="7"/>
  <c r="X68" i="7"/>
  <c r="AA68" i="7"/>
  <c r="AD68" i="7"/>
  <c r="AW68" i="7"/>
  <c r="AX68" i="7"/>
  <c r="AY68" i="7"/>
  <c r="AZ68" i="7"/>
  <c r="BA68" i="7"/>
  <c r="BB68" i="7"/>
  <c r="BC68" i="7"/>
  <c r="BD68" i="7"/>
  <c r="BE68" i="7"/>
  <c r="BF68" i="7"/>
  <c r="X69" i="7"/>
  <c r="AA69" i="7"/>
  <c r="AD69" i="7"/>
  <c r="AW69" i="7"/>
  <c r="AX69" i="7"/>
  <c r="AY69" i="7"/>
  <c r="AZ69" i="7"/>
  <c r="BA69" i="7"/>
  <c r="BB69" i="7"/>
  <c r="BC69" i="7"/>
  <c r="BD69" i="7"/>
  <c r="BE69" i="7"/>
  <c r="BF69" i="7"/>
  <c r="X70" i="7"/>
  <c r="AA70" i="7"/>
  <c r="AD70" i="7"/>
  <c r="AW70" i="7"/>
  <c r="AX70" i="7"/>
  <c r="AY70" i="7"/>
  <c r="AZ70" i="7"/>
  <c r="BA70" i="7"/>
  <c r="BB70" i="7"/>
  <c r="BC70" i="7"/>
  <c r="BD70" i="7"/>
  <c r="BE70" i="7"/>
  <c r="BF70" i="7"/>
  <c r="X71" i="7"/>
  <c r="AA71" i="7"/>
  <c r="AD71" i="7"/>
  <c r="AW71" i="7"/>
  <c r="AX71" i="7"/>
  <c r="AY71" i="7"/>
  <c r="AZ71" i="7"/>
  <c r="BA71" i="7"/>
  <c r="BB71" i="7"/>
  <c r="BC71" i="7"/>
  <c r="BD71" i="7"/>
  <c r="BE71" i="7"/>
  <c r="BF71" i="7"/>
  <c r="X72" i="7"/>
  <c r="AA72" i="7"/>
  <c r="AD72" i="7"/>
  <c r="AW72" i="7"/>
  <c r="AX72" i="7"/>
  <c r="AY72" i="7"/>
  <c r="AZ72" i="7"/>
  <c r="BA72" i="7"/>
  <c r="BB72" i="7"/>
  <c r="BC72" i="7"/>
  <c r="BD72" i="7"/>
  <c r="BE72" i="7"/>
  <c r="BF72" i="7"/>
  <c r="X73" i="7"/>
  <c r="AA73" i="7"/>
  <c r="AD73" i="7"/>
  <c r="AW73" i="7"/>
  <c r="AX73" i="7"/>
  <c r="AY73" i="7"/>
  <c r="AZ73" i="7"/>
  <c r="BA73" i="7"/>
  <c r="BB73" i="7"/>
  <c r="BC73" i="7"/>
  <c r="BD73" i="7"/>
  <c r="BE73" i="7"/>
  <c r="BF73" i="7"/>
  <c r="X74" i="7"/>
  <c r="AA74" i="7"/>
  <c r="AD74" i="7"/>
  <c r="AW74" i="7"/>
  <c r="AX74" i="7"/>
  <c r="AY74" i="7"/>
  <c r="AZ74" i="7"/>
  <c r="BA74" i="7"/>
  <c r="BB74" i="7"/>
  <c r="BC74" i="7"/>
  <c r="BD74" i="7"/>
  <c r="BE74" i="7"/>
  <c r="BF74" i="7"/>
  <c r="X75" i="7"/>
  <c r="AA75" i="7"/>
  <c r="AD75" i="7"/>
  <c r="AW75" i="7"/>
  <c r="AX75" i="7"/>
  <c r="AY75" i="7"/>
  <c r="AZ75" i="7"/>
  <c r="BA75" i="7"/>
  <c r="BB75" i="7"/>
  <c r="BC75" i="7"/>
  <c r="BD75" i="7"/>
  <c r="BE75" i="7"/>
  <c r="BF75" i="7"/>
  <c r="X76" i="7"/>
  <c r="AA76" i="7"/>
  <c r="AD76" i="7"/>
  <c r="AW76" i="7"/>
  <c r="AX76" i="7"/>
  <c r="AY76" i="7"/>
  <c r="AZ76" i="7"/>
  <c r="BA76" i="7"/>
  <c r="BB76" i="7"/>
  <c r="BC76" i="7"/>
  <c r="BD76" i="7"/>
  <c r="BE76" i="7"/>
  <c r="BF76" i="7"/>
  <c r="X78" i="7"/>
  <c r="AA78" i="7"/>
  <c r="AD78" i="7"/>
  <c r="AW78" i="7"/>
  <c r="AX78" i="7"/>
  <c r="AY78" i="7"/>
  <c r="AZ78" i="7"/>
  <c r="BA78" i="7"/>
  <c r="BB78" i="7"/>
  <c r="BC78" i="7"/>
  <c r="BD78" i="7"/>
  <c r="BE78" i="7"/>
  <c r="BF78" i="7"/>
  <c r="X79" i="7"/>
  <c r="AA79" i="7"/>
  <c r="AD79" i="7"/>
  <c r="AW79" i="7"/>
  <c r="AX79" i="7"/>
  <c r="AY79" i="7"/>
  <c r="AZ79" i="7"/>
  <c r="BA79" i="7"/>
  <c r="BB79" i="7"/>
  <c r="BC79" i="7"/>
  <c r="BD79" i="7"/>
  <c r="BE79" i="7"/>
  <c r="BF79" i="7"/>
  <c r="X86" i="7"/>
  <c r="AA86" i="7"/>
  <c r="AD86" i="7"/>
  <c r="AP86" i="7"/>
  <c r="AQ86" i="7"/>
  <c r="AW86" i="7"/>
  <c r="AX86" i="7"/>
  <c r="AY86" i="7"/>
  <c r="AZ86" i="7"/>
  <c r="BA86" i="7"/>
  <c r="BB86" i="7"/>
  <c r="BC86" i="7"/>
  <c r="BD86" i="7"/>
  <c r="BE86" i="7"/>
  <c r="BF86" i="7"/>
  <c r="X87" i="7"/>
  <c r="AA87" i="7"/>
  <c r="AD87" i="7"/>
  <c r="AP87" i="7"/>
  <c r="AQ87" i="7"/>
  <c r="AW87" i="7"/>
  <c r="AX87" i="7"/>
  <c r="AY87" i="7"/>
  <c r="AZ87" i="7"/>
  <c r="BA87" i="7"/>
  <c r="BB87" i="7"/>
  <c r="BC87" i="7"/>
  <c r="BD87" i="7"/>
  <c r="BE87" i="7"/>
  <c r="BF87" i="7"/>
  <c r="X88" i="7"/>
  <c r="AA88" i="7"/>
  <c r="AD88" i="7"/>
  <c r="AP88" i="7"/>
  <c r="AQ88" i="7"/>
  <c r="AW88" i="7"/>
  <c r="AX88" i="7"/>
  <c r="AY88" i="7"/>
  <c r="AZ88" i="7"/>
  <c r="BA88" i="7"/>
  <c r="BB88" i="7"/>
  <c r="BC88" i="7"/>
  <c r="BD88" i="7"/>
  <c r="BE88" i="7"/>
  <c r="BF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N64" i="7"/>
  <c r="N63" i="7"/>
  <c r="U77" i="7"/>
  <c r="U64" i="7"/>
  <c r="U63" i="7"/>
  <c r="AT77" i="7"/>
  <c r="AT64" i="7"/>
  <c r="AT63" i="7"/>
  <c r="AR63" i="7"/>
  <c r="AR77" i="7"/>
  <c r="AR64" i="7"/>
  <c r="BF63" i="7"/>
  <c r="X64" i="7"/>
  <c r="AA64" i="7"/>
  <c r="AD64" i="7"/>
  <c r="AW64" i="7"/>
  <c r="AX64" i="7"/>
  <c r="AY64" i="7"/>
  <c r="AZ64" i="7"/>
  <c r="BA64" i="7"/>
  <c r="BB64" i="7"/>
  <c r="BC64" i="7"/>
  <c r="BD64" i="7"/>
  <c r="BE64" i="7"/>
  <c r="BF64" i="7"/>
  <c r="X63" i="7"/>
  <c r="AA63" i="7"/>
  <c r="AW63" i="7"/>
  <c r="AY63" i="7"/>
  <c r="BA63" i="7"/>
  <c r="BE63" i="7"/>
  <c r="X77" i="7"/>
  <c r="AA77" i="7"/>
  <c r="AD77" i="7"/>
  <c r="AW77" i="7"/>
  <c r="AX77" i="7"/>
  <c r="AY77" i="7"/>
  <c r="AZ77" i="7"/>
  <c r="BA77" i="7"/>
  <c r="BB77" i="7"/>
  <c r="BC77" i="7"/>
  <c r="BD77" i="7"/>
  <c r="BE77" i="7"/>
  <c r="BF77" i="7"/>
  <c r="AD63" i="7"/>
  <c r="AX63" i="7"/>
  <c r="AZ63" i="7"/>
  <c r="BB63" i="7"/>
  <c r="BD63" i="7"/>
  <c r="B77" i="7"/>
  <c r="AD3" i="45"/>
  <c r="B64" i="7"/>
  <c r="BC63" i="7"/>
  <c r="S77" i="7"/>
  <c r="S64" i="7"/>
  <c r="S63" i="7"/>
  <c r="E77" i="7"/>
  <c r="E64" i="7"/>
  <c r="E63" i="7"/>
  <c r="N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V17" i="7" l="1"/>
  <c r="W17" i="7"/>
  <c r="V18" i="7"/>
  <c r="W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Z44" i="7" l="1"/>
  <c r="AZ43" i="7" s="1"/>
  <c r="AZ40" i="7"/>
  <c r="AZ41" i="7" s="1"/>
  <c r="AZ39" i="7"/>
  <c r="AZ61" i="7" s="1"/>
  <c r="AX44" i="7" l="1"/>
  <c r="AX43" i="7" s="1"/>
  <c r="AX40" i="7"/>
  <c r="AX41" i="7" s="1"/>
  <c r="AX39" i="7"/>
  <c r="AX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Y44" i="7" l="1"/>
  <c r="AY43" i="7" s="1"/>
  <c r="AY40" i="7"/>
  <c r="AY41" i="7" s="1"/>
  <c r="AY39" i="7"/>
  <c r="AY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V44" i="7"/>
  <c r="V43" i="7" s="1"/>
  <c r="W44" i="7"/>
  <c r="W43" i="7" s="1"/>
  <c r="X44" i="7"/>
  <c r="X43" i="7" s="1"/>
  <c r="AA44" i="7"/>
  <c r="AA43" i="7" s="1"/>
  <c r="AB44" i="7"/>
  <c r="AB43" i="7" s="1"/>
  <c r="AC44" i="7"/>
  <c r="AC43" i="7" s="1"/>
  <c r="AW44" i="7"/>
  <c r="AW43" i="7" s="1"/>
  <c r="BA44" i="7"/>
  <c r="BA43" i="7" s="1"/>
  <c r="BB44" i="7"/>
  <c r="BB43" i="7" s="1"/>
  <c r="BC44" i="7"/>
  <c r="BC43" i="7" s="1"/>
  <c r="BD44" i="7"/>
  <c r="BD43" i="7" s="1"/>
  <c r="BE44" i="7"/>
  <c r="BE43" i="7" s="1"/>
  <c r="BF44" i="7"/>
  <c r="BF43" i="7" s="1"/>
  <c r="AU44" i="7"/>
  <c r="AU43" i="7" s="1"/>
  <c r="AV44" i="7"/>
  <c r="AV43" i="7" s="1"/>
  <c r="AD44" i="7"/>
  <c r="AD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B40" i="7" l="1"/>
  <c r="BB41" i="7" s="1"/>
  <c r="BB39" i="7"/>
  <c r="BB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A40" i="7" l="1"/>
  <c r="BA41" i="7" s="1"/>
  <c r="BA39" i="7"/>
  <c r="BA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A40" i="7" l="1"/>
  <c r="AA41" i="7" s="1"/>
  <c r="AA39" i="7"/>
  <c r="AA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C40" i="7" l="1"/>
  <c r="BC41" i="7" s="1"/>
  <c r="BC39" i="7"/>
  <c r="BC61" i="7" s="1"/>
  <c r="AS28" i="16" l="1"/>
  <c r="BD40" i="7" l="1"/>
  <c r="BD41" i="7" s="1"/>
  <c r="BD39" i="7"/>
  <c r="BD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V8" i="7" l="1" a="1"/>
  <c r="V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V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V9" i="7" l="1"/>
  <c r="V10" i="7"/>
  <c r="F10" i="1" l="1"/>
  <c r="F11" i="1"/>
  <c r="D48" i="3" l="1"/>
  <c r="F48" i="3" l="1"/>
  <c r="BE25" i="7" l="1"/>
  <c r="BF25" i="7" a="1"/>
  <c r="BF25" i="7" s="1"/>
  <c r="BE26" i="7"/>
  <c r="BF26" i="7" a="1"/>
  <c r="BF26" i="7" s="1"/>
  <c r="BE27" i="7"/>
  <c r="BF27" i="7" a="1"/>
  <c r="BF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V15" i="7" l="1"/>
  <c r="V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D40" i="7"/>
  <c r="AD41" i="7" s="1"/>
  <c r="AW40" i="7"/>
  <c r="AW41" i="7" s="1"/>
  <c r="X40" i="7"/>
  <c r="X41" i="7" s="1"/>
  <c r="B40" i="7"/>
  <c r="B41" i="7" s="1"/>
  <c r="AD39" i="7"/>
  <c r="AW39" i="7"/>
  <c r="X39" i="7"/>
  <c r="M94" i="3" s="1" a="1"/>
  <c r="M94" i="3" s="1"/>
  <c r="B39" i="7"/>
  <c r="AQ38" i="7"/>
  <c r="BF38" i="7" a="1"/>
  <c r="BF38" i="7" s="1"/>
  <c r="BE38" i="7"/>
  <c r="AC38" i="7"/>
  <c r="M91" i="3" s="1"/>
  <c r="AB38" i="7"/>
  <c r="W38" i="7"/>
  <c r="V38" i="7"/>
  <c r="AQ37" i="7"/>
  <c r="BF37" i="7" a="1"/>
  <c r="BF37" i="7" s="1"/>
  <c r="BE37" i="7"/>
  <c r="AC37" i="7"/>
  <c r="AB37" i="7"/>
  <c r="W37" i="7"/>
  <c r="V37" i="7"/>
  <c r="AQ36" i="7"/>
  <c r="BF36" i="7" a="1"/>
  <c r="BF36" i="7" s="1"/>
  <c r="BE36" i="7"/>
  <c r="AC36" i="7"/>
  <c r="AB36" i="7"/>
  <c r="W36" i="7"/>
  <c r="V36" i="7"/>
  <c r="AQ35" i="7"/>
  <c r="BF35" i="7" a="1"/>
  <c r="BF35" i="7" s="1"/>
  <c r="BE35" i="7"/>
  <c r="AC35" i="7"/>
  <c r="AB35" i="7"/>
  <c r="W35" i="7"/>
  <c r="V35" i="7"/>
  <c r="AQ34" i="7"/>
  <c r="BF34" i="7" a="1"/>
  <c r="BF34" i="7" s="1"/>
  <c r="BE34" i="7"/>
  <c r="AC34" i="7"/>
  <c r="AB34" i="7"/>
  <c r="W34" i="7"/>
  <c r="AQ33" i="7"/>
  <c r="BF33" i="7" a="1"/>
  <c r="BF33" i="7" s="1"/>
  <c r="BE33" i="7"/>
  <c r="AC33" i="7"/>
  <c r="W33" i="7"/>
  <c r="AQ32" i="7"/>
  <c r="BF32" i="7" a="1"/>
  <c r="BF32" i="7" s="1"/>
  <c r="BE32" i="7"/>
  <c r="AC32" i="7"/>
  <c r="AB32" i="7"/>
  <c r="W32" i="7"/>
  <c r="AQ31" i="7"/>
  <c r="BF31" i="7" a="1"/>
  <c r="BF31" i="7" s="1"/>
  <c r="BE31" i="7"/>
  <c r="AC31" i="7"/>
  <c r="AB31" i="7"/>
  <c r="W31" i="7"/>
  <c r="AQ30" i="7"/>
  <c r="BF30" i="7" a="1"/>
  <c r="BF30" i="7" s="1"/>
  <c r="BE30" i="7"/>
  <c r="AC30" i="7"/>
  <c r="AB30" i="7"/>
  <c r="AQ29" i="7"/>
  <c r="BF29" i="7" a="1"/>
  <c r="BF29" i="7" s="1"/>
  <c r="BE29" i="7"/>
  <c r="AC29" i="7"/>
  <c r="AB29" i="7"/>
  <c r="W29" i="7"/>
  <c r="AQ28" i="7"/>
  <c r="BF28" i="7" a="1"/>
  <c r="BF28" i="7" s="1"/>
  <c r="BE28" i="7"/>
  <c r="AC28" i="7"/>
  <c r="AB28" i="7"/>
  <c r="W28" i="7"/>
  <c r="AQ27" i="7"/>
  <c r="AC27" i="7"/>
  <c r="AB27" i="7"/>
  <c r="AQ26" i="7"/>
  <c r="AC26" i="7"/>
  <c r="AQ25" i="7"/>
  <c r="AC25" i="7"/>
  <c r="AB25" i="7"/>
  <c r="BF24" i="7" a="1"/>
  <c r="BF24" i="7" s="1"/>
  <c r="BE24" i="7"/>
  <c r="AC24" i="7"/>
  <c r="AB24" i="7"/>
  <c r="AQ23" i="7"/>
  <c r="BF23" i="7" a="1"/>
  <c r="BF23" i="7" s="1"/>
  <c r="BE23" i="7"/>
  <c r="AC23" i="7"/>
  <c r="AB23" i="7"/>
  <c r="W23" i="7"/>
  <c r="AQ22" i="7"/>
  <c r="BF22" i="7" a="1"/>
  <c r="BF22" i="7" s="1"/>
  <c r="BE22" i="7"/>
  <c r="AC22" i="7"/>
  <c r="AB22" i="7"/>
  <c r="W22" i="7"/>
  <c r="AQ21" i="7"/>
  <c r="AP21" i="7"/>
  <c r="BF21" i="7" a="1"/>
  <c r="BF21" i="7" s="1"/>
  <c r="BE21" i="7"/>
  <c r="AC21" i="7"/>
  <c r="AB21" i="7"/>
  <c r="W21" i="7"/>
  <c r="AQ20" i="7"/>
  <c r="AP20" i="7"/>
  <c r="BF20" i="7" a="1"/>
  <c r="BF20" i="7" s="1"/>
  <c r="BE20" i="7"/>
  <c r="AC20" i="7"/>
  <c r="AB20" i="7"/>
  <c r="W20" i="7"/>
  <c r="AQ19" i="7"/>
  <c r="AP19" i="7"/>
  <c r="BF19" i="7" a="1"/>
  <c r="BF19" i="7" s="1"/>
  <c r="BE19" i="7"/>
  <c r="AC19" i="7"/>
  <c r="AB19" i="7"/>
  <c r="W19" i="7"/>
  <c r="V19" i="7"/>
  <c r="AQ18" i="7"/>
  <c r="BF18" i="7" a="1"/>
  <c r="BF18" i="7" s="1"/>
  <c r="BE18" i="7"/>
  <c r="AC18" i="7"/>
  <c r="AB18" i="7"/>
  <c r="AQ17" i="7"/>
  <c r="BF17" i="7" a="1"/>
  <c r="BF17" i="7" s="1"/>
  <c r="BE17" i="7"/>
  <c r="AC17" i="7"/>
  <c r="AB17" i="7"/>
  <c r="AQ16" i="7"/>
  <c r="BF16" i="7" a="1"/>
  <c r="BF16" i="7" s="1"/>
  <c r="BE16" i="7"/>
  <c r="AC16" i="7"/>
  <c r="AB16" i="7"/>
  <c r="W16" i="7"/>
  <c r="BF15" i="7" a="1"/>
  <c r="BF15" i="7" s="1"/>
  <c r="BE15" i="7"/>
  <c r="AC15" i="7"/>
  <c r="AB15" i="7"/>
  <c r="W15" i="7"/>
  <c r="BF14" i="7" a="1"/>
  <c r="BF14" i="7" s="1"/>
  <c r="BE14" i="7"/>
  <c r="AC14" i="7"/>
  <c r="AB14" i="7"/>
  <c r="W14" i="7"/>
  <c r="V14" i="7"/>
  <c r="AQ13" i="7"/>
  <c r="BF13" i="7" a="1"/>
  <c r="BF13" i="7" s="1"/>
  <c r="BE13" i="7"/>
  <c r="AC13" i="7"/>
  <c r="AB13" i="7"/>
  <c r="W13" i="7"/>
  <c r="V13" i="7"/>
  <c r="AQ12" i="7"/>
  <c r="AP12" i="7"/>
  <c r="BF12" i="7" a="1"/>
  <c r="BF12" i="7" s="1"/>
  <c r="BE12" i="7"/>
  <c r="AC12" i="7"/>
  <c r="AB12" i="7"/>
  <c r="W12" i="7"/>
  <c r="V12" i="7"/>
  <c r="AQ11" i="7"/>
  <c r="AP11" i="7"/>
  <c r="BF11" i="7" a="1"/>
  <c r="BF11" i="7" s="1"/>
  <c r="BE11" i="7"/>
  <c r="AC11" i="7"/>
  <c r="AB11" i="7"/>
  <c r="W11" i="7"/>
  <c r="V11" i="7"/>
  <c r="AQ10" i="7"/>
  <c r="AP10" i="7"/>
  <c r="BF10" i="7" a="1"/>
  <c r="BF10" i="7" s="1"/>
  <c r="BE10" i="7"/>
  <c r="AC10" i="7"/>
  <c r="AB10" i="7"/>
  <c r="W10" i="7"/>
  <c r="AQ9" i="7"/>
  <c r="AP9" i="7"/>
  <c r="BF9" i="7"/>
  <c r="BE9" i="7"/>
  <c r="AC9" i="7"/>
  <c r="AB9" i="7"/>
  <c r="W9" i="7"/>
  <c r="AQ8" i="7"/>
  <c r="AP8" i="7"/>
  <c r="BF8" i="7"/>
  <c r="BE8" i="7"/>
  <c r="AC8" i="7"/>
  <c r="AB8" i="7"/>
  <c r="W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0" i="41"/>
  <c r="C39" i="41"/>
  <c r="C29" i="41"/>
  <c r="C38" i="41"/>
  <c r="C28" i="41"/>
  <c r="C25" i="41"/>
  <c r="C41" i="41"/>
  <c r="C26" i="41"/>
  <c r="C27" i="41"/>
  <c r="AF45" i="7" l="1"/>
  <c r="AF47" i="7"/>
  <c r="AF46" i="7"/>
  <c r="AL47" i="7"/>
  <c r="C35" i="41"/>
  <c r="C88" i="41" s="1"/>
  <c r="C87" i="41"/>
  <c r="C33" i="41"/>
  <c r="C86" i="41" s="1"/>
  <c r="AU42" i="1"/>
  <c r="EG42" i="1"/>
  <c r="T45" i="7"/>
  <c r="T47" i="7"/>
  <c r="T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T45" i="7"/>
  <c r="AT47" i="7"/>
  <c r="AT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X61" i="7"/>
  <c r="AW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D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G8" i="7"/>
  <c r="E2" i="17" s="1"/>
  <c r="U157" i="3"/>
  <c r="BH34" i="7"/>
  <c r="A161" i="8"/>
  <c r="BH8" i="7"/>
  <c r="BH16" i="7"/>
  <c r="BH36" i="7"/>
  <c r="BH38" i="7"/>
  <c r="BH24" i="7"/>
  <c r="BH10" i="7"/>
  <c r="BH15" i="7"/>
  <c r="BH11" i="7"/>
  <c r="BH13" i="7"/>
  <c r="BH9" i="7"/>
  <c r="BH12" i="7"/>
  <c r="BH14" i="7"/>
  <c r="BH17" i="7"/>
  <c r="BH18" i="7"/>
  <c r="BH25" i="7"/>
  <c r="BH26" i="7"/>
  <c r="BH30" i="7"/>
  <c r="BH19" i="7"/>
  <c r="BH20" i="7"/>
  <c r="BH21" i="7"/>
  <c r="BH22" i="7"/>
  <c r="BH27" i="7"/>
  <c r="BH28" i="7"/>
  <c r="BH31" i="7"/>
  <c r="BH32" i="7"/>
  <c r="BH33" i="7"/>
  <c r="BH35" i="7"/>
  <c r="BH37" i="7"/>
  <c r="BH23" i="7"/>
  <c r="BH29" i="7"/>
  <c r="A158" i="8"/>
  <c r="U159" i="3"/>
  <c r="A11" i="8"/>
  <c r="U99" i="3"/>
  <c r="BG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V46" i="7"/>
  <c r="BF46" i="7"/>
  <c r="AB46" i="7"/>
  <c r="AU45" i="7"/>
  <c r="V45" i="7"/>
  <c r="BF47" i="7"/>
  <c r="AB47" i="7"/>
  <c r="BE46" i="7"/>
  <c r="W46" i="7"/>
  <c r="AC45" i="7"/>
  <c r="AV47" i="7"/>
  <c r="BE47" i="7"/>
  <c r="W47" i="7"/>
  <c r="AU46" i="7"/>
  <c r="V46" i="7"/>
  <c r="BF45" i="7"/>
  <c r="AB45" i="7"/>
  <c r="AU47" i="7"/>
  <c r="V47" i="7"/>
  <c r="AC46" i="7"/>
  <c r="AV45" i="7"/>
  <c r="BE45" i="7"/>
  <c r="W45" i="7"/>
  <c r="AC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M47" i="7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Z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AK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N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G10" i="7"/>
  <c r="E4" i="17" s="1"/>
  <c r="BG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G30" i="7"/>
  <c r="E24" i="17" s="1"/>
  <c r="BG38" i="7"/>
  <c r="Q61" i="16"/>
  <c r="G118" i="3" s="1"/>
  <c r="F130" i="3"/>
  <c r="BH37" i="16"/>
  <c r="F132" i="3" s="1"/>
  <c r="GM11" i="1"/>
  <c r="AT9" i="17" s="1"/>
  <c r="BG22" i="7"/>
  <c r="E16" i="17" s="1"/>
  <c r="GM10" i="1"/>
  <c r="AT8" i="17" s="1"/>
  <c r="BG25" i="7"/>
  <c r="BG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G23" i="7"/>
  <c r="BG27" i="7"/>
  <c r="BG31" i="7"/>
  <c r="E25" i="17" s="1"/>
  <c r="BG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G9" i="7"/>
  <c r="E3" i="17" s="1"/>
  <c r="BG11" i="7"/>
  <c r="M115" i="3" a="1"/>
  <c r="M115" i="3" s="1"/>
  <c r="G115" i="8" s="1"/>
  <c r="C36" i="41"/>
  <c r="G99" i="8"/>
  <c r="BG17" i="7"/>
  <c r="M145" i="3" a="1"/>
  <c r="M145" i="3" s="1"/>
  <c r="G145" i="8" s="1"/>
  <c r="BG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G16" i="7"/>
  <c r="BG20" i="7"/>
  <c r="E14" i="17" s="1"/>
  <c r="BG24" i="7"/>
  <c r="BG28" i="7"/>
  <c r="E22" i="17" s="1"/>
  <c r="BG32" i="7"/>
  <c r="E26" i="17" s="1"/>
  <c r="BG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G18" i="7"/>
  <c r="BG21" i="7"/>
  <c r="E15" i="17" s="1"/>
  <c r="BG26" i="7"/>
  <c r="BG29" i="7"/>
  <c r="E23" i="17" s="1"/>
  <c r="BG34" i="7"/>
  <c r="E28" i="17" s="1"/>
  <c r="BG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G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G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G47" i="7" l="1"/>
  <c r="M98" i="7"/>
  <c r="M56" i="7"/>
  <c r="M97" i="7"/>
  <c r="AF60" i="7"/>
  <c r="AF56" i="7"/>
  <c r="AF97" i="7"/>
  <c r="AF98" i="7"/>
  <c r="AF59" i="7"/>
  <c r="AF62" i="7" s="1"/>
  <c r="AF58" i="7"/>
  <c r="AI56" i="7"/>
  <c r="AI98" i="7"/>
  <c r="AI97" i="7"/>
  <c r="AL56" i="7"/>
  <c r="AL98" i="7"/>
  <c r="AL97" i="7"/>
  <c r="G56" i="7"/>
  <c r="G98" i="7"/>
  <c r="G97" i="7"/>
  <c r="AK56" i="7"/>
  <c r="AK98" i="7"/>
  <c r="AK97" i="7"/>
  <c r="E8" i="17"/>
  <c r="L160" i="3" a="1"/>
  <c r="L160" i="3" s="1"/>
  <c r="AN56" i="7"/>
  <c r="AN98" i="7"/>
  <c r="AN97" i="7"/>
  <c r="AM47" i="7"/>
  <c r="Z47" i="7"/>
  <c r="AS47" i="7"/>
  <c r="AO47" i="7"/>
  <c r="Z56" i="7"/>
  <c r="Z98" i="7"/>
  <c r="Z97" i="7"/>
  <c r="AE47" i="7"/>
  <c r="F98" i="7"/>
  <c r="F97" i="7"/>
  <c r="F56" i="7"/>
  <c r="AJ97" i="7"/>
  <c r="AJ56" i="7"/>
  <c r="AJ98" i="7"/>
  <c r="J10" i="8"/>
  <c r="AS97" i="7"/>
  <c r="AS56" i="7"/>
  <c r="AS98" i="7"/>
  <c r="Y47" i="7"/>
  <c r="AM56" i="7"/>
  <c r="AM98" i="7"/>
  <c r="AM97" i="7"/>
  <c r="Y56" i="7"/>
  <c r="Y98" i="7"/>
  <c r="Y97" i="7"/>
  <c r="J72" i="8"/>
  <c r="Z55" i="7" s="1"/>
  <c r="AO56" i="7"/>
  <c r="AO98" i="7"/>
  <c r="AO97" i="7"/>
  <c r="K56" i="7"/>
  <c r="K97" i="7"/>
  <c r="K98" i="7"/>
  <c r="R47" i="7"/>
  <c r="AE56" i="7"/>
  <c r="AE98" i="7"/>
  <c r="AE97" i="7"/>
  <c r="T60" i="7"/>
  <c r="T56" i="7"/>
  <c r="T98" i="7"/>
  <c r="T59" i="7"/>
  <c r="T62" i="7" s="1"/>
  <c r="T55" i="7"/>
  <c r="T97" i="7"/>
  <c r="T58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AH98" i="7"/>
  <c r="AG97" i="7"/>
  <c r="AH56" i="7"/>
  <c r="AG98" i="7"/>
  <c r="AH97" i="7"/>
  <c r="AG56" i="7"/>
  <c r="E32" i="17"/>
  <c r="C98" i="7"/>
  <c r="C97" i="7"/>
  <c r="C56" i="7"/>
  <c r="E17" i="17"/>
  <c r="L56" i="7"/>
  <c r="L97" i="7"/>
  <c r="L98" i="7"/>
  <c r="K13" i="3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N47" i="7"/>
  <c r="P56" i="7"/>
  <c r="P98" i="7"/>
  <c r="P97" i="7"/>
  <c r="O47" i="7"/>
  <c r="E47" i="7"/>
  <c r="O97" i="7"/>
  <c r="O56" i="7"/>
  <c r="O98" i="7"/>
  <c r="D182" i="3"/>
  <c r="J37" i="41" s="1"/>
  <c r="C182" i="3" a="1"/>
  <c r="N97" i="7"/>
  <c r="N56" i="7"/>
  <c r="N98" i="7"/>
  <c r="K17" i="3"/>
  <c r="S47" i="7"/>
  <c r="S98" i="7"/>
  <c r="S97" i="7"/>
  <c r="S56" i="7"/>
  <c r="E97" i="7"/>
  <c r="E56" i="7"/>
  <c r="E98" i="7"/>
  <c r="N75" i="3"/>
  <c r="F75" i="8" s="1"/>
  <c r="J75" i="8"/>
  <c r="C18" i="41"/>
  <c r="U97" i="7"/>
  <c r="U56" i="7"/>
  <c r="U98" i="7"/>
  <c r="AR47" i="7"/>
  <c r="AT60" i="7"/>
  <c r="AT56" i="7"/>
  <c r="AT55" i="7"/>
  <c r="AT97" i="7"/>
  <c r="AT58" i="7"/>
  <c r="AT98" i="7"/>
  <c r="AT59" i="7"/>
  <c r="AT62" i="7" s="1"/>
  <c r="AR56" i="7"/>
  <c r="AR97" i="7"/>
  <c r="AR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K55" i="7" s="1"/>
  <c r="J16" i="8"/>
  <c r="G161" i="3"/>
  <c r="AJ47" i="7" s="1"/>
  <c r="G160" i="3"/>
  <c r="G158" i="3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L55" i="7" s="1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D97" i="7"/>
  <c r="BE97" i="7"/>
  <c r="AQ97" i="7"/>
  <c r="X98" i="7"/>
  <c r="BF60" i="7"/>
  <c r="BD58" i="7"/>
  <c r="BF97" i="7"/>
  <c r="BD98" i="7"/>
  <c r="AY56" i="7"/>
  <c r="X56" i="7"/>
  <c r="AX56" i="7"/>
  <c r="AX59" i="7"/>
  <c r="AX62" i="7" s="1"/>
  <c r="AY60" i="7"/>
  <c r="AA97" i="7"/>
  <c r="AZ97" i="7"/>
  <c r="BC56" i="7"/>
  <c r="AW55" i="7"/>
  <c r="AD56" i="7"/>
  <c r="AY58" i="7"/>
  <c r="AX55" i="7"/>
  <c r="AW56" i="7"/>
  <c r="BE59" i="7"/>
  <c r="BE62" i="7" s="1"/>
  <c r="AY97" i="7"/>
  <c r="AY55" i="7"/>
  <c r="BB56" i="7"/>
  <c r="AW58" i="7"/>
  <c r="BB59" i="7"/>
  <c r="BB62" i="7" s="1"/>
  <c r="BC60" i="7"/>
  <c r="BD97" i="7"/>
  <c r="AP98" i="7"/>
  <c r="AX98" i="7"/>
  <c r="AZ55" i="7"/>
  <c r="AX58" i="7"/>
  <c r="AY59" i="7"/>
  <c r="AY62" i="7" s="1"/>
  <c r="AW97" i="7"/>
  <c r="AD98" i="7"/>
  <c r="AQ98" i="7"/>
  <c r="BA55" i="7"/>
  <c r="AA56" i="7"/>
  <c r="AZ56" i="7"/>
  <c r="BC58" i="7"/>
  <c r="AW60" i="7"/>
  <c r="X97" i="7"/>
  <c r="AX97" i="7"/>
  <c r="AW98" i="7"/>
  <c r="BB55" i="7"/>
  <c r="BA56" i="7"/>
  <c r="AX60" i="7"/>
  <c r="BC97" i="7"/>
  <c r="BC55" i="7"/>
  <c r="BF56" i="7"/>
  <c r="BA58" i="7"/>
  <c r="BF59" i="7"/>
  <c r="BF62" i="7" s="1"/>
  <c r="AY98" i="7"/>
  <c r="BD55" i="7"/>
  <c r="BB58" i="7"/>
  <c r="BC59" i="7"/>
  <c r="BC62" i="7" s="1"/>
  <c r="BA97" i="7"/>
  <c r="AA98" i="7"/>
  <c r="AZ98" i="7"/>
  <c r="BF98" i="7"/>
  <c r="BE55" i="7"/>
  <c r="BD56" i="7"/>
  <c r="BD59" i="7"/>
  <c r="BD62" i="7" s="1"/>
  <c r="BA60" i="7"/>
  <c r="BB97" i="7"/>
  <c r="BA98" i="7"/>
  <c r="BF55" i="7"/>
  <c r="BE56" i="7"/>
  <c r="AW59" i="7"/>
  <c r="AW62" i="7" s="1"/>
  <c r="BB60" i="7"/>
  <c r="BB98" i="7"/>
  <c r="BE58" i="7"/>
  <c r="BE60" i="7"/>
  <c r="BC98" i="7"/>
  <c r="AP97" i="7"/>
  <c r="BE98" i="7"/>
  <c r="BA59" i="7"/>
  <c r="BA62" i="7" s="1"/>
  <c r="BD60" i="7"/>
  <c r="BF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N55" i="7" s="1"/>
  <c r="J46" i="8"/>
  <c r="J29" i="8"/>
  <c r="J57" i="8"/>
  <c r="J161" i="8"/>
  <c r="AJ55" i="7" s="1"/>
  <c r="J152" i="8"/>
  <c r="J151" i="8"/>
  <c r="E12" i="17"/>
  <c r="J56" i="8"/>
  <c r="J158" i="8"/>
  <c r="AI55" i="7" s="1"/>
  <c r="J159" i="8"/>
  <c r="AE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AL58" i="7" s="1"/>
  <c r="N162" i="3"/>
  <c r="AK46" i="7" s="1"/>
  <c r="J117" i="8"/>
  <c r="K8" i="3"/>
  <c r="AY47" i="7"/>
  <c r="J53" i="8"/>
  <c r="J7" i="8"/>
  <c r="B55" i="7" s="1"/>
  <c r="J160" i="8"/>
  <c r="J36" i="8"/>
  <c r="J34" i="8"/>
  <c r="J115" i="8"/>
  <c r="J154" i="8"/>
  <c r="J6" i="8"/>
  <c r="M55" i="7" s="1"/>
  <c r="J5" i="8"/>
  <c r="B97" i="7"/>
  <c r="B56" i="7"/>
  <c r="B98" i="7"/>
  <c r="J38" i="8"/>
  <c r="J94" i="8"/>
  <c r="D7" i="8"/>
  <c r="BD47" i="7"/>
  <c r="K18" i="3"/>
  <c r="N18" i="3"/>
  <c r="BC47" i="7"/>
  <c r="AW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M46" i="7" s="1"/>
  <c r="BB47" i="7"/>
  <c r="BA47" i="7"/>
  <c r="AA47" i="7"/>
  <c r="X47" i="7"/>
  <c r="D99" i="8"/>
  <c r="D97" i="8"/>
  <c r="D95" i="8"/>
  <c r="AS58" i="7" s="1"/>
  <c r="D101" i="8"/>
  <c r="H115" i="3"/>
  <c r="D159" i="8"/>
  <c r="D156" i="8"/>
  <c r="K157" i="3"/>
  <c r="AN45" i="7" s="1"/>
  <c r="N150" i="3"/>
  <c r="H155" i="3"/>
  <c r="D96" i="8"/>
  <c r="H152" i="3"/>
  <c r="N149" i="3"/>
  <c r="K121" i="3"/>
  <c r="D118" i="8"/>
  <c r="K113" i="3"/>
  <c r="AZ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X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N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K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S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M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N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Z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Z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Z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AL45" i="7" s="1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AL46" i="7" s="1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M58" i="7" s="1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E45" i="7" s="1"/>
  <c r="H177" i="3"/>
  <c r="K178" i="3"/>
  <c r="E178" i="8" s="1"/>
  <c r="K170" i="3"/>
  <c r="I152" i="3"/>
  <c r="I162" i="3"/>
  <c r="H159" i="3"/>
  <c r="D162" i="8"/>
  <c r="AM58" i="7" s="1"/>
  <c r="D120" i="8"/>
  <c r="K120" i="3"/>
  <c r="AW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Z46" i="7" s="1"/>
  <c r="I24" i="3"/>
  <c r="K24" i="3"/>
  <c r="N154" i="3"/>
  <c r="D154" i="8"/>
  <c r="I154" i="3"/>
  <c r="I72" i="3"/>
  <c r="K72" i="3"/>
  <c r="Z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AH47" i="7" l="1"/>
  <c r="AI47" i="7"/>
  <c r="AF55" i="7"/>
  <c r="G58" i="7"/>
  <c r="G55" i="7"/>
  <c r="AK58" i="7"/>
  <c r="AM45" i="7"/>
  <c r="AO46" i="7"/>
  <c r="AS46" i="7"/>
  <c r="AO55" i="7"/>
  <c r="AS55" i="7"/>
  <c r="AE46" i="7"/>
  <c r="AE58" i="7"/>
  <c r="AO45" i="7"/>
  <c r="AO58" i="7"/>
  <c r="AM46" i="7"/>
  <c r="Y46" i="7"/>
  <c r="AM55" i="7"/>
  <c r="F55" i="7"/>
  <c r="Y58" i="7"/>
  <c r="L47" i="7"/>
  <c r="F47" i="7"/>
  <c r="I45" i="7"/>
  <c r="AG55" i="7"/>
  <c r="E72" i="8"/>
  <c r="Z59" i="7" s="1"/>
  <c r="Z62" i="7" s="1"/>
  <c r="Y45" i="7"/>
  <c r="Y55" i="7"/>
  <c r="K55" i="7"/>
  <c r="I55" i="7"/>
  <c r="AH55" i="7"/>
  <c r="R55" i="7"/>
  <c r="R58" i="7"/>
  <c r="I58" i="7"/>
  <c r="I46" i="7"/>
  <c r="R45" i="7"/>
  <c r="F166" i="8"/>
  <c r="C55" i="7"/>
  <c r="AG47" i="7"/>
  <c r="F27" i="8"/>
  <c r="R46" i="7"/>
  <c r="N55" i="7"/>
  <c r="H47" i="7"/>
  <c r="P47" i="7"/>
  <c r="O55" i="7"/>
  <c r="D46" i="7"/>
  <c r="H55" i="7"/>
  <c r="D55" i="7"/>
  <c r="Q46" i="7"/>
  <c r="L55" i="7"/>
  <c r="Q58" i="7"/>
  <c r="E13" i="8"/>
  <c r="D58" i="7"/>
  <c r="D45" i="7"/>
  <c r="Q45" i="7"/>
  <c r="O58" i="7"/>
  <c r="Q55" i="7"/>
  <c r="N45" i="7"/>
  <c r="O45" i="7"/>
  <c r="O46" i="7"/>
  <c r="P55" i="7"/>
  <c r="N58" i="7"/>
  <c r="N46" i="7"/>
  <c r="S46" i="7"/>
  <c r="S55" i="7"/>
  <c r="B182" i="3" a="1"/>
  <c r="B182" i="3" s="1"/>
  <c r="C182" i="3"/>
  <c r="U47" i="7"/>
  <c r="E45" i="7"/>
  <c r="S58" i="7"/>
  <c r="S45" i="7"/>
  <c r="F72" i="8"/>
  <c r="Z60" i="7" s="1"/>
  <c r="E46" i="7"/>
  <c r="E58" i="7"/>
  <c r="E55" i="7"/>
  <c r="E167" i="8"/>
  <c r="F167" i="8"/>
  <c r="E75" i="8"/>
  <c r="D10" i="8"/>
  <c r="K58" i="7" s="1"/>
  <c r="B47" i="7"/>
  <c r="K151" i="3"/>
  <c r="AR46" i="7"/>
  <c r="U55" i="7"/>
  <c r="AR45" i="7"/>
  <c r="AR58" i="7"/>
  <c r="AR55" i="7"/>
  <c r="L110" i="3"/>
  <c r="E26" i="8"/>
  <c r="H11" i="3"/>
  <c r="J33" i="41"/>
  <c r="D184" i="3"/>
  <c r="M184" i="3" s="1"/>
  <c r="I161" i="3"/>
  <c r="D161" i="8"/>
  <c r="AJ58" i="7" s="1"/>
  <c r="N161" i="3"/>
  <c r="AJ46" i="7" s="1"/>
  <c r="H161" i="3"/>
  <c r="K161" i="3"/>
  <c r="AJ45" i="7" s="1"/>
  <c r="E25" i="8"/>
  <c r="F28" i="8"/>
  <c r="E28" i="8"/>
  <c r="F91" i="3"/>
  <c r="I91" i="3" s="1"/>
  <c r="F169" i="8"/>
  <c r="E169" i="8"/>
  <c r="H158" i="3"/>
  <c r="K158" i="3"/>
  <c r="H164" i="3"/>
  <c r="I164" i="3"/>
  <c r="I158" i="3"/>
  <c r="N158" i="3"/>
  <c r="D158" i="8"/>
  <c r="K160" i="3"/>
  <c r="K10" i="3"/>
  <c r="K45" i="7" s="1"/>
  <c r="N33" i="3"/>
  <c r="I151" i="3"/>
  <c r="N160" i="3"/>
  <c r="D151" i="8"/>
  <c r="I160" i="3"/>
  <c r="D160" i="8"/>
  <c r="H160" i="3"/>
  <c r="N10" i="3"/>
  <c r="K46" i="7" s="1"/>
  <c r="D33" i="8"/>
  <c r="I33" i="3"/>
  <c r="K33" i="3"/>
  <c r="H33" i="3"/>
  <c r="H10" i="3"/>
  <c r="AD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X55" i="7"/>
  <c r="F13" i="8"/>
  <c r="F168" i="8"/>
  <c r="E168" i="8"/>
  <c r="N164" i="3"/>
  <c r="AA55" i="7"/>
  <c r="F26" i="8"/>
  <c r="K164" i="3"/>
  <c r="F25" i="8"/>
  <c r="E24" i="8"/>
  <c r="F24" i="8"/>
  <c r="AA58" i="7"/>
  <c r="I34" i="41"/>
  <c r="E74" i="8"/>
  <c r="F74" i="8"/>
  <c r="F165" i="8"/>
  <c r="E165" i="8"/>
  <c r="F31" i="8"/>
  <c r="E31" i="8"/>
  <c r="E73" i="8"/>
  <c r="F73" i="8"/>
  <c r="AD55" i="7"/>
  <c r="X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AL60" i="7" s="1"/>
  <c r="E163" i="8"/>
  <c r="AL59" i="7" s="1"/>
  <c r="AL62" i="7" s="1"/>
  <c r="E162" i="8"/>
  <c r="AK59" i="7" s="1"/>
  <c r="AK62" i="7" s="1"/>
  <c r="F162" i="8"/>
  <c r="AK60" i="7" s="1"/>
  <c r="AY46" i="7"/>
  <c r="E8" i="8"/>
  <c r="AY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W46" i="7"/>
  <c r="E35" i="8"/>
  <c r="BC45" i="7"/>
  <c r="F6" i="8"/>
  <c r="M60" i="7" s="1"/>
  <c r="BC46" i="7"/>
  <c r="G68" i="3"/>
  <c r="BB46" i="7"/>
  <c r="K45" i="3"/>
  <c r="H45" i="3"/>
  <c r="I45" i="3"/>
  <c r="N45" i="3"/>
  <c r="BA46" i="7"/>
  <c r="K50" i="3"/>
  <c r="H50" i="3"/>
  <c r="I50" i="3"/>
  <c r="E23" i="8"/>
  <c r="BB45" i="7"/>
  <c r="BA45" i="7"/>
  <c r="F23" i="8"/>
  <c r="X45" i="7"/>
  <c r="AA45" i="7"/>
  <c r="X46" i="7"/>
  <c r="AA46" i="7"/>
  <c r="D98" i="8"/>
  <c r="E97" i="8"/>
  <c r="E100" i="8"/>
  <c r="E101" i="8"/>
  <c r="F97" i="8"/>
  <c r="E95" i="8"/>
  <c r="AS59" i="7" s="1"/>
  <c r="AS62" i="7" s="1"/>
  <c r="F100" i="8"/>
  <c r="E99" i="8"/>
  <c r="F101" i="8"/>
  <c r="F99" i="8"/>
  <c r="F95" i="8"/>
  <c r="E117" i="8"/>
  <c r="BD45" i="7"/>
  <c r="F116" i="8"/>
  <c r="E116" i="8"/>
  <c r="F117" i="8"/>
  <c r="BD46" i="7"/>
  <c r="E155" i="8"/>
  <c r="F156" i="8"/>
  <c r="F150" i="8"/>
  <c r="E159" i="8"/>
  <c r="F157" i="8"/>
  <c r="AN60" i="7" s="1"/>
  <c r="F159" i="8"/>
  <c r="F155" i="8"/>
  <c r="E150" i="8"/>
  <c r="E156" i="8"/>
  <c r="D153" i="8"/>
  <c r="E157" i="8"/>
  <c r="AN59" i="7" s="1"/>
  <c r="AN62" i="7" s="1"/>
  <c r="F22" i="8"/>
  <c r="E6" i="8"/>
  <c r="M59" i="7" s="1"/>
  <c r="M62" i="7" s="1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Z60" i="7" s="1"/>
  <c r="E113" i="8"/>
  <c r="AZ59" i="7" s="1"/>
  <c r="AZ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X45" i="7" s="1"/>
  <c r="N114" i="3"/>
  <c r="AX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G59" i="7" l="1"/>
  <c r="G62" i="7" s="1"/>
  <c r="G60" i="7"/>
  <c r="AH46" i="7"/>
  <c r="AI46" i="7"/>
  <c r="AH45" i="7"/>
  <c r="AI45" i="7"/>
  <c r="AH58" i="7"/>
  <c r="AI58" i="7"/>
  <c r="AO60" i="7"/>
  <c r="AS60" i="7"/>
  <c r="AE60" i="7"/>
  <c r="AE59" i="7"/>
  <c r="AE62" i="7" s="1"/>
  <c r="AO59" i="7"/>
  <c r="AO62" i="7" s="1"/>
  <c r="AM59" i="7"/>
  <c r="AM62" i="7" s="1"/>
  <c r="AM60" i="7"/>
  <c r="Y59" i="7"/>
  <c r="Y62" i="7" s="1"/>
  <c r="Y60" i="7"/>
  <c r="L46" i="7"/>
  <c r="F46" i="7"/>
  <c r="L58" i="7"/>
  <c r="F58" i="7"/>
  <c r="L45" i="7"/>
  <c r="F45" i="7"/>
  <c r="D60" i="7"/>
  <c r="I60" i="7"/>
  <c r="I59" i="7"/>
  <c r="I62" i="7" s="1"/>
  <c r="R60" i="7"/>
  <c r="R59" i="7"/>
  <c r="R62" i="7" s="1"/>
  <c r="AG45" i="7"/>
  <c r="AG46" i="7"/>
  <c r="AG58" i="7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N59" i="7"/>
  <c r="N62" i="7" s="1"/>
  <c r="O60" i="7"/>
  <c r="O59" i="7"/>
  <c r="O62" i="7" s="1"/>
  <c r="N60" i="7"/>
  <c r="S60" i="7"/>
  <c r="U46" i="7"/>
  <c r="U45" i="7"/>
  <c r="U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R59" i="7"/>
  <c r="AR62" i="7" s="1"/>
  <c r="AR60" i="7"/>
  <c r="Q2" i="17"/>
  <c r="O2" i="5"/>
  <c r="E161" i="8"/>
  <c r="AJ59" i="7" s="1"/>
  <c r="AJ62" i="7" s="1"/>
  <c r="G184" i="3"/>
  <c r="G185" i="3"/>
  <c r="E11" i="8"/>
  <c r="C59" i="7" s="1"/>
  <c r="C62" i="7" s="1"/>
  <c r="F158" i="8"/>
  <c r="AD46" i="7"/>
  <c r="F161" i="8"/>
  <c r="AJ60" i="7" s="1"/>
  <c r="F184" i="3"/>
  <c r="E33" i="8"/>
  <c r="E158" i="8"/>
  <c r="F33" i="8"/>
  <c r="E164" i="8"/>
  <c r="E160" i="8"/>
  <c r="F160" i="8"/>
  <c r="H182" i="3"/>
  <c r="AD45" i="7"/>
  <c r="AD58" i="7"/>
  <c r="F183" i="3"/>
  <c r="H7" i="38" s="1"/>
  <c r="K4" i="38"/>
  <c r="F6" i="41"/>
  <c r="H5" i="38"/>
  <c r="E183" i="3"/>
  <c r="M4" i="38" s="1"/>
  <c r="F11" i="8"/>
  <c r="C60" i="7" s="1"/>
  <c r="F164" i="8"/>
  <c r="AA60" i="7"/>
  <c r="AA59" i="7"/>
  <c r="AA62" i="7" s="1"/>
  <c r="O110" i="3" a="1"/>
  <c r="O110" i="3" s="1"/>
  <c r="I35" i="41"/>
  <c r="I33" i="41"/>
  <c r="O182" i="3" a="1"/>
  <c r="O182" i="3" s="1"/>
  <c r="I37" i="41"/>
  <c r="X60" i="7"/>
  <c r="X59" i="7"/>
  <c r="X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H59" i="7" l="1"/>
  <c r="AH62" i="7" s="1"/>
  <c r="AI59" i="7"/>
  <c r="AI62" i="7" s="1"/>
  <c r="AH60" i="7"/>
  <c r="AI60" i="7"/>
  <c r="L59" i="7"/>
  <c r="L62" i="7" s="1"/>
  <c r="F59" i="7"/>
  <c r="F62" i="7" s="1"/>
  <c r="L60" i="7"/>
  <c r="F60" i="7"/>
  <c r="AG59" i="7"/>
  <c r="AG62" i="7" s="1"/>
  <c r="AG60" i="7"/>
  <c r="H59" i="7"/>
  <c r="H62" i="7" s="1"/>
  <c r="P59" i="7"/>
  <c r="P62" i="7" s="1"/>
  <c r="H60" i="7"/>
  <c r="P60" i="7"/>
  <c r="L5" i="41"/>
  <c r="G6" i="41"/>
  <c r="O184" i="3" a="1"/>
  <c r="U59" i="7"/>
  <c r="U62" i="7" s="1"/>
  <c r="U60" i="7"/>
  <c r="B59" i="7"/>
  <c r="B62" i="7" s="1"/>
  <c r="B60" i="7"/>
  <c r="I184" i="3"/>
  <c r="F5" i="41"/>
  <c r="C19" i="41"/>
  <c r="AD59" i="7"/>
  <c r="AD62" i="7" s="1"/>
  <c r="H6" i="41"/>
  <c r="AD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<sst xmlns="http://schemas.openxmlformats.org/spreadsheetml/2006/main" count="85003" uniqueCount="17535">
  <si>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</si>
  <si>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</si>
  <si>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</si>
  <si>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</si>
  <si>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</si>
  <si>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</si>
  <si>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</si>
  <si>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</si>
  <si>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</si>
  <si>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</si>
  <si>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</si>
  <si>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</si>
  <si>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</si>
  <si>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</si>
  <si>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</si>
  <si>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</si>
  <si>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</si>
  <si>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</si>
  <si>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</si>
  <si>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</si>
  <si>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</si>
  <si>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</si>
  <si>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</si>
  <si>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</si>
  <si>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</si>
  <si>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</si>
  <si>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</si>
  <si>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</si>
  <si>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</si>
  <si>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</si>
  <si>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</si>
  <si>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</si>
  <si>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</si>
  <si>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</si>
  <si>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</si>
  <si>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</si>
  <si>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</si>
  <si>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</si>
  <si>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</si>
  <si>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</si>
  <si>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</si>
  <si>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</si>
  <si>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</si>
  <si>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</si>
  <si>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</si>
  <si>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</si>
  <si>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</si>
  <si>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</si>
  <si>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</si>
  <si>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</si>
  <si>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</si>
  <si>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</si>
  <si>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</si>
  <si>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</si>
  <si>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</si>
  <si>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</si>
  <si>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</si>
  <si>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</si>
  <si>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</si>
  <si>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</si>
  <si>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</si>
  <si>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</si>
  <si>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</si>
  <si>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</si>
  <si>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</si>
  <si>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</si>
  <si>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</si>
  <si>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</si>
  <si>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</si>
  <si>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</si>
  <si>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</si>
  <si>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</si>
  <si>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</si>
  <si>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</si>
  <si>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</si>
  <si>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</si>
  <si>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</si>
  <si>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</si>
  <si>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</si>
  <si>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</si>
  <si>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</si>
  <si>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</si>
  <si>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</si>
  <si>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</si>
  <si>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</si>
  <si>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</si>
  <si>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</si>
  <si>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</si>
  <si>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</si>
  <si>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</si>
  <si>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</si>
  <si>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</si>
  <si>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</si>
  <si>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</si>
  <si>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</si>
  <si>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</si>
  <si>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</si>
  <si>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</si>
  <si>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</si>
  <si>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</si>
  <si>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</si>
  <si>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</si>
  <si>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</si>
  <si>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</si>
  <si>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</si>
  <si>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</si>
  <si>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</si>
  <si>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</si>
  <si>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</si>
  <si>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</si>
  <si>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</si>
  <si>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</si>
  <si>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</si>
  <si>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</si>
  <si>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</si>
  <si>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</si>
  <si>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</si>
  <si>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</si>
  <si>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</si>
  <si>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</si>
  <si>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</si>
  <si>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</si>
  <si>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</si>
  <si>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</si>
  <si>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</si>
  <si>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</si>
  <si>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</si>
  <si>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</si>
  <si>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</si>
  <si>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</si>
  <si>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</si>
  <si>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</si>
  <si>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</si>
  <si>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</si>
  <si>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</si>
  <si>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</si>
  <si>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</si>
  <si>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</si>
  <si>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</si>
  <si>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</si>
  <si>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</si>
  <si>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</si>
  <si>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</si>
  <si>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</si>
  <si>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</si>
  <si>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</si>
  <si>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</si>
  <si>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</si>
  <si>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</si>
  <si>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</si>
  <si>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</si>
  <si>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</si>
  <si>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</si>
  <si>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</si>
  <si>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</si>
  <si>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</si>
  <si>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</si>
  <si>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</si>
  <si>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</si>
  <si>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</si>
  <si>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</si>
  <si>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</si>
  <si>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</si>
  <si>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</si>
  <si>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</si>
  <si>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</si>
  <si>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</si>
  <si>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</si>
  <si>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</si>
  <si>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</si>
  <si>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</si>
  <si>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</si>
  <si>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</si>
  <si>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</si>
  <si>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</si>
  <si>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</si>
  <si>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</si>
  <si>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</si>
  <si>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</si>
  <si>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</si>
  <si>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</si>
  <si>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</si>
  <si>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</si>
  <si>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</si>
  <si>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</si>
  <si>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</si>
  <si>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</si>
  <si>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</si>
  <si>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</si>
  <si>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</si>
  <si>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</si>
  <si>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</si>
  <si>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</si>
  <si>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</si>
  <si>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</si>
  <si>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</si>
  <si>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</si>
  <si>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</si>
  <si>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</si>
  <si>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</si>
  <si>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</si>
  <si>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</si>
  <si>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</si>
  <si>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</si>
  <si>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</si>
  <si>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</si>
  <si>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</si>
  <si>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</si>
  <si>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</si>
  <si>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</si>
  <si>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</si>
  <si>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</si>
  <si>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</si>
  <si>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</si>
  <si>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</si>
  <si>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</si>
  <si>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</si>
  <si>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</si>
  <si>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</si>
  <si>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</si>
  <si>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</si>
  <si>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</si>
  <si>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</si>
  <si>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</si>
  <si>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</si>
  <si>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</si>
  <si>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</si>
  <si>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</si>
  <si>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</si>
  <si>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</si>
  <si>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</si>
  <si>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</si>
  <si>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</si>
  <si>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</si>
  <si>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</si>
  <si>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</si>
  <si>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</si>
  <si>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</si>
  <si>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</si>
  <si>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</si>
  <si>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</si>
  <si>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</si>
  <si>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</si>
  <si>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</si>
  <si>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</si>
  <si>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</si>
  <si>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</si>
  <si>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</si>
  <si>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</si>
  <si>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</si>
  <si>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</si>
  <si>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</si>
  <si>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</si>
  <si>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</si>
  <si>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</si>
  <si>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</si>
  <si>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</si>
  <si>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</si>
  <si>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</si>
  <si>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</si>
  <si>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</si>
  <si>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</si>
  <si>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</si>
  <si>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</si>
  <si>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</si>
  <si>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</si>
  <si>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</si>
  <si>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</si>
  <si>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</si>
  <si>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</si>
  <si>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</si>
  <si>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</si>
  <si>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</si>
  <si>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</si>
  <si>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</si>
  <si>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</si>
  <si>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</si>
  <si>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</si>
  <si>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</si>
  <si>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</si>
  <si>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</si>
  <si>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</si>
  <si>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</si>
  <si>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</si>
  <si>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</si>
  <si>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</si>
  <si>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</si>
  <si>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</si>
  <si>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</si>
  <si>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</si>
  <si>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</si>
  <si>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</si>
  <si>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</si>
  <si>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</si>
  <si>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</si>
  <si>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</si>
  <si>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</si>
  <si>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</si>
  <si>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</si>
  <si>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</si>
  <si>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</si>
  <si>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</si>
  <si>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</si>
  <si>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</si>
  <si>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</si>
  <si>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</si>
  <si>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</si>
  <si>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</si>
  <si>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</si>
  <si>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</si>
  <si>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</si>
  <si>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</si>
  <si>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</si>
  <si>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</si>
  <si>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</si>
  <si>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</si>
  <si>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</si>
  <si>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</si>
  <si>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</si>
  <si>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</si>
  <si>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</si>
  <si>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</si>
  <si>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</si>
  <si>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</si>
  <si>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</si>
  <si>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</si>
  <si>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</si>
  <si>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</si>
  <si>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</si>
  <si>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</si>
  <si>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</si>
  <si>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</si>
  <si>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</si>
  <si>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</si>
  <si>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</si>
  <si>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</si>
  <si>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</si>
  <si>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</si>
  <si>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</si>
  <si>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</si>
  <si>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</si>
  <si>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</si>
  <si>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</si>
  <si>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</si>
  <si>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</si>
  <si>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</si>
  <si>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</si>
  <si>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</si>
  <si>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</si>
  <si>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</si>
  <si>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</si>
  <si>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</si>
  <si>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</si>
  <si>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</si>
  <si>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</si>
  <si>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</si>
  <si>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</si>
  <si>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</si>
  <si>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</si>
  <si>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</si>
  <si>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</si>
  <si>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</si>
  <si>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</si>
  <si>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</si>
  <si>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</si>
  <si>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</si>
  <si>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</si>
  <si>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</si>
  <si>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</si>
  <si>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</si>
  <si>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</si>
  <si>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</si>
  <si>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</si>
  <si>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</si>
  <si>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</si>
  <si>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</si>
  <si>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</si>
  <si>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</si>
  <si>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</si>
  <si>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</si>
  <si>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</si>
  <si>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</si>
  <si>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</si>
  <si>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</si>
  <si>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</si>
  <si>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</si>
  <si>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</si>
  <si>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</si>
  <si>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</si>
  <si>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</si>
  <si>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</si>
  <si>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</si>
  <si>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</si>
  <si>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</si>
  <si>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</si>
  <si>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</si>
  <si>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</si>
  <si>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</si>
  <si>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</si>
  <si>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</si>
  <si>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</si>
  <si>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</si>
  <si>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</si>
  <si>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</si>
  <si>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</si>
  <si>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</si>
  <si>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</si>
  <si>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</si>
  <si>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</si>
  <si>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</si>
  <si>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</si>
  <si>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</si>
  <si>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</si>
  <si>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</si>
  <si>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</si>
  <si>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</si>
  <si>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</si>
  <si>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</si>
  <si>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</si>
  <si>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</si>
  <si>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</si>
  <si>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</si>
  <si>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</si>
  <si>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</si>
  <si>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</si>
  <si>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</si>
  <si>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</si>
  <si>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</si>
  <si>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</si>
  <si>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</si>
  <si>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</si>
  <si>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</si>
  <si>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</si>
  <si>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</si>
  <si>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</si>
  <si>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</si>
  <si>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</si>
  <si>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</si>
  <si>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</si>
  <si>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</si>
  <si>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</si>
  <si>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</si>
  <si>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</si>
  <si>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</si>
  <si>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</si>
  <si>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</si>
  <si>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</si>
  <si>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</si>
  <si>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</si>
  <si>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</si>
  <si>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</si>
  <si>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</si>
  <si>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</si>
  <si>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</si>
  <si>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</si>
  <si>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</si>
  <si>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</si>
  <si>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</si>
  <si>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</si>
  <si>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</si>
  <si>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</si>
  <si>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</si>
  <si>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</si>
  <si>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</si>
  <si>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</si>
  <si>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</si>
  <si>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</si>
  <si>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</si>
  <si>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</si>
  <si>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</si>
  <si>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</si>
  <si>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</si>
  <si>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</si>
  <si>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</si>
  <si>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</si>
  <si>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</si>
  <si>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</si>
  <si>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</si>
  <si>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</si>
  <si>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</si>
  <si>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</si>
  <si>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</si>
  <si>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</si>
  <si>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</si>
  <si>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</si>
  <si>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</si>
  <si>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</si>
  <si>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</si>
  <si>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</si>
  <si>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</si>
  <si>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</si>
  <si>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</si>
  <si>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</si>
  <si>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</si>
  <si>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</si>
  <si>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</si>
  <si>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</si>
  <si>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</si>
  <si>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</si>
  <si>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</si>
  <si>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</si>
  <si>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</si>
  <si>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</si>
  <si>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</si>
  <si>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</si>
  <si>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</si>
  <si>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</si>
  <si>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</si>
  <si>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</si>
  <si>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</si>
  <si>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</si>
  <si>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</si>
  <si>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</si>
  <si>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</si>
  <si>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</si>
  <si>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</si>
  <si>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</si>
  <si>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</si>
  <si>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</si>
  <si>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</si>
  <si>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</si>
  <si>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</si>
  <si>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</si>
  <si>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</si>
  <si>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</si>
  <si>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</si>
  <si>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</si>
  <si>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</si>
  <si>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</si>
  <si>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</si>
  <si>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</si>
  <si>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</si>
  <si>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</si>
  <si>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</si>
  <si>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</si>
  <si>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</si>
  <si>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</si>
  <si>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</si>
  <si>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</si>
  <si>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</si>
  <si>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</si>
  <si>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</si>
  <si>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</si>
  <si>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</si>
  <si>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</si>
  <si>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</si>
  <si>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</si>
  <si>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</si>
  <si>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</si>
  <si>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</si>
  <si>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</si>
  <si>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</si>
  <si>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</si>
  <si>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</si>
  <si>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</si>
  <si>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</si>
  <si>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</si>
  <si>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</si>
  <si>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</si>
  <si>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</si>
  <si>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</si>
  <si>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</si>
  <si>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</si>
  <si>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</si>
  <si>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</si>
  <si>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</si>
  <si>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</si>
  <si>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</si>
  <si>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</si>
  <si>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</si>
  <si>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</si>
  <si>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</si>
  <si>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</si>
  <si>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</si>
  <si>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</si>
  <si>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</si>
  <si>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</si>
  <si>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</si>
  <si>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</si>
  <si>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</si>
  <si>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</si>
  <si>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</si>
  <si>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</si>
  <si>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</si>
  <si>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</si>
  <si>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</si>
  <si>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</si>
  <si>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</si>
  <si>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</si>
  <si>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</si>
  <si>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</si>
  <si>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</si>
  <si>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</si>
  <si>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</si>
  <si>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</si>
  <si>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</si>
  <si>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</si>
  <si>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</si>
  <si>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</si>
  <si>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</si>
  <si>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</si>
  <si>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</si>
  <si>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</si>
  <si>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</si>
  <si>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</si>
  <si>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</si>
  <si>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</si>
  <si>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</si>
  <si>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</si>
  <si>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</si>
  <si>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</si>
  <si>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</si>
  <si>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</si>
  <si>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</si>
  <si>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</si>
  <si>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</si>
  <si>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</si>
  <si>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</si>
  <si>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</si>
  <si>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</si>
  <si>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</si>
  <si>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</si>
  <si>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</si>
  <si>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</si>
  <si>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</si>
  <si>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</si>
  <si>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</si>
  <si>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</si>
  <si>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</si>
  <si>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</si>
  <si>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</si>
  <si>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</si>
  <si>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</si>
  <si>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</si>
  <si>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</si>
  <si>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</si>
  <si>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</si>
  <si>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</si>
  <si>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</si>
  <si>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</si>
  <si>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</si>
  <si>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</si>
  <si>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</si>
  <si>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</si>
  <si>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</si>
  <si>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</si>
  <si>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</si>
  <si>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</si>
  <si>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</si>
  <si>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</si>
  <si>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</si>
  <si>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</si>
  <si>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</si>
  <si>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</si>
  <si>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</si>
  <si>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</si>
  <si>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</si>
  <si>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</si>
  <si>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</si>
  <si>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</si>
  <si>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</si>
  <si>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</si>
  <si>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</si>
  <si>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</si>
  <si>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</si>
  <si>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</si>
  <si>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</si>
  <si>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</si>
  <si>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</si>
  <si>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</si>
  <si>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</si>
  <si>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</si>
  <si>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</si>
  <si>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</si>
  <si>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</si>
  <si>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</si>
  <si>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</si>
  <si>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</si>
  <si>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</si>
  <si>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</si>
  <si>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</si>
  <si>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</si>
  <si>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</si>
  <si>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</si>
  <si>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</si>
  <si>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</si>
  <si>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</si>
  <si>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</si>
  <si>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</si>
  <si>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</si>
  <si>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</si>
  <si>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</si>
  <si>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</si>
  <si>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</si>
  <si>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</si>
  <si>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</si>
  <si>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</si>
  <si>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</si>
  <si>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</si>
  <si>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</si>
  <si>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</si>
  <si>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</si>
  <si>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</si>
  <si>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</si>
  <si>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</si>
  <si>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</si>
  <si>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</si>
  <si>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</si>
  <si>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</si>
  <si>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</si>
  <si>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</si>
  <si>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</si>
  <si>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</si>
  <si>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</si>
  <si>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</si>
  <si>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</si>
  <si>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</si>
  <si>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</si>
  <si>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</si>
  <si>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</si>
  <si>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</si>
  <si>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</si>
  <si>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</si>
  <si>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</si>
  <si>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</si>
  <si>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</si>
  <si>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</si>
  <si>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</si>
  <si>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</si>
  <si>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</si>
  <si>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</si>
  <si>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</si>
  <si>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</si>
  <si>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</si>
  <si>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</si>
  <si>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</si>
  <si>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</si>
  <si>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</si>
  <si>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</si>
  <si>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</si>
  <si>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</si>
  <si>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</si>
  <si>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</si>
  <si>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</si>
  <si>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</si>
  <si>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</si>
  <si>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</si>
  <si>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</si>
  <si>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</si>
  <si>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</si>
  <si>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</si>
  <si>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</si>
  <si>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</si>
  <si>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</si>
  <si>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</si>
  <si>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</si>
  <si>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</si>
  <si>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</si>
  <si>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</si>
  <si>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</si>
  <si>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</si>
  <si>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</si>
  <si>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</si>
  <si>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</si>
  <si>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</si>
  <si>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</si>
  <si>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</si>
  <si>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</si>
  <si>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</si>
  <si>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</si>
  <si>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</si>
  <si>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</si>
  <si>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</si>
  <si>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</si>
  <si>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</si>
  <si>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</si>
  <si>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</si>
  <si>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</si>
  <si>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</si>
  <si>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</si>
  <si>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</si>
  <si>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</si>
  <si>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</si>
  <si>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</si>
  <si>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</si>
  <si>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</si>
  <si>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</si>
  <si>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</si>
  <si>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</si>
  <si>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</si>
  <si>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</si>
  <si>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</si>
  <si>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</si>
  <si>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</si>
  <si>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</si>
  <si>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</si>
  <si>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</si>
  <si>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</si>
  <si>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</si>
  <si>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</si>
  <si>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</si>
  <si>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</si>
  <si>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</si>
  <si>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</si>
  <si>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</si>
  <si>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</si>
  <si>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</si>
  <si>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</si>
  <si>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</si>
  <si>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</si>
  <si>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</si>
  <si>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</si>
  <si>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</si>
  <si>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</si>
  <si>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</si>
  <si>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</si>
  <si>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</si>
  <si>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</si>
  <si>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</si>
  <si>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</si>
  <si>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</si>
  <si>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</si>
  <si>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</si>
  <si>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</si>
  <si>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</si>
  <si>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</si>
  <si>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</si>
  <si>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</si>
  <si>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</si>
  <si>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</si>
  <si>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</si>
  <si>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</si>
  <si>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</si>
  <si>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</si>
  <si>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</si>
  <si>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</si>
  <si>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</si>
  <si>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</si>
  <si>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</si>
  <si>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</si>
  <si>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</si>
  <si>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</si>
  <si>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</si>
  <si>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</si>
  <si>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</si>
  <si>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</si>
  <si>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</si>
  <si>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</si>
  <si>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</si>
  <si>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</si>
  <si>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</si>
  <si>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</si>
  <si>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</si>
  <si>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</si>
  <si>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</si>
  <si>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</si>
  <si>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</si>
  <si>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</si>
  <si>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</si>
  <si>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</si>
  <si>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</si>
  <si>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</si>
  <si>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</si>
  <si>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</si>
  <si>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</si>
  <si>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</si>
  <si>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</si>
  <si>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</si>
  <si>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</si>
  <si>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</si>
  <si>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</si>
  <si>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</si>
  <si>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</si>
  <si>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</si>
  <si>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</si>
  <si>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</si>
  <si>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</si>
  <si>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</si>
  <si>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</si>
  <si>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</si>
  <si>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</si>
  <si>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</si>
  <si>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</si>
  <si>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</si>
  <si>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</si>
  <si>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</si>
  <si>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</si>
  <si>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</si>
  <si>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</si>
  <si>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</si>
  <si>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</si>
  <si>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</si>
  <si>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</si>
  <si>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</si>
  <si>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</si>
  <si>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</si>
  <si>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</si>
  <si>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</si>
  <si>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</si>
  <si>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</si>
  <si>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</si>
  <si>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</si>
  <si>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</si>
  <si>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</si>
  <si>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</si>
  <si>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</si>
  <si>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</si>
  <si>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</si>
  <si>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</si>
  <si>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</si>
  <si>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</si>
  <si>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</si>
  <si>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</si>
  <si>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</si>
  <si>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</si>
  <si>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</si>
  <si>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</si>
  <si>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</si>
  <si>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</si>
  <si>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</si>
  <si>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</si>
  <si>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</si>
  <si>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</si>
  <si>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</si>
  <si>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</si>
  <si>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</si>
  <si>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</si>
  <si>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</si>
  <si>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</si>
  <si>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</si>
  <si>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</si>
  <si>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</si>
  <si>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</si>
  <si>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</si>
  <si>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</si>
  <si>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</si>
  <si>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</si>
  <si>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</si>
  <si>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</si>
  <si>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</si>
  <si>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</si>
  <si>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</si>
  <si>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</si>
  <si>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</si>
  <si>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</si>
  <si>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</si>
  <si>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</si>
  <si>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</si>
  <si>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</si>
  <si>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</si>
  <si>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</si>
  <si>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</si>
  <si>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</si>
  <si>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</si>
  <si>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</si>
  <si>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</si>
  <si>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</si>
  <si>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</si>
  <si>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</si>
  <si>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</si>
  <si>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</si>
  <si>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</si>
  <si>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</si>
  <si>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</si>
  <si>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</si>
  <si>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</si>
  <si>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</si>
  <si>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</si>
  <si>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</si>
  <si>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</si>
  <si>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</si>
  <si>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</si>
  <si>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</si>
  <si>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</si>
  <si>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</si>
  <si>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</si>
  <si>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</si>
  <si>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</si>
  <si>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</si>
  <si>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</si>
  <si>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</si>
  <si>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</si>
  <si>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</si>
  <si>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</si>
  <si>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</si>
  <si>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</si>
  <si>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</si>
  <si>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</si>
  <si>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</si>
  <si>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</si>
  <si>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</si>
  <si>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</si>
  <si>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</si>
  <si>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</si>
  <si>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</si>
  <si>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</si>
  <si>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</si>
  <si>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</si>
  <si>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</si>
  <si>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</si>
  <si>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</si>
  <si>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</si>
  <si>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</si>
  <si>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</si>
  <si>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</si>
  <si>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</si>
  <si>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</si>
  <si>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</si>
  <si>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</si>
  <si>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</si>
  <si>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</si>
  <si>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</si>
  <si>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</si>
  <si>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</si>
  <si>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</si>
  <si>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</si>
  <si>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</si>
  <si>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</si>
  <si>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</si>
  <si>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</si>
  <si>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</si>
  <si>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</si>
  <si>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</si>
  <si>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</si>
  <si>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</si>
  <si>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</si>
  <si>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</si>
  <si>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</si>
  <si>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</si>
  <si>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</si>
  <si>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</si>
  <si>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</si>
  <si>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</si>
  <si>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</si>
  <si>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</si>
  <si>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</si>
  <si>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</si>
  <si>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</si>
  <si>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</si>
  <si>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</si>
  <si>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</si>
  <si>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</si>
  <si>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</si>
  <si>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</si>
  <si>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</si>
  <si>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</si>
  <si>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</si>
  <si>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</si>
  <si>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</si>
  <si>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</si>
  <si>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</si>
  <si>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</si>
  <si>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</si>
  <si>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</si>
  <si>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</si>
  <si>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</si>
  <si>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</si>
  <si>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</si>
  <si>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</si>
  <si>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</si>
  <si>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</si>
  <si>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</si>
  <si>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</si>
  <si>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</si>
  <si>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</si>
  <si>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</si>
  <si>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</si>
  <si>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</si>
  <si>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</si>
  <si>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</si>
  <si>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</si>
  <si>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</si>
  <si>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</si>
  <si>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</si>
  <si>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</si>
  <si>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</si>
  <si>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</si>
  <si>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</si>
  <si>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</si>
  <si>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</si>
  <si>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</si>
  <si>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</si>
  <si>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</si>
  <si>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</si>
  <si>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</si>
  <si>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</si>
  <si>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</si>
  <si>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</si>
  <si>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</si>
  <si>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</si>
  <si>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</si>
  <si>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</si>
  <si>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</si>
  <si>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</si>
  <si>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</si>
  <si>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</si>
  <si>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</si>
  <si>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</si>
  <si>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</si>
  <si>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</si>
  <si>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</si>
  <si>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</si>
  <si>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</si>
  <si>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</si>
  <si>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</si>
  <si>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</si>
  <si>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</si>
  <si>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</si>
  <si>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</si>
  <si>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</si>
  <si>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</si>
  <si>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</si>
  <si>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</si>
  <si>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</si>
  <si>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</si>
  <si>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</si>
  <si>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</si>
  <si>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</si>
  <si>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</si>
  <si>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</si>
  <si>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</si>
  <si>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</si>
  <si>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</si>
  <si>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</si>
  <si>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</si>
  <si>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</si>
  <si>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</si>
  <si>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</si>
  <si>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</si>
  <si>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</si>
  <si>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</si>
  <si>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</si>
  <si>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</si>
  <si>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</si>
  <si>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</si>
  <si>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</si>
  <si>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</si>
  <si>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</si>
  <si>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</si>
  <si>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</si>
  <si>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</si>
  <si>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</si>
  <si>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</si>
  <si>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</si>
  <si>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</si>
  <si>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</si>
  <si>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</si>
  <si>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</si>
  <si>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</si>
  <si>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</si>
  <si>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</si>
  <si>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</si>
  <si>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</si>
  <si>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</si>
  <si>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</si>
  <si>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</si>
  <si>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</si>
  <si>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</si>
  <si>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</si>
  <si>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</si>
  <si>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</si>
  <si>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</si>
  <si>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</si>
  <si>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</si>
  <si>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</si>
  <si>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</si>
  <si>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</si>
  <si>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</si>
  <si>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</si>
  <si>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</si>
  <si>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</si>
  <si>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</si>
  <si>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</si>
  <si>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</si>
  <si>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</si>
  <si>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</si>
  <si>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</si>
  <si>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</si>
  <si>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</si>
  <si>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</si>
  <si>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</si>
  <si>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</si>
  <si>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</si>
  <si>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</si>
  <si>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</si>
  <si>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</si>
  <si>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</si>
  <si>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</si>
  <si>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</si>
  <si>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</si>
  <si>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</si>
  <si>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</si>
  <si>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</si>
  <si>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</si>
  <si>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</si>
  <si>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</si>
  <si>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</si>
  <si>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</si>
  <si>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</si>
  <si>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</si>
  <si>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</si>
  <si>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</si>
  <si>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</si>
  <si>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</si>
  <si>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</si>
  <si>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</si>
  <si>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</si>
  <si>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</si>
  <si>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</si>
  <si>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</si>
  <si>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</si>
  <si>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</si>
  <si>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</si>
  <si>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</si>
  <si>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</si>
  <si>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</si>
  <si>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</si>
  <si>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</si>
  <si>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</si>
  <si>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</si>
  <si>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</si>
  <si>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</si>
  <si>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</si>
  <si>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</si>
  <si>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</si>
  <si>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</si>
  <si>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</si>
  <si>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</si>
  <si>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</si>
  <si>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</si>
  <si>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</si>
  <si>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</si>
  <si>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</si>
  <si>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</si>
  <si>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</si>
  <si>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</si>
  <si>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</si>
  <si>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</si>
  <si>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</si>
  <si>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</si>
  <si>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</si>
  <si>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</si>
  <si>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</si>
  <si>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</si>
  <si>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</si>
  <si>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</si>
  <si>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</si>
  <si>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</si>
  <si>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</si>
  <si>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</si>
  <si>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</si>
  <si>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</si>
  <si>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</si>
  <si>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</si>
  <si>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</si>
  <si>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</si>
  <si>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</si>
  <si>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</si>
  <si>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</si>
  <si>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</si>
  <si>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</si>
  <si>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</si>
  <si>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</si>
  <si>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</si>
  <si>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</si>
  <si>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</si>
  <si>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</si>
  <si>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</si>
  <si>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</si>
  <si>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</si>
  <si>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</si>
  <si>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</si>
  <si>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</si>
  <si>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</si>
  <si>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</si>
  <si>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</si>
  <si>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</si>
  <si>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</si>
  <si>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</si>
  <si>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</si>
  <si>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</si>
  <si>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</si>
  <si>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</si>
  <si>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</si>
  <si>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</si>
  <si>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</si>
  <si>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</si>
  <si>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</si>
  <si>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</si>
  <si>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</si>
  <si>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</si>
  <si>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</si>
  <si>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</si>
  <si>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</si>
  <si>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</si>
  <si>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</si>
  <si>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</si>
  <si>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</si>
  <si>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</si>
  <si>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</si>
  <si>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</si>
  <si>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</si>
  <si>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</si>
  <si>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</si>
  <si>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</si>
  <si>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</si>
  <si>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</si>
  <si>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</si>
  <si>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</si>
  <si>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</si>
  <si>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</si>
  <si>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</si>
  <si>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</si>
  <si>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</si>
  <si>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</si>
  <si>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</si>
  <si>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</si>
  <si>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</si>
  <si>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</si>
  <si>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</si>
  <si>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</si>
  <si>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</si>
  <si>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</si>
  <si>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</si>
  <si>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</si>
  <si>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</si>
  <si>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</si>
  <si>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</si>
  <si>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</si>
  <si>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</si>
  <si>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</si>
  <si>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</si>
  <si>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</si>
  <si>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</si>
  <si>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</si>
  <si>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</si>
  <si>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</si>
  <si>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</si>
  <si>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</si>
  <si>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</si>
  <si>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</si>
  <si>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</si>
  <si>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</si>
  <si>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</si>
  <si>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</si>
  <si>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</si>
  <si>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</si>
  <si>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</si>
  <si>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</si>
  <si>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</si>
  <si>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</si>
  <si>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</si>
  <si>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</si>
  <si>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</si>
  <si>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</si>
  <si>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</si>
  <si>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</si>
  <si>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</si>
  <si>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</si>
  <si>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</si>
  <si>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</si>
  <si>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</si>
  <si>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</si>
  <si>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</si>
  <si>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</si>
  <si>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</si>
  <si>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</si>
  <si>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</si>
  <si>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</si>
  <si>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</si>
  <si>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</si>
  <si>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</si>
  <si>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</si>
  <si>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</si>
  <si>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</si>
  <si>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</si>
  <si>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</si>
  <si>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</si>
  <si>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</si>
  <si>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</si>
  <si>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</si>
  <si>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</si>
  <si>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</si>
  <si>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</si>
  <si>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</si>
  <si>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</si>
  <si>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</si>
  <si>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</si>
  <si>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</si>
  <si>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</si>
  <si>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</si>
  <si>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</si>
  <si>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</si>
  <si>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</si>
  <si>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</si>
  <si>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</si>
  <si>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</si>
  <si>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</si>
  <si>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</si>
  <si>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</si>
  <si>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</si>
  <si>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</si>
  <si>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</si>
  <si>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</si>
  <si>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</si>
  <si>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</si>
  <si>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</si>
  <si>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</si>
  <si>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</si>
  <si>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</si>
  <si>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</si>
  <si>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</si>
  <si>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</si>
  <si>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</si>
  <si>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</si>
  <si>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</si>
  <si>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</si>
  <si>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</si>
  <si>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</si>
  <si>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</si>
  <si>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</si>
  <si>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</si>
  <si>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</si>
  <si>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</si>
  <si>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</si>
  <si>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</si>
  <si>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</si>
  <si>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</si>
  <si>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</si>
  <si>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</si>
  <si>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</si>
  <si>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</si>
  <si>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</si>
  <si>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</si>
  <si>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</si>
  <si>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</si>
  <si>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</si>
  <si>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</si>
  <si>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</si>
  <si>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</si>
  <si>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</si>
  <si>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</si>
  <si>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</si>
  <si>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</si>
  <si>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</si>
  <si>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</si>
  <si>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</si>
  <si>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</si>
  <si>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</si>
  <si>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</si>
  <si>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</si>
  <si>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</si>
  <si>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</si>
  <si>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</si>
  <si>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</si>
  <si>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</si>
  <si>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</si>
  <si>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</si>
  <si>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</si>
  <si>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</si>
  <si>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</si>
  <si>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</si>
  <si>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</si>
  <si>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</si>
  <si>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</si>
  <si>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</si>
  <si>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</si>
  <si>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</si>
  <si>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</si>
  <si>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</si>
  <si>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</si>
  <si>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</si>
  <si>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</si>
  <si>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</si>
  <si>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</si>
  <si>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</si>
  <si>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</si>
  <si>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</si>
  <si>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</si>
  <si>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</si>
  <si>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</si>
  <si>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</si>
  <si>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</si>
  <si>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</si>
  <si>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</si>
  <si>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</si>
  <si>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</si>
  <si>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</si>
  <si>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</si>
  <si>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</si>
  <si>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</si>
  <si>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</si>
  <si>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</si>
  <si>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</si>
  <si>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</si>
  <si>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</si>
  <si>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</si>
  <si>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</si>
  <si>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</si>
  <si>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</si>
  <si>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</si>
  <si>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</si>
  <si>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</si>
  <si>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</si>
  <si>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</si>
  <si>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</si>
  <si>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</si>
  <si>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</si>
  <si>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</si>
  <si>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</si>
  <si>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</si>
  <si>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</si>
  <si>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</si>
  <si>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</si>
  <si>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</si>
  <si>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</si>
  <si>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</si>
  <si>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</si>
  <si>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</si>
  <si>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</si>
  <si>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</si>
  <si>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</si>
  <si>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</si>
  <si>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</si>
  <si>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</si>
  <si>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</si>
  <si>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</si>
  <si>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</si>
  <si>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</si>
  <si>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</si>
  <si>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</si>
  <si>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</si>
  <si>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</si>
  <si>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</si>
  <si>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</si>
  <si>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</si>
  <si>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</si>
  <si>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</si>
  <si>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</si>
  <si>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</si>
  <si>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</si>
  <si>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</si>
  <si>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</si>
  <si>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</si>
  <si>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</si>
  <si>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</si>
  <si>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</si>
  <si>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</si>
  <si>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</si>
  <si>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</si>
  <si>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</si>
  <si>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</si>
  <si>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</si>
  <si>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</si>
  <si>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</si>
  <si>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</si>
  <si>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</si>
  <si>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</si>
  <si>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</si>
  <si>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</si>
  <si>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</si>
  <si>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</si>
  <si>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</si>
  <si>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</si>
  <si>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</si>
  <si>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</si>
  <si>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</si>
  <si>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</si>
  <si>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</si>
  <si>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</si>
  <si>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</si>
  <si>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</si>
  <si>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</si>
  <si>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</si>
  <si>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</si>
  <si>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</si>
  <si>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</si>
  <si>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</si>
  <si>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</si>
  <si>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</si>
  <si>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</si>
  <si>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</si>
  <si>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</si>
  <si>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</si>
  <si>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</si>
  <si>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</si>
  <si>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</si>
  <si>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</si>
  <si>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</si>
  <si>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</si>
  <si>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</si>
  <si>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</si>
  <si>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</si>
  <si>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</si>
  <si>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</si>
  <si>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</si>
  <si>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</si>
  <si>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</si>
  <si>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</si>
  <si>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</si>
  <si>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</si>
  <si>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</si>
  <si>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</si>
  <si>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</si>
  <si>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</si>
  <si>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</si>
  <si>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</si>
  <si>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</si>
  <si>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</si>
  <si>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</si>
  <si>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</si>
  <si>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</si>
  <si>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</si>
  <si>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</si>
  <si>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</si>
  <si>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</si>
  <si>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</si>
  <si>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</si>
  <si>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</si>
  <si>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</si>
  <si>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</si>
  <si>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</si>
  <si>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</si>
  <si>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</si>
  <si>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</si>
  <si>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</si>
  <si>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</si>
  <si>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</si>
  <si>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</si>
  <si>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</si>
  <si>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</si>
  <si>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</si>
  <si>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</si>
  <si>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</si>
  <si>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</si>
  <si>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</si>
  <si>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</si>
  <si>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</si>
  <si>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</si>
  <si>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</si>
  <si>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</si>
  <si>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</si>
  <si>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</si>
  <si>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</si>
  <si>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</si>
  <si>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</si>
  <si>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</si>
  <si>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</si>
  <si>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</si>
  <si>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</si>
  <si>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</si>
  <si>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</si>
  <si>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</si>
  <si>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</si>
  <si>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</si>
  <si>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</si>
  <si>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</si>
  <si>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</si>
  <si>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</si>
  <si>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</si>
  <si>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</si>
  <si>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</si>
  <si>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</si>
  <si>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</si>
  <si>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</si>
  <si>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</si>
  <si>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</si>
  <si>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</si>
  <si>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</si>
  <si>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</si>
  <si>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</si>
  <si>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</si>
  <si>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</si>
  <si>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</si>
  <si>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</si>
  <si>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</si>
  <si>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</si>
  <si>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</si>
  <si>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</si>
  <si>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</si>
  <si>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</si>
  <si>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</si>
  <si>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</si>
  <si>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</si>
  <si>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</si>
  <si>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</si>
  <si>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</si>
  <si>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</si>
  <si>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</si>
  <si>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</si>
  <si>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</si>
  <si>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</si>
  <si>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</si>
  <si>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</si>
  <si>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</si>
  <si>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</si>
  <si>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</si>
  <si>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</si>
  <si>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</si>
  <si>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</si>
  <si>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</si>
  <si>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</si>
  <si>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</si>
  <si>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</si>
  <si>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</si>
  <si>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</si>
  <si>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</si>
  <si>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</si>
  <si>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</si>
  <si>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</si>
  <si>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</si>
  <si>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</si>
  <si>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</si>
  <si>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</si>
  <si>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</si>
  <si>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</si>
  <si>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</si>
  <si>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</si>
  <si>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</si>
  <si>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</si>
  <si>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</si>
  <si>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</si>
  <si>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</si>
  <si>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</si>
  <si>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</si>
  <si>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</si>
  <si>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</si>
  <si>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</si>
  <si>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</si>
  <si>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</si>
  <si>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</si>
  <si>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</si>
  <si>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</si>
  <si>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</si>
  <si>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</si>
  <si>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</si>
  <si>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</si>
  <si>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</si>
  <si>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</si>
  <si>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</si>
  <si>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</si>
  <si>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</si>
  <si>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</si>
  <si>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</si>
  <si>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</si>
  <si>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</si>
  <si>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</si>
  <si>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</si>
  <si>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</si>
  <si>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</si>
  <si>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</si>
  <si>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</si>
  <si>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</si>
  <si>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</si>
  <si>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</si>
  <si>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</si>
  <si>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</si>
  <si>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</si>
  <si>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</si>
  <si>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</si>
  <si>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</si>
  <si>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</si>
  <si>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</si>
  <si>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</si>
  <si>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</si>
  <si>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</si>
  <si>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</si>
  <si>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</si>
  <si>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</si>
  <si>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</si>
  <si>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</si>
  <si>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</si>
  <si>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</si>
  <si>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</si>
  <si>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</si>
  <si>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</si>
  <si>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</si>
  <si>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</si>
  <si>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</si>
  <si>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</si>
  <si>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</si>
  <si>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</si>
  <si>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</si>
  <si>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</si>
  <si>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</si>
  <si>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</si>
  <si>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</si>
  <si>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</si>
  <si>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</si>
  <si>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</si>
  <si>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</si>
  <si>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</si>
  <si>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</si>
  <si>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</si>
  <si>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</si>
  <si>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</si>
  <si>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</si>
  <si>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</si>
  <si>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</si>
  <si>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</si>
  <si>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</si>
  <si>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</si>
  <si>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</si>
  <si>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</si>
  <si>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</si>
  <si>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</si>
  <si>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</si>
  <si>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</si>
  <si>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</si>
  <si>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</si>
  <si>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</si>
  <si>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</si>
  <si>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</si>
  <si>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</si>
  <si>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</si>
  <si>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</si>
  <si>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</si>
  <si>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</si>
  <si>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</si>
  <si>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</si>
  <si>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</si>
  <si>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</si>
  <si>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</si>
  <si>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</si>
  <si>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</si>
  <si>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</si>
  <si>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</si>
  <si>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</si>
  <si>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</si>
  <si>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</si>
  <si>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</si>
  <si>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</si>
  <si>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</si>
  <si>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</si>
  <si>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</si>
  <si>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</si>
  <si>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</si>
  <si>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</si>
  <si>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</si>
  <si>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</si>
  <si>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</si>
  <si>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</si>
  <si>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</si>
  <si>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</si>
  <si>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</si>
  <si>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</si>
  <si>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</si>
  <si>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</si>
  <si>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</si>
  <si>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</si>
  <si>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</si>
  <si>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</si>
  <si>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</si>
  <si>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</si>
  <si>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</si>
  <si>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</si>
  <si>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</si>
  <si>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</si>
  <si>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</si>
  <si>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</si>
  <si>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</si>
  <si>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</si>
  <si>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</si>
  <si>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</si>
  <si>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</si>
  <si>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</si>
  <si>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</si>
  <si>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</si>
  <si>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</si>
  <si>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</si>
  <si>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</si>
  <si>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</si>
  <si>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</si>
  <si>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</si>
  <si>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</si>
  <si>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</si>
  <si>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</si>
  <si>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</si>
  <si>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</si>
  <si>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</si>
  <si>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</si>
  <si>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</si>
  <si>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</si>
  <si>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</si>
  <si>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</si>
  <si>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</si>
  <si>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</si>
  <si>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</si>
  <si>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</si>
  <si>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</si>
  <si>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</si>
  <si>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</si>
  <si>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</si>
  <si>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</si>
  <si>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</si>
  <si>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</si>
  <si>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</si>
  <si>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</si>
  <si>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</si>
  <si>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</si>
  <si>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</si>
  <si>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</si>
  <si>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</si>
  <si>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</si>
  <si>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</si>
  <si>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</si>
  <si>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</si>
  <si>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</si>
  <si>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</si>
  <si>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</si>
  <si>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</si>
  <si>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</si>
  <si>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</si>
  <si>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</si>
  <si>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</si>
  <si>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</si>
  <si>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</si>
  <si>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</si>
  <si>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</si>
  <si>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</si>
  <si>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</si>
  <si>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</si>
  <si>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</si>
  <si>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</si>
  <si>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</si>
  <si>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</si>
  <si>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</si>
  <si>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</si>
  <si>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</si>
  <si>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</si>
  <si>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</si>
  <si>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</si>
  <si>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</si>
  <si>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</si>
  <si>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</si>
  <si>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</si>
  <si>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</si>
  <si>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</si>
  <si>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</si>
  <si>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</si>
  <si>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</si>
  <si>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</si>
  <si>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</si>
  <si>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</si>
  <si>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</si>
  <si>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</si>
  <si>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</si>
  <si>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</si>
  <si>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</si>
  <si>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</si>
  <si>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</si>
  <si>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</si>
  <si>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</si>
  <si>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</si>
  <si>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</si>
  <si>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</si>
  <si>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</si>
  <si>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</si>
  <si>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</si>
  <si>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</si>
  <si>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</si>
  <si>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</si>
  <si>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</si>
  <si>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</si>
  <si>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</si>
  <si>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</si>
  <si>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</si>
  <si>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</si>
  <si>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</si>
  <si>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</si>
  <si>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</si>
  <si>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</si>
  <si>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</si>
  <si>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</si>
  <si>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</si>
  <si>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</si>
  <si>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</si>
  <si>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</si>
  <si>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</si>
  <si>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</si>
  <si>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</si>
  <si>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</si>
  <si>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</si>
  <si>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</si>
  <si>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</si>
  <si>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</si>
  <si>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</si>
  <si>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</si>
  <si>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</si>
  <si>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</si>
  <si>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</si>
  <si>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</si>
  <si>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</si>
  <si>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</si>
  <si>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</si>
  <si>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</si>
  <si>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</si>
  <si>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</si>
  <si>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</si>
  <si>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</si>
  <si>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</si>
  <si>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</si>
  <si>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</si>
  <si>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</si>
  <si>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</si>
  <si>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</si>
  <si>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</si>
  <si>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</si>
  <si>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</si>
  <si>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</si>
  <si>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</si>
  <si>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</si>
  <si>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</si>
  <si>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</si>
  <si>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</si>
  <si>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</si>
  <si>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</si>
  <si>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</si>
  <si>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</si>
  <si>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</si>
  <si>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</si>
  <si>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</si>
  <si>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</si>
  <si>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</si>
  <si>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</si>
  <si>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</si>
  <si>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</si>
  <si>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</si>
  <si>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</si>
  <si>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</si>
  <si>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</si>
  <si>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</si>
  <si>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</si>
  <si>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</si>
  <si>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</si>
  <si>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</si>
  <si>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</si>
  <si>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</si>
  <si>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</si>
  <si>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</si>
  <si>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</si>
  <si>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</si>
  <si>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</si>
  <si>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</si>
  <si>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</si>
  <si>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</si>
  <si>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</si>
  <si>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</si>
  <si>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</si>
  <si>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</si>
  <si>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</si>
  <si>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</si>
  <si>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</si>
  <si>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</si>
  <si>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</si>
  <si>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</si>
  <si>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</si>
  <si>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</si>
  <si>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</si>
  <si>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</si>
  <si>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</si>
  <si>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</si>
  <si>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</si>
  <si>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</si>
  <si>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</si>
  <si>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</si>
  <si>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</si>
  <si>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</si>
  <si>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</si>
  <si>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</si>
  <si>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</si>
  <si>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</si>
  <si>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</si>
  <si>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</si>
  <si>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</si>
  <si>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</si>
  <si>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</si>
  <si>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</si>
  <si>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</si>
  <si>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</si>
  <si>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</si>
  <si>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</si>
  <si>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</si>
  <si>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</si>
  <si>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</si>
  <si>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</si>
  <si>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</si>
  <si>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</si>
  <si>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</si>
  <si>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</si>
  <si>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</si>
  <si>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</si>
  <si>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</si>
  <si>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</si>
  <si>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</si>
  <si>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</si>
  <si>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</si>
  <si>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</si>
  <si>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</si>
  <si>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</si>
  <si>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</si>
  <si>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</si>
  <si>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</si>
  <si>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</si>
  <si>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</si>
  <si>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</si>
  <si>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</si>
  <si>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</si>
  <si>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</si>
  <si>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</si>
  <si>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</si>
  <si>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</si>
  <si>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</si>
  <si>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</si>
  <si>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</si>
  <si>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</si>
  <si>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</si>
  <si>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</si>
  <si>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</si>
  <si>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</si>
  <si>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</si>
  <si>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</si>
  <si>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</si>
  <si>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</si>
  <si>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</si>
  <si>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</si>
  <si>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</si>
  <si>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</si>
  <si>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</si>
  <si>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</si>
  <si>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</si>
  <si>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</si>
  <si>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</si>
  <si>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</si>
  <si>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</si>
  <si>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</si>
  <si>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</si>
  <si>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</si>
  <si>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</si>
  <si>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</si>
  <si>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</si>
  <si>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</si>
  <si>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</si>
  <si>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</si>
  <si>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</si>
  <si>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</si>
  <si>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</si>
  <si>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</si>
  <si>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</si>
  <si>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</si>
  <si>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</si>
  <si>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</si>
  <si>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</si>
  <si>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</si>
  <si>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</si>
  <si>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</si>
  <si>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</si>
  <si>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</si>
  <si>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</si>
  <si>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</si>
  <si>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</si>
  <si>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</si>
  <si>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</si>
  <si>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</si>
  <si>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</si>
  <si>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</si>
  <si>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</si>
  <si>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</si>
  <si>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</si>
  <si>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</si>
  <si>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</si>
  <si>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</si>
  <si>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</si>
  <si>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</si>
  <si>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</si>
  <si>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</si>
  <si>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</si>
  <si>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</si>
  <si>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</si>
  <si>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</si>
  <si>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</si>
  <si>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</si>
  <si>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</si>
  <si>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</si>
  <si>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</si>
  <si>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</si>
  <si>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</si>
  <si>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</si>
  <si>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</si>
  <si>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</si>
  <si>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</si>
  <si>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</si>
  <si>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</si>
  <si>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</si>
  <si>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</si>
  <si>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</si>
  <si>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</si>
  <si>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</si>
  <si>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</si>
  <si>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</si>
  <si>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</si>
  <si>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</si>
  <si>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</si>
  <si>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</si>
  <si>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</si>
  <si>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</si>
  <si>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</si>
  <si>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</si>
  <si>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</si>
  <si>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</si>
  <si>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</si>
  <si>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</si>
  <si>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</si>
  <si>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</si>
  <si>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</si>
  <si>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</si>
  <si>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</si>
  <si>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</si>
  <si>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</si>
  <si>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</si>
  <si>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</si>
  <si>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</si>
  <si>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</si>
  <si>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</si>
  <si>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</si>
  <si>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</si>
  <si>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</si>
  <si>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</si>
  <si>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</si>
  <si>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</si>
  <si>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</si>
  <si>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</si>
  <si>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</si>
  <si>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</si>
  <si>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</si>
  <si>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</si>
  <si>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</si>
  <si>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</si>
  <si>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</si>
  <si>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</si>
  <si>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</si>
  <si>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</si>
  <si>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</si>
  <si>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</si>
  <si>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</si>
  <si>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</si>
  <si>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</si>
  <si>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</si>
  <si>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</si>
  <si>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</si>
  <si>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</si>
  <si>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</si>
  <si>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</si>
  <si>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</si>
  <si>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</si>
  <si>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</si>
  <si>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</si>
  <si>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</si>
  <si>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</si>
  <si>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</si>
  <si>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</si>
  <si>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</si>
  <si>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</si>
  <si>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</si>
  <si>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</si>
  <si>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</si>
  <si>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</si>
  <si>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</si>
  <si>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</si>
  <si>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</si>
  <si>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</si>
  <si>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</si>
  <si>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</si>
  <si>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</si>
  <si>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</si>
  <si>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</si>
  <si>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</si>
  <si>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</si>
  <si>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</si>
  <si>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</si>
  <si>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</si>
  <si>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</si>
  <si>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</si>
  <si>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</si>
  <si>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</si>
  <si>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</si>
  <si>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</si>
  <si>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</si>
  <si>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</si>
  <si>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</si>
  <si>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</si>
  <si>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</si>
  <si>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</si>
  <si>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</si>
  <si>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</si>
  <si>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</si>
  <si>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</si>
  <si>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</si>
  <si>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</si>
  <si>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</si>
  <si>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</si>
  <si>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</si>
  <si>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</si>
  <si>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</si>
  <si>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</si>
  <si>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</si>
  <si>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</si>
  <si>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</si>
  <si>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</si>
  <si>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</si>
  <si>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</si>
  <si>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</si>
  <si>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</si>
  <si>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</si>
  <si>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</si>
  <si>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</si>
  <si>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</si>
  <si>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</si>
  <si>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</si>
  <si>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</si>
  <si>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</si>
  <si>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</si>
  <si>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</si>
  <si>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</si>
  <si>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</si>
  <si>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</si>
  <si>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</si>
  <si>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</si>
  <si>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</si>
  <si>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</si>
  <si>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</si>
  <si>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</si>
  <si>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</si>
  <si>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</si>
  <si>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</si>
  <si>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</si>
  <si>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</si>
  <si>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</si>
  <si>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</si>
  <si>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</si>
  <si>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</si>
  <si>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</si>
  <si>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</si>
  <si>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</si>
  <si>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</si>
  <si>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</si>
  <si>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</si>
  <si>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</si>
  <si>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</si>
  <si>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</si>
  <si>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</si>
  <si>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</si>
  <si>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</si>
  <si>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</si>
  <si>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</si>
  <si>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</si>
  <si>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</si>
  <si>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</si>
  <si>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</si>
  <si>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</si>
  <si>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</si>
  <si>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</si>
  <si>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</si>
  <si>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</si>
  <si>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</si>
  <si>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</si>
  <si>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</si>
  <si>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</si>
  <si>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</si>
  <si>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</si>
  <si>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</si>
  <si>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</si>
  <si>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</si>
  <si>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</si>
  <si>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</si>
  <si>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</si>
  <si>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</si>
  <si>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</si>
  <si>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</si>
  <si>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</si>
  <si>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</si>
  <si>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</si>
  <si>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</si>
  <si>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</si>
  <si>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</si>
  <si>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</si>
  <si>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</si>
  <si>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</si>
  <si>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</si>
  <si>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</si>
  <si>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</si>
  <si>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</si>
  <si>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</si>
  <si>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</si>
  <si>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</si>
  <si>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</si>
  <si>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</si>
  <si>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</si>
  <si>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</si>
  <si>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</si>
  <si>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</si>
  <si>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</si>
  <si>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</si>
  <si>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</si>
  <si>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</si>
  <si>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</si>
  <si>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</si>
  <si>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</si>
  <si>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</si>
  <si>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</si>
  <si>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</si>
  <si>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</si>
  <si>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</si>
  <si>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</si>
  <si>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</si>
  <si>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</si>
  <si>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</si>
  <si>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</si>
  <si>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</si>
  <si>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</si>
  <si>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</si>
  <si>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</si>
  <si>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</si>
  <si>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</si>
  <si>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</si>
  <si>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</si>
  <si>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</si>
  <si>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</si>
  <si>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</si>
  <si>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</si>
  <si>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</si>
  <si>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</si>
  <si>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</si>
  <si>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</si>
  <si>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</si>
  <si>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</si>
  <si>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</si>
  <si>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</si>
  <si>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</si>
  <si>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</si>
  <si>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</si>
  <si>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</si>
  <si>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</si>
  <si>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</si>
  <si>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</si>
  <si>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</si>
  <si>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</si>
  <si>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</si>
  <si>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</si>
  <si>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</si>
  <si>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</si>
  <si>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</si>
  <si>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</si>
  <si>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</si>
  <si>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</si>
  <si>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</si>
  <si>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</si>
  <si>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</si>
  <si>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</si>
  <si>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</si>
  <si>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</si>
  <si>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</si>
  <si>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</si>
  <si>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</si>
  <si>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</si>
  <si>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</si>
  <si>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</si>
  <si>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</si>
  <si>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</si>
  <si>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</si>
  <si>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</si>
  <si>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</si>
  <si>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</si>
  <si>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</si>
  <si>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</si>
  <si>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</si>
  <si>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</si>
  <si>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</si>
  <si>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</si>
  <si>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</si>
  <si>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</si>
  <si>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</si>
  <si>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</si>
  <si>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</si>
  <si>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</si>
  <si>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</si>
  <si>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</si>
  <si>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</si>
  <si>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</si>
  <si>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</si>
  <si>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</si>
  <si>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</si>
  <si>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</si>
  <si>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</si>
  <si>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</si>
  <si>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</si>
  <si>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</si>
  <si>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</si>
  <si>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</si>
  <si>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</si>
  <si>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</si>
  <si>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</si>
  <si>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</si>
  <si>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</si>
  <si>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</si>
  <si>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</si>
  <si>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</si>
  <si>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</si>
  <si>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</si>
  <si>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</si>
  <si>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</si>
  <si>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</si>
  <si>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</si>
  <si>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</si>
  <si>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</si>
  <si>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</si>
  <si>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</si>
  <si>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</si>
  <si>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</si>
  <si>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</si>
  <si>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</si>
  <si>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</si>
  <si>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</si>
  <si>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</si>
  <si>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</si>
  <si>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</si>
  <si>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</si>
  <si>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</si>
  <si>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</si>
  <si>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</si>
  <si>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</si>
  <si>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</si>
  <si>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</si>
  <si>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</si>
  <si>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</si>
  <si>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</si>
  <si>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</si>
  <si>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</si>
  <si>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</si>
  <si>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</si>
  <si>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</si>
  <si>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</si>
  <si>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</si>
  <si>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</si>
  <si>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</si>
  <si>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</si>
  <si>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</si>
  <si>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</si>
  <si>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</si>
  <si>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</si>
  <si>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</si>
  <si>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</si>
  <si>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</si>
  <si>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</si>
  <si>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</si>
  <si>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</si>
  <si>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</si>
  <si>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</si>
  <si>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</si>
  <si>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</si>
  <si>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</si>
  <si>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</si>
  <si>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</si>
  <si>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</si>
  <si>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</si>
  <si>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</si>
  <si>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</si>
  <si>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</si>
  <si>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</si>
  <si>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</si>
  <si>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</si>
  <si>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</si>
  <si>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</si>
  <si>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</si>
  <si>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</si>
  <si>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</si>
  <si>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</si>
  <si>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</si>
  <si>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</si>
  <si>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</si>
  <si>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</si>
  <si>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</si>
  <si>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</si>
  <si>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</si>
  <si>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</si>
  <si>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</si>
  <si>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</si>
  <si>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</si>
  <si>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</si>
  <si>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</si>
  <si>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</si>
  <si>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</si>
  <si>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</si>
  <si>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</si>
  <si>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</si>
  <si>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</si>
  <si>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</si>
  <si>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</si>
  <si>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</si>
  <si>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</si>
  <si>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</si>
  <si>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</si>
  <si>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</si>
  <si>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</si>
  <si>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</si>
  <si>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</si>
  <si>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</si>
  <si>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</si>
  <si>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</si>
  <si>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</si>
  <si>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</si>
  <si>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</si>
  <si>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</si>
  <si>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</si>
  <si>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</si>
  <si>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</si>
  <si>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</si>
  <si>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</si>
  <si>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</si>
  <si>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</si>
  <si>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</si>
  <si>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</si>
  <si>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</si>
  <si>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</si>
  <si>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</si>
  <si>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</si>
  <si>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</si>
  <si>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</si>
  <si>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</si>
  <si>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</si>
  <si>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</si>
  <si>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</si>
  <si>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</si>
  <si>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</si>
  <si>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</si>
  <si>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</si>
  <si>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</si>
  <si>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</si>
  <si>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</si>
  <si>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</si>
  <si>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</si>
  <si>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</si>
  <si>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</si>
  <si>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</si>
  <si>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</si>
  <si>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</si>
  <si>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</si>
  <si>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</si>
  <si>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</si>
  <si>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</si>
  <si>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</si>
  <si>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</si>
  <si>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</si>
  <si>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</si>
  <si>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</si>
  <si>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</si>
  <si>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</si>
  <si>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</si>
  <si>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</si>
  <si>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</si>
  <si>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</si>
  <si>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</si>
  <si>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</si>
  <si>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</si>
  <si>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</si>
  <si>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</si>
  <si>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</si>
  <si>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</si>
  <si>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</si>
  <si>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</si>
  <si>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</si>
  <si>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</si>
  <si>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</si>
  <si>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</si>
  <si>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</si>
  <si>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</si>
  <si>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</si>
  <si>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</si>
  <si>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</si>
  <si>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</si>
  <si>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</si>
  <si>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</si>
  <si>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</si>
  <si>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</si>
  <si>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</si>
  <si>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</si>
  <si>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</si>
  <si>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</si>
  <si>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</si>
  <si>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</si>
  <si>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</si>
  <si>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</si>
  <si>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</si>
  <si>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</si>
  <si>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</si>
  <si>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</si>
  <si>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</si>
  <si>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</si>
  <si>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</si>
  <si>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</si>
  <si>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</si>
  <si>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</si>
  <si>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</si>
  <si>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</si>
  <si>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</si>
  <si>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</si>
  <si>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</si>
  <si>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</si>
  <si>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</si>
  <si>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</si>
  <si>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</si>
  <si>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</si>
  <si>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</si>
  <si>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</si>
  <si>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</si>
  <si>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</si>
  <si>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</si>
  <si>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</si>
  <si>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</si>
  <si>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</si>
  <si>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</si>
  <si>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</si>
  <si>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</si>
  <si>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</si>
  <si>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</si>
  <si>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</si>
  <si>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</si>
  <si>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</si>
  <si>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</si>
  <si>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</si>
  <si>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</si>
  <si>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</si>
  <si>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</si>
  <si>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</si>
  <si>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</si>
  <si>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</si>
  <si>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</si>
  <si>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</si>
  <si>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</si>
  <si>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</si>
  <si>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</si>
  <si>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</si>
  <si>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</si>
  <si>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</si>
  <si>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</si>
  <si>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</si>
  <si>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</si>
  <si>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</si>
  <si>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</si>
  <si>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</si>
  <si>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</si>
  <si>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</si>
  <si>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</si>
  <si>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</si>
  <si>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</si>
  <si>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</si>
  <si>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</si>
  <si>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</si>
  <si>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</si>
  <si>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</si>
  <si>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</si>
  <si>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</si>
  <si>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</si>
  <si>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</si>
  <si>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</si>
  <si>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</si>
  <si>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</si>
  <si>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</si>
  <si>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</si>
  <si>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</si>
  <si>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</si>
  <si>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</si>
  <si>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</si>
  <si>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</si>
  <si>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</si>
  <si>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</si>
  <si>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</si>
  <si>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</si>
  <si>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</si>
  <si>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</si>
  <si>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</si>
  <si>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</si>
  <si>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</si>
  <si>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</si>
  <si>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</si>
  <si>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</si>
  <si>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</si>
  <si>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</si>
  <si>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</si>
  <si>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</si>
  <si>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</si>
  <si>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</si>
  <si>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</si>
  <si>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</si>
  <si>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</si>
  <si>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</si>
  <si>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</si>
  <si>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</si>
  <si>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</si>
  <si>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</si>
  <si>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</si>
  <si>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</si>
  <si>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</si>
  <si>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</si>
  <si>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</si>
  <si>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</si>
  <si>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</si>
  <si>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</si>
  <si>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</si>
  <si>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</si>
  <si>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</si>
  <si>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</si>
  <si>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</si>
  <si>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</si>
  <si>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</si>
  <si>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</si>
  <si>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</si>
  <si>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</si>
  <si>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</si>
  <si>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</si>
  <si>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</si>
  <si>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</si>
  <si>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</si>
  <si>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</si>
  <si>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</si>
  <si>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</si>
  <si>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</si>
  <si>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</si>
  <si>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</si>
  <si>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</si>
  <si>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</si>
  <si>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</si>
  <si>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</si>
  <si>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</si>
  <si>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</si>
  <si>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</si>
  <si>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</si>
  <si>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</si>
  <si>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</si>
  <si>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</si>
  <si>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</si>
  <si>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</si>
  <si>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</si>
  <si>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</si>
  <si>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</si>
  <si>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</si>
  <si>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</si>
  <si>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</si>
  <si>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</si>
  <si>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</si>
  <si>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</si>
  <si>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</si>
  <si>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</si>
  <si>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</si>
  <si>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</si>
  <si>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</si>
  <si>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</si>
  <si>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</si>
  <si>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</si>
  <si>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</si>
  <si>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</si>
  <si>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</si>
  <si>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</si>
  <si>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</si>
  <si>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</si>
  <si>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</si>
  <si>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</si>
  <si>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</si>
  <si>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</si>
  <si>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</si>
  <si>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</si>
  <si>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</si>
  <si>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</si>
  <si>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</si>
  <si>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</si>
  <si>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</si>
  <si>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</si>
  <si>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</si>
  <si>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</si>
  <si>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</si>
  <si>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</si>
  <si>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</si>
  <si>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</si>
  <si>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</si>
  <si>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</si>
  <si>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</si>
  <si>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</si>
  <si>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</si>
  <si>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</si>
  <si>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</si>
  <si>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</si>
  <si>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</si>
  <si>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</si>
  <si>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</si>
  <si>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</si>
  <si>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</si>
  <si>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</si>
  <si>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</si>
  <si>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</si>
  <si>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</si>
  <si>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</si>
  <si>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</si>
  <si>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</si>
  <si>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</si>
  <si>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</si>
  <si>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</si>
  <si>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</si>
  <si>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</si>
  <si>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</si>
  <si>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</si>
  <si>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</si>
  <si>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</si>
  <si>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</si>
  <si>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</si>
  <si>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</si>
  <si>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</si>
  <si>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</si>
  <si>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</si>
  <si>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</si>
  <si>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</si>
  <si>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</si>
  <si>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</si>
  <si>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</si>
  <si>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</si>
  <si>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</si>
  <si>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</si>
  <si>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</si>
  <si>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</si>
  <si>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</si>
  <si>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</si>
  <si>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</si>
  <si>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</si>
  <si>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</si>
  <si>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</si>
  <si>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</si>
  <si>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</si>
  <si>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</si>
  <si>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</si>
  <si>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</si>
  <si>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</si>
  <si>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</si>
  <si>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</si>
  <si>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</si>
  <si>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</si>
  <si>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</si>
  <si>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</si>
  <si>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</si>
  <si>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</si>
  <si>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</si>
  <si>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</si>
  <si>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</si>
  <si>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</si>
  <si>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</si>
  <si>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</si>
  <si>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</si>
  <si>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</si>
  <si>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</si>
  <si>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</si>
  <si>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</si>
  <si>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</si>
  <si>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</si>
  <si>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</si>
  <si>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</si>
  <si>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</si>
  <si>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</si>
  <si>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</si>
  <si>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</si>
  <si>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</si>
  <si>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</si>
  <si>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</si>
  <si>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</si>
  <si>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</si>
  <si>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</si>
  <si>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</si>
  <si>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</si>
  <si>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</si>
  <si>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</si>
  <si>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</si>
  <si>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</si>
  <si>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</si>
  <si>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</si>
  <si>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</si>
  <si>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</si>
  <si>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</si>
  <si>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</si>
  <si>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</si>
  <si>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</si>
  <si>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</si>
  <si>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</si>
  <si>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</si>
  <si>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</si>
  <si>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</si>
  <si>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</si>
  <si>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</si>
  <si>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</si>
  <si>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</si>
  <si>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</si>
  <si>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</si>
  <si>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</si>
  <si>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</si>
  <si>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</si>
  <si>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</si>
  <si>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</si>
  <si>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</si>
  <si>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</si>
  <si>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</si>
  <si>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</si>
  <si>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</si>
  <si>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</si>
  <si>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</si>
  <si>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</si>
  <si>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</si>
  <si>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</si>
  <si>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</si>
  <si>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</si>
  <si>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</si>
  <si>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</si>
  <si>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</si>
  <si>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</si>
  <si>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</si>
  <si>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</si>
  <si>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</si>
  <si>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</si>
  <si>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</si>
  <si>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</si>
  <si>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</si>
  <si>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</si>
  <si>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</si>
  <si>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</si>
  <si>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</si>
  <si>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</si>
  <si>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</si>
  <si>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</si>
  <si>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</si>
  <si>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</si>
  <si>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</si>
  <si>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</si>
  <si>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</si>
  <si>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</si>
  <si>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</si>
  <si>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</si>
  <si>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</si>
  <si>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</si>
  <si>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</si>
  <si>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</si>
  <si>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</si>
  <si>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</si>
  <si>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</si>
  <si>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</si>
  <si>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</si>
  <si>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</si>
  <si>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</si>
  <si>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</si>
  <si>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</si>
  <si>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</si>
  <si>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</si>
  <si>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</si>
  <si>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</si>
  <si>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</si>
  <si>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</si>
  <si>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</si>
  <si>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</si>
  <si>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</si>
  <si>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</si>
  <si>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</si>
  <si>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</si>
  <si>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</si>
  <si>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</si>
  <si>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</si>
  <si>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</si>
  <si>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</si>
  <si>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</si>
  <si>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</si>
  <si>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</si>
  <si>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</si>
  <si>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</si>
  <si>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</si>
  <si>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</si>
  <si>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</si>
  <si>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</si>
  <si>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</si>
  <si>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</si>
  <si>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</si>
  <si>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</si>
  <si>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</si>
  <si>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</si>
  <si>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</si>
  <si>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</si>
  <si>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</si>
  <si>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</si>
  <si>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</si>
  <si>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</si>
  <si>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</si>
  <si>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</si>
  <si>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</si>
  <si>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</si>
  <si>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</si>
  <si>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</si>
  <si>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</si>
  <si>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</si>
  <si>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</si>
  <si>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</si>
  <si>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</si>
  <si>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</si>
  <si>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</si>
  <si>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</si>
  <si>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</si>
  <si>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</si>
  <si>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</si>
  <si>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</si>
  <si>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</si>
  <si>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</si>
  <si>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</si>
  <si>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</si>
  <si>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</si>
  <si>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</si>
  <si>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</si>
  <si>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</si>
  <si>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</si>
  <si>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</si>
  <si>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</si>
  <si>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</si>
  <si>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</si>
  <si>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</si>
  <si>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</si>
  <si>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</si>
  <si>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</si>
  <si>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</si>
  <si>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</si>
  <si>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</si>
  <si>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</si>
  <si>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</si>
  <si>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</si>
  <si>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</si>
  <si>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</si>
  <si>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</si>
  <si>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</si>
  <si>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</si>
  <si>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</si>
  <si>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</si>
  <si>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</si>
  <si>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</si>
  <si>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</si>
  <si>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</si>
  <si>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</si>
  <si>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</si>
  <si>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</si>
  <si>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</si>
  <si>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</si>
  <si>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</si>
  <si>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</si>
  <si>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</si>
  <si>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</si>
  <si>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</si>
  <si>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</si>
  <si>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</si>
  <si>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</si>
  <si>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</si>
  <si>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</si>
  <si>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</si>
  <si>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</si>
  <si>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</si>
  <si>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</si>
  <si>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</si>
  <si>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</si>
  <si>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</si>
  <si>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</si>
  <si>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</si>
  <si>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</si>
  <si>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</si>
  <si>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</si>
  <si>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</si>
  <si>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</si>
  <si>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</si>
  <si>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</si>
  <si>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</si>
  <si>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</si>
  <si>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</si>
  <si>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</si>
  <si>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</si>
  <si>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</si>
  <si>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</si>
  <si>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</si>
  <si>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</si>
  <si>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</si>
  <si>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</si>
  <si>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</si>
  <si>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</si>
  <si>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</si>
  <si>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</si>
  <si>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</si>
  <si>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</si>
  <si>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</si>
  <si>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</si>
  <si>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</si>
  <si>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</si>
  <si>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</si>
  <si>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</si>
  <si>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</si>
  <si>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</si>
  <si>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</si>
  <si>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</si>
  <si>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</si>
  <si>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</si>
  <si>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</si>
  <si>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</si>
  <si>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</si>
  <si>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</si>
  <si>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</si>
  <si>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</si>
  <si>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</si>
  <si>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</si>
  <si>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</si>
  <si>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</si>
  <si>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</si>
  <si>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</si>
  <si>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</si>
  <si>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</si>
  <si>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</si>
  <si>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</si>
  <si>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</si>
  <si>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</si>
  <si>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</si>
  <si>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</si>
  <si>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</si>
  <si>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</si>
  <si>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</si>
  <si>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</si>
  <si>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</si>
  <si>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</si>
  <si>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</si>
  <si>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</si>
  <si>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</si>
  <si>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</si>
  <si>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</si>
  <si>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</si>
  <si>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</si>
  <si>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</si>
  <si>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</si>
  <si>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</si>
  <si>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</si>
  <si>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</si>
  <si>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</si>
  <si>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</si>
  <si>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</si>
  <si>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</si>
  <si>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</si>
  <si>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</si>
  <si>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</si>
  <si>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</si>
  <si>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</si>
  <si>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</si>
  <si>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</si>
  <si>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</si>
  <si>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</si>
  <si>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</si>
  <si>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</si>
  <si>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</si>
  <si>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</si>
  <si>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</si>
  <si>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</si>
  <si>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</si>
  <si>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</si>
  <si>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</si>
  <si>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</si>
  <si>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</si>
  <si>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</si>
  <si>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</si>
  <si>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</si>
  <si>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</si>
  <si>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</si>
  <si>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</si>
  <si>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</si>
  <si>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</si>
  <si>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</si>
  <si>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</si>
  <si>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</si>
  <si>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</si>
  <si>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</si>
  <si>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</si>
  <si>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</si>
  <si>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</si>
  <si>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</si>
  <si>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</si>
  <si>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</si>
  <si>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</si>
  <si>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</si>
  <si>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</si>
  <si>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</si>
  <si>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</si>
  <si>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</si>
  <si>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</si>
  <si>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</si>
  <si>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</si>
  <si>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</si>
  <si>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</si>
  <si>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</si>
  <si>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</si>
  <si>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</si>
  <si>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</si>
  <si>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</si>
  <si>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</si>
  <si>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</si>
  <si>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</si>
  <si>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</si>
  <si>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</si>
  <si>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</si>
  <si>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</si>
  <si>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</si>
  <si>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</si>
  <si>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</si>
  <si>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</si>
  <si>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</si>
  <si>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</si>
  <si>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</si>
  <si>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</si>
  <si>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</si>
  <si>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</si>
  <si>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</si>
  <si>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</si>
  <si>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</si>
  <si>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</si>
  <si>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</si>
  <si>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</si>
  <si>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</si>
  <si>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</si>
  <si>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</si>
  <si>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</si>
  <si>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</si>
  <si>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</si>
  <si>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</si>
  <si>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</si>
  <si>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</si>
  <si>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</si>
  <si>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</si>
  <si>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</si>
  <si>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</si>
  <si>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</si>
  <si>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</si>
  <si>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</si>
  <si>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</si>
  <si>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</si>
  <si>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</si>
  <si>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</si>
  <si>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</si>
  <si>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</si>
  <si>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</si>
  <si>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</si>
  <si>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</si>
  <si>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</si>
  <si>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</si>
  <si>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</si>
  <si>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</si>
  <si>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</si>
  <si>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</si>
  <si>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</si>
  <si>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</si>
  <si>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</si>
  <si>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</si>
  <si>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</si>
  <si>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</si>
  <si>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</si>
  <si>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</si>
  <si>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</si>
  <si>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</si>
  <si>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</si>
  <si>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</si>
  <si>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</si>
  <si>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</si>
  <si>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</si>
  <si>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</si>
  <si>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</si>
  <si>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</si>
  <si>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</si>
  <si>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</si>
  <si>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</si>
  <si>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</si>
  <si>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</si>
  <si>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</si>
  <si>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</si>
  <si>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</si>
  <si>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</si>
  <si>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</si>
  <si>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</si>
  <si>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</si>
  <si>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</si>
  <si>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</si>
  <si>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</si>
  <si>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</si>
  <si>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</si>
  <si>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</si>
  <si>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</si>
  <si>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</si>
  <si>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</si>
  <si>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</si>
  <si>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</si>
  <si>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</si>
  <si>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</si>
  <si>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</si>
  <si>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</si>
  <si>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</si>
  <si>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</si>
  <si>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</si>
  <si>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</si>
  <si>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</si>
  <si>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</si>
  <si>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</si>
  <si>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</si>
  <si>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</si>
  <si>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</si>
  <si>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</si>
  <si>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</si>
  <si>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</si>
  <si>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</si>
  <si>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</si>
  <si>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</si>
  <si>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</si>
  <si>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</si>
  <si>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</si>
  <si>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</si>
  <si>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</si>
  <si>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</si>
  <si>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</si>
  <si>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</si>
  <si>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</si>
  <si>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</si>
  <si>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</si>
  <si>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</si>
  <si>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</si>
  <si>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</si>
  <si>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</si>
  <si>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</si>
  <si>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</si>
  <si>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</si>
  <si>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</si>
  <si>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</si>
  <si>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</si>
  <si>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</si>
  <si>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</si>
  <si>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</si>
  <si>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</si>
  <si>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</si>
  <si>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</si>
  <si>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</si>
  <si>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</si>
  <si>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</si>
  <si>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</si>
  <si>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</si>
  <si>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</si>
  <si>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</si>
  <si>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</si>
  <si>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</si>
  <si>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</si>
  <si>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</si>
  <si>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</si>
  <si>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</si>
  <si>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</si>
  <si>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</si>
  <si>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</si>
  <si>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</si>
  <si>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</si>
  <si>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</si>
  <si>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</si>
  <si>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</si>
  <si>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</si>
  <si>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</si>
  <si>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</si>
  <si>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</si>
  <si>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</si>
  <si>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</si>
  <si>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</si>
  <si>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</si>
  <si>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</si>
  <si>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</si>
  <si>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</si>
  <si>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</si>
  <si>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</si>
  <si>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</si>
  <si>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</si>
  <si>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</si>
  <si>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</si>
  <si>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</si>
  <si>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</si>
  <si>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</si>
  <si>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</si>
  <si>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</si>
  <si>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</si>
  <si>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</si>
  <si>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</si>
  <si>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</si>
  <si>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</si>
  <si>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</si>
  <si>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</si>
  <si>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</si>
  <si>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</si>
  <si>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</si>
  <si>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</si>
  <si>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</si>
  <si>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</si>
  <si>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</si>
  <si>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</si>
  <si>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</si>
  <si>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</si>
  <si>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</si>
  <si>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</si>
  <si>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</si>
  <si>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</si>
  <si>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</si>
  <si>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</si>
  <si>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</si>
  <si>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</si>
  <si>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</si>
  <si>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</si>
  <si>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</si>
  <si>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</si>
  <si>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</si>
  <si>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</si>
  <si>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</si>
  <si>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</si>
  <si>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</si>
  <si>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</si>
  <si>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</si>
  <si>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</si>
  <si>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</si>
  <si>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</si>
  <si>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</si>
  <si>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</si>
  <si>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</si>
  <si>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</si>
  <si>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</si>
  <si>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</si>
  <si>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</si>
  <si>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</si>
  <si>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</si>
  <si>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</si>
  <si>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</si>
  <si>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</si>
  <si>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</si>
  <si>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</si>
  <si>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</si>
  <si>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</si>
  <si>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</si>
  <si>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</si>
  <si>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</si>
  <si>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</si>
  <si>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</si>
  <si>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</si>
  <si>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</si>
  <si>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</si>
  <si>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</si>
  <si>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</si>
  <si>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</si>
  <si>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</si>
  <si>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</si>
  <si>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</si>
  <si>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</si>
  <si>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</si>
  <si>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</si>
  <si>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</si>
  <si>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</si>
  <si>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</si>
  <si>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</si>
  <si>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</si>
  <si>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</si>
  <si>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</si>
  <si>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</si>
  <si>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</si>
  <si>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</si>
  <si>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</si>
  <si>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</si>
  <si>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</si>
  <si>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</si>
  <si>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</si>
  <si>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</si>
  <si>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</si>
  <si>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</si>
  <si>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</si>
  <si>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</si>
  <si>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</si>
  <si>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</si>
  <si>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</si>
  <si>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</si>
  <si>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</si>
  <si>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</si>
  <si>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</si>
  <si>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</si>
  <si>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</si>
  <si>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</si>
  <si>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</si>
  <si>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</si>
  <si>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</si>
  <si>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</si>
  <si>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</si>
  <si>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</si>
  <si>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</si>
  <si>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</si>
  <si>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</si>
  <si>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</si>
  <si>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</si>
  <si>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</si>
  <si>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</si>
  <si>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</si>
  <si>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</si>
  <si>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</si>
  <si>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</si>
  <si>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</si>
  <si>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</si>
  <si>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</si>
  <si>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</si>
  <si>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</si>
  <si>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</si>
  <si>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</si>
  <si>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</si>
  <si>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</si>
  <si>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</si>
  <si>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</si>
  <si>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</si>
  <si>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</si>
  <si>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</si>
  <si>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</si>
  <si>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</si>
  <si>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</si>
  <si>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</si>
  <si>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</si>
  <si>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</si>
  <si>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</si>
  <si>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</si>
  <si>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</si>
  <si>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</si>
  <si>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</si>
  <si>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</si>
  <si>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</si>
  <si>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</si>
  <si>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</si>
  <si>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</si>
  <si>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</si>
  <si>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</si>
  <si>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</si>
  <si>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</si>
  <si>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</si>
  <si>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</si>
  <si>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</si>
  <si>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</si>
  <si>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</si>
  <si>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</si>
  <si>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</si>
  <si>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</si>
  <si>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</si>
  <si>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</si>
  <si>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</si>
  <si>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</si>
  <si>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</si>
  <si>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</si>
  <si>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</si>
  <si>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</si>
  <si>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</si>
  <si>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</si>
  <si>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</si>
  <si>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</si>
  <si>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</si>
  <si>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</si>
  <si>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</si>
  <si>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</si>
  <si>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</si>
  <si>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</si>
  <si>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</si>
  <si>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</si>
  <si>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</si>
  <si>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</si>
  <si>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</si>
  <si>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</si>
  <si>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</si>
  <si>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</si>
  <si>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</si>
  <si>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</si>
  <si>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</si>
  <si>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</si>
  <si>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</si>
  <si>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</si>
  <si>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</si>
  <si>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</si>
  <si>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</si>
  <si>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</si>
  <si>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</si>
  <si>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</si>
  <si>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</si>
  <si>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</si>
  <si>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</si>
  <si>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</si>
  <si>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</si>
  <si>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</si>
  <si>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</si>
  <si>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</si>
  <si>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</si>
  <si>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</si>
  <si>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</si>
  <si>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</si>
  <si>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</si>
  <si>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</si>
  <si>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</si>
  <si>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</si>
  <si>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</si>
  <si>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</si>
  <si>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</si>
  <si>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</si>
  <si>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</si>
  <si>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</si>
  <si>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</si>
  <si>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</si>
  <si>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</si>
  <si>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</si>
  <si>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</si>
  <si>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</si>
  <si>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</si>
  <si>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</si>
  <si>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</si>
  <si>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</si>
  <si>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</si>
  <si>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</si>
  <si>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</si>
  <si>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</si>
  <si>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</si>
  <si>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</si>
  <si>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</si>
  <si>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</si>
  <si>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</si>
  <si>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</si>
  <si>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</si>
  <si>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</si>
  <si>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</si>
  <si>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</si>
  <si>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</si>
  <si>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</si>
  <si>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</si>
  <si>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</si>
  <si>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</si>
  <si>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</si>
  <si>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</si>
  <si>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</si>
  <si>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</si>
  <si>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</si>
  <si>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</si>
  <si>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</si>
  <si>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</si>
  <si>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</si>
  <si>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</si>
  <si>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</si>
  <si>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</si>
  <si>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</si>
  <si>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</si>
  <si>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</si>
  <si>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</si>
  <si>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</si>
  <si>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</si>
  <si>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</si>
  <si>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</si>
  <si>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</si>
  <si>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</si>
  <si>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</si>
  <si>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</si>
  <si>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</si>
  <si>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</si>
  <si>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</si>
  <si>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</si>
  <si>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</si>
  <si>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</si>
  <si>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</si>
  <si>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</si>
  <si>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</si>
  <si>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</si>
  <si>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</si>
  <si>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</si>
  <si>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</si>
  <si>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</si>
  <si>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</si>
  <si>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</si>
  <si>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</si>
  <si>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</si>
  <si>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</si>
  <si>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</si>
  <si>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</si>
  <si>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</si>
  <si>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</si>
  <si>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</si>
  <si>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</si>
  <si>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</si>
  <si>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</si>
  <si>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</si>
  <si>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</si>
  <si>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</si>
  <si>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</si>
  <si>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</si>
  <si>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</si>
  <si>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</si>
  <si>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</si>
  <si>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</si>
  <si>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</si>
  <si>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</si>
  <si>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</si>
  <si>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</si>
  <si>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</si>
  <si>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</si>
  <si>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</si>
  <si>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</si>
  <si>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</si>
  <si>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</si>
  <si>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</si>
  <si>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</si>
  <si>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</si>
  <si>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</si>
  <si>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</si>
  <si>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</si>
  <si>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</si>
  <si>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</si>
  <si>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</si>
  <si>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</si>
  <si>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</si>
  <si>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</si>
  <si>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</si>
  <si>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</si>
  <si>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</si>
  <si>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</si>
  <si>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</si>
  <si>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</si>
  <si>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</si>
  <si>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</si>
  <si>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</si>
  <si>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</si>
  <si>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</si>
  <si>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</si>
  <si>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</si>
  <si>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</si>
  <si>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</si>
  <si>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</si>
  <si>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</si>
  <si>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</si>
  <si>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</si>
  <si>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</si>
  <si>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</si>
  <si>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</si>
  <si>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</si>
  <si>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</si>
  <si>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</si>
  <si>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</si>
  <si>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</si>
  <si>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</si>
  <si>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</si>
  <si>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</si>
  <si>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</si>
  <si>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</si>
  <si>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</si>
  <si>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</si>
  <si>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</si>
  <si>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</si>
  <si>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</si>
  <si>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</si>
  <si>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</si>
  <si>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</si>
  <si>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</si>
  <si>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</si>
  <si>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</si>
  <si>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</si>
  <si>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</si>
  <si>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</si>
  <si>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</si>
  <si>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</si>
  <si>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</si>
  <si>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</si>
  <si>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</si>
  <si>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</si>
  <si>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</si>
  <si>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</si>
  <si>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</si>
  <si>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</si>
  <si>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</si>
  <si>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</si>
  <si>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</si>
  <si>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</si>
  <si>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</si>
  <si>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</si>
  <si>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</si>
  <si>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</si>
  <si>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</si>
  <si>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</si>
  <si>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</si>
  <si>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</si>
  <si>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</si>
  <si>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</si>
  <si>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</si>
  <si>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</si>
  <si>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</si>
  <si>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</si>
  <si>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</si>
  <si>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</si>
  <si>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</si>
  <si>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</si>
  <si>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</si>
  <si>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</si>
  <si>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</si>
  <si>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</si>
  <si>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</si>
  <si>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</si>
  <si>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</si>
  <si>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</si>
  <si>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</si>
  <si>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</si>
  <si>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</si>
  <si>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</si>
  <si>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</si>
  <si>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</si>
  <si>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</si>
  <si>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</si>
  <si>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</si>
  <si>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</si>
  <si>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</si>
  <si>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</si>
  <si>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</si>
  <si>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</si>
  <si>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</si>
  <si>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</si>
  <si>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</si>
  <si>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</si>
  <si>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</si>
  <si>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</si>
  <si>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</si>
  <si>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</si>
  <si>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</si>
  <si>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</si>
  <si>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</si>
  <si>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</si>
  <si>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</si>
  <si>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</si>
  <si>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</si>
  <si>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</si>
  <si>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</si>
  <si>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</si>
  <si>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</si>
  <si>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</si>
  <si>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</si>
  <si>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</si>
  <si>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</si>
  <si>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</si>
  <si>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</si>
  <si>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</si>
  <si>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</si>
  <si>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</si>
  <si>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</si>
  <si>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</si>
  <si>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</si>
  <si>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</si>
  <si>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</si>
  <si>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</si>
  <si>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</si>
  <si>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</si>
  <si>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</si>
  <si>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</si>
  <si>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</si>
  <si>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</si>
  <si>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</si>
  <si>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</si>
  <si>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</si>
  <si>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</si>
  <si>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</si>
  <si>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</si>
  <si>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</si>
  <si>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</si>
  <si>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</si>
  <si>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</si>
  <si>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</si>
  <si>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</si>
  <si>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</si>
  <si>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</si>
  <si>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</si>
  <si>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</si>
  <si>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</si>
  <si>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</si>
  <si>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</si>
  <si>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</si>
  <si>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</si>
  <si>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</si>
  <si>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</si>
  <si>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</si>
  <si>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</si>
  <si>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</si>
  <si>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</si>
  <si>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</si>
  <si>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</si>
  <si>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</si>
  <si>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</si>
  <si>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</si>
  <si>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</si>
  <si>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</si>
  <si>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</si>
  <si>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</si>
  <si>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</si>
  <si>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</si>
  <si>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</si>
  <si>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</si>
  <si>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</si>
  <si>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</si>
  <si>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</si>
  <si>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</si>
  <si>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</si>
  <si>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</si>
  <si>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</si>
  <si>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</si>
  <si>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</si>
  <si>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</si>
  <si>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</si>
  <si>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</si>
  <si>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</si>
  <si>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</si>
  <si>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</si>
  <si>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</si>
  <si>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</si>
  <si>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</si>
  <si>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</si>
  <si>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</si>
  <si>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</si>
  <si>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</si>
  <si>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</si>
  <si>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</si>
  <si>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</si>
  <si>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</si>
  <si>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</si>
  <si>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</si>
  <si>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</si>
  <si>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</si>
  <si>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</si>
  <si>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</si>
  <si>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</si>
  <si>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</si>
  <si>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</si>
  <si>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</si>
  <si>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</si>
  <si>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</si>
  <si>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</si>
  <si>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</si>
  <si>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</si>
  <si>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</si>
  <si>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</si>
  <si>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</si>
  <si>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</si>
  <si>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</si>
  <si>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</si>
  <si>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</si>
  <si>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</si>
  <si>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</si>
  <si>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</si>
  <si>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</si>
  <si>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</si>
  <si>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</si>
  <si>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</si>
  <si>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</si>
  <si>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</si>
  <si>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</si>
  <si>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</si>
  <si>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</si>
  <si>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</si>
  <si>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</si>
  <si>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</si>
  <si>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</si>
  <si>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</si>
  <si>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</si>
  <si>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</si>
  <si>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</si>
  <si>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</si>
  <si>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</si>
  <si>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</si>
  <si>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</si>
  <si>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</si>
  <si>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</si>
  <si>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</si>
  <si>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</si>
  <si>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</si>
  <si>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</si>
  <si>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</si>
  <si>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</si>
  <si>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</si>
  <si>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</si>
  <si>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</si>
  <si>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</si>
  <si>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</si>
  <si>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</si>
  <si>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</si>
  <si>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</si>
  <si>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</si>
  <si>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</si>
  <si>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</si>
  <si>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</si>
  <si>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</si>
  <si>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</si>
  <si>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</si>
  <si>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</si>
  <si>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</si>
  <si>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</si>
  <si>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</si>
  <si>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</si>
  <si>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</si>
  <si>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</si>
  <si>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</si>
  <si>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</si>
  <si>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</si>
  <si>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</si>
  <si>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</si>
  <si>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</si>
  <si>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</si>
  <si>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</si>
  <si>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</si>
  <si>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</si>
  <si>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</si>
  <si>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</si>
  <si>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</si>
  <si>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</si>
  <si>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</si>
  <si>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</si>
  <si>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</si>
  <si>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</si>
  <si>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</si>
  <si>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</si>
  <si>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</si>
  <si>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</si>
  <si>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</si>
  <si>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</si>
  <si>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</si>
  <si>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</si>
  <si>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</si>
  <si>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</si>
  <si>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</si>
  <si>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</si>
  <si>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</si>
  <si>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</si>
  <si>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</si>
  <si>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</si>
  <si>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</si>
  <si>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</si>
  <si>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</si>
  <si>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</si>
  <si>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</si>
  <si>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</si>
  <si>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</si>
  <si>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</si>
  <si>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</si>
  <si>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</si>
  <si>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</si>
  <si>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</si>
  <si>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</si>
  <si>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</si>
  <si>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</si>
  <si>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</si>
  <si>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</si>
  <si>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</si>
  <si>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</si>
  <si>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</si>
  <si>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</si>
  <si>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</si>
  <si>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</si>
  <si>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</si>
  <si>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</si>
  <si>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</si>
  <si>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</si>
  <si>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</si>
  <si>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</si>
  <si>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</si>
  <si>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</si>
  <si>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</si>
  <si>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</si>
  <si>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</si>
  <si>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</si>
  <si>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</si>
  <si>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</si>
  <si>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</si>
  <si>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</si>
  <si>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</si>
  <si>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</si>
  <si>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</si>
  <si>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</si>
  <si>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</si>
  <si>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</si>
  <si>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</si>
  <si>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</si>
  <si>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</si>
  <si>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</si>
  <si>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</si>
  <si>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</si>
  <si>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</si>
  <si>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</si>
  <si>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</si>
  <si>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</si>
  <si>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</si>
  <si>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</si>
  <si>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</si>
  <si>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</si>
  <si>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</si>
  <si>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</si>
  <si>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</si>
  <si>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</si>
  <si>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</si>
  <si>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</si>
  <si>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</si>
  <si>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</si>
  <si>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</si>
  <si>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</si>
  <si>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</si>
  <si>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</si>
  <si>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</si>
  <si>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</si>
  <si>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</si>
  <si>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</si>
  <si>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</si>
  <si>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</si>
  <si>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</si>
  <si>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</si>
  <si>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</si>
  <si>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</si>
  <si>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</si>
  <si>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</si>
  <si>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</si>
  <si>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</si>
  <si>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</si>
  <si>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</si>
  <si>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</si>
  <si>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</si>
  <si>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</si>
  <si>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</si>
  <si>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</si>
  <si>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</si>
  <si>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</si>
  <si>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</si>
  <si>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</si>
  <si>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</si>
  <si>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</si>
  <si>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</si>
  <si>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</si>
  <si>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</si>
  <si>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</si>
  <si>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</si>
  <si>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</si>
  <si>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</si>
  <si>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</si>
  <si>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</si>
  <si>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</si>
  <si>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</si>
  <si>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</si>
  <si>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</si>
  <si>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</si>
  <si>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</si>
  <si>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</si>
  <si>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</si>
  <si>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</si>
  <si>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</si>
  <si>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</si>
  <si>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</si>
  <si>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</si>
  <si>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</si>
  <si>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</si>
  <si>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</si>
  <si>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</si>
  <si>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</si>
  <si>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</si>
  <si>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</si>
  <si>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</si>
  <si>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</si>
  <si>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</si>
  <si>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</si>
  <si>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</si>
  <si>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</si>
  <si>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</si>
  <si>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</si>
  <si>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</si>
  <si>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</si>
  <si>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</si>
  <si>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</si>
  <si>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</si>
  <si>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</si>
  <si>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</si>
  <si>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</si>
  <si>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</si>
  <si>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</si>
  <si>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</si>
  <si>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</si>
  <si>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</si>
  <si>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</si>
  <si>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</si>
  <si>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</si>
  <si>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</si>
  <si>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</si>
  <si>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</si>
  <si>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</si>
  <si>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</si>
  <si>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</si>
  <si>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</si>
  <si>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</si>
  <si>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</si>
  <si>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</si>
  <si>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</si>
  <si>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</si>
  <si>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</si>
  <si>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</si>
  <si>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</si>
  <si>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</si>
  <si>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</si>
  <si>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</si>
  <si>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</si>
  <si>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</si>
  <si>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</si>
  <si>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</si>
  <si>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</si>
  <si>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</si>
  <si>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</si>
  <si>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</si>
  <si>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</si>
  <si>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</si>
  <si>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</si>
  <si>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</si>
  <si>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</si>
  <si>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</si>
  <si>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</si>
  <si>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</si>
  <si>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</si>
  <si>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</si>
  <si>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</si>
  <si>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</si>
  <si>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</si>
  <si>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</si>
  <si>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</si>
  <si>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</si>
  <si>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</si>
  <si>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</si>
  <si>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</si>
  <si>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</si>
  <si>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</si>
  <si>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</si>
  <si>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</si>
  <si>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</si>
  <si>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</si>
  <si>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</si>
  <si>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</si>
  <si>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</si>
  <si>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</si>
  <si>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</si>
  <si>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</si>
  <si>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</si>
  <si>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</si>
  <si>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</si>
  <si>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</si>
  <si>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</si>
  <si>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</si>
  <si>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</si>
  <si>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</si>
  <si>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</si>
  <si>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</si>
  <si>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</si>
  <si>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</si>
  <si>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</si>
  <si>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</si>
  <si>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</si>
  <si>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</si>
  <si>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</si>
  <si>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</si>
  <si>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</si>
  <si>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</si>
  <si>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</si>
  <si>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</si>
  <si>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</si>
  <si>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</si>
  <si>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</si>
  <si>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</si>
  <si>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</si>
  <si>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</si>
  <si>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</si>
  <si>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</si>
  <si>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</si>
  <si>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</si>
  <si>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</si>
  <si>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</si>
  <si>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</si>
  <si>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</si>
  <si>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</si>
  <si>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</si>
  <si>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</si>
  <si>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</si>
  <si>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</si>
  <si>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</si>
  <si>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</si>
  <si>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</si>
  <si>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</si>
  <si>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</si>
  <si>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</si>
  <si>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</si>
  <si>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</si>
  <si>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</si>
  <si>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</si>
  <si>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</si>
  <si>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</si>
  <si>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</si>
  <si>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</si>
  <si>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</si>
  <si>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</si>
  <si>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</si>
  <si>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</si>
  <si>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</si>
  <si>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</si>
  <si>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</si>
  <si>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</si>
  <si>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</si>
  <si>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</si>
  <si>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</si>
  <si>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</si>
  <si>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</si>
  <si>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</si>
  <si>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</si>
  <si>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</si>
  <si>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</si>
  <si>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</si>
  <si>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</si>
  <si>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</si>
  <si>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</si>
  <si>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</si>
  <si>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</si>
  <si>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</si>
  <si>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</si>
  <si>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</si>
  <si>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</si>
  <si>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</si>
  <si>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</si>
  <si>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</si>
  <si>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</si>
  <si>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</si>
  <si>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</si>
  <si>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</si>
  <si>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</si>
  <si>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</si>
  <si>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</si>
  <si>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</si>
  <si>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</si>
  <si>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</si>
  <si>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</si>
  <si>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</si>
  <si>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</si>
  <si>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</si>
  <si>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</si>
  <si>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</si>
  <si>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</si>
  <si>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</si>
  <si>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</si>
  <si>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</si>
  <si>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</si>
  <si>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</si>
  <si>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</si>
  <si>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</si>
  <si>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</si>
  <si>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</si>
  <si>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</si>
  <si>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</si>
  <si>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</si>
  <si>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</si>
  <si>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</si>
  <si>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</si>
  <si>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</si>
  <si>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</si>
  <si>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</si>
  <si>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</si>
  <si>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</si>
  <si>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</si>
  <si>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</si>
  <si>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</si>
  <si>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</si>
  <si>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</si>
  <si>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</si>
  <si>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</si>
  <si>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</si>
  <si>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</si>
  <si>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</si>
  <si>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</si>
  <si>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</si>
  <si>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</si>
  <si>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</si>
  <si>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</si>
  <si>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</si>
  <si>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</si>
  <si>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</si>
  <si>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</si>
  <si>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</si>
  <si>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</si>
  <si>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</si>
  <si>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</si>
  <si>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</si>
  <si>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</si>
  <si>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</si>
  <si>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</si>
  <si>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</si>
  <si>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</si>
  <si>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</si>
  <si>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</si>
  <si>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</si>
  <si>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</si>
  <si>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</si>
  <si>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</si>
  <si>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</si>
  <si>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</si>
  <si>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</si>
  <si>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</si>
  <si>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</si>
  <si>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</si>
  <si>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</si>
  <si>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</si>
  <si>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</si>
  <si>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</si>
  <si>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</si>
  <si>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</si>
  <si>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</si>
  <si>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</si>
  <si>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</si>
  <si>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</si>
  <si>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</si>
  <si>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</si>
  <si>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</si>
  <si>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</si>
  <si>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</si>
  <si>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</si>
  <si>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</si>
  <si>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</si>
  <si>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</si>
  <si>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</si>
  <si>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</si>
  <si>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</si>
  <si>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</si>
  <si>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</si>
  <si>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</si>
  <si>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</si>
  <si>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</si>
  <si>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</si>
  <si>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</si>
  <si>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</si>
  <si>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</si>
  <si>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</si>
  <si>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</si>
  <si>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</si>
  <si>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</si>
  <si>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</si>
  <si>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</si>
  <si>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</si>
  <si>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</si>
  <si>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</si>
  <si>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</si>
  <si>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</si>
  <si>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</si>
  <si>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</si>
  <si>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</si>
  <si>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</si>
  <si>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</si>
  <si>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</si>
  <si>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</si>
  <si>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</si>
  <si>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</si>
  <si>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</si>
  <si>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</si>
  <si>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</si>
  <si>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</si>
  <si>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</si>
  <si>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</si>
  <si>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</si>
  <si>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</si>
  <si>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</si>
  <si>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</si>
  <si>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</si>
  <si>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</si>
  <si>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</si>
  <si>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</si>
  <si>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</si>
  <si>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</si>
  <si>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</si>
  <si>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</si>
  <si>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</si>
  <si>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</si>
  <si>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</si>
  <si>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</si>
  <si>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</si>
  <si>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</si>
  <si>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</si>
  <si>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</si>
  <si>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</si>
  <si>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</si>
  <si>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</si>
  <si>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</si>
  <si>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</si>
  <si>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</si>
  <si>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</si>
  <si>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</si>
  <si>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</si>
  <si>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</si>
  <si>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</si>
  <si>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</si>
  <si>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</si>
  <si>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</si>
  <si>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</si>
  <si>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</si>
  <si>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</si>
  <si>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</si>
  <si>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</si>
  <si>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</si>
  <si>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</si>
  <si>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</si>
  <si>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</si>
  <si>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</si>
  <si>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</si>
  <si>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</si>
  <si>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</si>
  <si>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</si>
  <si>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</si>
  <si>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</si>
  <si>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</si>
  <si>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</si>
  <si>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</si>
  <si>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</si>
  <si>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</si>
  <si>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</si>
  <si>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</si>
  <si>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</si>
  <si>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</si>
  <si>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</si>
  <si>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</si>
  <si>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</si>
  <si>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</si>
  <si>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</si>
  <si>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</si>
  <si>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</si>
  <si>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</si>
  <si>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</si>
  <si>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</si>
  <si>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</si>
  <si>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</si>
  <si>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</si>
  <si>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</si>
  <si>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</si>
  <si>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</si>
  <si>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</si>
  <si>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</si>
  <si>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</si>
  <si>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</si>
  <si>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</si>
  <si>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</si>
  <si>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</si>
  <si>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</si>
  <si>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</si>
  <si>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</si>
  <si>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</si>
  <si>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</si>
  <si>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</si>
  <si>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</si>
  <si>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</si>
  <si>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</si>
  <si>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</si>
  <si>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</si>
  <si>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</si>
  <si>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</si>
  <si>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</si>
  <si>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</si>
  <si>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</si>
  <si>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</si>
  <si>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</si>
  <si>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</si>
  <si>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</si>
  <si>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</si>
  <si>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</si>
  <si>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</si>
  <si>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</si>
  <si>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</si>
  <si>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</si>
  <si>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</si>
  <si>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</si>
  <si>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</si>
  <si>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</si>
  <si>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</si>
  <si>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</si>
  <si>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</si>
  <si>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</si>
  <si>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</si>
  <si>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</si>
  <si>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</si>
  <si>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</si>
  <si>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</si>
  <si>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</si>
  <si>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</si>
  <si>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</si>
  <si>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</si>
  <si>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</si>
  <si>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</si>
  <si>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</si>
  <si>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</si>
  <si>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</si>
  <si>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</si>
  <si>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</si>
  <si>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</si>
  <si>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</si>
  <si>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</si>
  <si>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</si>
  <si>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</si>
  <si>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</si>
  <si>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</si>
  <si>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</si>
  <si>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</si>
  <si>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</si>
  <si>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</si>
  <si>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</si>
  <si>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</si>
  <si>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</si>
  <si>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</si>
  <si>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</si>
  <si>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</si>
  <si>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</si>
  <si>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</si>
  <si>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</si>
  <si>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</si>
  <si>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</si>
  <si>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</si>
  <si>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</si>
  <si>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</si>
  <si>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</si>
  <si>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</si>
  <si>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</si>
  <si>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</si>
  <si>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</si>
  <si>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</si>
  <si>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</si>
  <si>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</si>
  <si>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</si>
  <si>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</si>
  <si>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</si>
  <si>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</si>
  <si>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</si>
  <si>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</si>
  <si>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</si>
  <si>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</si>
  <si>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</si>
  <si>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</si>
  <si>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</si>
  <si>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</si>
  <si>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</si>
  <si>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</si>
  <si>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</si>
  <si>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</si>
  <si>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</si>
  <si>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</si>
  <si>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</si>
  <si>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</si>
  <si>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</si>
  <si>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</si>
  <si>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</si>
  <si>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</si>
  <si>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</si>
  <si>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</si>
  <si>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</si>
  <si>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</si>
  <si>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</si>
  <si>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</si>
  <si>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</si>
  <si>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</si>
  <si>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</si>
  <si>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</si>
  <si>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</si>
  <si>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</si>
  <si>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</si>
  <si>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</si>
  <si>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</si>
  <si>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</si>
  <si>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</si>
  <si>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</si>
  <si>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</si>
  <si>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</si>
  <si>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</si>
  <si>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</si>
  <si>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</si>
  <si>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</si>
  <si>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</si>
  <si>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</si>
  <si>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</si>
  <si>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</si>
  <si>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</si>
  <si>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</si>
  <si>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</si>
  <si>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</si>
  <si>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</si>
  <si>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</si>
  <si>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</si>
  <si>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</si>
  <si>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</si>
  <si>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</si>
  <si>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</si>
  <si>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</si>
  <si>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</si>
  <si>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</si>
  <si>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</si>
  <si>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</si>
  <si>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</si>
  <si>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</si>
  <si>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</si>
  <si>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</si>
  <si>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</si>
  <si>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</si>
  <si>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</si>
  <si>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</si>
  <si>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</si>
  <si>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</si>
  <si>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</si>
  <si>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</si>
  <si>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</si>
  <si>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</si>
  <si>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</si>
  <si>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</si>
  <si>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</si>
  <si>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</si>
  <si>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</si>
  <si>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</si>
  <si>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</si>
  <si>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</si>
  <si>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</si>
  <si>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</si>
  <si>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</si>
  <si>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</si>
  <si>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</si>
  <si>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</si>
  <si>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</si>
  <si>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</si>
  <si>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</si>
  <si>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</si>
  <si>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</si>
  <si>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</si>
  <si>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</si>
  <si>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</si>
  <si>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</si>
  <si>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</si>
  <si>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</si>
  <si>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</si>
  <si>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</si>
  <si>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</si>
  <si>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</si>
  <si>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</si>
  <si>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</si>
  <si>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</si>
  <si>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</si>
  <si>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</si>
  <si>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</si>
  <si>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</si>
  <si>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</si>
  <si>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</si>
  <si>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</si>
  <si>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</si>
  <si>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</si>
  <si>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</si>
  <si>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</si>
  <si>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</si>
  <si>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</si>
  <si>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</si>
  <si>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</si>
  <si>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</si>
  <si>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</si>
  <si>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</si>
  <si>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</si>
  <si>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</si>
  <si>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</si>
  <si>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</si>
  <si>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</si>
  <si>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</si>
  <si>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</si>
  <si>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</si>
  <si>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</si>
  <si>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</si>
  <si>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</si>
  <si>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</si>
  <si>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</si>
  <si>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</si>
  <si>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</si>
  <si>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</si>
  <si>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</si>
  <si>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</si>
  <si>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</si>
  <si>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</si>
  <si>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</si>
  <si>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</si>
  <si>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</si>
  <si>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</si>
  <si>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</si>
  <si>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</si>
  <si>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</si>
  <si>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</si>
  <si>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</si>
  <si>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</si>
  <si>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</si>
  <si>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</si>
  <si>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</si>
  <si>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</si>
  <si>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</si>
  <si>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</si>
  <si>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</si>
  <si>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</si>
  <si>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</si>
  <si>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</si>
  <si>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</si>
  <si>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</si>
  <si>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</si>
  <si>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</si>
  <si>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</si>
  <si>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</si>
  <si>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</si>
  <si>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</si>
  <si>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</si>
  <si>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</si>
  <si>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</si>
  <si>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</si>
  <si>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</si>
  <si>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</si>
  <si>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</si>
  <si>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</si>
  <si>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</si>
  <si>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</si>
  <si>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</si>
  <si>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</si>
  <si>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</si>
  <si>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</si>
  <si>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</si>
  <si>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</si>
  <si>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</si>
  <si>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</si>
  <si>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</si>
  <si>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</si>
  <si>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</si>
  <si>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</si>
  <si>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</si>
  <si>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</si>
  <si>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</si>
  <si>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</si>
  <si>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</si>
  <si>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</si>
  <si>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</si>
  <si>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</si>
  <si>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</si>
  <si>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</si>
  <si>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</si>
  <si>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</si>
  <si>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</si>
  <si>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</si>
  <si>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</si>
  <si>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</si>
  <si>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</si>
  <si>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</si>
  <si>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</si>
  <si>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</si>
  <si>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</si>
  <si>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</si>
  <si>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</si>
  <si>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</si>
  <si>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</si>
  <si>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</si>
  <si>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</si>
  <si>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</si>
  <si>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</si>
  <si>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</si>
  <si>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</si>
  <si>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</si>
  <si>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</si>
  <si>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</si>
  <si>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</si>
  <si>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</si>
  <si>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</si>
  <si>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</si>
  <si>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</si>
  <si>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</si>
  <si>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</si>
  <si>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</si>
  <si>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</si>
  <si>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</si>
  <si>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</si>
  <si>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</si>
  <si>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</si>
  <si>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</si>
  <si>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</si>
  <si>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</si>
  <si>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</si>
  <si>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</si>
  <si>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</si>
  <si>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</si>
  <si>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</si>
  <si>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</si>
  <si>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</si>
  <si>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</si>
  <si>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</si>
  <si>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</si>
  <si>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</si>
  <si>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</si>
  <si>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</si>
  <si>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</si>
  <si>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</si>
  <si>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</si>
  <si>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</si>
  <si>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</si>
  <si>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</si>
  <si>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</si>
  <si>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</si>
  <si>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</si>
  <si>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</si>
  <si>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</si>
  <si>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</si>
  <si>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</si>
  <si>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</si>
  <si>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</si>
  <si>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</si>
  <si>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</si>
  <si>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</si>
  <si>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</si>
  <si>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</si>
  <si>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</si>
  <si>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</si>
  <si>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</si>
  <si>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</si>
  <si>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</si>
  <si>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</si>
  <si>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</si>
  <si>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</si>
  <si>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</si>
  <si>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</si>
  <si>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</si>
  <si>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</si>
  <si>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</si>
  <si>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</si>
  <si>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</si>
  <si>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</si>
  <si>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</si>
  <si>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</si>
  <si>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</si>
  <si>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</si>
  <si>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</si>
  <si>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</si>
  <si>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</si>
  <si>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</si>
  <si>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</si>
  <si>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</si>
  <si>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</si>
  <si>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</si>
  <si>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</si>
  <si>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</si>
  <si>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</si>
  <si>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</si>
  <si>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</si>
  <si>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</si>
  <si>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</si>
  <si>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</si>
  <si>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</si>
  <si>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</si>
  <si>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</si>
  <si>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</si>
  <si>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</si>
  <si>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</si>
  <si>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</si>
  <si>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</si>
  <si>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</si>
  <si>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</si>
  <si>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</si>
  <si>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</si>
  <si>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</si>
  <si>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</si>
  <si>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</si>
  <si>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</si>
  <si>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</si>
  <si>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</si>
  <si>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</si>
  <si>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</si>
  <si>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</si>
  <si>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</si>
  <si>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</si>
  <si>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</si>
  <si>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</si>
  <si>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</si>
  <si>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</si>
  <si>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</si>
  <si>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</si>
  <si>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</si>
  <si>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</si>
  <si>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</si>
  <si>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</si>
  <si>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</si>
  <si>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</si>
  <si>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</si>
  <si>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</si>
  <si>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</si>
  <si>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</si>
  <si>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</si>
  <si>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</si>
  <si>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</si>
  <si>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</si>
  <si>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</si>
  <si>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</si>
  <si>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</si>
  <si>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</si>
  <si>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</si>
  <si>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</si>
  <si>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</si>
  <si>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</si>
  <si>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</si>
  <si>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</si>
  <si>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</si>
  <si>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</si>
  <si>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</si>
  <si>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</si>
  <si>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</si>
  <si>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</si>
  <si>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</si>
  <si>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</si>
  <si>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</si>
  <si>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</si>
  <si>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</si>
  <si>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</si>
  <si>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</si>
  <si>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</si>
  <si>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</si>
  <si>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</si>
  <si>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</si>
  <si>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</si>
  <si>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</si>
  <si>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</si>
  <si>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</si>
  <si>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</si>
  <si>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</si>
  <si>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</si>
  <si>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</si>
  <si>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</si>
  <si>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</si>
  <si>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</si>
  <si>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</si>
  <si>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</si>
  <si>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</si>
  <si>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</si>
  <si>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</si>
  <si>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</si>
  <si>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</si>
  <si>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</si>
  <si>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</si>
  <si>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</si>
  <si>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</si>
  <si>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</si>
  <si>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</si>
  <si>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</si>
  <si>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</si>
  <si>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</si>
  <si>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</si>
  <si>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</si>
  <si>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</si>
  <si>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</si>
  <si>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</si>
  <si>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</si>
  <si>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</si>
  <si>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</si>
  <si>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</si>
  <si>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</si>
  <si>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</si>
  <si>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</si>
  <si>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</si>
  <si>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</si>
  <si>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</si>
  <si>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</si>
  <si>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</si>
  <si>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</si>
  <si>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</si>
  <si>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</si>
  <si>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</si>
  <si>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</si>
  <si>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</si>
  <si>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</si>
  <si>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</si>
  <si>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</si>
  <si>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</si>
  <si>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</si>
  <si>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</si>
  <si>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</si>
  <si>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</si>
  <si>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</si>
  <si>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</si>
  <si>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</si>
  <si>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</si>
  <si>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</si>
  <si>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</si>
  <si>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</si>
  <si>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</si>
  <si>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</si>
  <si>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</si>
  <si>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</si>
  <si>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</si>
  <si>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</si>
  <si>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</si>
  <si>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</si>
  <si>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</si>
  <si>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</si>
  <si>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</si>
  <si>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</si>
  <si>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</si>
  <si>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</si>
  <si>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</si>
  <si>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</si>
  <si>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</si>
  <si>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</si>
  <si>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</si>
  <si>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</si>
  <si>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</si>
  <si>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</si>
  <si>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</si>
  <si>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</si>
  <si>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</si>
  <si>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</si>
  <si>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</si>
  <si>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</si>
  <si>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</si>
  <si>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</si>
  <si>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</si>
  <si>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</si>
  <si>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</si>
  <si>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</si>
  <si>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</si>
  <si>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</si>
  <si>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</si>
  <si>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</si>
  <si>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</si>
  <si>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</si>
  <si>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</si>
  <si>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</si>
  <si>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</si>
  <si>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</si>
  <si>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</si>
  <si>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</si>
  <si>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</si>
  <si>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</si>
  <si>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</si>
  <si>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</si>
  <si>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</si>
  <si>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</si>
  <si>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</si>
  <si>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</si>
  <si>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</si>
  <si>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</si>
  <si>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</si>
  <si>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</si>
  <si>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</si>
  <si>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</si>
  <si>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</si>
  <si>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</si>
  <si>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</si>
  <si>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</si>
  <si>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</si>
  <si>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</si>
  <si>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</si>
  <si>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</si>
  <si>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</si>
  <si>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</si>
  <si>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</si>
  <si>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</si>
  <si>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</si>
  <si>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</si>
  <si>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</si>
  <si>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</si>
  <si>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</si>
  <si>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</si>
  <si>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</si>
  <si>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</si>
  <si>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</si>
  <si>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</si>
  <si>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</si>
  <si>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</si>
  <si>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</si>
  <si>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</si>
  <si>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</si>
  <si>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</si>
  <si>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</si>
  <si>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</si>
  <si>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</si>
  <si>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</si>
  <si>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</si>
  <si>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</si>
  <si>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</si>
  <si>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</si>
  <si>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</si>
  <si>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</si>
  <si>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</si>
  <si>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</si>
  <si>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</si>
  <si>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</si>
  <si>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</si>
  <si>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</si>
  <si>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</si>
  <si>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</si>
  <si>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</si>
  <si>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</si>
  <si>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</si>
  <si>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</si>
  <si>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</si>
  <si>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</si>
  <si>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</si>
  <si>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</si>
  <si>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</si>
  <si>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</si>
  <si>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</si>
  <si>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</si>
  <si>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</si>
  <si>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</si>
  <si>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</si>
  <si>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</si>
  <si>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</si>
  <si>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</si>
  <si>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</si>
  <si>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</si>
  <si>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</si>
  <si>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</si>
  <si>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</si>
  <si>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</si>
  <si>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</si>
  <si>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</si>
  <si>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</si>
  <si>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</si>
  <si>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</si>
  <si>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</si>
  <si>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</si>
  <si>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</si>
  <si>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</si>
  <si>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</si>
  <si>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</si>
  <si>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</si>
  <si>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</si>
  <si>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</si>
  <si>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</si>
  <si>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</si>
  <si>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</si>
  <si>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</si>
  <si>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</si>
  <si>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</si>
  <si>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</si>
  <si>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</si>
  <si>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</si>
  <si>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</si>
  <si>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</si>
  <si>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</si>
  <si>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</si>
  <si>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</si>
  <si>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</si>
  <si>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</si>
  <si>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</si>
  <si>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</si>
  <si>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</si>
  <si>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</si>
  <si>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</si>
  <si>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</si>
  <si>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</si>
  <si>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</si>
  <si>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</si>
  <si>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</si>
  <si>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</si>
  <si>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</si>
  <si>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</si>
  <si>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</si>
  <si>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</si>
  <si>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</si>
  <si>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</si>
  <si>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</si>
  <si>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</si>
  <si>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</si>
  <si>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</si>
  <si>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</si>
  <si>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</si>
  <si>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</si>
  <si>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</si>
  <si>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</si>
  <si>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</si>
  <si>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</si>
  <si>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</si>
  <si>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</si>
  <si>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</si>
  <si>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</si>
  <si>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</si>
  <si>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</si>
  <si>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</si>
  <si>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</si>
  <si>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</si>
  <si>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</si>
  <si>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</si>
  <si>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</si>
  <si>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</si>
  <si>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</si>
  <si>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</si>
  <si>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</si>
  <si>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</si>
  <si>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</si>
  <si>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</si>
  <si>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</si>
  <si>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</si>
  <si>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</si>
  <si>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</si>
  <si>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</si>
  <si>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</si>
  <si>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</si>
  <si>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</si>
  <si>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</si>
  <si>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</si>
  <si>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</si>
  <si>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</si>
  <si>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</si>
  <si>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</si>
  <si>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</si>
  <si>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</si>
  <si>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</si>
  <si>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</si>
  <si>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</si>
  <si>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</si>
  <si>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</si>
  <si>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</si>
  <si>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</si>
  <si>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</si>
  <si>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</si>
  <si>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</si>
  <si>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</si>
  <si>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</si>
  <si>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</si>
  <si>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</si>
  <si>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</si>
  <si>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</si>
  <si>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</si>
  <si>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</si>
  <si>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</si>
  <si>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</si>
  <si>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</si>
  <si>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</si>
  <si>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</si>
  <si>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</si>
  <si>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</si>
  <si>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</si>
  <si>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</si>
  <si>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</si>
  <si>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</si>
  <si>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</si>
  <si>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</si>
  <si>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</si>
  <si>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</si>
  <si>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</si>
  <si>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</si>
  <si>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</si>
  <si>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</si>
  <si>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</si>
  <si>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</si>
  <si>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</si>
  <si>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</si>
  <si>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</si>
  <si>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</si>
  <si>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</si>
  <si>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</si>
  <si>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</si>
  <si>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</si>
  <si>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</si>
  <si>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</si>
  <si>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</si>
  <si>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</si>
  <si>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</si>
  <si>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</si>
  <si>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</si>
  <si>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</si>
  <si>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</si>
  <si>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</si>
  <si>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</si>
  <si>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</si>
  <si>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</si>
  <si>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</si>
  <si>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</si>
  <si>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</si>
  <si>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</si>
  <si>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</si>
  <si>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</si>
  <si>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</si>
  <si>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</si>
  <si>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</si>
  <si>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</si>
  <si>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</si>
  <si>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</si>
  <si>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</si>
  <si>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</si>
  <si>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</si>
  <si>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</si>
  <si>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</si>
  <si>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</si>
  <si>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</si>
  <si>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</si>
  <si>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</si>
  <si>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</si>
  <si>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</si>
  <si>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</si>
  <si>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</si>
  <si>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</si>
  <si>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</si>
  <si>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</si>
  <si>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</si>
  <si>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</si>
  <si>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</si>
  <si>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</si>
  <si>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</si>
  <si>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</si>
  <si>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</si>
  <si>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</si>
  <si>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</si>
  <si>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</si>
  <si>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</si>
  <si>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</si>
  <si>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</si>
  <si>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</si>
  <si>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</si>
  <si>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</si>
  <si>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</si>
  <si>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</si>
  <si>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</si>
  <si>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</si>
  <si>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</si>
  <si>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</si>
  <si>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</si>
  <si>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</si>
  <si>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</si>
  <si>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</si>
  <si>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</si>
  <si>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</si>
  <si>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</si>
  <si>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</si>
  <si>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</si>
  <si>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</si>
  <si>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</si>
  <si>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</si>
  <si>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</si>
  <si>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</si>
  <si>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</si>
  <si>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</si>
  <si>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</si>
  <si>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</si>
  <si>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</si>
  <si>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</si>
  <si>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</si>
  <si>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</si>
  <si>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</si>
  <si>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</si>
  <si>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</si>
  <si>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</si>
  <si>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</si>
  <si>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</si>
  <si>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</si>
  <si>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</si>
  <si>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</si>
  <si>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</si>
  <si>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</si>
  <si>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</si>
  <si>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</si>
  <si>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</si>
  <si>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</si>
  <si>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</si>
  <si>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</si>
  <si>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</si>
  <si>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</si>
  <si>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</si>
  <si>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</si>
  <si>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</si>
  <si>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</si>
  <si>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</si>
  <si>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</si>
  <si>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</si>
  <si>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</si>
  <si>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</si>
  <si>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</si>
  <si>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</si>
  <si>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</si>
  <si>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</si>
  <si>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</si>
  <si>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</si>
  <si>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</si>
  <si>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</si>
  <si>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</si>
  <si>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</si>
  <si>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</si>
  <si>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</si>
  <si>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</si>
  <si>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</si>
  <si>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</si>
  <si>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</si>
  <si>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</si>
  <si>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</si>
  <si>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</si>
  <si>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</si>
  <si>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</si>
  <si>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</si>
  <si>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</si>
  <si>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</si>
  <si>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</si>
  <si>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</si>
  <si>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</si>
  <si>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</si>
  <si>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</si>
  <si>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</si>
  <si>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</si>
  <si>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</si>
  <si>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</si>
  <si>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</si>
  <si>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</si>
  <si>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</si>
  <si>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</si>
  <si>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</si>
  <si>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</si>
  <si>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</si>
  <si>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</si>
  <si>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</si>
  <si>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</si>
  <si>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</si>
  <si>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</si>
  <si>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</si>
  <si>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</si>
  <si>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</si>
  <si>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</si>
  <si>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</si>
  <si>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</si>
  <si>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</si>
  <si>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</si>
  <si>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</si>
  <si>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</si>
  <si>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</si>
  <si>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</si>
  <si>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</si>
  <si>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</si>
  <si>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</si>
  <si>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</si>
  <si>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</si>
  <si>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</si>
  <si>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</si>
  <si>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</si>
  <si>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</si>
  <si>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</si>
  <si>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</si>
  <si>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</si>
  <si>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</si>
  <si>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</si>
  <si>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</si>
  <si>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</si>
  <si>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</si>
  <si>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</si>
  <si>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</si>
  <si>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</si>
  <si>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</si>
  <si>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</si>
  <si>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</si>
  <si>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</si>
  <si>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</si>
  <si>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</si>
  <si>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</si>
  <si>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</si>
  <si>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</si>
  <si>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</si>
  <si>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</si>
  <si>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</si>
  <si>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</si>
  <si>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</si>
  <si>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</si>
  <si>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</si>
  <si>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</si>
  <si>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</si>
  <si>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</si>
  <si>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</si>
  <si>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</si>
  <si>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</si>
  <si>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</si>
  <si>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</si>
  <si>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</si>
  <si>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</si>
  <si>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</si>
  <si>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</si>
  <si>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</si>
  <si>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</si>
  <si>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</si>
  <si>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</si>
  <si>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</si>
  <si>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</si>
  <si>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</si>
  <si>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</si>
  <si>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</si>
  <si>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</si>
  <si>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</si>
  <si>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</si>
  <si>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</si>
  <si>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</si>
  <si>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</si>
  <si>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</si>
  <si>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</si>
  <si>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</si>
  <si>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</si>
  <si>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</si>
  <si>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</si>
  <si>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</si>
  <si>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</si>
  <si>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</si>
  <si>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</si>
  <si>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</si>
  <si>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</si>
  <si>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</si>
  <si>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</si>
  <si>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</si>
  <si>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</si>
  <si>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</si>
  <si>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</si>
  <si>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</si>
  <si>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</si>
  <si>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</si>
  <si>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</si>
  <si>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</si>
  <si>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</si>
  <si>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</si>
  <si>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</si>
  <si>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</si>
  <si>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</si>
  <si>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</si>
  <si>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</si>
  <si>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</si>
  <si>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</si>
  <si>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</si>
  <si>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</si>
  <si>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</si>
  <si>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</si>
  <si>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</si>
  <si>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</si>
  <si>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</si>
  <si>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</si>
  <si>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</si>
  <si>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</si>
  <si>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</si>
  <si>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</si>
  <si>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</si>
  <si>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</si>
  <si>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</si>
  <si>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</si>
  <si>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</si>
  <si>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</si>
  <si>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</si>
  <si>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</si>
  <si>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</si>
  <si>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</si>
  <si>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</si>
  <si>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</si>
  <si>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</si>
  <si>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</si>
  <si>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</si>
  <si>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</si>
  <si>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</si>
  <si>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</si>
  <si>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</si>
  <si>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</si>
  <si>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</si>
  <si>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</si>
  <si>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</si>
  <si>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</si>
  <si>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</si>
  <si>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</si>
  <si>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</si>
  <si>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</si>
  <si>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</si>
  <si>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</si>
  <si>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</si>
  <si>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</si>
  <si>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</si>
  <si>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</si>
  <si>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</si>
  <si>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</si>
  <si>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</si>
  <si>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</si>
  <si>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</si>
  <si>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</si>
  <si>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</si>
  <si>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</si>
  <si>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</si>
  <si>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</si>
  <si>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</si>
  <si>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</si>
  <si>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</si>
  <si>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</si>
  <si>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</si>
  <si>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</si>
  <si>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</si>
  <si>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</si>
  <si>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</si>
  <si>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</si>
  <si>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</si>
  <si>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</si>
  <si>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</si>
  <si>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</si>
  <si>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</si>
  <si>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</si>
  <si>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</si>
  <si>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</si>
  <si>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</si>
  <si>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</si>
  <si>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</si>
  <si>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</si>
  <si>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</si>
  <si>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</si>
  <si>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</si>
  <si>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</si>
  <si>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</si>
  <si>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</si>
  <si>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</si>
  <si>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</si>
  <si>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</si>
  <si>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</si>
  <si>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</si>
  <si>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</si>
  <si>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</si>
  <si>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</si>
  <si>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</si>
  <si>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</si>
  <si>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</si>
  <si>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</si>
  <si>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</si>
  <si>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</si>
  <si>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</si>
  <si>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</si>
  <si>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</si>
  <si>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</si>
  <si>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</si>
  <si>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</si>
  <si>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</si>
  <si>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</si>
  <si>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</si>
  <si>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</si>
  <si>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</si>
  <si>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</si>
  <si>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</si>
  <si>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</si>
  <si>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</si>
  <si>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</si>
  <si>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</si>
  <si>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</si>
  <si>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</si>
  <si>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</si>
  <si>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</si>
  <si>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</si>
  <si>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</si>
  <si>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</si>
  <si>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</si>
  <si>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</si>
  <si>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</si>
  <si>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</si>
  <si>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</si>
  <si>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</si>
  <si>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</si>
  <si>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</si>
  <si>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</si>
  <si>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</si>
  <si>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</si>
  <si>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</si>
  <si>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</si>
  <si>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</si>
  <si>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</si>
  <si>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</si>
  <si>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</si>
  <si>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</si>
  <si>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</si>
  <si>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</si>
  <si>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</si>
  <si>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</si>
  <si>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</si>
  <si>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</si>
  <si>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</si>
  <si>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</si>
  <si>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</si>
  <si>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</si>
  <si>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</si>
  <si>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</si>
  <si>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</si>
  <si>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</si>
  <si>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</si>
  <si>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</si>
  <si>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</si>
  <si>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</si>
  <si>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</si>
  <si>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</si>
  <si>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</si>
  <si>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</si>
  <si>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</si>
  <si>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</si>
  <si>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</si>
  <si>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</si>
  <si>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</si>
  <si>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</si>
  <si>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</si>
  <si>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</si>
  <si>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</si>
  <si>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</si>
  <si>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</si>
  <si>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</si>
  <si>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</si>
  <si>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</si>
  <si>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</si>
  <si>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</si>
  <si>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</si>
  <si>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</si>
  <si>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</si>
  <si>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</si>
  <si>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</si>
  <si>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</si>
  <si>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</si>
  <si>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</si>
  <si>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</si>
  <si>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</si>
  <si>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</si>
  <si>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</si>
  <si>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</si>
  <si>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</si>
  <si>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</si>
  <si>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</si>
  <si>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</si>
  <si>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</si>
  <si>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</si>
  <si>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</si>
  <si>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</si>
  <si>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</si>
  <si>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</si>
  <si>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</si>
  <si>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</si>
  <si>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</si>
  <si>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</si>
  <si>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</si>
  <si>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</si>
  <si>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</si>
  <si>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</si>
  <si>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</si>
  <si>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</si>
  <si>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</si>
  <si>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</si>
  <si>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</si>
  <si>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</si>
  <si>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</si>
  <si>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</si>
  <si>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</si>
  <si>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</si>
  <si>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</si>
  <si>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</si>
  <si>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</si>
  <si>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</si>
  <si>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</si>
  <si>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</si>
  <si>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</si>
  <si>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</si>
  <si>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</si>
  <si>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</si>
  <si>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</si>
  <si>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</si>
  <si>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</si>
  <si>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</si>
  <si>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</si>
  <si>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</si>
  <si>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</si>
  <si>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</si>
  <si>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</si>
  <si>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</si>
  <si>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</si>
  <si>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</si>
  <si>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</si>
  <si>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</si>
  <si>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</si>
  <si>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</si>
  <si>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</si>
  <si>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</si>
  <si>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</si>
  <si>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</si>
  <si>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</si>
  <si>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</si>
  <si>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</si>
  <si>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</si>
  <si>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</si>
  <si>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</si>
  <si>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</si>
  <si>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</si>
  <si>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</si>
  <si>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</si>
  <si>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</si>
  <si>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</si>
  <si>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</si>
  <si>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</si>
  <si>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</si>
  <si>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</si>
  <si>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</si>
  <si>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</si>
  <si>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</si>
  <si>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</si>
  <si>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</si>
  <si>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</si>
  <si>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</si>
  <si>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</si>
  <si>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</si>
  <si>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</si>
  <si>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</si>
  <si>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</si>
  <si>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</si>
  <si>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</si>
  <si>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</si>
  <si>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</si>
  <si>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</si>
  <si>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</si>
  <si>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</si>
  <si>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</si>
  <si>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</si>
  <si>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</si>
  <si>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</si>
  <si>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</si>
  <si>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</si>
  <si>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</si>
  <si>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</si>
  <si>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</si>
  <si>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</si>
  <si>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</si>
  <si>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</si>
  <si>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</si>
  <si>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</si>
  <si>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</si>
  <si>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</si>
  <si>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</si>
  <si>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</si>
  <si>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</si>
  <si>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</si>
  <si>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</si>
  <si>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</si>
  <si>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</si>
  <si>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</si>
  <si>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</si>
  <si>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</si>
  <si>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</si>
  <si>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</si>
  <si>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</si>
  <si>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</si>
  <si>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</si>
  <si>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</si>
  <si>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</si>
  <si>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</si>
  <si>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</si>
  <si>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</si>
  <si>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</si>
  <si>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</si>
  <si>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</si>
  <si>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</si>
  <si>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</si>
  <si>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</si>
  <si>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</si>
  <si>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</si>
  <si>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</si>
  <si>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</si>
  <si>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</si>
  <si>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</si>
  <si>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</si>
  <si>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</si>
  <si>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</si>
  <si>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</si>
  <si>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</si>
  <si>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</si>
  <si>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</si>
  <si>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</si>
  <si>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</si>
  <si>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</si>
  <si>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</si>
  <si>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</si>
  <si>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</si>
  <si>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</si>
  <si>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</si>
  <si>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</si>
  <si>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</si>
  <si>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</si>
  <si>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</si>
  <si>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</si>
  <si>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</si>
  <si>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</si>
  <si>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</si>
  <si>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</si>
  <si>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</si>
  <si>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</si>
  <si>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</si>
  <si>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</si>
  <si>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</si>
  <si>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</si>
  <si>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</si>
  <si>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</si>
  <si>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</si>
  <si>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</si>
  <si>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</si>
  <si>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</si>
  <si>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</si>
  <si>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</si>
  <si>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</si>
  <si>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</si>
  <si>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</si>
  <si>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</si>
  <si>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</si>
  <si>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</si>
  <si>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</si>
  <si>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</si>
  <si>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</si>
  <si>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</si>
  <si>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</si>
  <si>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</si>
  <si>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</si>
  <si>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</si>
  <si>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</si>
  <si>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</si>
  <si>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</si>
  <si>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</si>
  <si>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</si>
  <si>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</si>
  <si>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</si>
  <si>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</si>
  <si>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</si>
  <si>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</si>
  <si>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</si>
  <si>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</si>
  <si>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</si>
  <si>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</si>
  <si>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</si>
  <si>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</si>
  <si>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</si>
  <si>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</si>
  <si>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</si>
  <si>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</si>
  <si>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</si>
  <si>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</si>
  <si>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</si>
  <si>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</si>
  <si>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</si>
  <si>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</si>
  <si>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</si>
  <si>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</si>
  <si>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</si>
  <si>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</si>
  <si>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</si>
  <si>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</si>
  <si>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</si>
  <si>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</si>
  <si>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</si>
  <si>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</si>
  <si>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</si>
  <si>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</si>
  <si>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</si>
  <si>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</si>
  <si>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</si>
  <si>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</si>
  <si>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</si>
  <si>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</si>
  <si>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</si>
  <si>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</si>
  <si>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</si>
  <si>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</si>
  <si>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</si>
  <si>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</si>
  <si>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</si>
  <si>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</si>
  <si>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</si>
  <si>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</si>
  <si>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</si>
  <si>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</si>
  <si>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</si>
  <si>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</si>
  <si>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</si>
  <si>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</si>
  <si>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</si>
  <si>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</si>
  <si>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</si>
  <si>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</si>
  <si>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</si>
  <si>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</si>
  <si>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</si>
  <si>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</si>
  <si>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</si>
  <si>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</si>
  <si>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</si>
  <si>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</si>
  <si>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</si>
  <si>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</si>
  <si>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</si>
  <si>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</si>
  <si>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</si>
  <si>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</si>
  <si>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</si>
  <si>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</si>
  <si>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</si>
  <si>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</si>
  <si>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</si>
  <si>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</si>
  <si>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</si>
  <si>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</si>
  <si>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</si>
  <si>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</si>
  <si>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</si>
  <si>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</si>
  <si>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</si>
  <si>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</si>
  <si>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</si>
  <si>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</si>
  <si>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</si>
  <si>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</si>
  <si>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</si>
  <si>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</si>
  <si>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</si>
  <si>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</si>
  <si>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</si>
  <si>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</si>
  <si>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</si>
  <si>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</si>
  <si>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</si>
  <si>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</si>
  <si>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</si>
  <si>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</si>
  <si>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</si>
  <si>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</si>
  <si>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</si>
  <si>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</si>
  <si>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</si>
  <si>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</si>
  <si>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</si>
  <si>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</si>
  <si>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</si>
  <si>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</si>
  <si>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</si>
  <si>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</si>
  <si>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</si>
  <si>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</si>
  <si>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</si>
  <si>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</si>
  <si>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</si>
  <si>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</si>
  <si>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</si>
  <si>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</si>
  <si>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</si>
  <si>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</si>
  <si>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</si>
  <si>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</si>
  <si>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</si>
  <si>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</si>
  <si>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</si>
  <si>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</si>
  <si>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</si>
  <si>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</si>
  <si>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</si>
  <si>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</si>
  <si>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</si>
  <si>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</si>
  <si>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</si>
  <si>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</si>
  <si>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</si>
  <si>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</si>
  <si>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</si>
  <si>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</si>
  <si>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</si>
  <si>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</si>
  <si>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</si>
  <si>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</si>
  <si>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</si>
  <si>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</si>
  <si>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</si>
  <si>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</si>
  <si>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</si>
  <si>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</si>
  <si>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</si>
  <si>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</si>
  <si>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</si>
  <si>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</si>
  <si>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</si>
  <si>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</si>
  <si>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</si>
  <si>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</si>
  <si>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</si>
  <si>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</si>
  <si>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</si>
  <si>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</si>
  <si>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</si>
  <si>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</si>
  <si>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</si>
  <si>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</si>
  <si>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</si>
  <si>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</si>
  <si>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</si>
  <si>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</si>
  <si>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</si>
  <si>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</si>
  <si>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</si>
  <si>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</si>
  <si>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</si>
  <si>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</si>
  <si>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</si>
  <si>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</si>
  <si>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</si>
  <si>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</si>
  <si>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</si>
  <si>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</si>
  <si>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</si>
  <si>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</si>
  <si>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</si>
  <si>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</si>
  <si>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</si>
  <si>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</si>
  <si>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</si>
  <si>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</si>
  <si>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</si>
  <si>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</si>
  <si>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</si>
  <si>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</si>
  <si>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</si>
  <si>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</si>
  <si>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</si>
  <si>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</si>
  <si>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</si>
  <si>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</si>
  <si>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</si>
  <si>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</si>
  <si>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</si>
  <si>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</si>
  <si>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</si>
  <si>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</si>
  <si>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</si>
  <si>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</si>
  <si>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</si>
  <si>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</si>
  <si>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</si>
  <si>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</si>
  <si>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</si>
  <si>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</si>
  <si>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</si>
  <si>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</si>
  <si>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</si>
  <si>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</si>
  <si>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</si>
  <si>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</si>
  <si>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</si>
  <si>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</si>
  <si>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</si>
  <si>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</si>
  <si>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</si>
  <si>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</si>
  <si>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</si>
  <si>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</si>
  <si>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</si>
  <si>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</si>
  <si>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</si>
  <si>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</si>
  <si>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</si>
  <si>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</si>
  <si>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</si>
  <si>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</si>
  <si>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</si>
  <si>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</si>
  <si>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</si>
  <si>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</si>
  <si>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</si>
  <si>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</si>
  <si>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</si>
  <si>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</si>
  <si>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</si>
  <si>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</si>
  <si>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</si>
  <si>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</si>
  <si>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</si>
  <si>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</si>
  <si>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</si>
  <si>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</si>
  <si>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</si>
  <si>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</si>
  <si>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</si>
  <si>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</si>
  <si>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</si>
  <si>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</si>
  <si>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</si>
  <si>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</si>
  <si>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</si>
  <si>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</si>
  <si>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</si>
  <si>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</si>
  <si>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</si>
  <si>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</si>
  <si>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</si>
  <si>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</si>
  <si>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</si>
  <si>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</si>
  <si>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</si>
  <si>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</si>
  <si>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</si>
  <si>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</si>
  <si>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</si>
  <si>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</si>
  <si>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</si>
  <si>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</si>
  <si>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</si>
  <si>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</si>
  <si>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</si>
  <si>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</si>
  <si>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</si>
  <si>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</si>
  <si>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</si>
  <si>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</si>
  <si>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</si>
  <si>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</si>
  <si>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</si>
  <si>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</si>
  <si>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</si>
  <si>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</si>
  <si>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</si>
  <si>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</si>
  <si>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</si>
  <si>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</si>
  <si>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</si>
  <si>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</si>
  <si>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</si>
  <si>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</si>
  <si>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</si>
  <si>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</si>
  <si>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</si>
  <si>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</si>
  <si>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</si>
  <si>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</si>
  <si>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</si>
  <si>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</si>
  <si>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</si>
  <si>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</si>
  <si>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</si>
  <si>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</si>
  <si>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</si>
  <si>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</si>
  <si>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</si>
  <si>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</si>
  <si>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</si>
  <si>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</si>
  <si>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</si>
  <si>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</si>
  <si>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</si>
  <si>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</si>
  <si>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</si>
  <si>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</si>
  <si>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</si>
  <si>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</si>
  <si>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</si>
  <si>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</si>
  <si>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</si>
  <si>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</si>
  <si>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</si>
  <si>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</si>
  <si>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</si>
  <si>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</si>
  <si>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</si>
  <si>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</si>
  <si>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</si>
  <si>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</si>
  <si>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</si>
  <si>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</si>
  <si>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</si>
  <si>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</si>
  <si>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</si>
  <si>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</si>
  <si>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</si>
  <si>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</si>
  <si>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</si>
  <si>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</si>
  <si>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</si>
  <si>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</si>
  <si>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</si>
  <si>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</si>
  <si>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</si>
  <si>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</si>
  <si>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</si>
  <si>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</si>
  <si>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</si>
  <si>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</si>
  <si>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</si>
  <si>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</si>
  <si>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</si>
  <si>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</si>
  <si>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</si>
  <si>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</si>
  <si>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</si>
  <si>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</si>
  <si>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</si>
  <si>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</si>
  <si>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</si>
  <si>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</si>
  <si>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</si>
  <si>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</si>
  <si>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</si>
  <si>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</si>
  <si>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</si>
  <si>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</si>
  <si>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</si>
  <si>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</si>
  <si>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</si>
  <si>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</si>
  <si>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</si>
  <si>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</si>
  <si>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</si>
  <si>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</si>
  <si>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</si>
  <si>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</si>
  <si>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</si>
  <si>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</si>
  <si>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</si>
  <si>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</si>
  <si>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</si>
  <si>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</si>
  <si>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</si>
  <si>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</si>
  <si>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</si>
  <si>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</si>
  <si>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</si>
  <si>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</si>
  <si>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</si>
  <si>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</si>
  <si>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</si>
  <si>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</si>
  <si>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</si>
  <si>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</si>
  <si>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</si>
  <si>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</si>
  <si>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</si>
  <si>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</si>
  <si>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</si>
  <si>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</si>
  <si>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</si>
  <si>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</si>
  <si>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</si>
  <si>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</si>
  <si>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</si>
  <si>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</si>
  <si>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</si>
  <si>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</si>
  <si>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</si>
  <si>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</si>
  <si>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</si>
  <si>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</si>
  <si>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</si>
  <si>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</si>
  <si>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</si>
  <si>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</si>
  <si>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</si>
  <si>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</si>
  <si>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</si>
  <si>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</si>
  <si>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</si>
  <si>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</si>
  <si>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</si>
  <si>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</si>
  <si>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</si>
  <si>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</si>
  <si>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</si>
  <si>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</si>
  <si>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</si>
  <si>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</si>
  <si>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</si>
  <si>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</si>
  <si>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</si>
  <si>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</si>
  <si>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</si>
  <si>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</si>
  <si>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</si>
  <si>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</si>
  <si>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</si>
  <si>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</si>
  <si>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</si>
  <si>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</si>
  <si>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</si>
  <si>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</si>
  <si>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</si>
  <si>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</si>
  <si>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</si>
  <si>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</si>
  <si>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</si>
  <si>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</si>
  <si>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</si>
  <si>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</si>
  <si>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</si>
  <si>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</si>
  <si>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</si>
  <si>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</si>
  <si>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</si>
  <si>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</si>
  <si>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</si>
  <si>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</si>
  <si>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</si>
  <si>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</si>
  <si>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</si>
  <si>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</si>
  <si>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</si>
  <si>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</si>
  <si>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</si>
  <si>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</si>
  <si>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</si>
  <si>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</si>
  <si>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</si>
  <si>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</si>
  <si>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</si>
  <si>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</si>
  <si>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</si>
  <si>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</si>
  <si>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</si>
  <si>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</si>
  <si>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</si>
  <si>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</si>
  <si>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</si>
  <si>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</si>
  <si>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</si>
  <si>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</si>
  <si>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</si>
  <si>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</si>
  <si>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</si>
  <si>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</si>
  <si>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</si>
  <si>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</si>
  <si>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</si>
  <si>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</si>
  <si>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</si>
  <si>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</si>
  <si>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</si>
  <si>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</si>
  <si>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</si>
  <si>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</si>
  <si>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</si>
  <si>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</si>
  <si>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</si>
  <si>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</si>
  <si>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</si>
  <si>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</si>
  <si>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</si>
  <si>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</si>
  <si>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</si>
  <si>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</si>
  <si>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</si>
  <si>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</si>
  <si>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</si>
  <si>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</si>
  <si>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</si>
  <si>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</si>
  <si>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</si>
  <si>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</si>
  <si>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</si>
  <si>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</si>
  <si>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</si>
  <si>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</si>
  <si>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</si>
  <si>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</si>
  <si>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</si>
  <si>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</si>
  <si>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</si>
  <si>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</si>
  <si>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</si>
  <si>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</si>
  <si>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</si>
  <si>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</si>
  <si>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</si>
  <si>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</si>
  <si>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</si>
  <si>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</si>
  <si>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</si>
  <si>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</si>
  <si>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</si>
  <si>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</si>
  <si>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</si>
  <si>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</si>
  <si>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</si>
  <si>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</si>
  <si>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</si>
  <si>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</si>
  <si>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</si>
  <si>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</si>
  <si>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</si>
  <si>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</si>
  <si>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</si>
  <si>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</si>
  <si>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</si>
  <si>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</si>
  <si>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</si>
  <si>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</si>
  <si>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</si>
  <si>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</si>
  <si>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</si>
  <si>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</si>
  <si>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</si>
  <si>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</si>
  <si>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</si>
  <si>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</si>
  <si>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</si>
  <si>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</si>
  <si>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</si>
  <si>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</si>
  <si>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</si>
  <si>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</si>
  <si>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</si>
  <si>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</si>
  <si>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</si>
  <si>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</si>
  <si>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</si>
  <si>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</si>
  <si>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</si>
  <si>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</si>
  <si>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</si>
  <si>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</si>
  <si>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</si>
  <si>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</si>
  <si>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</si>
  <si>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</si>
  <si>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</si>
  <si>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</si>
  <si>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</si>
  <si>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</si>
  <si>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</si>
  <si>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</si>
  <si>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</si>
  <si>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</si>
  <si>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</si>
  <si>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</si>
  <si>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</si>
  <si>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</si>
  <si>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</si>
  <si>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</si>
  <si>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</si>
  <si>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</si>
  <si>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</si>
  <si>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</si>
  <si>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</si>
  <si>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</si>
  <si>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</si>
  <si>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</si>
  <si>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</si>
  <si>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</si>
  <si>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</si>
  <si>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</si>
  <si>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</si>
  <si>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</si>
  <si>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</si>
  <si>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</si>
  <si>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</si>
  <si>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</si>
  <si>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</si>
  <si>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</si>
  <si>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</si>
  <si>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</si>
  <si>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</si>
  <si>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</si>
  <si>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</si>
  <si>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</si>
  <si>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</si>
  <si>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</si>
  <si>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</si>
  <si>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</si>
  <si>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</si>
  <si>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</si>
  <si>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</si>
  <si>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</si>
  <si>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</si>
  <si>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</si>
  <si>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</si>
  <si>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</si>
  <si>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</si>
  <si>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</si>
  <si>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</si>
  <si>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</si>
  <si>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</si>
  <si>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</si>
  <si>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</si>
  <si>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</si>
  <si>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</si>
  <si>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</si>
  <si>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</si>
  <si>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</si>
  <si>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</si>
  <si>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</si>
  <si>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</si>
  <si>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</si>
  <si>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</si>
  <si>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</si>
  <si>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</si>
  <si>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</si>
  <si>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</si>
  <si>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</si>
  <si>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</si>
  <si>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</si>
  <si>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</si>
  <si>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</si>
  <si>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</si>
  <si>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</si>
  <si>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</si>
  <si>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</si>
  <si>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</si>
  <si>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</si>
  <si>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</si>
  <si>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</si>
  <si>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</si>
  <si>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</si>
  <si>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</si>
  <si>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</si>
  <si>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</si>
  <si>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</si>
  <si>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</si>
  <si>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</si>
  <si>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</si>
  <si>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</si>
  <si>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</si>
  <si>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</si>
  <si>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</si>
  <si>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</si>
  <si>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</si>
  <si>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</si>
  <si>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</si>
  <si>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</si>
  <si>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</si>
  <si>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</si>
  <si>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</si>
  <si>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</si>
  <si>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</si>
  <si>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</si>
  <si>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</si>
  <si>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</si>
  <si>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</si>
  <si>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</si>
  <si>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</si>
  <si>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</si>
  <si>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</si>
  <si>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</si>
  <si>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</si>
  <si>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</si>
  <si>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</si>
  <si>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</si>
  <si>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</si>
  <si>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</si>
  <si>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</si>
  <si>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</si>
  <si>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</si>
  <si>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</si>
  <si>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</si>
  <si>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</si>
  <si>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</si>
  <si>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</si>
  <si>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</si>
  <si>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</si>
  <si>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</si>
  <si>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</si>
  <si>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</si>
  <si>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</si>
  <si>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</si>
  <si>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</si>
  <si>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</si>
  <si>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</si>
  <si>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</si>
  <si>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</si>
  <si>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</si>
  <si>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</si>
  <si>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</si>
  <si>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</si>
  <si>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</si>
  <si>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</si>
  <si>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</si>
  <si>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</si>
  <si>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</si>
  <si>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</si>
  <si>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</si>
  <si>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</si>
  <si>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</si>
  <si>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</si>
  <si>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</si>
  <si>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</si>
  <si>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</si>
  <si>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</si>
  <si>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</si>
  <si>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</si>
  <si>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</si>
  <si>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</si>
  <si>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</si>
  <si>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</si>
  <si>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</si>
  <si>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</si>
  <si>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</si>
  <si>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</si>
  <si>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</si>
  <si>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</si>
  <si>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</si>
  <si>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</si>
  <si>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</si>
  <si>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</si>
  <si>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</si>
  <si>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</si>
  <si>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</si>
  <si>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</si>
  <si>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</si>
  <si>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</si>
  <si>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</si>
  <si>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</si>
  <si>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</si>
  <si>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</si>
  <si>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</si>
  <si>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</si>
  <si>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</si>
  <si>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</si>
  <si>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</si>
  <si>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</si>
  <si>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</si>
  <si>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</si>
  <si>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</si>
  <si>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</si>
  <si>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</si>
  <si>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</si>
  <si>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</si>
  <si>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</si>
  <si>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</si>
  <si>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</si>
  <si>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</si>
  <si>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</si>
  <si>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</si>
  <si>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</si>
  <si>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</si>
  <si>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</si>
  <si>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</si>
  <si>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</si>
  <si>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</si>
  <si>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</si>
  <si>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</si>
  <si>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</si>
  <si>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</si>
  <si>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</si>
  <si>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</si>
  <si>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</si>
  <si>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</si>
  <si>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</si>
  <si>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</si>
  <si>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</si>
  <si>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</si>
  <si>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</si>
  <si>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</si>
  <si>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</si>
  <si>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</si>
  <si>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</si>
  <si>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</si>
  <si>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</si>
  <si>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</si>
  <si>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</si>
  <si>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</si>
  <si>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</si>
  <si>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</si>
  <si>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</si>
  <si>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</si>
  <si>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</si>
  <si>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</si>
  <si>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</si>
  <si>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</si>
  <si>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</si>
  <si>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</si>
  <si>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</si>
  <si>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</si>
  <si>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</si>
  <si>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</si>
  <si>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</si>
  <si>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</si>
  <si>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</si>
  <si>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</si>
  <si>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</si>
  <si>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</si>
  <si>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</si>
  <si>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</si>
  <si>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</si>
  <si>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</si>
  <si>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</si>
  <si>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</si>
  <si>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</si>
  <si>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</si>
  <si>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</si>
  <si>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</si>
  <si>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</si>
  <si>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</si>
  <si>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</si>
  <si>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</si>
  <si>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</si>
  <si>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</si>
  <si>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</si>
  <si>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</si>
  <si>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</si>
  <si>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</si>
  <si>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</si>
  <si>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</si>
  <si>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</si>
  <si>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</si>
  <si>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</si>
  <si>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</si>
  <si>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</si>
  <si>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</si>
  <si>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</si>
  <si>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</si>
  <si>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</si>
  <si>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</si>
  <si>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</si>
  <si>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</si>
  <si>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</si>
  <si>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</si>
  <si>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</si>
  <si>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</si>
  <si>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</si>
  <si>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</si>
  <si>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</si>
  <si>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</si>
  <si>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</si>
  <si>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</si>
  <si>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</si>
  <si>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</si>
  <si>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</si>
  <si>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</si>
  <si>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</si>
  <si>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</si>
  <si>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</si>
  <si>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</si>
  <si>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</si>
  <si>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</si>
  <si>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</si>
  <si>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</si>
  <si>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</si>
  <si>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</si>
  <si>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</si>
  <si>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</si>
  <si>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</si>
  <si>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</si>
  <si>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</si>
  <si>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</si>
  <si>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</si>
  <si>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</si>
  <si>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</si>
  <si>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</si>
  <si>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</si>
  <si>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</si>
  <si>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</si>
  <si>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</si>
  <si>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</si>
  <si>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</si>
  <si>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</si>
  <si>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</si>
  <si>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</si>
  <si>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</si>
  <si>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</si>
  <si>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</si>
  <si>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</si>
  <si>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</si>
  <si>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</si>
  <si>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</si>
  <si>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</si>
  <si>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</si>
  <si>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</si>
  <si>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</si>
  <si>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</si>
  <si>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</si>
  <si>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</si>
  <si>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</si>
  <si>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</si>
  <si>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</si>
  <si>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</si>
  <si>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</si>
  <si>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</si>
  <si>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</si>
  <si>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</si>
  <si>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</si>
  <si>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</si>
  <si>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</si>
  <si>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</si>
  <si>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</si>
  <si>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</si>
  <si>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</si>
  <si>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</si>
  <si>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</si>
  <si>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</si>
  <si>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</si>
  <si>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</si>
  <si>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</si>
  <si>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</si>
  <si>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</si>
  <si>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</si>
  <si>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</si>
  <si>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</si>
  <si>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</si>
  <si>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</si>
  <si>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</si>
  <si>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</si>
  <si>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</si>
  <si>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</si>
  <si>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</si>
  <si>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</si>
  <si>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</si>
  <si>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</si>
  <si>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</si>
  <si>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</si>
  <si>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</si>
  <si>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</si>
  <si>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</si>
  <si>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</si>
  <si>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</si>
  <si>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</si>
  <si>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</si>
  <si>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</si>
  <si>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</si>
  <si>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</si>
  <si>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</si>
  <si>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</si>
  <si>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</si>
  <si>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</si>
  <si>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</si>
  <si>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</si>
  <si>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</si>
  <si>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</si>
  <si>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</si>
  <si>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</si>
  <si>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</si>
  <si>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</si>
  <si>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</si>
  <si>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</si>
  <si>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</si>
  <si>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</si>
  <si>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</si>
  <si>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</si>
  <si>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</si>
  <si>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</si>
  <si>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</si>
  <si>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</si>
  <si>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</si>
  <si>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</si>
  <si>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</si>
  <si>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</si>
  <si>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</si>
  <si>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</si>
  <si>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</si>
  <si>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</si>
  <si>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</si>
  <si>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</si>
  <si>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</si>
  <si>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</si>
  <si>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</si>
  <si>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</si>
  <si>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</si>
  <si>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</si>
  <si>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</si>
  <si>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</si>
  <si>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</si>
  <si>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</si>
  <si>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</si>
  <si>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</si>
  <si>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</si>
  <si>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</si>
  <si>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</si>
  <si>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</si>
  <si>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</si>
  <si>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</si>
  <si>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</si>
  <si>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</si>
  <si>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</si>
  <si>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</si>
  <si>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</si>
  <si>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</si>
  <si>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</si>
  <si>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</si>
  <si>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</si>
  <si>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</si>
  <si>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</si>
  <si>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</si>
  <si>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</si>
  <si>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</si>
  <si>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</si>
  <si>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</si>
  <si>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</si>
  <si>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</si>
  <si>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</si>
  <si>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</si>
  <si>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</si>
  <si>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</si>
  <si>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</si>
  <si>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</si>
  <si>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</si>
  <si>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</si>
  <si>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</si>
  <si>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</si>
  <si>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</si>
  <si>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</si>
  <si>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</si>
  <si>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</si>
  <si>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</si>
  <si>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</si>
  <si>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</si>
  <si>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</si>
  <si>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</si>
  <si>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</si>
  <si>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</si>
  <si>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</si>
  <si>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</si>
  <si>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</si>
  <si>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</si>
  <si>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</si>
  <si>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</si>
  <si>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</si>
  <si>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</si>
  <si>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</si>
  <si>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</si>
  <si>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</si>
  <si>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</si>
  <si>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</si>
  <si>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</si>
  <si>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</si>
  <si>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</si>
  <si>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</si>
  <si>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</si>
  <si>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</si>
  <si>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</si>
  <si>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</si>
  <si>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</si>
  <si>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</si>
  <si>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</si>
  <si>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</si>
  <si>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</si>
  <si>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</si>
  <si>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</si>
  <si>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</si>
  <si>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</si>
  <si>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</si>
  <si>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</si>
  <si>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</si>
  <si>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</si>
  <si>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</si>
  <si>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</si>
  <si>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</si>
  <si>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</si>
  <si>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</si>
  <si>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</si>
  <si>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</si>
  <si>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</si>
  <si>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</si>
  <si>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</si>
  <si>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</si>
  <si>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</si>
  <si>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</si>
  <si>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</si>
  <si>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</si>
  <si>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</si>
  <si>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</si>
  <si>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</si>
  <si>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</si>
  <si>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</si>
  <si>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</si>
  <si>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</si>
  <si>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</si>
  <si>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</si>
  <si>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</si>
  <si>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</si>
  <si>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</si>
  <si>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</si>
  <si>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</si>
  <si>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</si>
  <si>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</si>
  <si>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</si>
  <si>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</si>
  <si>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</si>
  <si>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</si>
  <si>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</si>
  <si>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</si>
  <si>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</si>
  <si>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</si>
  <si>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</si>
  <si>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</si>
  <si>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</si>
  <si>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</si>
  <si>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</si>
  <si>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</si>
  <si>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</si>
  <si>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</si>
  <si>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</si>
  <si>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</si>
  <si>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</si>
  <si>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</si>
  <si>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</si>
  <si>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</si>
  <si>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</si>
  <si>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</si>
  <si>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</si>
  <si>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</si>
  <si>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</si>
  <si>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</si>
  <si>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</si>
  <si>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</si>
  <si>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</si>
  <si>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</si>
  <si>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</si>
  <si>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</si>
  <si>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</si>
  <si>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</si>
  <si>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</si>
  <si>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</si>
  <si>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</si>
  <si>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</si>
  <si>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</si>
  <si>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</si>
  <si>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</si>
  <si>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</si>
  <si>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</si>
  <si>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</si>
  <si>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</si>
  <si>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</si>
  <si>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</si>
  <si>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</si>
  <si>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</si>
  <si>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</si>
  <si>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</si>
  <si>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</si>
  <si>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</si>
  <si>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</si>
  <si>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</si>
  <si>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</si>
  <si>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</si>
  <si>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</si>
  <si>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</si>
  <si>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</si>
  <si>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</si>
  <si>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</si>
  <si>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</si>
  <si>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</si>
  <si>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</si>
  <si>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</si>
  <si>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</si>
  <si>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</si>
  <si>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</si>
  <si>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</si>
  <si>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</si>
  <si>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</si>
  <si>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</si>
  <si>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</si>
  <si>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</si>
  <si>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</si>
  <si>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</si>
  <si>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</si>
  <si>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</si>
  <si>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</si>
  <si>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</si>
  <si>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</si>
  <si>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</si>
  <si>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</si>
  <si>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</si>
  <si>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</si>
  <si>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</si>
  <si>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</si>
  <si>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</si>
  <si>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</si>
  <si>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</si>
  <si>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</si>
  <si>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</si>
  <si>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</si>
  <si>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</si>
  <si>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</si>
  <si>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</si>
  <si>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</si>
  <si>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</si>
  <si>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</si>
  <si>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</si>
  <si>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</si>
  <si>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</si>
  <si>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</si>
  <si>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</si>
  <si>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</si>
  <si>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</si>
  <si>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</si>
  <si>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</si>
  <si>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</si>
  <si>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</si>
  <si>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</si>
  <si>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</si>
  <si>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</si>
  <si>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</si>
  <si>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</si>
  <si>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</si>
  <si>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</si>
  <si>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</si>
  <si>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</si>
  <si>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</si>
  <si>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</si>
  <si>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</si>
  <si>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</si>
  <si>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</si>
  <si>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</si>
  <si>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</si>
  <si>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</si>
  <si>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</si>
  <si>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</si>
  <si>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</si>
  <si>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</si>
  <si>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</si>
  <si>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</si>
  <si>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</si>
  <si>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</si>
  <si>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</si>
  <si>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</si>
  <si>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</si>
  <si>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</si>
  <si>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</si>
  <si>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</si>
  <si>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</si>
  <si>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</si>
  <si>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</si>
  <si>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</si>
  <si>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</si>
  <si>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</si>
  <si>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</si>
  <si>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</si>
  <si>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</si>
  <si>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</si>
  <si>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</si>
  <si>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</si>
  <si>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</si>
  <si>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</si>
  <si>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</si>
  <si>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</si>
  <si>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</si>
  <si>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</si>
  <si>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</si>
  <si>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</si>
  <si>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</si>
  <si>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</si>
  <si>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</si>
  <si>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</si>
  <si>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</si>
  <si>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</si>
  <si>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</si>
  <si>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</si>
  <si>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</si>
  <si>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</si>
  <si>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</si>
  <si>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</si>
  <si>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</si>
  <si>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</si>
  <si>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</si>
  <si>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</si>
  <si>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</si>
  <si>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</si>
  <si>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</si>
  <si>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</si>
  <si>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</si>
  <si>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</si>
  <si>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</si>
  <si>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</si>
  <si>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</si>
  <si>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</si>
  <si>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</si>
  <si>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</si>
  <si>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</si>
  <si>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</si>
  <si>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</si>
  <si>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</si>
  <si>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</si>
  <si>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</si>
  <si>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</si>
  <si>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</si>
  <si>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</si>
  <si>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</si>
  <si>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</si>
  <si>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</si>
  <si>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</si>
  <si>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</si>
  <si>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</si>
  <si>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</si>
  <si>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</si>
  <si>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</si>
  <si>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</si>
  <si>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</si>
  <si>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</si>
  <si>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</si>
  <si>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</si>
  <si>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</si>
  <si>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</si>
  <si>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</si>
  <si>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</si>
  <si>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</si>
  <si>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</si>
  <si>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</si>
  <si>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</si>
  <si>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</si>
  <si>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</si>
  <si>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</si>
  <si>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</si>
  <si>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</si>
  <si>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</si>
  <si>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</si>
  <si>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</si>
  <si>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</si>
  <si>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</si>
  <si>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</si>
  <si>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</si>
  <si>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</si>
  <si>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</si>
  <si>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</si>
  <si>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</si>
  <si>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</si>
  <si>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</si>
  <si>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</si>
  <si>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</si>
  <si>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</si>
  <si>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</si>
  <si>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</si>
  <si>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</si>
  <si>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</si>
  <si>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</si>
  <si>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</si>
  <si>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</si>
  <si>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</si>
  <si>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</si>
  <si>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</si>
  <si>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</si>
  <si>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</si>
  <si>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</si>
  <si>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</si>
  <si>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</si>
  <si>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</si>
  <si>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</si>
  <si>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</si>
  <si>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</si>
  <si>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</si>
  <si>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</si>
  <si>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</si>
  <si>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</si>
  <si>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</si>
  <si>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</si>
  <si>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</si>
  <si>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</si>
  <si>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</si>
  <si>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</si>
  <si>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</si>
  <si>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</si>
  <si>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</si>
  <si>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</si>
  <si>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</si>
  <si>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</si>
  <si>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</si>
  <si>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</si>
  <si>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</si>
  <si>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</si>
  <si>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</si>
  <si>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</si>
  <si>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</si>
  <si>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</si>
  <si>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</si>
  <si>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</si>
  <si>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</si>
  <si>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</si>
  <si>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</si>
  <si>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</si>
  <si>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</si>
  <si>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</si>
  <si>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</si>
  <si>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</si>
  <si>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</si>
  <si>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</si>
  <si>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</si>
  <si>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</si>
  <si>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</si>
  <si>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</si>
  <si>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</si>
  <si>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</si>
  <si>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</si>
  <si>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</si>
  <si>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</si>
  <si>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</si>
  <si>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</si>
  <si>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</si>
  <si>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</si>
  <si>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</si>
  <si>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</si>
  <si>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</si>
  <si>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</si>
  <si>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</si>
  <si>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</si>
  <si>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</si>
  <si>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</si>
  <si>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</si>
  <si>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</si>
  <si>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</si>
  <si>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</si>
  <si>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</si>
  <si>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</si>
  <si>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</si>
  <si>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</si>
  <si>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</si>
  <si>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</si>
  <si>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</si>
  <si>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</si>
  <si>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</si>
  <si>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</si>
  <si>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</si>
  <si>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</si>
  <si>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</si>
  <si>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</si>
  <si>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</si>
  <si>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</si>
  <si>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</si>
  <si>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</si>
  <si>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</si>
  <si>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</si>
  <si>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</si>
  <si>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</si>
  <si>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</si>
  <si>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</si>
  <si>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</si>
  <si>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</si>
  <si>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</si>
  <si>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</si>
  <si>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</si>
  <si>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</si>
  <si>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</si>
  <si>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</si>
  <si>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</si>
  <si>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</si>
  <si>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</si>
  <si>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</si>
  <si>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</si>
  <si>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</si>
  <si>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</si>
  <si>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</si>
  <si>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</si>
  <si>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</si>
  <si>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</si>
  <si>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</si>
  <si>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</si>
  <si>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</si>
  <si>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</si>
  <si>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</si>
  <si>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</si>
  <si>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</si>
  <si>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</si>
  <si>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</si>
  <si>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</si>
  <si>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</si>
  <si>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</si>
  <si>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</si>
  <si>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</si>
  <si>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</si>
  <si>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</si>
  <si>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</si>
  <si>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</si>
  <si>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</si>
  <si>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</si>
  <si>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</si>
  <si>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</si>
  <si>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</si>
  <si>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</si>
  <si>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</si>
  <si>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</si>
  <si>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</si>
  <si>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</si>
  <si>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</si>
  <si>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</si>
  <si>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</si>
  <si>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</si>
  <si>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</si>
  <si>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</si>
  <si>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</si>
  <si>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</si>
  <si>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</si>
  <si>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</si>
  <si>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</si>
  <si>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</si>
  <si>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</si>
  <si>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</si>
  <si>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</si>
  <si>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</si>
  <si>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</si>
  <si>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</si>
  <si>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</si>
  <si>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</si>
  <si>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</si>
  <si>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</si>
  <si>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</si>
  <si>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</si>
  <si>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</si>
  <si>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</si>
  <si>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</si>
  <si>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</si>
  <si>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</si>
  <si>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</si>
  <si>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</si>
  <si>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</si>
  <si>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</si>
  <si>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</si>
  <si>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</si>
  <si>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</si>
  <si>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</si>
  <si>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</si>
  <si>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</si>
  <si>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</si>
  <si>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</si>
  <si>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</si>
  <si>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</si>
  <si>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</si>
  <si>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</si>
  <si>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</si>
  <si>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</si>
  <si>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</si>
  <si>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</si>
  <si>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</si>
  <si>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</si>
  <si>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</si>
  <si>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</si>
  <si>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</si>
  <si>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</si>
  <si>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</si>
  <si>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</si>
  <si>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</si>
  <si>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</si>
  <si>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</si>
  <si>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</si>
  <si>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</si>
  <si>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</si>
  <si>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</si>
  <si>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</si>
  <si>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</si>
  <si>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</si>
  <si>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</si>
  <si>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</si>
  <si>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</si>
  <si>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</si>
  <si>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</si>
  <si>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</si>
  <si>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</si>
  <si>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</si>
  <si>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</si>
  <si>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</si>
  <si>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</si>
  <si>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</si>
  <si>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</si>
  <si>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</si>
  <si>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</si>
  <si>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</si>
  <si>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</si>
  <si>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</si>
  <si>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</si>
  <si>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</si>
  <si>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</si>
  <si>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</si>
  <si>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</si>
  <si>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</si>
  <si>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</si>
  <si>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</si>
  <si>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</si>
  <si>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</si>
  <si>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</si>
  <si>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</si>
  <si>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</si>
  <si>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</si>
  <si>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</si>
  <si>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</si>
  <si>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</si>
  <si>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</si>
  <si>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</si>
  <si>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</si>
  <si>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</si>
  <si>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</si>
  <si>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</si>
  <si>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</si>
  <si>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</si>
  <si>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</si>
  <si>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</si>
  <si>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</si>
  <si>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</si>
  <si>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</si>
  <si>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</si>
  <si>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</si>
  <si>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</si>
  <si>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</si>
  <si>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</si>
  <si>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</si>
  <si>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</si>
  <si>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</si>
  <si>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</si>
  <si>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</si>
  <si>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</si>
  <si>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</si>
  <si>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</si>
  <si>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</si>
  <si>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</si>
  <si>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</si>
  <si>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</si>
  <si>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</si>
  <si>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</si>
  <si>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</si>
  <si>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</si>
  <si>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</si>
  <si>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</si>
  <si>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</si>
  <si>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</si>
  <si>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</si>
  <si>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</si>
  <si>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</si>
  <si>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</si>
  <si>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</si>
  <si>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</si>
  <si>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</si>
  <si>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</si>
  <si>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</si>
  <si>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</si>
  <si>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</si>
  <si>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</si>
  <si>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</si>
  <si>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</si>
  <si>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</si>
  <si>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</si>
  <si>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</si>
  <si>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</si>
  <si>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</si>
  <si>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</si>
  <si>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</si>
  <si>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</si>
  <si>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</si>
  <si>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</si>
  <si>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</si>
  <si>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</si>
  <si>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</si>
  <si>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</si>
  <si>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</si>
  <si>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</si>
  <si>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</si>
  <si>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</si>
  <si>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</si>
  <si>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</si>
  <si>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</si>
  <si>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</si>
  <si>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</si>
  <si>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</si>
  <si>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</si>
  <si>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</si>
  <si>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</si>
  <si>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</si>
  <si>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</si>
  <si>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</si>
  <si>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</si>
  <si>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</si>
  <si>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</si>
  <si>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</si>
  <si>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</si>
  <si>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</si>
  <si>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</si>
  <si>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</si>
  <si>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</si>
  <si>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</si>
  <si>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</si>
  <si>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</si>
  <si>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</si>
  <si>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</si>
  <si>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</si>
  <si>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</si>
  <si>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</si>
  <si>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</si>
  <si>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</si>
  <si>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</si>
  <si>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</si>
  <si>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</si>
  <si>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</si>
  <si>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</si>
  <si>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</si>
  <si>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</si>
  <si>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</si>
  <si>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</si>
  <si>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</si>
  <si>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</si>
  <si>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</si>
  <si>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</si>
  <si>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</si>
  <si>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</si>
  <si>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</si>
  <si>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</si>
  <si>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</si>
  <si>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</si>
  <si>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</si>
  <si>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</si>
  <si>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</si>
  <si>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</si>
  <si>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</si>
  <si>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</si>
  <si>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</si>
  <si>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</si>
  <si>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</si>
  <si>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</si>
  <si>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</si>
  <si>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</si>
  <si>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</si>
  <si>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</si>
  <si>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</si>
  <si>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</si>
  <si>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</si>
  <si>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</si>
  <si>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</si>
  <si>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</si>
  <si>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</si>
  <si>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</si>
  <si>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</si>
  <si>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</si>
  <si>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</si>
  <si>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</si>
  <si>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</si>
  <si>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</si>
  <si>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</si>
  <si>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</si>
  <si>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</si>
  <si>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</si>
  <si>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</si>
  <si>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</si>
  <si>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</si>
  <si>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</si>
  <si>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</si>
  <si>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</si>
  <si>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</si>
  <si>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</si>
  <si>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</si>
  <si>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</si>
  <si>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</si>
  <si>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</si>
  <si>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</si>
  <si>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</si>
  <si>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</si>
  <si>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</si>
  <si>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</si>
  <si>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</si>
  <si>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</si>
  <si>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</si>
  <si>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</si>
  <si>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</si>
  <si>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</si>
  <si>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</si>
  <si>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</si>
  <si>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</si>
  <si>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</si>
  <si>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</si>
  <si>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</si>
  <si>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</si>
  <si>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</si>
  <si>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</si>
  <si>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</si>
  <si>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</si>
  <si>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</si>
  <si>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</si>
  <si>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</si>
  <si>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</si>
  <si>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</si>
  <si>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</si>
  <si>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</si>
  <si>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</si>
  <si>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</si>
  <si>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</si>
  <si>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</si>
  <si>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</si>
  <si>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</si>
  <si>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</si>
  <si>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</si>
  <si>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</si>
  <si>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</si>
  <si>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</si>
  <si>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</si>
  <si>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</si>
  <si>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</si>
  <si>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</si>
  <si>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</si>
  <si>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</si>
  <si>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</si>
  <si>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</si>
  <si>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</si>
  <si>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</si>
  <si>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</si>
  <si>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</si>
  <si>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</si>
  <si>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</si>
  <si>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</si>
  <si>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</si>
  <si>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</si>
  <si>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</si>
  <si>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</si>
  <si>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</si>
  <si>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</si>
  <si>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</si>
  <si>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</si>
  <si>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</si>
  <si>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</si>
  <si>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</si>
  <si>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</si>
  <si>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</si>
  <si>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</si>
  <si>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</si>
  <si>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</si>
  <si>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</si>
  <si>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</si>
  <si>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</si>
  <si>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</si>
  <si>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</si>
  <si>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</si>
  <si>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</si>
  <si>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</si>
  <si>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</si>
  <si>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</si>
  <si>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</si>
  <si>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</si>
  <si>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</si>
  <si>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</si>
  <si>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</si>
  <si>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</si>
  <si>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</si>
  <si>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</si>
  <si>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</si>
  <si>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</si>
  <si>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</si>
  <si>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</si>
  <si>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</si>
  <si>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</si>
  <si>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</si>
  <si>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</si>
  <si>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</si>
  <si>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</si>
  <si>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</si>
  <si>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</si>
  <si>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</si>
  <si>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</si>
  <si>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</si>
  <si>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</si>
  <si>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</si>
  <si>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</si>
  <si>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</si>
  <si>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</si>
  <si>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</si>
  <si>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</si>
  <si>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</si>
  <si>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</si>
  <si>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</si>
  <si>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</si>
  <si>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</si>
  <si>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</si>
  <si>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</si>
  <si>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</si>
  <si>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</si>
  <si>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</si>
  <si>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</si>
  <si>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</si>
  <si>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</si>
  <si>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</si>
  <si>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</si>
  <si>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</si>
  <si>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</si>
  <si>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</si>
  <si>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</si>
  <si>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</si>
  <si>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</si>
  <si>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</si>
  <si>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</si>
  <si>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</si>
  <si>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</si>
  <si>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</si>
  <si>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</si>
  <si>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</si>
  <si>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</si>
  <si>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</si>
  <si>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</si>
  <si>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</si>
  <si>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</si>
  <si>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</si>
  <si>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</si>
  <si>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</si>
  <si>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</si>
  <si>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</si>
  <si>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</si>
  <si>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</si>
  <si>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</si>
  <si>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</si>
  <si>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</si>
  <si>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</si>
  <si>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</si>
  <si>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</si>
  <si>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</si>
  <si>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</si>
  <si>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</si>
  <si>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</si>
  <si>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</si>
  <si>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</si>
  <si>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</si>
  <si>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</si>
  <si>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</si>
  <si>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</si>
  <si>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</si>
  <si>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</si>
  <si>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</si>
  <si>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</si>
  <si>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</si>
  <si>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</si>
  <si>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</si>
  <si>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</si>
  <si>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</si>
  <si>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</si>
  <si>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</si>
  <si>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</si>
  <si>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</si>
  <si>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</si>
  <si>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</si>
  <si>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</si>
  <si>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</si>
  <si>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</si>
  <si>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</si>
  <si>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</si>
  <si>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</si>
  <si>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</si>
  <si>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</si>
  <si>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</si>
  <si>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</si>
  <si>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</si>
  <si>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</si>
  <si>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</si>
  <si>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</si>
  <si>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</si>
  <si>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</si>
  <si>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</si>
  <si>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</si>
  <si>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</si>
  <si>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</si>
  <si>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</si>
  <si>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</si>
  <si>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</si>
  <si>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</si>
  <si>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</si>
  <si>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</si>
  <si>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</si>
  <si>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</si>
  <si>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</si>
  <si>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</si>
  <si>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</si>
  <si>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</si>
  <si>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</si>
  <si>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</si>
  <si>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</si>
  <si>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</si>
  <si>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</si>
  <si>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</si>
  <si>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</si>
  <si>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</si>
  <si>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</si>
  <si>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</si>
  <si>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</si>
  <si>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</si>
  <si>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</si>
  <si>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</si>
  <si>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</si>
  <si>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</si>
  <si>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</si>
  <si>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</si>
  <si>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</si>
  <si>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</si>
  <si>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</si>
  <si>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</si>
  <si>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</si>
  <si>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</si>
  <si>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</si>
  <si>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</si>
  <si>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</si>
  <si>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</si>
  <si>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</si>
  <si>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</si>
  <si>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</si>
  <si>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</si>
  <si>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</si>
  <si>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</si>
  <si>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</si>
  <si>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</si>
  <si>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</si>
  <si>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</si>
  <si>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</si>
  <si>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</si>
  <si>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</si>
  <si>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</si>
  <si>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</si>
  <si>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</si>
  <si>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</si>
  <si>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</si>
  <si>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</si>
  <si>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</si>
  <si>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</si>
  <si>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</si>
  <si>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</si>
  <si>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</si>
  <si>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</si>
  <si>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</si>
  <si>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</si>
  <si>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</si>
  <si>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</si>
  <si>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</si>
  <si>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</si>
  <si>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</si>
  <si>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</si>
  <si>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</si>
  <si>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</si>
  <si>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</si>
  <si>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</si>
  <si>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</si>
  <si>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</si>
  <si>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</si>
  <si>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</si>
  <si>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</si>
  <si>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</si>
  <si>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</si>
  <si>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</si>
  <si>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</si>
  <si>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</si>
  <si>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</si>
  <si>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</si>
  <si>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</si>
  <si>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</si>
  <si>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</si>
  <si>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</si>
  <si>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</si>
  <si>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</si>
  <si>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</si>
  <si>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</si>
  <si>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</si>
  <si>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</si>
  <si>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</si>
  <si>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</si>
  <si>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</si>
  <si>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</si>
  <si>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</si>
  <si>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</si>
  <si>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</si>
  <si>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</si>
  <si>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</si>
  <si>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</si>
  <si>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</si>
  <si>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</si>
  <si>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</si>
  <si>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</si>
  <si>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</si>
  <si>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</si>
  <si>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</si>
  <si>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</si>
  <si>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</si>
  <si>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</si>
  <si>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</si>
  <si>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</si>
  <si>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</si>
  <si>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</si>
  <si>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</si>
  <si>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</si>
  <si>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</si>
  <si>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</si>
  <si>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</si>
  <si>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</si>
  <si>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</si>
  <si>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</si>
  <si>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</si>
  <si>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</si>
  <si>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</si>
  <si>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</si>
  <si>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</si>
  <si>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</si>
  <si>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</si>
  <si>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</si>
  <si>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</si>
  <si>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</si>
  <si>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</si>
  <si>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</si>
  <si>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</si>
  <si>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</si>
  <si>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</si>
  <si>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</si>
  <si>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</si>
  <si>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</si>
  <si>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</si>
  <si>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</si>
  <si>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</si>
  <si>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</si>
  <si>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</si>
  <si>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</si>
  <si>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</si>
  <si>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</si>
  <si>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</si>
  <si>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</si>
  <si>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</si>
  <si>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</si>
  <si>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</si>
  <si>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</si>
  <si>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</si>
  <si>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</si>
  <si>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</si>
  <si>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</si>
  <si>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</si>
  <si>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</si>
  <si>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</si>
  <si>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</si>
  <si>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</si>
  <si>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</si>
  <si>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</si>
  <si>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</si>
  <si>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</si>
  <si>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</si>
  <si>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</si>
  <si>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</si>
  <si>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</si>
  <si>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</si>
  <si>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</si>
  <si>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</si>
  <si>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</si>
  <si>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</si>
  <si>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</si>
  <si>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</si>
  <si>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</si>
  <si>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</si>
  <si>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</si>
  <si>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</si>
  <si>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</si>
  <si>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</si>
  <si>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</si>
  <si>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</si>
  <si>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</si>
  <si>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</si>
  <si>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</si>
  <si>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</si>
  <si>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</si>
  <si>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</si>
  <si>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</si>
  <si>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</si>
  <si>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</si>
  <si>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</si>
  <si>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</si>
  <si>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</si>
  <si>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</si>
  <si>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</si>
  <si>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</si>
  <si>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</si>
  <si>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</si>
  <si>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</si>
  <si>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</si>
  <si>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</si>
  <si>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</si>
  <si>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</si>
  <si>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</si>
  <si>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</si>
  <si>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</si>
  <si>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</si>
  <si>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</si>
  <si>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</si>
  <si>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</si>
  <si>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</si>
  <si>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</si>
  <si>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</si>
  <si>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</si>
  <si>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</si>
  <si>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</si>
  <si>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</si>
  <si>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</si>
  <si>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</si>
  <si>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</si>
  <si>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</si>
  <si>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</si>
  <si>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</si>
  <si>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</si>
  <si>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</si>
  <si>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</si>
  <si>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</si>
  <si>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</si>
  <si>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</si>
  <si>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</si>
  <si>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</si>
  <si>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</si>
  <si>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</si>
  <si>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</si>
  <si>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</si>
  <si>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</si>
  <si>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</si>
  <si>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</si>
  <si>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</si>
  <si>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</si>
  <si>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</si>
  <si>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</si>
  <si>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</si>
  <si>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</si>
  <si>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</si>
  <si>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</si>
  <si>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</si>
  <si>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</si>
  <si>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</si>
  <si>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</si>
  <si>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</si>
  <si>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</si>
  <si>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</si>
  <si>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</si>
  <si>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</si>
  <si>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</si>
  <si>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</si>
  <si>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</si>
  <si>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</si>
  <si>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</si>
  <si>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</si>
  <si>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</si>
  <si>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</si>
  <si>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</si>
  <si>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</si>
  <si>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</si>
  <si>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</si>
  <si>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</si>
  <si>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</si>
  <si>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</si>
  <si>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</si>
  <si>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</si>
  <si>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</si>
  <si>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</si>
  <si>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</si>
  <si>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</si>
  <si>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</si>
  <si>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</si>
  <si>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</si>
  <si>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</si>
  <si>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</si>
  <si>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</si>
  <si>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</si>
  <si>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</si>
  <si>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</si>
  <si>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</si>
  <si>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</si>
  <si>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</si>
  <si>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</si>
  <si>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</si>
  <si>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</si>
  <si>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</si>
  <si>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</si>
  <si>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</si>
  <si>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</si>
  <si>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</si>
  <si>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</si>
  <si>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</si>
  <si>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</si>
  <si>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</si>
  <si>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</si>
  <si>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</si>
  <si>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</si>
  <si>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</si>
  <si>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</si>
  <si>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</si>
  <si>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</si>
  <si>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</si>
  <si>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</si>
  <si>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</si>
  <si>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</si>
  <si>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</si>
  <si>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</si>
  <si>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</si>
  <si>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</si>
  <si>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</si>
  <si>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</si>
  <si>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</si>
  <si>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</si>
  <si>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</si>
  <si>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</si>
  <si>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</si>
  <si>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</si>
  <si>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</si>
  <si>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</si>
  <si>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</si>
  <si>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</si>
  <si>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</si>
  <si>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</si>
  <si>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</si>
  <si>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</si>
  <si>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</si>
  <si>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</si>
  <si>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</si>
  <si>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</si>
  <si>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</si>
  <si>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</si>
  <si>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</si>
  <si>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</si>
  <si>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</si>
  <si>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</si>
  <si>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</si>
  <si>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</si>
  <si>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</si>
  <si>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</si>
  <si>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</si>
  <si>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</si>
  <si>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</si>
  <si>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</si>
  <si>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</si>
  <si>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</si>
  <si>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</si>
  <si>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</si>
  <si>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</si>
  <si>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</si>
  <si>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</si>
  <si>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</si>
  <si>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</si>
  <si>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</si>
  <si>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</si>
  <si>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</si>
  <si>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</si>
  <si>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</si>
  <si>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</si>
  <si>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</si>
  <si>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</si>
  <si>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</si>
  <si>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</si>
  <si>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</si>
  <si>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</si>
  <si>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</si>
  <si>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</si>
  <si>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</si>
  <si>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</si>
  <si>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</si>
  <si>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</si>
  <si>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</si>
  <si>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</si>
  <si>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</si>
  <si>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</si>
  <si>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</si>
  <si>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</si>
  <si>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</si>
  <si>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</si>
  <si>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</si>
  <si>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</si>
  <si>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</si>
  <si>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</si>
  <si>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</si>
  <si>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</si>
  <si>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</si>
  <si>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</si>
  <si>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</si>
  <si>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</si>
  <si>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</si>
  <si>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</si>
  <si>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</si>
  <si>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</si>
  <si>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</si>
  <si>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</si>
  <si>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</si>
  <si>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</si>
  <si>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</si>
  <si>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</si>
  <si>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</si>
  <si>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</si>
  <si>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</si>
  <si>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</si>
  <si>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</si>
  <si>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</si>
  <si>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</si>
  <si>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</si>
  <si>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</si>
  <si>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</si>
  <si>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</si>
  <si>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</si>
  <si>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</si>
  <si>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</si>
  <si>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</si>
  <si>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</si>
  <si>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</si>
  <si>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</si>
  <si>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</si>
  <si>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</si>
  <si>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</si>
  <si>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</si>
  <si>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</si>
  <si>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</si>
  <si>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</si>
  <si>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</si>
  <si>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</si>
  <si>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</si>
  <si>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</si>
  <si>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</si>
  <si>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</si>
  <si>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</si>
  <si>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</si>
  <si>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</si>
  <si>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</si>
  <si>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</si>
  <si>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</si>
  <si>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</si>
  <si>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</si>
  <si>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</si>
  <si>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</si>
  <si>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</si>
  <si>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</si>
  <si>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</si>
  <si>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</si>
  <si>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</si>
  <si>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</si>
  <si>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</si>
  <si>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</si>
  <si>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</si>
  <si>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</si>
  <si>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</si>
  <si>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</si>
  <si>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</si>
  <si>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</si>
  <si>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</si>
  <si>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</si>
  <si>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</si>
  <si>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</si>
  <si>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</si>
  <si>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</si>
  <si>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</si>
  <si>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</si>
  <si>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</si>
  <si>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</si>
  <si>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</si>
  <si>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</si>
  <si>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</si>
  <si>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</si>
  <si>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</si>
  <si>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</si>
  <si>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</si>
  <si>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</si>
  <si>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</si>
  <si>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</si>
  <si>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</si>
  <si>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</si>
  <si>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</si>
  <si>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</si>
  <si>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</si>
  <si>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</si>
  <si>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</si>
  <si>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</si>
  <si>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</si>
  <si>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</si>
  <si>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</si>
  <si>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</si>
  <si>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</si>
  <si>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</si>
  <si>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</si>
  <si>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</si>
  <si>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</si>
  <si>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</si>
  <si>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</si>
  <si>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</si>
  <si>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</si>
  <si>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</si>
  <si>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</si>
  <si>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</si>
  <si>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</si>
  <si>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</si>
  <si>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</si>
  <si>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</si>
  <si>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</si>
  <si>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</si>
  <si>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</si>
  <si>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</si>
  <si>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</si>
  <si>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</si>
  <si>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</si>
  <si>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</si>
  <si>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</si>
  <si>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</si>
  <si>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</si>
  <si>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</si>
  <si>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</si>
  <si>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</si>
  <si>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</si>
  <si>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</si>
  <si>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</si>
  <si>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</si>
  <si>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</si>
  <si>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</si>
  <si>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</si>
  <si>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</si>
  <si>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</si>
  <si>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</si>
  <si>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</si>
  <si>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</si>
  <si>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</si>
  <si>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</si>
  <si>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</si>
  <si>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</si>
  <si>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</si>
  <si>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</si>
  <si>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</si>
  <si>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</si>
  <si>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</si>
  <si>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</si>
  <si>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</si>
  <si>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</si>
  <si>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</si>
  <si>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</si>
  <si>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</si>
  <si>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</si>
  <si>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</si>
  <si>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</si>
  <si>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</si>
  <si>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</si>
  <si>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</si>
  <si>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</si>
  <si>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</si>
  <si>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</si>
  <si>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</si>
  <si>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</si>
  <si>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</si>
  <si>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</si>
  <si>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</si>
  <si>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</si>
  <si>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</si>
  <si>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</si>
  <si>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</si>
  <si>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</si>
  <si>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</si>
  <si>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</si>
  <si>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</si>
  <si>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</si>
  <si>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</si>
  <si>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</si>
  <si>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</si>
  <si>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</si>
  <si>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</si>
  <si>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</si>
  <si>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</si>
  <si>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</si>
  <si>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</si>
  <si>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</si>
  <si>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</si>
  <si>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</si>
  <si>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</si>
  <si>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</si>
  <si>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</si>
  <si>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</si>
  <si>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</si>
  <si>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</si>
  <si>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</si>
  <si>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</si>
  <si>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</si>
  <si>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</si>
  <si>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</si>
  <si>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</si>
  <si>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</si>
  <si>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</si>
  <si>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</si>
  <si>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</si>
  <si>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</si>
  <si>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</si>
  <si>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</si>
  <si>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</si>
  <si>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</si>
  <si>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</si>
  <si>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</si>
  <si>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</si>
  <si>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</si>
  <si>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</si>
  <si>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</si>
  <si>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</si>
  <si>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</si>
  <si>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</si>
  <si>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</si>
  <si>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</si>
  <si>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</si>
  <si>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</si>
  <si>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</si>
  <si>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</si>
  <si>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</si>
  <si>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</si>
  <si>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</si>
  <si>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</si>
  <si>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</si>
  <si>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</si>
  <si>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</si>
  <si>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</si>
  <si>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</si>
  <si>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</si>
  <si>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</si>
  <si>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</si>
  <si>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</si>
  <si>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</si>
  <si>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</si>
  <si>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</si>
  <si>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</si>
  <si>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</si>
  <si>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</si>
  <si>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</si>
  <si>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</si>
  <si>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</si>
  <si>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</si>
  <si>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</si>
  <si>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</si>
  <si>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</si>
  <si>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</si>
  <si>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</si>
  <si>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</si>
  <si>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</si>
  <si>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</si>
  <si>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</si>
  <si>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</si>
  <si>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</si>
  <si>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</si>
  <si>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</si>
  <si>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</si>
  <si>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</si>
  <si>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</si>
  <si>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</si>
  <si>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</si>
  <si>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</si>
  <si>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</si>
  <si>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</si>
  <si>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</si>
  <si>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</si>
  <si>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</si>
  <si>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</si>
  <si>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</si>
  <si>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</si>
  <si>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</si>
  <si>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</si>
  <si>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</si>
  <si>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</si>
  <si>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</si>
  <si>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</si>
  <si>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</si>
  <si>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</si>
  <si>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</si>
  <si>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</si>
  <si>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</si>
  <si>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</si>
  <si>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</si>
  <si>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</si>
  <si>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</si>
  <si>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</si>
  <si>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</si>
  <si>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</si>
  <si>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</si>
  <si>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</si>
  <si>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</si>
  <si>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</si>
  <si>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</si>
  <si>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</si>
  <si>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</si>
  <si>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</si>
  <si>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</si>
  <si>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</si>
  <si>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</si>
  <si>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</si>
  <si>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</si>
  <si>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</si>
  <si>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</si>
  <si>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</si>
  <si>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</si>
  <si>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</si>
  <si>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</si>
  <si>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</si>
  <si>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</si>
  <si>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</si>
  <si>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</si>
  <si>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</si>
  <si>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</si>
  <si>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</si>
  <si>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</si>
  <si>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</si>
  <si>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</si>
  <si>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</si>
  <si>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</si>
  <si>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</si>
  <si>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</si>
  <si>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</si>
  <si>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</si>
  <si>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</si>
  <si>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</si>
  <si>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</si>
  <si>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</si>
  <si>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</si>
  <si>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</si>
  <si>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</si>
  <si>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</si>
  <si>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</si>
  <si>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</si>
  <si>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</si>
  <si>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</si>
  <si>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</si>
  <si>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</si>
  <si>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</si>
  <si>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</si>
  <si>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</si>
  <si>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</si>
  <si>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</si>
  <si>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</si>
  <si>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</si>
  <si>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</si>
  <si>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</si>
  <si>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</si>
  <si>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</si>
  <si>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</si>
  <si>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</si>
  <si>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</si>
  <si>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</si>
  <si>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</si>
  <si>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</si>
  <si>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</si>
  <si>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</si>
  <si>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</si>
  <si>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</si>
  <si>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</si>
  <si>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</si>
  <si>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</si>
  <si>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</si>
  <si>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</si>
  <si>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</si>
  <si>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</si>
  <si>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</si>
  <si>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</si>
  <si>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</si>
  <si>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</si>
  <si>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</si>
  <si>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</si>
  <si>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</si>
  <si>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</si>
  <si>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</si>
  <si>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</si>
  <si>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</si>
  <si>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</si>
  <si>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</si>
  <si>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</si>
  <si>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</si>
  <si>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</si>
  <si>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</si>
  <si>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</si>
  <si>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</si>
  <si>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</si>
  <si>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</si>
  <si>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</si>
  <si>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</si>
  <si>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</si>
  <si>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</si>
  <si>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</si>
  <si>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</si>
  <si>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</si>
  <si>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</si>
  <si>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</si>
  <si>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</si>
  <si>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</si>
  <si>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</si>
  <si>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</si>
  <si>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</si>
  <si>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</si>
  <si>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</si>
  <si>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</si>
  <si>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</si>
  <si>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</si>
  <si>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</si>
  <si>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</si>
  <si>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</si>
  <si>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</si>
  <si>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</si>
  <si>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</si>
  <si>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</si>
  <si>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</si>
  <si>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</si>
  <si>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</si>
  <si>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</si>
  <si>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</si>
  <si>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</si>
  <si>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</si>
  <si>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</si>
  <si>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</si>
  <si>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</si>
  <si>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</si>
  <si>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</si>
  <si>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</si>
  <si>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</si>
  <si>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</si>
  <si>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</si>
  <si>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</si>
  <si>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</si>
  <si>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</si>
  <si>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</si>
  <si>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</si>
  <si>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</si>
  <si>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</si>
  <si>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</si>
  <si>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</si>
  <si>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</si>
  <si>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</si>
  <si>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</si>
  <si>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</si>
  <si>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</si>
  <si>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</si>
  <si>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</si>
  <si>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</si>
  <si>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</si>
  <si>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</si>
  <si>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</si>
  <si>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</si>
  <si>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</si>
  <si>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</si>
  <si>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</si>
  <si>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</si>
  <si>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</si>
  <si>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</si>
  <si>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</si>
  <si>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</si>
  <si>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</si>
  <si>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</si>
  <si>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</si>
  <si>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</si>
  <si>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</si>
  <si>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</si>
  <si>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</si>
  <si>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</si>
  <si>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</si>
  <si>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</si>
  <si>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</si>
  <si>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</si>
  <si>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</si>
  <si>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</si>
  <si>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</si>
  <si>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</si>
  <si>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</si>
  <si>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</si>
  <si>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</si>
  <si>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</si>
  <si>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</si>
  <si>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</si>
  <si>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</si>
  <si>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</si>
  <si>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</si>
  <si>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</si>
  <si>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</si>
  <si>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</si>
  <si>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</si>
  <si>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</si>
  <si>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</si>
  <si>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</si>
  <si>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</si>
  <si>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</si>
  <si>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</si>
  <si>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</si>
  <si>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</si>
  <si>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</si>
  <si>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</si>
  <si>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</si>
  <si>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</si>
  <si>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</si>
  <si>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</si>
  <si>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</si>
  <si>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</si>
  <si>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</si>
  <si>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</si>
  <si>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</si>
  <si>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</si>
  <si>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</si>
  <si>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</si>
  <si>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</si>
  <si>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</si>
  <si>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</si>
  <si>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</si>
  <si>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</si>
  <si>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</si>
  <si>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</si>
  <si>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</si>
  <si>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</si>
  <si>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</si>
  <si>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</si>
  <si>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</si>
  <si>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</si>
  <si>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</si>
  <si>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</si>
  <si>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</si>
  <si>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</si>
  <si>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</si>
  <si>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</si>
  <si>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</si>
  <si>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</si>
  <si>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</si>
  <si>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</si>
  <si>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</si>
  <si>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</si>
  <si>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</si>
  <si>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</si>
  <si>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</si>
  <si>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</si>
  <si>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</si>
  <si>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</si>
  <si>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</si>
  <si>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</si>
  <si>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</si>
  <si>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</si>
  <si>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</si>
  <si>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</si>
  <si>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</si>
  <si>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</si>
  <si>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</si>
  <si>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</si>
  <si>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</si>
  <si>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</si>
  <si>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</si>
  <si>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</si>
  <si>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</si>
  <si>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</si>
  <si>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</si>
  <si>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</si>
  <si>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</si>
  <si>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</si>
  <si>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</si>
  <si>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</si>
  <si>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</si>
  <si>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</si>
  <si>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</si>
  <si>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</si>
  <si>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</si>
  <si>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</si>
  <si>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</si>
  <si>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</si>
  <si>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</si>
  <si>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</si>
  <si>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</si>
  <si>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</si>
  <si>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</si>
  <si>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</si>
  <si>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</si>
  <si>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</si>
  <si>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</si>
  <si>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</si>
  <si>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</si>
  <si>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</si>
  <si>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</si>
  <si>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</si>
  <si>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</si>
  <si>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</si>
  <si>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</si>
  <si>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</si>
  <si>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</si>
  <si>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</si>
  <si>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</si>
  <si>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</si>
  <si>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</si>
  <si>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</si>
  <si>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</si>
  <si>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</si>
  <si>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</si>
  <si>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</si>
  <si>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</si>
  <si>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</si>
  <si>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</si>
  <si>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</si>
  <si>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</si>
  <si>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</si>
  <si>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</si>
  <si>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</si>
  <si>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</si>
  <si>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</si>
  <si>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</si>
  <si>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</si>
  <si>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</si>
  <si>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</si>
  <si>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</si>
  <si>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</si>
  <si>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</si>
  <si>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</si>
  <si>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</si>
  <si>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</si>
  <si>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</si>
  <si>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</si>
  <si>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</si>
  <si>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</si>
  <si>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</si>
  <si>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</si>
  <si>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</si>
  <si>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</si>
  <si>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</si>
  <si>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</si>
  <si>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</si>
  <si>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</si>
  <si>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</si>
  <si>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</si>
  <si>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</si>
  <si>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</si>
  <si>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</si>
  <si>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</si>
  <si>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</si>
  <si>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</si>
  <si>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</si>
  <si>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</si>
  <si>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</si>
  <si>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</si>
  <si>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</si>
  <si>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</si>
  <si>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</si>
  <si>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</si>
  <si>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</si>
  <si>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</si>
  <si>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</si>
  <si>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</si>
  <si>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</si>
  <si>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</si>
  <si>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</si>
  <si>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</si>
  <si>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</si>
  <si>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</si>
  <si>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</si>
  <si>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</si>
  <si>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</si>
  <si>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</si>
  <si>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</si>
  <si>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</si>
  <si>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</si>
  <si>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</si>
  <si>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</si>
  <si>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</si>
  <si>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</si>
  <si>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</si>
  <si>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</si>
  <si>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</si>
  <si>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</si>
  <si>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</si>
  <si>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</si>
  <si>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</si>
  <si>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</si>
  <si>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</si>
  <si>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</si>
  <si>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</si>
  <si>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</si>
  <si>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</si>
  <si>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</si>
  <si>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</si>
  <si>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</si>
  <si>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</si>
  <si>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</si>
  <si>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</si>
  <si>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</si>
  <si>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</si>
  <si>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</si>
  <si>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</si>
  <si>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</si>
  <si>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</si>
  <si>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</si>
  <si>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</si>
  <si>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</si>
  <si>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</si>
  <si>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</si>
  <si>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</si>
  <si>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</si>
  <si>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</si>
  <si>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</si>
  <si>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</si>
  <si>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</si>
  <si>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</si>
  <si>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</si>
  <si>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</si>
  <si>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</si>
  <si>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</si>
  <si>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</si>
  <si>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</si>
  <si>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</si>
  <si>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</si>
  <si>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</si>
  <si>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</si>
  <si>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</si>
  <si>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</si>
  <si>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</si>
  <si>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</si>
  <si>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</si>
  <si>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</si>
  <si>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</si>
  <si>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</si>
  <si>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</si>
  <si>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</si>
  <si>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</si>
  <si>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</si>
  <si>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</si>
  <si>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</si>
  <si>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</si>
  <si>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</si>
  <si>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</si>
  <si>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</si>
  <si>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</si>
  <si>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</si>
  <si>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</si>
  <si>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</si>
  <si>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</si>
  <si>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</si>
  <si>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</si>
  <si>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</si>
  <si>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</si>
  <si>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</si>
  <si>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</si>
  <si>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</si>
  <si>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</si>
  <si>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</si>
  <si>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</si>
  <si>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</si>
  <si>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</si>
  <si>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</si>
  <si>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</si>
  <si>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</si>
  <si>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</si>
  <si>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</si>
  <si>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</si>
  <si>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</si>
  <si>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</si>
  <si>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</si>
  <si>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</si>
  <si>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</si>
  <si>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</si>
  <si>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</si>
  <si>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</si>
  <si>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</si>
  <si>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</si>
  <si>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</si>
  <si>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</si>
  <si>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</si>
  <si>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</si>
  <si>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</si>
  <si>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</si>
  <si>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</si>
  <si>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</si>
  <si>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</si>
  <si>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</si>
  <si>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</si>
  <si>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</si>
  <si>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</si>
  <si>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</si>
  <si>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</si>
  <si>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</si>
  <si>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</si>
  <si>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</si>
  <si>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</si>
  <si>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</si>
  <si>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</si>
  <si>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</si>
  <si>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</si>
  <si>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</si>
  <si>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</si>
  <si>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</si>
  <si>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</si>
  <si>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</si>
  <si>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</si>
  <si>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</si>
  <si>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</si>
  <si>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</si>
  <si>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</si>
  <si>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</si>
  <si>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</si>
  <si>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</si>
  <si>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</si>
  <si>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</si>
  <si>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</si>
  <si>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</si>
  <si>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</si>
  <si>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</si>
  <si>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</si>
  <si>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</si>
  <si>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</si>
  <si>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</si>
  <si>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</si>
  <si>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</si>
  <si>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</si>
  <si>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</si>
  <si>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</si>
  <si>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</si>
  <si>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</si>
  <si>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</si>
  <si>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</si>
  <si>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</si>
  <si>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</si>
  <si>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</si>
  <si>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</si>
  <si>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</si>
  <si>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</si>
  <si>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</si>
  <si>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</si>
  <si>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</si>
  <si>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</si>
  <si>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</si>
  <si>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</si>
  <si>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</si>
  <si>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</si>
  <si>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</si>
  <si>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</si>
  <si>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</si>
  <si>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</si>
  <si>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</si>
  <si>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</si>
  <si>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</si>
  <si>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</si>
  <si>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</si>
  <si>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</si>
  <si>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</si>
  <si>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</si>
  <si>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</si>
  <si>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</si>
  <si>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</si>
  <si>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</si>
  <si>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</si>
  <si>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</si>
  <si>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</si>
  <si>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</si>
  <si>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</si>
  <si>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</si>
  <si>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</si>
  <si>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</si>
  <si>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</si>
  <si>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</si>
  <si>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</si>
  <si>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</si>
  <si>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</si>
  <si>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</si>
  <si>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</si>
  <si>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</si>
  <si>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</si>
  <si>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</si>
  <si>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</si>
  <si>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</si>
  <si>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</si>
  <si>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</si>
  <si>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</si>
  <si>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</si>
  <si>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</si>
  <si>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</si>
  <si>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</si>
  <si>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</si>
  <si>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</si>
  <si>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</si>
  <si>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</si>
  <si>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</si>
  <si>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</si>
  <si>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</si>
  <si>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</si>
  <si>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</si>
  <si>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</si>
  <si>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</si>
  <si>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</si>
  <si>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</si>
  <si>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</si>
  <si>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</si>
  <si>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</si>
  <si>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</si>
  <si>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</si>
  <si>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</si>
  <si>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</si>
  <si>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</si>
  <si>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</si>
  <si>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</si>
  <si>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</si>
  <si>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</si>
  <si>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</si>
  <si>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</si>
  <si>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</si>
  <si>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</si>
  <si>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</si>
  <si>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</si>
  <si>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</si>
  <si>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</si>
  <si>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</si>
  <si>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</si>
  <si>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</si>
  <si>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</si>
  <si>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</si>
  <si>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</si>
  <si>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</si>
  <si>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</si>
  <si>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</si>
  <si>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</si>
  <si>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</si>
  <si>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</si>
  <si>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</si>
  <si>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</si>
  <si>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</si>
  <si>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</si>
  <si>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</si>
  <si>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</si>
  <si>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</si>
  <si>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</si>
  <si>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</si>
  <si>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</si>
  <si>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</si>
  <si>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</si>
  <si>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</si>
  <si>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</si>
  <si>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</si>
  <si>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</si>
  <si>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</si>
  <si>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</si>
  <si>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</si>
  <si>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</si>
  <si>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</si>
  <si>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</si>
  <si>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</si>
  <si>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</si>
  <si>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</si>
  <si>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</si>
  <si>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</si>
  <si>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</si>
  <si>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</si>
  <si>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</si>
  <si>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</si>
  <si>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</si>
  <si>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</si>
  <si>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</si>
  <si>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</si>
  <si>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</si>
  <si>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</si>
  <si>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</si>
  <si>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</si>
  <si>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</si>
  <si>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</si>
  <si>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</si>
  <si>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</si>
  <si>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</si>
  <si>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</si>
  <si>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</si>
  <si>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</si>
  <si>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</si>
  <si>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</si>
  <si>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</si>
  <si>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</si>
  <si>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</si>
  <si>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</si>
  <si>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</si>
  <si>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</si>
  <si>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</si>
  <si>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</si>
  <si>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</si>
  <si>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</si>
  <si>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</si>
  <si>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</si>
  <si>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</si>
  <si>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</si>
  <si>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</si>
  <si>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</si>
  <si>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</si>
  <si>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</si>
  <si>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</si>
  <si>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</si>
  <si>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</si>
  <si>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</si>
  <si>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</si>
  <si>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</si>
  <si>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</si>
  <si>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</si>
  <si>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</si>
  <si>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</si>
  <si>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</si>
  <si>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</si>
  <si>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</si>
  <si>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</si>
  <si>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</si>
  <si>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</si>
  <si>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</si>
  <si>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</si>
  <si>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</si>
  <si>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</si>
  <si>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</si>
  <si>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</si>
  <si>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</si>
  <si>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</si>
  <si>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</si>
  <si>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</si>
  <si>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</si>
  <si>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</si>
  <si>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</si>
  <si>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</si>
  <si>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</si>
  <si>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</si>
  <si>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</si>
  <si>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</si>
  <si>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</si>
  <si>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</si>
  <si>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</si>
  <si>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</si>
  <si>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</si>
  <si>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</si>
  <si>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</si>
  <si>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</si>
  <si>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</si>
  <si>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</si>
  <si>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</si>
  <si>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</si>
  <si>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</si>
  <si>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</si>
  <si>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</si>
  <si>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</si>
  <si>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</si>
  <si>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</si>
  <si>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</si>
  <si>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</si>
  <si>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</si>
  <si>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</si>
  <si>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</si>
  <si>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</si>
  <si>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</si>
  <si>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</si>
  <si>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</si>
  <si>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</si>
  <si>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</si>
  <si>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</si>
  <si>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</si>
  <si>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</si>
  <si>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</si>
  <si>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</si>
  <si>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</si>
  <si>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</si>
  <si>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</si>
  <si>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</si>
  <si>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</si>
  <si>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</si>
  <si>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</si>
  <si>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</si>
  <si>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</si>
  <si>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</si>
  <si>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</si>
  <si>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</si>
  <si>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</si>
  <si>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</si>
  <si>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</si>
  <si>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</si>
  <si>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</si>
  <si>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</si>
  <si>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</si>
  <si>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</si>
  <si>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</si>
  <si>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</si>
  <si>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</si>
  <si>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</si>
  <si>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</si>
  <si>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</si>
  <si>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</si>
  <si>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</si>
  <si>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</si>
  <si>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</si>
  <si>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</si>
  <si>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</si>
  <si>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</si>
  <si>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</si>
  <si>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</si>
  <si>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</si>
  <si>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</si>
  <si>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</si>
  <si>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</si>
  <si>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</si>
  <si>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</si>
  <si>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</si>
  <si>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</si>
  <si>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</si>
  <si>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</si>
  <si>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</si>
  <si>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</si>
  <si>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</si>
  <si>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</si>
  <si>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</si>
  <si>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</si>
  <si>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</si>
  <si>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</si>
  <si>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</si>
  <si>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</si>
  <si>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</si>
  <si>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</si>
  <si>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</si>
  <si>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</si>
  <si>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</si>
  <si>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</si>
  <si>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</si>
  <si>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</si>
  <si>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</si>
  <si>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</si>
  <si>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</si>
  <si>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</si>
  <si>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</si>
  <si>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</si>
  <si>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</si>
  <si>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</si>
  <si>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</si>
  <si>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</si>
  <si>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</si>
  <si>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</si>
  <si>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</si>
  <si>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</si>
  <si>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</si>
  <si>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</si>
  <si>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</si>
  <si>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</si>
  <si>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</si>
  <si>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</si>
  <si>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</si>
  <si>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</si>
  <si>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</si>
  <si>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</si>
  <si>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</si>
  <si>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</si>
  <si>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</si>
  <si>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</si>
  <si>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</si>
  <si>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</si>
  <si>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</si>
  <si>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</si>
  <si>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</si>
  <si>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</si>
  <si>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</si>
  <si>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</si>
  <si>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</si>
  <si>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</si>
  <si>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</si>
  <si>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</si>
  <si>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</si>
  <si>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</si>
  <si>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</si>
  <si>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</si>
  <si>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</si>
  <si>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</si>
  <si>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</si>
  <si>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</si>
  <si>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</si>
  <si>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</si>
  <si>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</si>
  <si>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</si>
  <si>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</si>
  <si>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</si>
  <si>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</si>
  <si>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</si>
  <si>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</si>
  <si>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</si>
  <si>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</si>
  <si>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</si>
  <si>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</si>
  <si>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</si>
  <si>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</si>
  <si>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</si>
  <si>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</si>
  <si>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</si>
  <si>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</si>
  <si>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</si>
  <si>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</si>
  <si>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</si>
  <si>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</si>
  <si>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</si>
  <si>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</si>
  <si>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</si>
  <si>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</si>
  <si>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</si>
  <si>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</si>
  <si>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</si>
  <si>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</si>
  <si>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</si>
  <si>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</si>
  <si>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</si>
  <si>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</si>
  <si>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</si>
  <si>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</si>
  <si>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</si>
  <si>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</si>
  <si>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</si>
  <si>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</si>
  <si>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</si>
  <si>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</si>
  <si>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</si>
  <si>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</si>
  <si>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</si>
  <si>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</si>
  <si>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</si>
  <si>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</si>
  <si>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</si>
  <si>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</si>
  <si>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</si>
  <si>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</si>
  <si>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</si>
  <si>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</si>
  <si>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</si>
  <si>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</si>
  <si>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</si>
  <si>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</si>
  <si>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</si>
  <si>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</si>
  <si>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</si>
  <si>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</si>
  <si>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</si>
  <si>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</si>
  <si>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</si>
  <si>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</si>
  <si>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</si>
  <si>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</si>
  <si>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</si>
  <si>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</si>
  <si>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</si>
  <si>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</si>
  <si>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</si>
  <si>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</si>
  <si>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</si>
  <si>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</si>
  <si>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</si>
  <si>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</si>
  <si>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</si>
  <si>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</si>
  <si>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</si>
  <si>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</si>
  <si>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</si>
  <si>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</si>
  <si>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</si>
  <si>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</si>
  <si>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</si>
  <si>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</si>
  <si>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</si>
  <si>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</si>
  <si>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</si>
  <si>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</si>
  <si>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</si>
  <si>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</si>
  <si>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</si>
  <si>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</si>
  <si>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</si>
  <si>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</si>
  <si>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</si>
  <si>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</si>
  <si>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</si>
  <si>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</si>
  <si>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</si>
  <si>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</si>
  <si>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</si>
  <si>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</si>
  <si>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</si>
  <si>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</si>
  <si>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</si>
  <si>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</si>
  <si>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</si>
  <si>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</si>
  <si>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</si>
  <si>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</si>
  <si>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</si>
  <si>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</si>
  <si>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</si>
  <si>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</si>
  <si>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</si>
  <si>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</si>
  <si>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</si>
  <si>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</si>
  <si>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</si>
  <si>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</si>
  <si>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</si>
  <si>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</si>
  <si>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</si>
  <si>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</si>
  <si>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</si>
  <si>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</si>
  <si>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</si>
  <si>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</si>
  <si>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</si>
  <si>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</si>
  <si>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</si>
  <si>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</si>
  <si>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</si>
  <si>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</si>
  <si>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</si>
  <si>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</si>
  <si>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</si>
  <si>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</si>
  <si>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</si>
  <si>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</si>
  <si>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</si>
  <si>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</si>
  <si>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</si>
  <si>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</si>
  <si>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</si>
  <si>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</si>
  <si>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</si>
  <si>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</si>
  <si>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</si>
  <si>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</si>
  <si>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</si>
  <si>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</si>
  <si>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</si>
  <si>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</si>
  <si>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</si>
  <si>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</si>
  <si>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</si>
  <si>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</si>
  <si>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</si>
  <si>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</si>
  <si>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</si>
  <si>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</si>
  <si>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</si>
  <si>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</si>
  <si>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</si>
  <si>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</si>
  <si>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</si>
  <si>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</si>
  <si>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</si>
  <si>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</si>
  <si>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</si>
  <si>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</si>
  <si>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</si>
  <si>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</si>
  <si>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</si>
  <si>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</si>
  <si>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</si>
  <si>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</si>
  <si>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</si>
  <si>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</si>
  <si>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</si>
  <si>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</si>
  <si>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</si>
  <si>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</si>
  <si>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</si>
  <si>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</si>
  <si>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</si>
  <si>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</si>
  <si>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</si>
  <si>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</si>
  <si>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</si>
  <si>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</si>
  <si>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</si>
  <si>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</si>
  <si>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</si>
  <si>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</si>
  <si>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</si>
  <si>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</si>
  <si>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</si>
  <si>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</si>
  <si>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</si>
  <si>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</si>
  <si>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</si>
  <si>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</si>
  <si>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</si>
  <si>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</si>
  <si>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</si>
  <si>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</si>
  <si>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</si>
  <si>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</si>
  <si>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</si>
  <si>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</si>
  <si>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</si>
  <si>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</si>
  <si>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</si>
  <si>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</si>
  <si>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</si>
  <si>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</si>
  <si>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</si>
  <si>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</si>
  <si>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</si>
  <si>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</si>
  <si>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</si>
  <si>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</si>
  <si>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</si>
  <si>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</si>
  <si>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</si>
  <si>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</si>
  <si>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</si>
  <si>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</si>
  <si>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</si>
  <si>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</si>
  <si>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</si>
  <si>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</si>
  <si>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</si>
  <si>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</si>
  <si>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</si>
  <si>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</si>
  <si>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</si>
  <si>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</si>
  <si>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</si>
  <si>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</si>
  <si>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</si>
  <si>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</si>
  <si>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</si>
  <si>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</si>
  <si>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</si>
  <si>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</si>
  <si>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</si>
  <si>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</si>
  <si>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</si>
  <si>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</si>
  <si>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</si>
  <si>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</si>
  <si>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</si>
  <si>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</si>
  <si>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</si>
  <si>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</si>
  <si>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</si>
  <si>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</si>
  <si>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</si>
  <si>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</si>
  <si>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</si>
  <si>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</si>
  <si>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</si>
  <si>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</si>
  <si>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</si>
  <si>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</si>
  <si>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</si>
  <si>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</si>
  <si>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</si>
  <si>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</si>
  <si>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</si>
  <si>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</si>
  <si>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</si>
  <si>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</si>
  <si>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</si>
  <si>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</si>
  <si>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</si>
  <si>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</si>
  <si>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</si>
  <si>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</si>
  <si>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</si>
  <si>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</si>
  <si>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</si>
  <si>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</si>
  <si>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</si>
  <si>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</si>
  <si>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</si>
  <si>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</si>
  <si>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</si>
  <si>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</si>
  <si>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</si>
  <si>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</si>
  <si>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</si>
  <si>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</si>
  <si>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</si>
  <si>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</si>
  <si>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</si>
  <si>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</si>
  <si>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</si>
  <si>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</si>
  <si>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</si>
  <si>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</si>
  <si>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</si>
  <si>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</si>
  <si>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</si>
  <si>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</si>
  <si>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</si>
  <si>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</si>
  <si>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</si>
  <si>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</si>
  <si>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</si>
  <si>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</si>
  <si>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</si>
  <si>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</si>
  <si>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</si>
  <si>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</si>
  <si>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</si>
  <si>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</si>
  <si>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</si>
  <si>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</si>
  <si>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</si>
  <si>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</si>
  <si>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</si>
  <si>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</si>
  <si>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</si>
  <si>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</si>
  <si>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</si>
  <si>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</si>
  <si>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</si>
  <si>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</si>
  <si>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</si>
  <si>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</si>
  <si>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</si>
  <si>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</si>
  <si>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</si>
  <si>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</si>
  <si>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</si>
  <si>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</si>
  <si>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</si>
  <si>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</si>
  <si>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</si>
  <si>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</si>
  <si>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</si>
  <si>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</si>
  <si>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</si>
  <si>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</si>
  <si>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</si>
  <si>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</si>
  <si>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</si>
  <si>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</si>
  <si>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</si>
  <si>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</si>
  <si>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</si>
  <si>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</si>
  <si>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</si>
  <si>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</si>
  <si>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</si>
  <si>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</si>
  <si>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</si>
  <si>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</si>
  <si>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</si>
  <si>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</si>
  <si>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</si>
  <si>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</si>
  <si>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</si>
  <si>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</si>
  <si>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</si>
  <si>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</si>
  <si>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</si>
  <si>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</si>
  <si>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</si>
  <si>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</si>
  <si>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</si>
  <si>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</si>
  <si>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</si>
  <si>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</si>
  <si>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</si>
  <si>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</si>
  <si>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</si>
  <si>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</si>
  <si>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</si>
  <si>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</si>
  <si>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</si>
  <si>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</si>
  <si>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</si>
  <si>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</si>
  <si>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</si>
  <si>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</si>
  <si>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</si>
  <si>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</si>
  <si>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</si>
  <si>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</si>
  <si>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</si>
  <si>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</si>
  <si>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</si>
  <si>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</si>
  <si>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</si>
  <si>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</si>
  <si>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</si>
  <si>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</si>
  <si>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</si>
  <si>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</si>
  <si>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</si>
  <si>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</si>
  <si>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</si>
  <si>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</si>
  <si>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</si>
  <si>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</si>
  <si>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</si>
  <si>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</si>
  <si>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</si>
  <si>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</si>
  <si>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</si>
  <si>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</si>
  <si>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</si>
  <si>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</si>
  <si>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</si>
  <si>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</si>
  <si>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</si>
  <si>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</si>
  <si>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</si>
  <si>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</si>
  <si>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</si>
  <si>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</si>
  <si>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</si>
  <si>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</si>
  <si>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</si>
  <si>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</si>
  <si>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</si>
  <si>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</si>
  <si>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</si>
  <si>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</si>
  <si>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</si>
  <si>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</si>
  <si>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</si>
  <si>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</si>
  <si>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</si>
  <si>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</si>
  <si>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</si>
  <si>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</si>
  <si>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</si>
  <si>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</si>
  <si>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</si>
  <si>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</si>
  <si>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</si>
  <si>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</si>
  <si>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</si>
  <si>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</si>
  <si>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</si>
  <si>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</si>
  <si>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</si>
  <si>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</si>
  <si>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</si>
  <si>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</si>
  <si>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</si>
  <si>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</si>
  <si>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</si>
  <si>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</si>
  <si>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</si>
  <si>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</si>
  <si>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</si>
  <si>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</si>
  <si>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</si>
  <si>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</si>
  <si>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</si>
  <si>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</si>
  <si>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</si>
  <si>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</si>
  <si>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</si>
  <si>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</si>
  <si>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</si>
  <si>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</si>
  <si>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</si>
  <si>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</si>
  <si>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</si>
  <si>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</si>
  <si>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</si>
  <si>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</si>
  <si>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</si>
  <si>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</si>
  <si>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</si>
  <si>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</si>
  <si>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</si>
  <si>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</si>
  <si>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</si>
  <si>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</si>
  <si>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</si>
  <si>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</si>
  <si>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</si>
  <si>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</si>
  <si>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</si>
  <si>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</si>
  <si>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</si>
  <si>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</si>
  <si>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</si>
  <si>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</si>
  <si>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</si>
  <si>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</si>
  <si>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</si>
  <si>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</si>
  <si>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</si>
  <si>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</si>
  <si>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</si>
  <si>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</si>
  <si>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</si>
  <si>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</si>
  <si>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</si>
  <si>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</si>
  <si>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</si>
  <si>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</si>
  <si>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</si>
  <si>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</si>
  <si>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</si>
  <si>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</si>
  <si>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</si>
  <si>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</si>
  <si>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</si>
  <si>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</si>
  <si>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</si>
  <si>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</si>
  <si>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</si>
  <si>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</si>
  <si>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</si>
  <si>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</si>
  <si>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</si>
  <si>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</si>
  <si>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</si>
  <si>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</si>
  <si>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</si>
  <si>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</si>
  <si>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</si>
  <si>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</si>
  <si>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</si>
  <si>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</si>
  <si>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</si>
  <si>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</si>
  <si>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</si>
  <si>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</si>
  <si>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</si>
  <si>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</si>
  <si>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</si>
  <si>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</si>
  <si>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</si>
  <si>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</si>
  <si>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</si>
  <si>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</si>
  <si>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</si>
  <si>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</si>
  <si>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</si>
  <si>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</si>
  <si>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</si>
  <si>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</si>
  <si>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</si>
  <si>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</si>
  <si>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</si>
  <si>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</si>
  <si>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</si>
  <si>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</si>
  <si>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</si>
  <si>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</si>
  <si>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</si>
  <si>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</si>
  <si>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</si>
  <si>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</si>
  <si>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</si>
  <si>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</si>
  <si>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</si>
  <si>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</si>
  <si>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</si>
  <si>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</si>
  <si>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</si>
  <si>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</si>
  <si>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</si>
  <si>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</si>
  <si>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</si>
  <si>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</si>
  <si>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</si>
  <si>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</si>
  <si>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</si>
  <si>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</si>
  <si>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</si>
  <si>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</si>
  <si>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</si>
  <si>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</si>
  <si>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</si>
  <si>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</si>
  <si>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</si>
  <si>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</si>
  <si>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</si>
  <si>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</si>
  <si>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</si>
  <si>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</si>
  <si>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</si>
  <si>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</si>
  <si>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</si>
  <si>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</si>
  <si>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</si>
  <si>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</si>
  <si>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</si>
  <si>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</si>
  <si>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</si>
  <si>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</si>
  <si>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</si>
  <si>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</si>
  <si>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</si>
  <si>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</si>
  <si>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</si>
  <si>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</si>
  <si>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</si>
  <si>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</si>
  <si>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</si>
  <si>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</si>
  <si>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</si>
  <si>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</si>
  <si>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</si>
  <si>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</si>
  <si>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</si>
  <si>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</si>
  <si>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</si>
  <si>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</si>
  <si>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</si>
  <si>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</si>
  <si>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</si>
  <si>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</si>
  <si>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</si>
  <si>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</si>
  <si>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</si>
  <si>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</si>
  <si>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</si>
  <si>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</si>
  <si>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</si>
  <si>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</si>
  <si>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</si>
  <si>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</si>
  <si>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</si>
  <si>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</si>
  <si>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</si>
  <si>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</si>
  <si>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</si>
  <si>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</si>
  <si>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</si>
  <si>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</si>
  <si>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</si>
  <si>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</si>
  <si>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</si>
  <si>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</si>
  <si>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</si>
  <si>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</si>
  <si>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</si>
  <si>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</si>
  <si>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</si>
  <si>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</si>
  <si>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</si>
  <si>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</si>
  <si>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</si>
  <si>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</si>
  <si>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</si>
  <si>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</si>
  <si>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</si>
  <si>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</si>
  <si>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</si>
  <si>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</si>
  <si>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</si>
  <si>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</si>
  <si>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</si>
  <si>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</si>
  <si>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</si>
  <si>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</si>
  <si>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</si>
  <si>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</si>
  <si>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</si>
  <si>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</si>
  <si>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</si>
  <si>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</si>
  <si>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</si>
  <si>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</si>
  <si>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</si>
  <si>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</si>
  <si>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</si>
  <si>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</si>
  <si>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</si>
  <si>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</si>
  <si>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</si>
  <si>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</si>
  <si>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</si>
  <si>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</si>
  <si>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</si>
  <si>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</si>
  <si>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</si>
  <si>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</si>
  <si>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</si>
  <si>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</si>
  <si>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</si>
  <si>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</si>
  <si>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</si>
  <si>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</si>
  <si>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</si>
  <si>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</si>
  <si>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</si>
  <si>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</si>
  <si>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</si>
  <si>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</si>
  <si>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</si>
  <si>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</si>
  <si>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</si>
  <si>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</si>
  <si>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</si>
  <si>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</si>
  <si>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</si>
  <si>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</si>
  <si>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</si>
  <si>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</si>
  <si>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</si>
  <si>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</si>
  <si>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</si>
  <si>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</si>
  <si>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</si>
  <si>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</si>
  <si>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</si>
  <si>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</si>
  <si>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</si>
  <si>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</si>
  <si>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</si>
  <si>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</si>
  <si>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</si>
  <si>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</si>
  <si>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</si>
  <si>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</si>
  <si>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</si>
  <si>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</si>
  <si>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</si>
  <si>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</si>
  <si>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</si>
  <si>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</si>
  <si>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</si>
  <si>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</si>
  <si>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</si>
  <si>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</si>
  <si>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</si>
  <si>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</si>
  <si>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</si>
  <si>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</si>
  <si>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</si>
  <si>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</si>
  <si>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</si>
  <si>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</si>
  <si>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</si>
  <si>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</si>
  <si>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</si>
  <si>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</si>
  <si>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</si>
  <si>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</si>
  <si>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</si>
  <si>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</si>
  <si>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</si>
  <si>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</si>
  <si>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</si>
  <si>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</si>
  <si>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</si>
  <si>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</si>
  <si>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</si>
  <si>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</si>
  <si>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</si>
  <si>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</si>
  <si>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</si>
  <si>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</si>
  <si>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</si>
  <si>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</si>
  <si>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</si>
  <si>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</si>
  <si>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</si>
  <si>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</si>
  <si>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</si>
  <si>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</si>
  <si>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</si>
  <si>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</si>
  <si>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</si>
  <si>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</si>
  <si>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</si>
  <si>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</si>
  <si>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</si>
  <si>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</si>
  <si>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</si>
  <si>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</si>
  <si>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</si>
  <si>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</si>
  <si>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</si>
  <si>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</si>
  <si>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</si>
  <si>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</si>
  <si>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</si>
  <si>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</si>
  <si>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</si>
  <si>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</si>
  <si>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</si>
  <si>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</si>
  <si>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</si>
  <si>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</si>
  <si>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</si>
  <si>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</si>
  <si>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</si>
  <si>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</si>
  <si>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</si>
  <si>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</si>
  <si>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</si>
  <si>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</si>
  <si>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</si>
  <si>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</si>
  <si>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</si>
  <si>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</si>
  <si>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</si>
  <si>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</si>
  <si>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</si>
  <si>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</si>
  <si>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</si>
  <si>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</si>
  <si>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</si>
  <si>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</si>
  <si>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</si>
  <si>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</si>
  <si>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</si>
  <si>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</si>
  <si>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</si>
  <si>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</si>
  <si>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</si>
  <si>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</si>
  <si>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</si>
  <si>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</si>
  <si>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</si>
  <si>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</si>
  <si>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</si>
  <si>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</si>
  <si>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</si>
  <si>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</si>
  <si>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</si>
  <si>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</si>
  <si>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</si>
  <si>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</si>
  <si>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</si>
  <si>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</si>
  <si>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</si>
  <si>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</si>
  <si>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</si>
  <si>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</si>
  <si>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</si>
  <si>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</si>
  <si>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</si>
  <si>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</si>
  <si>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</si>
  <si>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</si>
  <si>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</si>
  <si>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</si>
  <si>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</si>
  <si>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</si>
  <si>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</si>
  <si>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</si>
  <si>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</si>
  <si>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</si>
  <si>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</si>
  <si>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</si>
  <si>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</si>
  <si>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</si>
  <si>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</si>
  <si>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</si>
  <si>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</si>
  <si>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</si>
  <si>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</si>
  <si>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</si>
  <si>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</si>
  <si>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</si>
  <si>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</si>
  <si>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</si>
  <si>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</si>
  <si>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</si>
  <si>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</si>
  <si>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</si>
  <si>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</si>
  <si>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</si>
  <si>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</si>
  <si>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</si>
  <si>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</si>
  <si>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</si>
  <si>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</si>
  <si>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</si>
  <si>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</si>
  <si>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</si>
  <si>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</si>
  <si>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</si>
  <si>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</si>
  <si>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</si>
  <si>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</si>
  <si>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</si>
  <si>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</si>
  <si>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</si>
  <si>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</si>
  <si>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</si>
  <si>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</si>
  <si>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</si>
  <si>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</si>
  <si>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</si>
  <si>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</si>
  <si>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</si>
  <si>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</si>
  <si>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</si>
  <si>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</si>
  <si>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</si>
  <si>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</si>
  <si>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</si>
  <si>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</si>
  <si>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</si>
  <si>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</si>
  <si>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</si>
  <si>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</si>
  <si>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</si>
  <si>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</si>
  <si>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</si>
  <si>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</si>
  <si>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</si>
  <si>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</si>
  <si>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</si>
  <si>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</si>
  <si>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</si>
  <si>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</si>
  <si>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</si>
  <si>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</si>
  <si>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</si>
  <si>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</si>
  <si>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</si>
  <si>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</si>
  <si>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</si>
  <si>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</si>
  <si>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</si>
  <si>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</si>
  <si>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</si>
  <si>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</si>
  <si>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</si>
  <si>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</si>
  <si>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</si>
  <si>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</si>
  <si>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</si>
  <si>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</si>
  <si>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</si>
  <si>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</si>
  <si>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</si>
  <si>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</si>
  <si>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</si>
  <si>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</si>
  <si>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</si>
  <si>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</si>
  <si>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</si>
  <si>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</si>
  <si>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</si>
  <si>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</si>
  <si>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</si>
  <si>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</si>
  <si>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</si>
  <si>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</si>
  <si>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</si>
  <si>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</si>
  <si>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</si>
  <si>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</si>
  <si>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</si>
  <si>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</si>
  <si>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</si>
  <si>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</si>
  <si>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</si>
  <si>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</si>
  <si>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</si>
  <si>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</si>
  <si>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</si>
  <si>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</si>
  <si>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</si>
  <si>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</si>
  <si>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</si>
  <si>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</si>
  <si>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</si>
  <si>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</si>
  <si>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</si>
  <si>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</si>
  <si>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</si>
  <si>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</si>
  <si>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</si>
  <si>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</si>
  <si>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</si>
  <si>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</si>
  <si>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</si>
  <si>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</si>
  <si>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</si>
  <si>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</si>
  <si>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</si>
  <si>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</si>
  <si>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</si>
  <si>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</si>
  <si>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</si>
  <si>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</si>
  <si>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</si>
  <si>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</si>
  <si>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</si>
  <si>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</si>
  <si>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</si>
  <si>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</si>
  <si>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</si>
  <si>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</si>
  <si>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</si>
  <si>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</si>
  <si>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</si>
  <si>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</si>
  <si>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</si>
  <si>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</si>
  <si>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</si>
  <si>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</si>
  <si>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</si>
  <si>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</si>
  <si>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</si>
  <si>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</si>
  <si>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</si>
  <si>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</si>
  <si>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</si>
  <si>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</si>
  <si>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</si>
  <si>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</si>
  <si>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</si>
  <si>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</si>
  <si>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</si>
  <si>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</si>
  <si>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</si>
  <si>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</si>
  <si>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</si>
  <si>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</si>
  <si>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</si>
  <si>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</si>
  <si>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</si>
  <si>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</si>
  <si>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</si>
  <si>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</si>
  <si>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</si>
  <si>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</si>
  <si>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</si>
  <si>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</si>
  <si>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</si>
  <si>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</si>
  <si>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</si>
  <si>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</si>
  <si>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</si>
  <si>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</si>
  <si>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</si>
  <si>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</si>
  <si>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</si>
  <si>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</si>
  <si>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</si>
  <si>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</si>
  <si>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</si>
  <si>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</si>
  <si>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</si>
  <si>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</si>
  <si>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</si>
  <si>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</si>
  <si>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</si>
  <si>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</si>
  <si>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</si>
  <si>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</si>
  <si>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</si>
  <si>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</si>
  <si>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</si>
  <si>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</si>
  <si>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</si>
  <si>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</si>
  <si>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</si>
  <si>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</si>
  <si>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</si>
  <si>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</si>
  <si>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</si>
  <si>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</si>
  <si>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</si>
  <si>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</si>
  <si>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</si>
  <si>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</si>
  <si>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</si>
  <si>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</si>
  <si>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</si>
  <si>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</si>
  <si>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</si>
  <si>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</si>
  <si>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</si>
  <si>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</si>
  <si>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</si>
  <si>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</si>
  <si>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</si>
  <si>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</si>
  <si>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</si>
  <si>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</si>
  <si>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</si>
  <si>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</si>
  <si>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</si>
  <si>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</si>
  <si>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</si>
  <si>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</si>
  <si>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</si>
  <si>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</si>
  <si>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</si>
  <si>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</si>
  <si>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</si>
  <si>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</si>
  <si>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</si>
  <si>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</si>
  <si>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</si>
  <si>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</si>
  <si>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</si>
  <si>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</si>
  <si>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</si>
  <si>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</si>
  <si>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</si>
  <si>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</si>
  <si>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</si>
  <si>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</si>
  <si>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</si>
  <si>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</si>
  <si>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</si>
  <si>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</si>
  <si>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</si>
  <si>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</si>
  <si>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</si>
  <si>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</si>
  <si>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</si>
  <si>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</si>
  <si>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</si>
  <si>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</si>
  <si>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</si>
  <si>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</si>
  <si>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</si>
  <si>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</si>
  <si>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</si>
  <si>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</si>
  <si>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</si>
  <si>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</si>
  <si>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</si>
  <si>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</si>
  <si>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</si>
  <si>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</si>
  <si>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</si>
  <si>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</si>
  <si>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</si>
  <si>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</si>
  <si>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</si>
  <si>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</si>
  <si>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</si>
  <si>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</si>
  <si>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</si>
  <si>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</si>
  <si>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</si>
  <si>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</si>
  <si>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</si>
  <si>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</si>
  <si>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</si>
  <si>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</si>
  <si>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</si>
  <si>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</si>
  <si>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</si>
  <si>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</si>
  <si>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</si>
  <si>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</si>
  <si>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</si>
  <si>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</si>
  <si>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</si>
  <si>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</si>
  <si>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</si>
  <si>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</si>
  <si>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</si>
  <si>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</si>
  <si>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</si>
  <si>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</si>
  <si>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</si>
  <si>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</si>
  <si>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</si>
  <si>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</si>
  <si>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</si>
  <si>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</si>
  <si>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</si>
  <si>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</si>
  <si>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</si>
  <si>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</si>
  <si>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</si>
  <si>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</si>
  <si>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</si>
  <si>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</si>
  <si>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</si>
  <si>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</si>
  <si>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</si>
  <si>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</si>
  <si>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</si>
  <si>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</si>
  <si>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</si>
  <si>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</si>
  <si>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</si>
  <si>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</si>
  <si>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</si>
  <si>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</si>
  <si>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</si>
  <si>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</si>
  <si>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</si>
  <si>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</si>
  <si>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</si>
  <si>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</si>
  <si>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</si>
  <si>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</si>
  <si>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</si>
  <si>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</si>
  <si>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</si>
  <si>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</si>
  <si>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</si>
  <si>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</si>
  <si>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</si>
  <si>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</si>
  <si>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</si>
  <si>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</si>
  <si>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</si>
  <si>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</si>
  <si>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</si>
  <si>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</si>
  <si>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</si>
  <si>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</si>
  <si>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</si>
  <si>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</si>
  <si>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</si>
  <si>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</si>
  <si>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</si>
  <si>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</si>
  <si>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</si>
  <si>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</si>
  <si>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</si>
  <si>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</si>
  <si>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</si>
  <si>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</si>
  <si>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</si>
  <si>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</si>
  <si>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</si>
  <si>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</si>
  <si>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</si>
  <si>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</si>
  <si>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</si>
  <si>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</si>
  <si>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</si>
  <si>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</si>
  <si>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</si>
  <si>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</si>
  <si>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</si>
  <si>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</si>
  <si>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</si>
  <si>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</si>
  <si>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</si>
  <si>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</si>
  <si>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</si>
  <si>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</si>
  <si>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</si>
  <si>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</si>
  <si>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</si>
  <si>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</si>
  <si>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</si>
  <si>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</si>
  <si>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</si>
  <si>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</si>
  <si>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</si>
  <si>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</si>
  <si>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</si>
  <si>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</si>
  <si>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</si>
  <si>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</si>
  <si>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</si>
  <si>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</si>
  <si>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</si>
  <si>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</si>
  <si>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</si>
  <si>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</si>
  <si>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</si>
  <si>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</si>
  <si>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</si>
  <si>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</si>
  <si>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</si>
  <si>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</si>
  <si>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</si>
  <si>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</si>
  <si>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</si>
  <si>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</si>
  <si>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</si>
  <si>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</si>
  <si>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</si>
  <si>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</si>
  <si>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</si>
  <si>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</si>
  <si>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</si>
  <si>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</si>
  <si>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</si>
  <si>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</si>
  <si>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</si>
  <si>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</si>
  <si>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</si>
  <si>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</si>
  <si>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</si>
  <si>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</si>
  <si>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</si>
  <si>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</si>
  <si>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</si>
  <si>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</si>
  <si>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</si>
  <si>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</si>
  <si>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</si>
  <si>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</si>
  <si>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</si>
  <si>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</si>
  <si>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</si>
  <si>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</si>
  <si>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</si>
  <si>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</si>
  <si>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</si>
  <si>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</si>
  <si>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</si>
  <si>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</si>
  <si>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</si>
  <si>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</si>
  <si>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</si>
  <si>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</si>
  <si>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</si>
  <si>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</si>
  <si>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</si>
  <si>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</si>
  <si>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</si>
  <si>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</si>
  <si>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</si>
  <si>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</si>
  <si>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</si>
  <si>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</si>
  <si>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</si>
  <si>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</si>
  <si>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</si>
  <si>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</si>
  <si>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</si>
  <si>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</si>
  <si>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</si>
  <si>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</si>
  <si>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</si>
  <si>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</si>
  <si>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</si>
  <si>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</si>
  <si>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</si>
  <si>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</si>
  <si>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</si>
  <si>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</si>
  <si>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</si>
  <si>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</si>
  <si>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</si>
  <si>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</si>
  <si>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</si>
  <si>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</si>
  <si>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</si>
  <si>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</si>
  <si>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</si>
  <si>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</si>
  <si>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</si>
  <si>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</si>
  <si>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</si>
  <si>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</si>
  <si>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</si>
  <si>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</si>
  <si>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</si>
  <si>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</si>
  <si>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</si>
  <si>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</si>
  <si>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</si>
  <si>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</si>
  <si>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</si>
  <si>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</si>
  <si>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</si>
  <si>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</si>
  <si>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</si>
  <si>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</si>
  <si>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</si>
  <si>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</si>
  <si>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</si>
  <si>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</si>
  <si>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</si>
  <si>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</si>
  <si>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</si>
  <si>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</si>
  <si>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</si>
  <si>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</si>
  <si>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</si>
  <si>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</si>
  <si>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</si>
  <si>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</si>
  <si>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</si>
  <si>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</si>
  <si>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</si>
  <si>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</si>
  <si>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</si>
  <si>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</si>
  <si>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</si>
  <si>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</si>
  <si>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</si>
  <si>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</si>
  <si>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</si>
  <si>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</si>
  <si>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</si>
  <si>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</si>
  <si>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</si>
  <si>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</si>
  <si>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</si>
  <si>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</si>
  <si>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</si>
  <si>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</si>
  <si>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</si>
  <si>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</si>
  <si>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</si>
  <si>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</si>
  <si>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</si>
  <si>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</si>
  <si>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</si>
  <si>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</si>
  <si>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</si>
  <si>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</si>
  <si>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</si>
  <si>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</si>
  <si>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</si>
  <si>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</si>
  <si>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</si>
  <si>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</si>
  <si>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</si>
  <si>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</si>
  <si>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</si>
  <si>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</si>
  <si>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</si>
  <si>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</si>
  <si>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</si>
  <si>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</si>
  <si>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</si>
  <si>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</si>
  <si>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</si>
  <si>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</si>
  <si>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</si>
  <si>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</si>
  <si>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</si>
  <si>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</si>
  <si>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</si>
  <si>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</si>
  <si>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</si>
  <si>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</si>
  <si>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</si>
  <si>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</si>
  <si>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</si>
  <si>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</si>
  <si>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</si>
  <si>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</si>
  <si>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</si>
  <si>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</si>
  <si>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</si>
  <si>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</si>
  <si>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</si>
  <si>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</si>
  <si>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</si>
  <si>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</si>
  <si>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</si>
  <si>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</si>
  <si>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</si>
  <si>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</si>
  <si>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</si>
  <si>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</si>
  <si>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</si>
  <si>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</si>
  <si>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</si>
  <si>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</si>
  <si>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</si>
  <si>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</si>
  <si>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</si>
  <si>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</si>
  <si>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</si>
  <si>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</si>
  <si>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</si>
  <si>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</si>
  <si>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</si>
  <si>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</si>
  <si>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</si>
  <si>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</si>
  <si>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</si>
  <si>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</si>
  <si>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</si>
  <si>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</si>
  <si>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</si>
  <si>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</si>
  <si>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</si>
  <si>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</si>
  <si>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</si>
  <si>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</si>
  <si>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</si>
  <si>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</si>
  <si>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</si>
  <si>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</si>
  <si>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</si>
  <si>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</si>
  <si>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</si>
  <si>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</si>
  <si>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</si>
  <si>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</si>
  <si>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</si>
  <si>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</si>
  <si>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</si>
  <si>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</si>
  <si>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</si>
  <si>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</si>
  <si>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</si>
  <si>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</si>
  <si>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</si>
  <si>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</si>
  <si>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</si>
  <si>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</si>
  <si>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</si>
  <si>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</si>
  <si>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</si>
  <si>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</si>
  <si>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</si>
  <si>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</si>
  <si>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</si>
  <si>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</si>
  <si>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</si>
  <si>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</si>
  <si>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</si>
  <si>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</si>
  <si>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</si>
  <si>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</si>
  <si>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</si>
  <si>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</si>
  <si>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</si>
  <si>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</si>
  <si>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</si>
  <si>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</si>
  <si>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</si>
  <si>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</si>
  <si>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</si>
  <si>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</si>
  <si>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</si>
  <si>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</si>
  <si>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</si>
  <si>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</si>
  <si>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</si>
  <si>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</si>
  <si>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</si>
  <si>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</si>
  <si>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</si>
  <si>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</si>
  <si>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</si>
  <si>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</si>
  <si>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</si>
  <si>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</si>
  <si>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</si>
  <si>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</si>
  <si>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</si>
  <si>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</si>
  <si>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</si>
  <si>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</si>
  <si>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</si>
  <si>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</si>
  <si>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</si>
  <si>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</si>
  <si>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</si>
  <si>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</si>
  <si>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</si>
  <si>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</si>
  <si>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</si>
  <si>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</si>
  <si>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</si>
  <si>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</si>
  <si>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</si>
  <si>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</si>
  <si>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</si>
  <si>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</si>
  <si>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</si>
  <si>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</si>
  <si>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</si>
  <si>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</si>
  <si>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</si>
  <si>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</si>
  <si>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</si>
  <si>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</si>
  <si>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</si>
  <si>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</si>
  <si>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</si>
  <si>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</si>
  <si>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</si>
  <si>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</si>
  <si>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</si>
  <si>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</si>
  <si>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</si>
  <si>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</si>
  <si>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</si>
  <si>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</si>
  <si>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</si>
  <si>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</si>
  <si>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</si>
  <si>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</si>
  <si>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</si>
  <si>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</si>
  <si>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</si>
  <si>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</si>
  <si>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</si>
  <si>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</si>
  <si>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</si>
  <si>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</si>
  <si>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</si>
  <si>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</si>
  <si>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</si>
  <si>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</si>
  <si>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</si>
  <si>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</si>
  <si>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</si>
  <si>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</si>
  <si>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</si>
  <si>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</si>
  <si>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</si>
  <si>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</si>
  <si>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</si>
  <si>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</si>
  <si>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</si>
  <si>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</si>
  <si>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</si>
  <si>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</si>
  <si>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</si>
  <si>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</si>
  <si>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</si>
  <si>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</si>
  <si>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</si>
  <si>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</si>
  <si>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</si>
  <si>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</si>
  <si>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</si>
  <si>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</si>
  <si>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</si>
  <si>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</si>
  <si>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</si>
  <si>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</si>
  <si>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</si>
  <si>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</si>
  <si>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</si>
  <si>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</si>
  <si>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</si>
  <si>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</si>
  <si>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</si>
  <si>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</si>
  <si>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</si>
  <si>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</si>
  <si>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</si>
  <si>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</si>
  <si>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</si>
  <si>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</si>
  <si>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</si>
  <si>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</si>
  <si>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</si>
  <si>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</si>
  <si>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</si>
  <si>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</si>
  <si>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</si>
  <si>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</si>
  <si>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</si>
  <si>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</si>
  <si>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</si>
  <si>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</si>
  <si>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</si>
  <si>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</si>
  <si>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</si>
  <si>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</si>
  <si>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</si>
  <si>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</si>
  <si>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</si>
  <si>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</si>
  <si>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</si>
  <si>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</si>
  <si>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</si>
  <si>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</si>
  <si>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</si>
  <si>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</si>
  <si>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</si>
  <si>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</si>
  <si>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</si>
  <si>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</si>
  <si>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</si>
  <si>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</si>
  <si>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</si>
  <si>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</si>
  <si>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</si>
  <si>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</si>
  <si>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</si>
  <si>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</si>
  <si>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</si>
  <si>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</si>
  <si>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</si>
  <si>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</si>
  <si>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</si>
  <si>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</si>
  <si>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</si>
  <si>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</si>
  <si>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</si>
  <si>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</si>
  <si>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</si>
  <si>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</si>
  <si>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</si>
  <si>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</si>
  <si>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</si>
  <si>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</si>
  <si>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</si>
  <si>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</si>
  <si>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</si>
  <si>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</si>
  <si>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</si>
  <si>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</si>
  <si>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</si>
  <si>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</si>
  <si>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</si>
  <si>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</si>
  <si>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</si>
  <si>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</si>
  <si>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</si>
  <si>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</si>
  <si>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</si>
  <si>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</si>
  <si>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</si>
  <si>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</si>
  <si>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</si>
  <si>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</si>
  <si>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</si>
  <si>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</si>
  <si>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</si>
  <si>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</si>
  <si>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</si>
  <si>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</si>
  <si>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</si>
  <si>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</si>
  <si>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</si>
  <si>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</si>
  <si>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</si>
  <si>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</si>
  <si>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</si>
  <si>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</si>
  <si>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</si>
  <si>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</si>
  <si>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</si>
  <si>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</si>
  <si>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</si>
  <si>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</si>
  <si>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</si>
  <si>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</si>
  <si>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</si>
  <si>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</si>
  <si>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</si>
  <si>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</si>
  <si>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</si>
  <si>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</si>
  <si>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</si>
  <si>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</si>
  <si>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</si>
  <si>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</si>
  <si>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</si>
  <si>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</si>
  <si>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</si>
  <si>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</si>
  <si>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</si>
  <si>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</si>
  <si>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</si>
  <si>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</si>
  <si>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</si>
  <si>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</si>
  <si>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</si>
  <si>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</si>
  <si>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</si>
  <si>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</si>
  <si>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</si>
  <si>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</si>
  <si>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</si>
  <si>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</si>
  <si>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</si>
  <si>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</si>
  <si>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</si>
  <si>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</si>
  <si>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</si>
  <si>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</si>
  <si>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</si>
  <si>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</si>
  <si>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</si>
  <si>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</si>
  <si>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</si>
  <si>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</si>
  <si>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</si>
  <si>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</si>
  <si>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</si>
  <si>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</si>
  <si>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</si>
  <si>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</si>
  <si>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</si>
  <si>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</si>
  <si>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</si>
  <si>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</si>
  <si>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</si>
  <si>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</si>
  <si>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</si>
  <si>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</si>
  <si>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</si>
  <si>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</si>
  <si>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</si>
  <si>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</si>
  <si>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</si>
  <si>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</si>
  <si>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</si>
  <si>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</si>
  <si>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</si>
  <si>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</si>
  <si>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</si>
  <si>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</si>
  <si>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</si>
  <si>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</si>
  <si>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</si>
  <si>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</si>
  <si>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</si>
  <si>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</si>
  <si>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</si>
  <si>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</si>
  <si>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</si>
  <si>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</si>
  <si>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</si>
  <si>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</si>
  <si>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</si>
  <si>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</si>
  <si>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</si>
  <si>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</si>
  <si>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</si>
  <si>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</si>
  <si>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</si>
  <si>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</si>
  <si>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</si>
  <si>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</si>
  <si>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</si>
  <si>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</si>
  <si>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</si>
  <si>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</si>
  <si>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</si>
  <si>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</si>
  <si>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</si>
  <si>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</si>
  <si>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</si>
  <si>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</si>
  <si>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</si>
  <si>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</si>
  <si>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</si>
  <si>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</si>
  <si>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</si>
  <si>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</si>
  <si>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</si>
  <si>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</si>
  <si>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</si>
  <si>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</si>
  <si>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</si>
  <si>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</si>
  <si>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</si>
  <si>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</si>
  <si>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</si>
  <si>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</si>
  <si>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</si>
  <si>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</si>
  <si>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</si>
  <si>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</si>
  <si>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</si>
  <si>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</si>
  <si>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</si>
  <si>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</si>
  <si>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</si>
  <si>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</si>
  <si>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</si>
  <si>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</si>
  <si>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</si>
  <si>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</si>
  <si>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</si>
  <si>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</si>
  <si>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</si>
  <si>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</si>
  <si>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</si>
  <si>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</si>
  <si>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</si>
  <si>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</si>
  <si>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</si>
  <si>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</si>
  <si>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</si>
  <si>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</si>
  <si>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</si>
  <si>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</si>
  <si>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</si>
  <si>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</si>
  <si>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</si>
  <si>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</si>
  <si>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</si>
  <si>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</si>
  <si>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</si>
  <si>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</si>
  <si>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</si>
  <si>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</si>
  <si>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</si>
  <si>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</si>
  <si>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</si>
  <si>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</si>
  <si>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</si>
  <si>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</si>
  <si>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</si>
  <si>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</si>
  <si>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</si>
  <si>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</si>
  <si>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</si>
  <si>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</si>
  <si>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</si>
  <si>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</si>
  <si>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</si>
  <si>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</si>
  <si>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</si>
  <si>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</si>
  <si>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</si>
  <si>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</si>
  <si>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</si>
  <si>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</si>
  <si>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</si>
  <si>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</si>
  <si>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</si>
  <si>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</si>
  <si>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</si>
  <si>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</si>
  <si>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</si>
  <si>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</si>
  <si>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</si>
  <si>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</si>
  <si>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</si>
  <si>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</si>
  <si>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</si>
  <si>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</si>
  <si>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</si>
  <si>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</si>
  <si>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</si>
  <si>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</si>
  <si>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</si>
  <si>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</si>
  <si>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</si>
  <si>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</si>
  <si>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</si>
  <si>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</si>
  <si>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</si>
  <si>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</si>
  <si>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</si>
  <si>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</si>
  <si>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</si>
  <si>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</si>
  <si>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</si>
  <si>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</si>
  <si>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</si>
  <si>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</si>
  <si>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</si>
  <si>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</si>
  <si>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</si>
  <si>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</si>
  <si>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</si>
  <si>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</si>
  <si>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</si>
  <si>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</si>
  <si>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</si>
  <si>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</si>
  <si>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</si>
  <si>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</si>
  <si>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</si>
  <si>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</si>
  <si>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</si>
  <si>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</si>
  <si>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</si>
  <si>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</si>
  <si>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</si>
  <si>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</si>
  <si>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</si>
  <si>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</si>
  <si>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</si>
  <si>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</si>
  <si>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</si>
  <si>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</si>
  <si>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</si>
  <si>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</si>
  <si>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</si>
  <si>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</si>
  <si>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</si>
  <si>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</si>
  <si>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</si>
  <si>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</si>
  <si>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</si>
  <si>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</si>
  <si>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</si>
  <si>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</si>
  <si>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</si>
  <si>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</si>
  <si>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</si>
  <si>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</si>
  <si>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</si>
  <si>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</si>
  <si>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</si>
  <si>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</si>
  <si>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</si>
  <si>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</si>
  <si>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</si>
  <si>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</si>
  <si>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</si>
  <si>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</si>
  <si>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</si>
  <si>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</si>
  <si>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</si>
  <si>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</si>
  <si>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</si>
  <si>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</si>
  <si>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</si>
  <si>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</si>
  <si>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</si>
  <si>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</si>
  <si>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</si>
  <si>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</si>
  <si>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</si>
  <si>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</si>
  <si>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</si>
  <si>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</si>
  <si>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</si>
  <si>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</si>
  <si>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</si>
  <si>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</si>
  <si>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</si>
  <si>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</si>
  <si>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</si>
  <si>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</si>
  <si>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</si>
  <si>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</si>
  <si>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</si>
  <si>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</si>
  <si>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</si>
  <si>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</si>
  <si>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</si>
  <si>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</si>
  <si>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</si>
  <si>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</si>
  <si>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</si>
  <si>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</si>
  <si>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</si>
  <si>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</si>
  <si>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</si>
  <si>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</si>
  <si>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</si>
  <si>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</si>
  <si>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</si>
  <si>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</si>
  <si>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</si>
  <si>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</si>
  <si>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</si>
  <si>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</si>
  <si>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</si>
  <si>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</si>
  <si>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</si>
  <si>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</si>
  <si>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</si>
  <si>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</si>
  <si>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</si>
  <si>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</si>
  <si>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</si>
  <si>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</si>
  <si>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</si>
  <si>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</si>
  <si>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</si>
  <si>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</si>
  <si>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</si>
  <si>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</si>
  <si>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</si>
  <si>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</si>
  <si>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</si>
  <si>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</si>
  <si>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</si>
  <si>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</si>
  <si>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</si>
  <si>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</si>
  <si>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</si>
  <si>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</si>
  <si>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</si>
  <si>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</si>
  <si>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</si>
  <si>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</si>
  <si>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</si>
  <si>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</si>
  <si>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</si>
  <si>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</si>
  <si>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</si>
  <si>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</si>
  <si>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</si>
  <si>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</si>
  <si>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</si>
  <si>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</si>
  <si>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</si>
  <si>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</si>
  <si>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</si>
  <si>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</si>
  <si>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</si>
  <si>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</si>
  <si>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</si>
  <si>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</si>
  <si>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</si>
  <si>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</si>
  <si>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</si>
  <si>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</si>
  <si>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</si>
  <si>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</si>
  <si>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</si>
  <si>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</si>
  <si>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</si>
  <si>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</si>
  <si>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</si>
  <si>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</si>
  <si>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</si>
  <si>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</si>
  <si>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</si>
  <si>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</si>
  <si>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</si>
  <si>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</si>
  <si>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</si>
  <si>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</si>
  <si>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</si>
  <si>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</si>
  <si>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</si>
  <si>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</si>
  <si>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</si>
  <si>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</si>
  <si>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</si>
  <si>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</si>
  <si>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</si>
  <si>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</si>
  <si>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</si>
  <si>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</si>
  <si>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</si>
  <si>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</si>
  <si>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</si>
  <si>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</si>
  <si>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</si>
  <si>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</si>
  <si>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</si>
  <si>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</si>
  <si>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</si>
  <si>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</si>
  <si>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</si>
  <si>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</si>
  <si>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</si>
  <si>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</si>
  <si>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</si>
  <si>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</si>
  <si>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</si>
  <si>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</si>
  <si>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</si>
  <si>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</si>
  <si>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</si>
  <si>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</si>
  <si>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</si>
  <si>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</si>
  <si>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</si>
  <si>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</si>
  <si>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</si>
  <si>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</si>
  <si>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</si>
  <si>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</si>
  <si>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</si>
  <si>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</si>
  <si>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</si>
  <si>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</si>
  <si>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</si>
  <si>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</si>
  <si>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</si>
  <si>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</si>
  <si>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</si>
  <si>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</si>
  <si>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</si>
  <si>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</si>
  <si>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</si>
  <si>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</si>
  <si>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</si>
  <si>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</si>
  <si>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</si>
  <si>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</si>
  <si>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</si>
  <si>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</si>
  <si>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</si>
  <si>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</si>
  <si>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</si>
  <si>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</si>
  <si>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</si>
  <si>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</si>
  <si>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</si>
  <si>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</si>
  <si>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</si>
  <si>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</si>
  <si>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</si>
  <si>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</si>
  <si>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</si>
  <si>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</si>
  <si>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</si>
  <si>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</si>
  <si>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</si>
  <si>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</si>
  <si>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</si>
  <si>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</si>
  <si>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</si>
  <si>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</si>
  <si>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</si>
  <si>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</si>
  <si>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</si>
  <si>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</si>
  <si>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</si>
  <si>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</si>
  <si>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</si>
  <si>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</si>
  <si>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</si>
  <si>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</si>
  <si>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</si>
  <si>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</si>
  <si>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</si>
  <si>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</si>
  <si>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</si>
  <si>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</si>
  <si>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</si>
  <si>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</si>
  <si>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</si>
  <si>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</si>
  <si>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</si>
  <si>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</si>
  <si>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</si>
  <si>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</si>
  <si>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</si>
  <si>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</si>
  <si>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</si>
  <si>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</si>
  <si>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</si>
  <si>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</si>
  <si>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</si>
  <si>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</si>
  <si>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</si>
  <si>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</si>
  <si>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</si>
  <si>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</si>
  <si>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</si>
  <si>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</si>
  <si>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</si>
  <si>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</si>
  <si>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</si>
  <si>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</si>
  <si>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</si>
  <si>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</si>
  <si>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</si>
  <si>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</si>
  <si>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</si>
  <si>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</si>
  <si>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</si>
  <si>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</si>
  <si>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</si>
  <si>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</si>
  <si>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</si>
  <si>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</si>
  <si>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</si>
  <si>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</si>
  <si>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</si>
  <si>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</si>
  <si>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</si>
  <si>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</si>
  <si>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</si>
  <si>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</si>
  <si>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</si>
  <si>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</si>
  <si>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</si>
  <si>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</si>
  <si>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</si>
  <si>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</si>
  <si>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</si>
  <si>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</si>
  <si>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</si>
  <si>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</si>
  <si>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</si>
  <si>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</si>
  <si>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</si>
  <si>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</si>
  <si>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</si>
  <si>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</si>
  <si>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</si>
  <si>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</si>
  <si>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</si>
  <si>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</si>
  <si>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</si>
  <si>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</si>
  <si>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</si>
  <si>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</si>
  <si>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</si>
  <si>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</si>
  <si>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</si>
  <si>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</si>
  <si>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</si>
  <si>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</si>
  <si>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</si>
  <si>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</si>
  <si>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</si>
  <si>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</si>
  <si>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</si>
  <si>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</si>
  <si>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</si>
  <si>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</si>
  <si>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</si>
  <si>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</si>
  <si>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</si>
  <si>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</si>
  <si>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</si>
  <si>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</si>
  <si>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</si>
  <si>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</si>
  <si>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</si>
  <si>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</si>
  <si>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</si>
  <si>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</si>
  <si>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</si>
  <si>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</si>
  <si>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</si>
  <si>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</si>
  <si>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</si>
  <si>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</si>
  <si>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</si>
  <si>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</si>
  <si>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</si>
  <si>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</si>
  <si>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</si>
  <si>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</si>
  <si>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</si>
  <si>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</si>
  <si>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</si>
  <si>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</si>
  <si>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</si>
  <si>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</si>
  <si>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</si>
  <si>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</si>
  <si>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</si>
  <si>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</si>
  <si>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</si>
  <si>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</si>
  <si>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</si>
  <si>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</si>
  <si>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</si>
  <si>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</si>
  <si>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</si>
  <si>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</si>
  <si>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</si>
  <si>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</si>
  <si>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</si>
  <si>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</si>
  <si>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</si>
  <si>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</si>
  <si>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</si>
  <si>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</si>
  <si>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</si>
  <si>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</si>
  <si>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</si>
  <si>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</si>
  <si>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</si>
  <si>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</si>
  <si>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</si>
  <si>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</si>
  <si>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</si>
  <si>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</si>
  <si>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</si>
  <si>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</si>
  <si>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</si>
  <si>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</si>
  <si>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</si>
  <si>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</si>
  <si>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</si>
  <si>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</si>
  <si>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</si>
  <si>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</si>
  <si>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</si>
  <si>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</si>
  <si>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</si>
  <si>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</si>
  <si>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</si>
  <si>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</si>
  <si>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</si>
  <si>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</si>
  <si>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</si>
  <si>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</si>
  <si>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</si>
  <si>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</si>
  <si>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</si>
  <si>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</si>
  <si>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</si>
  <si>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</si>
  <si>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</si>
  <si>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</si>
  <si>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</si>
  <si>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</si>
  <si>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</si>
  <si>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</si>
  <si>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</si>
  <si>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</si>
  <si>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</si>
  <si>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</si>
  <si>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</si>
  <si>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</si>
  <si>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</si>
  <si>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</si>
  <si>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</si>
  <si>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</si>
  <si>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</si>
  <si>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</si>
  <si>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</si>
  <si>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</si>
  <si>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</si>
  <si>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</si>
  <si>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</si>
  <si>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</si>
  <si>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</si>
  <si>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</si>
  <si>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</si>
  <si>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</si>
  <si>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</si>
  <si>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</si>
  <si>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</si>
  <si>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</si>
  <si>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</si>
  <si>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</si>
  <si>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</si>
  <si>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</si>
  <si>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</si>
  <si>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</si>
  <si>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</si>
  <si>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</si>
  <si>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</si>
  <si>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</si>
  <si>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</si>
  <si>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</si>
  <si>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</si>
  <si>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</si>
  <si>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</si>
  <si>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</si>
  <si>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</si>
  <si>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</si>
  <si>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</si>
  <si>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</si>
  <si>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</si>
  <si>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</si>
  <si>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</si>
  <si>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</si>
  <si>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</si>
  <si>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</si>
  <si>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</si>
  <si>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</si>
  <si>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</si>
  <si>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</si>
  <si>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</si>
  <si>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</si>
  <si>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</si>
  <si>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</si>
  <si>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</si>
  <si>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</si>
  <si>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</si>
  <si>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</si>
  <si>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</si>
  <si>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</si>
  <si>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</si>
  <si>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</si>
  <si>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</si>
  <si>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</si>
  <si>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</si>
  <si>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</si>
  <si>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</si>
  <si>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</si>
  <si>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</si>
  <si>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</si>
  <si>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</si>
  <si>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</si>
  <si>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</si>
  <si>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</si>
  <si>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</si>
  <si>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</si>
  <si>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</si>
  <si>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</si>
  <si>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</si>
  <si>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</si>
  <si>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</si>
  <si>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</si>
  <si>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</si>
  <si>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</si>
  <si>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</si>
  <si>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</si>
  <si>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</si>
  <si>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</si>
  <si>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</si>
  <si>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</si>
  <si>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</si>
  <si>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</si>
  <si>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</si>
  <si>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</si>
  <si>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</si>
  <si>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</si>
  <si>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</si>
  <si>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</si>
  <si>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</si>
  <si>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</si>
  <si>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</si>
  <si>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</si>
  <si>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</si>
  <si>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</si>
  <si>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</si>
  <si>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</si>
  <si>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</si>
  <si>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</si>
  <si>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</si>
  <si>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</si>
  <si>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</si>
  <si>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</si>
  <si>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</si>
  <si>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</si>
  <si>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</si>
  <si>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</si>
  <si>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</si>
  <si>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</si>
  <si>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</si>
  <si>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</si>
  <si>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</si>
  <si>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</si>
  <si>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</si>
  <si>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</si>
  <si>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</si>
  <si>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</si>
  <si>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</si>
  <si>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</si>
  <si>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</si>
  <si>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</si>
  <si>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</si>
  <si>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</si>
  <si>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</si>
  <si>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</si>
  <si>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</si>
  <si>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</si>
  <si>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</si>
  <si>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</si>
  <si>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</si>
  <si>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</si>
  <si>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</si>
  <si>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</si>
  <si>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</si>
  <si>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</si>
  <si>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</si>
  <si>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</si>
  <si>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</si>
  <si>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</si>
  <si>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</si>
  <si>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</si>
  <si>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</si>
  <si>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</si>
  <si>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</si>
  <si>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</si>
  <si>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</si>
  <si>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</si>
  <si>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</si>
  <si>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</si>
  <si>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</si>
  <si>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</si>
  <si>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</si>
  <si>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</si>
  <si>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</si>
  <si>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</si>
  <si>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</si>
  <si>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</si>
  <si>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</si>
  <si>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</si>
  <si>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</si>
  <si>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</si>
  <si>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</si>
  <si>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</si>
  <si>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</si>
  <si>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</si>
  <si>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</si>
  <si>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</si>
  <si>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</si>
  <si>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</si>
  <si>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</si>
  <si>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</si>
  <si>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</si>
  <si>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</si>
  <si>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</si>
  <si>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</si>
  <si>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</si>
  <si>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</si>
  <si>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</si>
  <si>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</si>
  <si>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</si>
  <si>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</si>
  <si>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</si>
  <si>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</si>
  <si>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</si>
  <si>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</si>
  <si>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</si>
  <si>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</si>
  <si>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</si>
  <si>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</si>
  <si>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</si>
  <si>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</si>
  <si>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</si>
  <si>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</si>
  <si>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</si>
  <si>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</si>
  <si>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</si>
  <si>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</si>
  <si>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</si>
  <si>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</si>
  <si>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</si>
  <si>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</si>
  <si>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</si>
  <si>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</si>
  <si>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</si>
  <si>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</si>
  <si>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</si>
  <si>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</si>
  <si>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</si>
  <si>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</si>
  <si>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</si>
  <si>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</si>
  <si>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</si>
  <si>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</si>
  <si>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</si>
  <si>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</si>
  <si>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</si>
  <si>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</si>
  <si>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</si>
  <si>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</si>
  <si>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</si>
  <si>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</si>
  <si>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</si>
  <si>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</si>
  <si>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</si>
  <si>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</si>
  <si>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</si>
  <si>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</si>
  <si>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</si>
  <si>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</si>
  <si>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</si>
  <si>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</si>
  <si>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</si>
  <si>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</si>
  <si>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</si>
  <si>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</si>
  <si>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</si>
  <si>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</si>
  <si>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</si>
  <si>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</si>
  <si>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</si>
  <si>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</si>
  <si>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</si>
  <si>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</si>
  <si>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</si>
  <si>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</si>
  <si>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</si>
  <si>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</si>
  <si>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</si>
  <si>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</si>
  <si>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</si>
  <si>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</si>
  <si>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</si>
  <si>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</si>
  <si>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</si>
  <si>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</si>
  <si>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</si>
  <si>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</si>
  <si>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</si>
  <si>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</si>
  <si>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</si>
  <si>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</si>
  <si>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</si>
  <si>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</si>
  <si>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</si>
  <si>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</si>
  <si>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</si>
  <si>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</si>
  <si>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</si>
  <si>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</si>
  <si>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</si>
  <si>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</si>
  <si>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</si>
  <si>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</si>
  <si>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</si>
  <si>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</si>
  <si>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</si>
  <si>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</si>
  <si>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</si>
  <si>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</si>
  <si>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</si>
  <si>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</si>
  <si>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</si>
  <si>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</si>
  <si>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</si>
  <si>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</si>
  <si>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</si>
  <si>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</si>
  <si>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</si>
  <si>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</si>
  <si>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</si>
  <si>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</si>
  <si>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</si>
  <si>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</si>
  <si>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</si>
  <si>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</si>
  <si>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</si>
  <si>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</si>
  <si>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</si>
  <si>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</si>
  <si>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</si>
  <si>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</si>
  <si>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</si>
  <si>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</si>
  <si>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</si>
  <si>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</si>
  <si>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</si>
  <si>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</si>
  <si>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</si>
  <si>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</si>
  <si>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</si>
  <si>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</si>
  <si>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</si>
  <si>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</si>
  <si>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</si>
  <si>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</si>
  <si>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</si>
  <si>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</si>
  <si>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</si>
  <si>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</si>
  <si>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</si>
  <si>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</si>
  <si>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</si>
  <si>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</si>
  <si>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</si>
  <si>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</si>
  <si>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</si>
  <si>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</si>
  <si>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</si>
  <si>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</si>
  <si>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</si>
  <si>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</si>
  <si>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</si>
  <si>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</si>
  <si>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</si>
  <si>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</si>
  <si>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</si>
  <si>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</si>
  <si>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</si>
  <si>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</si>
  <si>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</si>
  <si>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</si>
  <si>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</si>
  <si>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</si>
  <si>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</si>
  <si>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</si>
  <si>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</si>
  <si>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</si>
  <si>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</si>
  <si>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</si>
  <si>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</si>
  <si>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</si>
  <si>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</si>
  <si>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</si>
  <si>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</si>
  <si>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</si>
  <si>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</si>
  <si>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</si>
  <si>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</si>
  <si>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</si>
  <si>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</si>
  <si>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</si>
  <si>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</si>
  <si>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</si>
  <si>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</si>
  <si>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</si>
  <si>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</si>
  <si>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</si>
  <si>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</si>
  <si>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</si>
  <si>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</si>
  <si>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</si>
  <si>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</si>
  <si>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</si>
  <si>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</si>
  <si>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</si>
  <si>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</si>
  <si>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</si>
  <si>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</si>
  <si>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</si>
  <si>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</si>
  <si>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</si>
  <si>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</si>
  <si>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</si>
  <si>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</si>
  <si>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</si>
  <si>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</si>
  <si>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</si>
  <si>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</si>
  <si>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</si>
  <si>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</si>
  <si>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</si>
  <si>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</si>
  <si>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</si>
  <si>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</si>
  <si>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</si>
  <si>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</si>
  <si>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</si>
  <si>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</si>
  <si>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</si>
  <si>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</si>
  <si>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</si>
  <si>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</si>
  <si>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</si>
  <si>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</si>
  <si>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</si>
  <si>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</si>
  <si>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</si>
  <si>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</si>
  <si>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</si>
  <si>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</si>
  <si>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</si>
  <si>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</si>
  <si>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</si>
  <si>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</si>
  <si>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</si>
  <si>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</si>
  <si>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</si>
  <si>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</si>
  <si>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</si>
  <si>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</si>
  <si>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</si>
  <si>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</si>
  <si>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</si>
  <si>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</si>
  <si>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</si>
  <si>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</si>
  <si>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</si>
  <si>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</si>
  <si>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</si>
  <si>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</si>
  <si>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</si>
  <si>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</si>
  <si>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</si>
  <si>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</si>
  <si>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</si>
  <si>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</si>
  <si>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</si>
  <si>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</si>
  <si>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</si>
  <si>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</si>
  <si>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</si>
  <si>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</si>
  <si>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</si>
  <si>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</si>
  <si>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</si>
  <si>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</si>
  <si>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</si>
  <si>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</si>
  <si>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</si>
  <si>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</si>
  <si>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</si>
  <si>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</si>
  <si>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</si>
  <si>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</si>
  <si>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</si>
  <si>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</si>
  <si>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</si>
  <si>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</si>
  <si>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</si>
  <si>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</si>
  <si>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</si>
  <si>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</si>
  <si>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</si>
  <si>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</si>
  <si>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</si>
  <si>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</si>
  <si>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</si>
  <si>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</si>
  <si>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</si>
  <si>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</si>
  <si>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</si>
  <si>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</si>
  <si>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</si>
  <si>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</si>
  <si>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</si>
  <si>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</si>
  <si>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</si>
  <si>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</si>
  <si>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</si>
  <si>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</si>
  <si>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</si>
  <si>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</si>
  <si>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</si>
  <si>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</si>
  <si>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</si>
  <si>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</si>
  <si>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</si>
  <si>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</si>
  <si>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</si>
  <si>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</si>
  <si>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</si>
  <si>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</si>
  <si>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</si>
  <si>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</si>
  <si>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</si>
  <si>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</si>
  <si>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</si>
  <si>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</si>
  <si>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</si>
  <si>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</si>
  <si>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</si>
  <si>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</si>
  <si>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</si>
  <si>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</si>
  <si>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</si>
  <si>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</si>
  <si>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</si>
  <si>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</si>
  <si>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</si>
  <si>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</si>
  <si>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</si>
  <si>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</si>
  <si>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</si>
  <si>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</si>
  <si>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</si>
  <si>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</si>
  <si>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</si>
  <si>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</si>
  <si>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</si>
  <si>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</si>
  <si>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</si>
  <si>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</si>
  <si>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</si>
  <si>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</si>
  <si>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</si>
  <si>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</si>
  <si>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</si>
  <si>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</si>
  <si>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</si>
  <si>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</si>
  <si>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</si>
  <si>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</si>
  <si>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</si>
  <si>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</si>
  <si>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</si>
  <si>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</si>
  <si>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</si>
  <si>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</si>
  <si>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</si>
  <si>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</si>
  <si>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</si>
  <si>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</si>
  <si>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</si>
  <si>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</si>
  <si>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</si>
  <si>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</si>
  <si>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</si>
  <si>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</si>
  <si>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</si>
  <si>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</si>
  <si>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</si>
  <si>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</si>
  <si>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</si>
  <si>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</si>
  <si>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</si>
  <si>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</si>
  <si>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</si>
  <si>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</si>
  <si>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</si>
  <si>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</si>
  <si>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</si>
  <si>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</si>
  <si>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</si>
  <si>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</si>
  <si>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</si>
  <si>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</si>
  <si>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</si>
  <si>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</si>
  <si>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</si>
  <si>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</si>
  <si>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</si>
  <si>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</si>
  <si>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</si>
  <si>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</si>
  <si>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</si>
  <si>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</si>
  <si>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</si>
  <si>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</si>
  <si>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</si>
  <si>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</si>
  <si>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</si>
  <si>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</si>
  <si>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</si>
  <si>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</si>
  <si>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</si>
  <si>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</si>
  <si>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</si>
  <si>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</si>
  <si>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</si>
  <si>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</si>
  <si>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</si>
  <si>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</si>
  <si>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</si>
  <si>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</si>
  <si>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</si>
  <si>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</si>
  <si>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</si>
  <si>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</si>
  <si>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</si>
  <si>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</si>
  <si>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</si>
  <si>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</si>
  <si>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</si>
  <si>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</si>
  <si>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</si>
  <si>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</si>
  <si>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</si>
  <si>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</si>
  <si>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</si>
  <si>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</si>
  <si>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</si>
  <si>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</si>
  <si>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</si>
  <si>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</si>
  <si>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</si>
  <si>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</si>
  <si>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</si>
  <si>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</si>
  <si>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</si>
  <si>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</si>
  <si>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</si>
  <si>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</si>
  <si>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</si>
  <si>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</si>
  <si>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</si>
  <si>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</si>
  <si>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</si>
  <si>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</si>
  <si>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</si>
  <si>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</si>
  <si>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</si>
  <si>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</si>
  <si>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</si>
  <si>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</si>
  <si>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</si>
  <si>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</si>
  <si>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</si>
  <si>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</si>
  <si>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</si>
  <si>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</si>
  <si>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</si>
  <si>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</si>
  <si>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</si>
  <si>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</si>
  <si>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</si>
  <si>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</si>
  <si>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</si>
  <si>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</si>
  <si>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</si>
  <si>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</si>
  <si>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</si>
  <si>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</si>
  <si>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</si>
  <si>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</si>
  <si>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</si>
  <si>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</si>
  <si>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</si>
  <si>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</si>
  <si>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</si>
  <si>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</si>
  <si>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</si>
  <si>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</si>
  <si>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</si>
  <si>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</si>
  <si>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</si>
  <si>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</si>
  <si>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</si>
  <si>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</si>
  <si>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</si>
  <si>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</si>
  <si>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</si>
  <si>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</si>
  <si>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</si>
  <si>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</si>
  <si>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</si>
  <si>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</si>
  <si>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</si>
  <si>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</si>
  <si>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</si>
  <si>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</si>
  <si>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</si>
  <si>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</si>
  <si>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</si>
  <si>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</si>
  <si>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</si>
  <si>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</si>
  <si>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</si>
  <si>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</si>
  <si>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</si>
  <si>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</si>
  <si>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</si>
  <si>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</si>
  <si>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</si>
  <si>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</si>
  <si>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</si>
  <si>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</si>
  <si>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</si>
  <si>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</si>
  <si>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</si>
  <si>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</si>
  <si>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</si>
  <si>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</si>
  <si>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</si>
  <si>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</si>
  <si>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</si>
  <si>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</si>
  <si>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</si>
  <si>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</si>
  <si>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</si>
  <si>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</si>
  <si>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</si>
  <si>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</si>
  <si>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</si>
  <si>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</si>
  <si>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</si>
  <si>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</si>
  <si>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</si>
  <si>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</si>
  <si>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</si>
  <si>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</si>
  <si>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</si>
  <si>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</si>
  <si>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</si>
  <si>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</si>
  <si>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</si>
  <si>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</si>
  <si>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</si>
  <si>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</si>
  <si>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</si>
  <si>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</si>
  <si>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</si>
  <si>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</si>
  <si>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</si>
  <si>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</si>
  <si>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</si>
  <si>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</si>
  <si>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</si>
  <si>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</si>
  <si>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</si>
  <si>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</si>
  <si>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</si>
  <si>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</si>
  <si>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</si>
  <si>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</si>
  <si>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</si>
  <si>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</si>
  <si>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</si>
  <si>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</si>
  <si>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</si>
  <si>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</si>
  <si>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</si>
  <si>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</si>
  <si>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</si>
  <si>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</si>
  <si>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</si>
  <si>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</si>
  <si>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</si>
  <si>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</si>
  <si>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</si>
  <si>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</si>
  <si>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</si>
  <si>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</si>
  <si>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</si>
  <si>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</si>
  <si>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</si>
  <si>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</si>
  <si>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</si>
  <si>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</si>
  <si>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</si>
  <si>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</si>
  <si>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</si>
  <si>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</si>
  <si>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</si>
  <si>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</si>
  <si>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</si>
  <si>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</si>
  <si>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</si>
  <si>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</si>
  <si>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</si>
  <si>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</si>
  <si>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</si>
  <si>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</si>
  <si>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</si>
  <si>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</si>
  <si>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</si>
  <si>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</si>
  <si>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</si>
  <si>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</si>
  <si>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</si>
  <si>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</si>
  <si>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</si>
  <si>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</si>
  <si>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</si>
  <si>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</si>
  <si>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</si>
  <si>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</si>
  <si>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</si>
  <si>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</si>
  <si>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</si>
  <si>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</si>
  <si>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</si>
  <si>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</si>
  <si>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</si>
  <si>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</si>
  <si>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</si>
  <si>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</si>
  <si>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</si>
  <si>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</si>
  <si>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</si>
  <si>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</si>
  <si>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</si>
  <si>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</si>
  <si>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</si>
  <si>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</si>
  <si>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</si>
  <si>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</si>
  <si>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</si>
  <si>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</si>
  <si>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</si>
  <si>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</si>
  <si>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</si>
  <si>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</si>
  <si>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</si>
  <si>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</si>
  <si>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</si>
  <si>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</si>
  <si>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</si>
  <si>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</si>
  <si>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</si>
  <si>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</si>
  <si>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</si>
  <si>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</si>
  <si>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</si>
  <si>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</si>
  <si>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</si>
  <si>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</si>
  <si>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</si>
  <si>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</si>
  <si>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</si>
  <si>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</si>
  <si>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</si>
  <si>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</si>
  <si>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</si>
  <si>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</si>
  <si>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</si>
  <si>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</si>
  <si>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</si>
  <si>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</si>
  <si>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</si>
  <si>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</si>
  <si>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</si>
  <si>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</si>
  <si>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</si>
  <si>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</si>
  <si>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</si>
  <si>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</si>
  <si>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</si>
  <si>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</si>
  <si>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</si>
  <si>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</si>
  <si>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</si>
  <si>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</si>
  <si>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</si>
  <si>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</si>
  <si>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</si>
  <si>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</si>
  <si>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</si>
  <si>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</si>
  <si>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</si>
  <si>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</si>
  <si>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</si>
  <si>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</si>
  <si>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</si>
  <si>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</si>
  <si>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</si>
  <si>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</si>
  <si>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</si>
  <si>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</si>
  <si>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</si>
  <si>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</si>
  <si>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</si>
  <si>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</si>
  <si>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</si>
  <si>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</si>
  <si>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</si>
  <si>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</si>
  <si>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</si>
  <si>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</si>
  <si>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</si>
  <si>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</si>
  <si>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</si>
  <si>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</si>
  <si>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</si>
  <si>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</si>
  <si>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</si>
  <si>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</si>
  <si>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</si>
  <si>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</si>
  <si>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</si>
  <si>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</si>
  <si>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</si>
  <si>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</si>
  <si>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</si>
  <si>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</si>
  <si>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</si>
  <si>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</si>
  <si>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</si>
  <si>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</si>
  <si>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</si>
  <si>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</si>
  <si>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</si>
  <si>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</si>
  <si>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</si>
  <si>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</si>
  <si>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</si>
  <si>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</si>
  <si>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</si>
  <si>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</si>
  <si>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</si>
  <si>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</si>
  <si>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</si>
  <si>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</si>
  <si>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</si>
  <si>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</si>
  <si>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</si>
  <si>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</si>
  <si>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</si>
  <si>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</si>
  <si>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</si>
  <si>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</si>
  <si>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</si>
  <si>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</si>
  <si>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</si>
  <si>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</si>
  <si>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</si>
  <si>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</si>
  <si>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</si>
  <si>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</si>
  <si>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</si>
  <si>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</si>
  <si>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</si>
  <si>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</si>
  <si>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</si>
  <si>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</si>
  <si>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</si>
  <si>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</si>
  <si>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</si>
  <si>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</si>
  <si>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</si>
  <si>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</si>
  <si>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</si>
  <si>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</si>
  <si>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</si>
  <si>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</si>
  <si>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</si>
  <si>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</si>
  <si>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</si>
  <si>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</si>
  <si>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</si>
  <si>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</si>
  <si>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</si>
  <si>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</si>
  <si>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</si>
  <si>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</si>
  <si>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</si>
  <si>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</si>
  <si>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</si>
  <si>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</si>
  <si>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</si>
  <si>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</si>
  <si>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</si>
  <si>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</si>
  <si>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</si>
  <si>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</si>
  <si>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</si>
  <si>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</si>
  <si>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</si>
  <si>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</si>
  <si>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</si>
  <si>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</si>
  <si>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</si>
  <si>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</si>
  <si>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</si>
  <si>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</si>
  <si>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</si>
  <si>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</si>
  <si>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</si>
  <si>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</si>
  <si>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</si>
  <si>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</si>
  <si>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</si>
  <si>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</si>
  <si>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</si>
  <si>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</si>
  <si>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</si>
  <si>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</si>
  <si>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</si>
  <si>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</si>
  <si>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</si>
  <si>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</si>
  <si>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</si>
  <si>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</si>
  <si>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</si>
  <si>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</si>
  <si>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</si>
  <si>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</si>
  <si>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</si>
  <si>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</si>
  <si>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</si>
  <si>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</si>
  <si>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</si>
  <si>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</si>
  <si>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</si>
  <si>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</si>
  <si>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</si>
  <si>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</si>
  <si>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</si>
  <si>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</si>
  <si>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</si>
  <si>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</si>
  <si>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</si>
  <si>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</si>
  <si>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</si>
  <si>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</si>
  <si>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</si>
  <si>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</si>
  <si>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</si>
  <si>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</si>
  <si>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</si>
  <si>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</si>
  <si>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</si>
  <si>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</si>
  <si>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</si>
  <si>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</si>
  <si>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</si>
  <si>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</si>
  <si>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</si>
  <si>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</si>
  <si>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</si>
  <si>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</si>
  <si>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</si>
  <si>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</si>
  <si>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</si>
  <si>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</si>
  <si>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</si>
  <si>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</si>
  <si>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</si>
  <si>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</si>
  <si>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</si>
  <si>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</si>
  <si>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</si>
  <si>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</si>
  <si>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</si>
  <si>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</si>
  <si>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</si>
  <si>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</si>
  <si>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</si>
  <si>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</si>
  <si>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</si>
  <si>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</si>
  <si>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</si>
  <si>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</si>
  <si>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</si>
  <si>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</si>
  <si>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</si>
  <si>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</si>
  <si>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</si>
  <si>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</si>
  <si>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</si>
  <si>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</si>
  <si>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</si>
  <si>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</si>
  <si>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</si>
  <si>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</si>
  <si>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</si>
  <si>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</si>
  <si>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</si>
  <si>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</si>
  <si>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</si>
  <si>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</si>
  <si>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</si>
  <si>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</si>
  <si>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</si>
  <si>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</si>
  <si>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</si>
  <si>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</si>
  <si>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</si>
  <si>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</si>
  <si>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</si>
  <si>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</si>
  <si>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</si>
  <si>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</si>
  <si>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</si>
  <si>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</si>
  <si>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</si>
  <si>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</si>
  <si>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</si>
  <si>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</si>
  <si>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</si>
  <si>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</si>
  <si>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</si>
  <si>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</si>
  <si>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</si>
  <si>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</si>
  <si>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</si>
  <si>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</si>
  <si>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</si>
  <si>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</si>
  <si>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</si>
  <si>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</si>
  <si>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</si>
  <si>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</si>
  <si>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</si>
  <si>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</si>
  <si>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</si>
  <si>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</si>
  <si>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</si>
  <si>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</si>
  <si>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</si>
  <si>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</si>
  <si>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</si>
  <si>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</si>
  <si>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</si>
  <si>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</si>
  <si>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</si>
  <si>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</si>
  <si>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</si>
  <si>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</si>
  <si>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</si>
  <si>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</si>
  <si>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</si>
  <si>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</si>
  <si>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</si>
  <si>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</si>
  <si>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</si>
  <si>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</si>
  <si>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</si>
  <si>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</si>
  <si>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</si>
  <si>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</si>
  <si>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</si>
  <si>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</si>
  <si>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</si>
  <si>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</si>
  <si>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</si>
  <si>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</si>
  <si>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</si>
  <si>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</si>
  <si>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</si>
  <si>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</si>
  <si>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</si>
  <si>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</si>
  <si>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</si>
  <si>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</si>
  <si>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</si>
  <si>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</si>
  <si>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</si>
  <si>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</si>
  <si>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</si>
  <si>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</si>
  <si>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</si>
  <si>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</si>
  <si>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</si>
  <si>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</si>
  <si>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</si>
  <si>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</si>
  <si>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</si>
  <si>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</si>
  <si>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</si>
  <si>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</si>
  <si>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</si>
  <si>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</si>
  <si>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</si>
  <si>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</si>
  <si>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</si>
  <si>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</si>
  <si>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</si>
  <si>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</si>
  <si>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</si>
  <si>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</si>
  <si>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</si>
  <si>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</si>
  <si>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</si>
  <si>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</si>
  <si>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</si>
  <si>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</si>
  <si>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</si>
  <si>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</si>
  <si>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</si>
  <si>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</si>
  <si>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</si>
  <si>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</si>
  <si>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</si>
  <si>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</si>
  <si>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</si>
  <si>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</si>
  <si>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</si>
  <si>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</si>
  <si>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</si>
  <si>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</si>
  <si>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</si>
  <si>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</si>
  <si>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</si>
  <si>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</si>
  <si>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</si>
  <si>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</si>
  <si>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</si>
  <si>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</si>
  <si>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</si>
  <si>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</si>
  <si>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</si>
  <si>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</si>
  <si>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</si>
  <si>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</si>
  <si>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</si>
  <si>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</si>
  <si>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</si>
  <si>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</si>
  <si>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</si>
  <si>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</si>
  <si>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</si>
  <si>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</si>
  <si>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</si>
  <si>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</si>
  <si>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</si>
  <si>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</si>
  <si>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</si>
  <si>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</si>
  <si>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</si>
  <si>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</si>
  <si>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</si>
  <si>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</si>
  <si>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</si>
  <si>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</si>
  <si>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</si>
  <si>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</si>
  <si>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</si>
  <si>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</si>
  <si>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</si>
  <si>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</si>
  <si>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</si>
  <si>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</si>
  <si>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</si>
  <si>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</si>
  <si>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</si>
  <si>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</si>
  <si>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</si>
  <si>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</si>
  <si>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</si>
  <si>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</si>
  <si>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</si>
  <si>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</si>
  <si>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</si>
  <si>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</si>
  <si>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</si>
  <si>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</si>
  <si>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</si>
  <si>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</si>
  <si>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</si>
  <si>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</si>
  <si>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</si>
  <si>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</si>
  <si>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</si>
  <si>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</si>
  <si>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</si>
  <si>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</si>
  <si>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</si>
  <si>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</si>
  <si>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</si>
  <si>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</si>
  <si>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</si>
  <si>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</si>
  <si>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</si>
  <si>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</si>
  <si>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</si>
  <si>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</si>
  <si>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</si>
  <si>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</si>
  <si>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</si>
  <si>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</si>
  <si>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</si>
  <si>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</si>
  <si>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</si>
  <si>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</si>
  <si>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</si>
  <si>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</si>
  <si>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</si>
  <si>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</si>
  <si>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</si>
  <si>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</si>
  <si>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</si>
  <si>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</si>
  <si>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</si>
  <si>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</si>
  <si>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</si>
  <si>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</si>
  <si>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</si>
  <si>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</si>
  <si>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</si>
  <si>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</si>
  <si>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</si>
  <si>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</si>
  <si>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</si>
  <si>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</si>
  <si>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</si>
  <si>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</si>
  <si>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</si>
  <si>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</si>
  <si>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</si>
  <si>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</si>
  <si>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</si>
  <si>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</si>
  <si>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</si>
  <si>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</si>
  <si>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</si>
  <si>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</si>
  <si>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</si>
  <si>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</si>
  <si>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</si>
  <si>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</si>
  <si>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</si>
  <si>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</si>
  <si>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</si>
  <si>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</si>
  <si>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</si>
  <si>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</si>
  <si>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</si>
  <si>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</si>
  <si>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</si>
  <si>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</si>
  <si>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</si>
  <si>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</si>
  <si>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</si>
  <si>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</si>
  <si>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</si>
  <si>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</si>
  <si>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</si>
  <si>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</si>
  <si>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</si>
  <si>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</si>
  <si>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</si>
  <si>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</si>
  <si>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</si>
  <si>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</si>
  <si>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</si>
  <si>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</si>
  <si>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</si>
  <si>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</si>
  <si>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</si>
  <si>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</si>
  <si>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</si>
  <si>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</si>
  <si>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</si>
  <si>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</si>
  <si>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</si>
  <si>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</si>
  <si>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</si>
  <si>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</si>
  <si>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</si>
  <si>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</si>
  <si>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</si>
  <si>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</si>
  <si>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</si>
  <si>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</si>
  <si>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</si>
  <si>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</si>
  <si>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</si>
  <si>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</si>
  <si>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</si>
  <si>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</si>
  <si>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</si>
  <si>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</si>
  <si>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</si>
  <si>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</si>
  <si>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</si>
  <si>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</si>
  <si>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</si>
  <si>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</si>
  <si>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</si>
  <si>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</si>
  <si>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</si>
  <si>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</si>
  <si>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</si>
  <si>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</si>
  <si>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</si>
  <si>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</si>
  <si>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</si>
  <si>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</si>
  <si>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</si>
  <si>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</si>
  <si>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</si>
  <si>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</si>
  <si>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</si>
  <si>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</si>
  <si>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</si>
  <si>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</si>
  <si>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</si>
  <si>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</si>
  <si>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</si>
  <si>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</si>
  <si>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</si>
  <si>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</si>
  <si>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</si>
  <si>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</si>
  <si>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</si>
  <si>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</si>
  <si>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</si>
  <si>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</si>
  <si>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</si>
  <si>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</si>
  <si>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</si>
  <si>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</si>
  <si>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</si>
  <si>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</si>
  <si>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</si>
  <si>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</si>
  <si>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</si>
  <si>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</si>
  <si>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</si>
  <si>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</si>
  <si>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</si>
  <si>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</si>
  <si>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</si>
  <si>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</si>
  <si>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</si>
  <si>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</si>
  <si>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</si>
  <si>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</si>
  <si>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</si>
  <si>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</si>
  <si>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</si>
  <si>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</si>
  <si>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</si>
  <si>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</si>
  <si>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</si>
  <si>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</si>
  <si>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</si>
  <si>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</si>
  <si>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</si>
  <si>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</si>
  <si>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</si>
  <si>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</si>
  <si>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</si>
  <si>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</si>
  <si>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</si>
  <si>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</si>
  <si>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</si>
  <si>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</si>
  <si>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</si>
  <si>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</si>
  <si>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</si>
  <si>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</si>
  <si>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</si>
  <si>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</si>
  <si>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</si>
  <si>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</si>
  <si>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</si>
  <si>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</si>
  <si>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</si>
  <si>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</si>
  <si>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</si>
  <si>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</si>
  <si>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</si>
  <si>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</si>
  <si>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</si>
  <si>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</si>
  <si>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</si>
  <si>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</si>
  <si>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</si>
  <si>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</si>
  <si>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</si>
  <si>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</si>
  <si>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</si>
  <si>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</si>
  <si>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</si>
  <si>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</si>
  <si>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</si>
  <si>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</si>
  <si>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</si>
  <si>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</si>
  <si>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</si>
  <si>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</si>
  <si>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</si>
  <si>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</si>
  <si>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</si>
  <si>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</si>
  <si>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</si>
  <si>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</si>
  <si>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</si>
  <si>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</si>
  <si>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</si>
  <si>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</si>
  <si>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</si>
  <si>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</si>
  <si>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</si>
  <si>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</si>
  <si>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</si>
  <si>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</si>
  <si>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</si>
  <si>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</si>
  <si>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</si>
  <si>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</si>
  <si>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</si>
  <si>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</si>
  <si>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</si>
  <si>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</si>
  <si>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</si>
  <si>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</si>
  <si>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</si>
  <si>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</si>
  <si>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</si>
  <si>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</si>
  <si>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</si>
  <si>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</si>
  <si>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</si>
  <si>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</si>
  <si>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</si>
  <si>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</si>
  <si>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</si>
  <si>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</si>
  <si>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</si>
  <si>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</si>
  <si>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</si>
  <si>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</si>
  <si>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</si>
  <si>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</si>
  <si>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</si>
  <si>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</si>
  <si>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</si>
  <si>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</si>
  <si>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</si>
  <si>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</si>
  <si>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</si>
  <si>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</si>
  <si>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</si>
  <si>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</si>
  <si>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</si>
  <si>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</si>
  <si>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</si>
  <si>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</si>
  <si>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</si>
  <si>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</si>
  <si>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</si>
  <si>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</si>
  <si>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</si>
  <si>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</si>
  <si>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</si>
  <si>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</si>
  <si>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</si>
  <si>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</si>
  <si>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</si>
  <si>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</si>
  <si>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</si>
  <si>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</si>
  <si>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</si>
  <si>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</si>
  <si>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</si>
  <si>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</si>
  <si>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</si>
  <si>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</si>
  <si>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</si>
  <si>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</si>
  <si>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</si>
  <si>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</si>
  <si>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</si>
  <si>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</si>
  <si>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</si>
  <si>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</si>
  <si>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</si>
  <si>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</si>
  <si>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</si>
  <si>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</si>
  <si>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</si>
  <si>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</si>
  <si>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</si>
  <si>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</si>
  <si>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</si>
  <si>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</si>
  <si>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</si>
  <si>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</si>
  <si>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</si>
  <si>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</si>
  <si>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</si>
  <si>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</si>
  <si>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</si>
  <si>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</si>
  <si>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</si>
  <si>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</si>
  <si>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</si>
  <si>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</si>
  <si>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</si>
  <si>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</si>
  <si>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</si>
  <si>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</si>
  <si>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</si>
  <si>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</si>
  <si>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</si>
  <si>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</si>
  <si>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</si>
  <si>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</si>
  <si>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</si>
  <si>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</si>
  <si>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</si>
  <si>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</si>
  <si>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</si>
  <si>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</si>
  <si>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</si>
  <si>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</si>
  <si>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</si>
  <si>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</si>
  <si>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</si>
  <si>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</si>
  <si>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</si>
  <si>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</si>
  <si>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</si>
  <si>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</si>
  <si>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</si>
  <si>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</si>
  <si>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</si>
  <si>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</si>
  <si>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</si>
  <si>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</si>
  <si>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</si>
  <si>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</si>
  <si>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</si>
  <si>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</si>
  <si>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</si>
  <si>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</si>
  <si>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</si>
  <si>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</si>
  <si>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</si>
  <si>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</si>
  <si>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</si>
  <si>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</si>
  <si>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</si>
  <si>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</si>
  <si>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</si>
  <si>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</si>
  <si>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</si>
  <si>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</si>
  <si>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</si>
  <si>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</si>
  <si>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</si>
  <si>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</si>
  <si>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</si>
  <si>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</si>
  <si>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</si>
  <si>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</si>
  <si>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</si>
  <si>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</si>
  <si>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</si>
  <si>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</si>
  <si>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</si>
  <si>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</si>
  <si>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</si>
  <si>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</si>
  <si>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</si>
  <si>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</si>
  <si>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</si>
  <si>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</si>
  <si>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</si>
  <si>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</si>
  <si>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</si>
  <si>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</si>
  <si>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</si>
  <si>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</si>
  <si>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</si>
  <si>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</si>
  <si>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</si>
  <si>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</si>
  <si>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</si>
  <si>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</si>
  <si>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</si>
  <si>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</si>
  <si>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</si>
  <si>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</si>
  <si>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</si>
  <si>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</si>
  <si>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</si>
  <si>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</si>
  <si>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</si>
  <si>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</si>
  <si>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</si>
  <si>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</si>
  <si>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</si>
  <si>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</si>
  <si>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</si>
  <si>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</si>
  <si>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</si>
  <si>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</si>
  <si>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</si>
  <si>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</si>
  <si>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</si>
  <si>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</si>
  <si>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</si>
  <si>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</si>
  <si>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</si>
  <si>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</si>
  <si>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</si>
  <si>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</si>
  <si>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</si>
  <si>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</si>
  <si>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</si>
  <si>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</si>
  <si>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</si>
  <si>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</si>
  <si>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</si>
  <si>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</si>
  <si>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</si>
  <si>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</si>
  <si>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</si>
  <si>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</si>
  <si>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</si>
  <si>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</si>
  <si>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</si>
  <si>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</si>
  <si>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</si>
  <si>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</si>
  <si>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</si>
  <si>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</si>
  <si>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</si>
  <si>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</si>
  <si>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</si>
  <si>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</si>
  <si>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</si>
  <si>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</si>
  <si>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</si>
  <si>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</si>
  <si>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</si>
  <si>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</si>
  <si>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</si>
  <si>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</si>
  <si>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</si>
  <si>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</si>
  <si>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</si>
  <si>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</si>
  <si>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</si>
  <si>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</si>
  <si>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</si>
  <si>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</si>
  <si>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</si>
  <si>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</si>
  <si>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</si>
  <si>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</si>
  <si>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</si>
  <si>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</si>
  <si>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</si>
  <si>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</si>
  <si>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</si>
  <si>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</si>
  <si>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</si>
  <si>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</si>
  <si>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</si>
  <si>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</si>
  <si>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</si>
  <si>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</si>
  <si>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</si>
  <si>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</si>
  <si>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</si>
  <si>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</si>
  <si>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</si>
  <si>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</si>
  <si>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</si>
  <si>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</si>
  <si>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</si>
  <si>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</si>
  <si>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</si>
  <si>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</si>
  <si>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</si>
  <si>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</si>
  <si>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</si>
  <si>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</si>
  <si>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</si>
  <si>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</si>
  <si>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</si>
  <si>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</si>
  <si>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</si>
  <si>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</si>
  <si>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</si>
  <si>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</si>
  <si>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</si>
  <si>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</si>
  <si>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</si>
  <si>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</si>
  <si>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</si>
  <si>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</si>
  <si>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</si>
  <si>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</si>
  <si>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</si>
  <si>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</si>
  <si>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</si>
  <si>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</si>
  <si>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</si>
  <si>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</si>
  <si>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</si>
  <si>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</si>
  <si>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</si>
  <si>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</si>
  <si>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</si>
  <si>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</si>
  <si>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</si>
  <si>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</si>
  <si>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</si>
  <si>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</si>
  <si>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</si>
  <si>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</si>
  <si>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</si>
  <si>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</si>
  <si>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</si>
  <si>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</si>
  <si>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</si>
  <si>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</si>
  <si>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</si>
  <si>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</si>
  <si>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</si>
  <si>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</si>
  <si>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</si>
  <si>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</si>
  <si>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</si>
  <si>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</si>
  <si>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</si>
  <si>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</si>
  <si>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</si>
  <si>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</si>
  <si>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</si>
  <si>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</si>
  <si>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</si>
  <si>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</si>
  <si>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</si>
  <si>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</si>
  <si>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</si>
  <si>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</si>
  <si>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</si>
  <si>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</si>
  <si>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</si>
  <si>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</si>
  <si>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</si>
  <si>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</si>
  <si>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</si>
  <si>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</si>
  <si>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</si>
  <si>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</si>
  <si>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</si>
  <si>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</si>
  <si>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</si>
  <si>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</si>
  <si>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</si>
  <si>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</si>
  <si>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</si>
  <si>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</si>
  <si>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</si>
  <si>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</si>
  <si>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</si>
  <si>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</si>
  <si>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</si>
  <si>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</si>
  <si>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</si>
  <si>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</si>
  <si>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</si>
  <si>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</si>
  <si>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</si>
  <si>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</si>
  <si>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</si>
  <si>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</si>
  <si>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</si>
  <si>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</si>
  <si>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</si>
  <si>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</si>
  <si>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</si>
  <si>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</si>
  <si>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</si>
  <si>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</si>
  <si>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</si>
  <si>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</si>
  <si>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</si>
  <si>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</si>
  <si>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</si>
  <si>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</si>
  <si>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</si>
  <si>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</si>
  <si>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</si>
  <si>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</si>
  <si>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</si>
  <si>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</si>
  <si>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</si>
  <si>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</si>
  <si>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</si>
  <si>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</si>
  <si>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</si>
  <si>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</si>
  <si>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</si>
  <si>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</si>
  <si>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</si>
  <si>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</si>
  <si>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</si>
  <si>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</si>
  <si>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</si>
  <si>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</si>
  <si>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</si>
  <si>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</si>
  <si>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</si>
  <si>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</si>
  <si>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</si>
  <si>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</si>
  <si>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</si>
  <si>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</si>
  <si>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</si>
  <si>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</si>
  <si>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</si>
  <si>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</si>
  <si>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</si>
  <si>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</si>
  <si>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</si>
  <si>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</si>
  <si>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</si>
  <si>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</si>
  <si>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</si>
  <si>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</si>
  <si>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</si>
  <si>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</si>
  <si>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</si>
  <si>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</si>
  <si>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</si>
  <si>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</si>
  <si>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</si>
  <si>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</si>
  <si>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</si>
  <si>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</si>
  <si>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</si>
  <si>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</si>
  <si>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</si>
  <si>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</si>
  <si>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</si>
  <si>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</si>
  <si>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</si>
  <si>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</si>
  <si>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</si>
  <si>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</si>
  <si>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</si>
  <si>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</si>
  <si>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</si>
  <si>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</si>
  <si>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</si>
  <si>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</si>
  <si>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</si>
  <si>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</si>
  <si>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</si>
  <si>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</si>
  <si>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</si>
  <si>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</si>
  <si>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</si>
  <si>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</si>
  <si>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</si>
  <si>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</si>
  <si>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</si>
  <si>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</si>
  <si>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</si>
  <si>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</si>
  <si>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</si>
  <si>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</si>
  <si>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</si>
  <si>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</si>
  <si>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</si>
  <si>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</si>
  <si>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</si>
  <si>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</si>
  <si>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</si>
  <si>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</si>
  <si>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</si>
  <si>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</si>
  <si>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</si>
  <si>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</si>
  <si>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</si>
  <si>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</si>
  <si>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</si>
  <si>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</si>
  <si>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</si>
  <si>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</si>
  <si>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</si>
  <si>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</si>
  <si>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</si>
  <si>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</si>
  <si>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</si>
  <si>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</si>
  <si>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</si>
  <si>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</si>
  <si>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</si>
  <si>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</si>
  <si>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</si>
  <si>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</si>
  <si>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</si>
  <si>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</si>
  <si>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</si>
  <si>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</si>
  <si>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</si>
  <si>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</si>
  <si>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</si>
  <si>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</si>
  <si>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</si>
  <si>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</si>
  <si>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</si>
  <si>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</si>
  <si>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</si>
  <si>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</si>
  <si>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</si>
  <si>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</si>
  <si>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</si>
  <si>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</si>
  <si>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</si>
  <si>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</si>
  <si>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</si>
  <si>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</si>
  <si>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</si>
  <si>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</si>
  <si>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</si>
  <si>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</si>
  <si>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</si>
  <si>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</si>
  <si>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</si>
  <si>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</si>
  <si>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</si>
  <si>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</si>
  <si>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</si>
  <si>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</si>
  <si>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</si>
  <si>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</si>
  <si>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</si>
  <si>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</si>
  <si>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</si>
  <si>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</si>
  <si>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</si>
  <si>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</si>
  <si>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</si>
  <si>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</si>
  <si>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</si>
  <si>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</si>
  <si>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</si>
  <si>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</si>
  <si>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</si>
  <si>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</si>
  <si>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</si>
  <si>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</si>
  <si>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</si>
  <si>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</si>
  <si>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</si>
  <si>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</si>
  <si>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</si>
  <si>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</si>
  <si>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</si>
  <si>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</si>
  <si>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</si>
  <si>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</si>
  <si>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</si>
  <si>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</si>
  <si>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</si>
  <si>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</si>
  <si>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</si>
  <si>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</si>
  <si>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</si>
  <si>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</si>
  <si>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</si>
  <si>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</si>
  <si>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</si>
  <si>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</si>
  <si>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</si>
  <si>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</si>
  <si>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</si>
  <si>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</si>
  <si>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</si>
  <si>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</si>
  <si>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</si>
  <si>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</si>
  <si>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</si>
  <si>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</si>
  <si>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</si>
  <si>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</si>
  <si>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</si>
  <si>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</si>
  <si>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</si>
  <si>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</si>
  <si>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</si>
  <si>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</si>
  <si>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</si>
  <si>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</si>
  <si>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</si>
  <si>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</si>
  <si>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</si>
  <si>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</si>
  <si>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</si>
  <si>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</si>
  <si>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</si>
  <si>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</si>
  <si>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</si>
  <si>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</si>
  <si>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</si>
  <si>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</si>
  <si>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</si>
  <si>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</si>
  <si>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</si>
  <si>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</si>
  <si>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</si>
  <si>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</si>
  <si>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</si>
  <si>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</si>
  <si>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</si>
  <si>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</si>
  <si>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</si>
  <si>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</si>
  <si>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</si>
  <si>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</si>
  <si>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</si>
  <si>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</si>
  <si>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</si>
  <si>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</si>
  <si>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</si>
  <si>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</si>
  <si>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</si>
  <si>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</si>
  <si>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</si>
  <si>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</si>
  <si>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</si>
  <si>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</si>
  <si>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</si>
  <si>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</si>
  <si>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</si>
  <si>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</si>
  <si>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</si>
  <si>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</si>
  <si>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</si>
  <si>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</si>
  <si>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</si>
  <si>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</si>
  <si>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</si>
  <si>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</si>
  <si>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</si>
  <si>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</si>
  <si>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</si>
  <si>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</si>
  <si>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</si>
  <si>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</si>
  <si>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</si>
  <si>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</si>
  <si>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</si>
  <si>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</si>
  <si>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</si>
  <si>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</si>
  <si>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</si>
  <si>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</si>
  <si>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</si>
  <si>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</si>
  <si>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</si>
  <si>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</si>
  <si>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</si>
  <si>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</si>
  <si>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</si>
  <si>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</si>
  <si>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</si>
  <si>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</si>
  <si>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</si>
  <si>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</si>
  <si>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</si>
  <si>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</si>
  <si>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</si>
  <si>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</si>
  <si>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</si>
  <si>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</si>
  <si>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</si>
  <si>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</si>
  <si>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</si>
  <si>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</si>
  <si>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</si>
  <si>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</si>
  <si>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</si>
  <si>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</si>
  <si>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</si>
  <si>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</si>
  <si>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</si>
  <si>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</si>
  <si>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</si>
  <si>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</si>
  <si>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</si>
  <si>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</si>
  <si>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</si>
  <si>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</si>
  <si>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</si>
  <si>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</si>
  <si>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</si>
  <si>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</si>
  <si>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</si>
  <si>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</si>
  <si>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</si>
  <si>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</si>
  <si>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</si>
  <si>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</si>
  <si>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</si>
  <si>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</si>
  <si>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</si>
  <si>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</si>
  <si>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</si>
  <si>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</si>
  <si>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</si>
  <si>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</si>
  <si>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</si>
  <si>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</si>
  <si>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</si>
  <si>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</si>
  <si>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</si>
  <si>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</si>
  <si>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</si>
  <si>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</si>
  <si>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</si>
  <si>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</si>
  <si>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</si>
  <si>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</si>
  <si>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</si>
  <si>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</si>
  <si>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</si>
  <si>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</si>
  <si>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</si>
  <si>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</si>
  <si>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</si>
  <si>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</si>
  <si>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</si>
  <si>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</si>
  <si>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</si>
  <si>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</si>
  <si>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</si>
  <si>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</si>
  <si>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</si>
  <si>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</si>
  <si>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</si>
  <si>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</si>
  <si>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</si>
  <si>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</si>
  <si>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</si>
  <si>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</si>
  <si>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</si>
  <si>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</si>
  <si>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</si>
  <si>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</si>
  <si>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</si>
  <si>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</si>
  <si>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</si>
  <si>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</si>
  <si>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</si>
  <si>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</si>
  <si>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</si>
  <si>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</si>
  <si>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</si>
  <si>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</si>
  <si>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</si>
  <si>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</si>
  <si>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</si>
  <si>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</si>
  <si>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</si>
  <si>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</si>
  <si>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</si>
  <si>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</si>
  <si>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</si>
  <si>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</si>
  <si>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</si>
  <si>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</si>
  <si>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</si>
  <si>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</si>
  <si>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</si>
  <si>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</si>
  <si>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</si>
  <si>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</si>
  <si>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</si>
  <si>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</si>
  <si>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</si>
  <si>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</si>
  <si>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</si>
  <si>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</si>
  <si>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</si>
  <si>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</si>
  <si>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</si>
  <si>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</si>
  <si>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</si>
  <si>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</si>
  <si>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</si>
  <si>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</si>
  <si>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</si>
  <si>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</si>
  <si>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</si>
  <si>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</si>
  <si>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</si>
  <si>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</si>
  <si>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</si>
  <si>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</si>
  <si>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</si>
  <si>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</si>
  <si>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</si>
  <si>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</si>
  <si>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</si>
  <si>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</si>
  <si>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</si>
  <si>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</si>
  <si>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</si>
  <si>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</si>
  <si>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</si>
  <si>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</si>
  <si>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</si>
  <si>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</si>
  <si>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</si>
  <si>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</si>
  <si>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</si>
  <si>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</si>
  <si>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</si>
  <si>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</si>
  <si>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</si>
  <si>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</si>
  <si>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</si>
  <si>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</si>
  <si>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</si>
  <si>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</si>
  <si>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</si>
  <si>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</si>
  <si>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</si>
  <si>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</si>
  <si>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</si>
  <si>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</si>
  <si>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</si>
  <si>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</si>
  <si>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</si>
  <si>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</si>
  <si>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</si>
  <si>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</si>
  <si>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</si>
  <si>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</si>
  <si>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</si>
  <si>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</si>
  <si>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</si>
  <si>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</si>
  <si>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</si>
  <si>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</si>
  <si>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</si>
  <si>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</si>
  <si>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</si>
  <si>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</si>
  <si>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</si>
  <si>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</si>
  <si>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</si>
  <si>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</si>
  <si>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</si>
  <si>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</si>
  <si>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</si>
  <si>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</si>
  <si>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</si>
  <si>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</si>
  <si>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</si>
  <si>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</si>
  <si>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</si>
  <si>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</si>
  <si>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</si>
  <si>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</si>
  <si>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</si>
  <si>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</si>
  <si>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</si>
  <si>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</si>
  <si>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</si>
  <si>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</si>
  <si>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</si>
  <si>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</si>
  <si>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</si>
  <si>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</si>
  <si>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</si>
  <si>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</si>
  <si>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</si>
  <si>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</si>
  <si>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</si>
  <si>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</si>
  <si>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</si>
  <si>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</si>
  <si>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</si>
  <si>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</si>
  <si>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</si>
  <si>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</si>
  <si>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</si>
  <si>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</si>
  <si>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</si>
  <si>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</si>
  <si>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</si>
  <si>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</si>
  <si>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</si>
  <si>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</si>
  <si>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</si>
  <si>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</si>
  <si>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</si>
  <si>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</si>
  <si>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</si>
  <si>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</si>
  <si>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</si>
  <si>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</si>
  <si>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</si>
  <si>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</si>
  <si>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</si>
  <si>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</si>
  <si>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</si>
  <si>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</si>
  <si>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</si>
  <si>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</si>
  <si>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</si>
  <si>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</si>
  <si>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</si>
  <si>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</si>
  <si>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</si>
  <si>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</si>
  <si>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</si>
  <si>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</si>
  <si>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</si>
  <si>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</si>
  <si>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</si>
  <si>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</si>
  <si>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</si>
  <si>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</si>
  <si>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</si>
  <si>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</si>
  <si>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</si>
  <si>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</si>
  <si>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</si>
  <si>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</si>
  <si>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</si>
  <si>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</si>
  <si>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</si>
  <si>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</si>
  <si>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</si>
  <si>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</si>
  <si>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</si>
  <si>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</si>
  <si>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</si>
  <si>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</si>
  <si>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</si>
  <si>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</si>
  <si>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</si>
  <si>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</si>
  <si>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</si>
  <si>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</si>
  <si>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</si>
  <si>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</si>
  <si>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</si>
  <si>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</si>
  <si>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</si>
  <si>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</si>
  <si>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</si>
  <si>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</si>
  <si>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</si>
  <si>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</si>
  <si>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</si>
  <si>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</si>
  <si>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</si>
  <si>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</si>
  <si>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</si>
  <si>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</si>
  <si>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</si>
  <si>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</si>
  <si>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</si>
  <si>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</si>
  <si>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</si>
  <si>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</si>
  <si>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</si>
  <si>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</si>
  <si>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</si>
  <si>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</si>
  <si>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</si>
  <si>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</si>
  <si>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</si>
  <si>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</si>
  <si>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</si>
  <si>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</si>
  <si>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</si>
  <si>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</si>
  <si>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</si>
  <si>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</si>
  <si>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</si>
  <si>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</si>
  <si>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</si>
  <si>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</si>
  <si>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</si>
  <si>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</si>
  <si>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</si>
  <si>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</si>
  <si>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</si>
  <si>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</si>
  <si>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</si>
  <si>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</si>
  <si>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</si>
  <si>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</si>
  <si>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</si>
  <si>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</si>
  <si>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</si>
  <si>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</si>
  <si>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</si>
  <si>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</si>
  <si>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</si>
  <si>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</si>
  <si>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</si>
  <si>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</si>
  <si>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</si>
  <si>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</si>
  <si>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</si>
  <si>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</si>
  <si>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</si>
  <si>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</si>
  <si>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</si>
  <si>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</si>
  <si>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</si>
  <si>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</si>
  <si>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</si>
  <si>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</si>
  <si>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</si>
  <si>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</si>
  <si>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</si>
  <si>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</si>
  <si>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</si>
  <si>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</si>
  <si>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</si>
  <si>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</si>
  <si>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</si>
  <si>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</si>
  <si>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</si>
  <si>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</si>
  <si>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</si>
  <si>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</si>
  <si>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</si>
  <si>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</si>
  <si>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</si>
  <si>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</si>
  <si>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</si>
  <si>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</si>
  <si>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</si>
  <si>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</si>
  <si>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</si>
  <si>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</si>
  <si>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</si>
  <si>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</si>
  <si>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</si>
  <si>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</si>
  <si>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</si>
  <si>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</si>
  <si>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</si>
  <si>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</si>
  <si>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</si>
  <si>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</si>
  <si>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</si>
  <si>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</si>
  <si>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</si>
  <si>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</si>
  <si>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</si>
  <si>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</si>
  <si>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</si>
  <si>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</si>
  <si>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</si>
  <si>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</si>
  <si>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</si>
  <si>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</si>
  <si>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</si>
  <si>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</si>
  <si>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</si>
  <si>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</si>
  <si>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</si>
  <si>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</si>
  <si>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</si>
  <si>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</si>
  <si>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</si>
  <si>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</si>
  <si>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</si>
  <si>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</si>
  <si>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</si>
  <si>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</si>
  <si>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</si>
  <si>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</si>
  <si>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</si>
  <si>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</si>
  <si>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</si>
  <si>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</si>
  <si>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</si>
  <si>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</si>
  <si>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</si>
  <si>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</si>
  <si>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</si>
  <si>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</si>
  <si>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</si>
  <si>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</si>
  <si>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</si>
  <si>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</si>
  <si>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</si>
  <si>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</si>
  <si>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</si>
  <si>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</si>
  <si>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</si>
  <si>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</si>
  <si>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</si>
  <si>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</si>
  <si>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</si>
  <si>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</si>
  <si>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</si>
  <si>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</si>
  <si>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</si>
  <si>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</si>
  <si>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</si>
  <si>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</si>
  <si>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</si>
  <si>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</si>
  <si>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</si>
  <si>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</si>
  <si>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</si>
  <si>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</si>
  <si>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</si>
  <si>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</si>
  <si>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</si>
  <si>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</si>
  <si>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</si>
  <si>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</si>
  <si>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</si>
  <si>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</si>
  <si>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</si>
  <si>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</si>
  <si>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</si>
  <si>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</si>
  <si>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</si>
  <si>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</si>
  <si>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</si>
  <si>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</si>
  <si>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</si>
  <si>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</si>
  <si>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</si>
  <si>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</si>
  <si>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</si>
  <si>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</si>
  <si>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</si>
  <si>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</si>
  <si>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</si>
  <si>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</si>
  <si>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</si>
  <si>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</si>
  <si>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</si>
  <si>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</si>
  <si>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</si>
  <si>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</si>
  <si>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</si>
  <si>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</si>
  <si>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</si>
  <si>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</si>
  <si>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</si>
  <si>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</si>
  <si>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</si>
  <si>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</si>
  <si>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</si>
  <si>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</si>
  <si>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</si>
  <si>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</si>
  <si>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</si>
  <si>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</si>
  <si>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</si>
  <si>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</si>
  <si>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</si>
  <si>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</si>
  <si>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</si>
  <si>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</si>
  <si>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</si>
  <si>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</si>
  <si>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</si>
  <si>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</si>
  <si>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</si>
  <si>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</si>
  <si>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</si>
  <si>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</si>
  <si>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</si>
  <si>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</si>
  <si>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</si>
  <si>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</si>
  <si>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</si>
  <si>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</si>
  <si>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</si>
  <si>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</si>
  <si>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</si>
  <si>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</si>
  <si>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</si>
  <si>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</si>
  <si>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</si>
  <si>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</si>
  <si>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</si>
  <si>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</si>
  <si>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</si>
  <si>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</si>
  <si>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</si>
  <si>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</si>
  <si>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</si>
  <si>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</si>
  <si>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</si>
  <si>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</si>
  <si>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</si>
  <si>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</si>
  <si>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</si>
  <si>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</si>
  <si>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</si>
  <si>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</si>
  <si>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</si>
  <si>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</si>
  <si>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</si>
  <si>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</si>
  <si>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</si>
  <si>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</si>
  <si>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</si>
  <si>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</si>
  <si>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</si>
  <si>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</si>
  <si>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</si>
  <si>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</si>
  <si>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</si>
  <si>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</si>
  <si>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</si>
  <si>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</si>
  <si>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</si>
  <si>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</si>
  <si>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</si>
  <si>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</si>
  <si>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</si>
  <si>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</si>
  <si>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</si>
  <si>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</si>
  <si>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</si>
  <si>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</si>
  <si>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</si>
  <si>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</si>
  <si>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</si>
  <si>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</si>
  <si>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</si>
  <si>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</si>
  <si>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</si>
  <si>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</si>
  <si>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</si>
  <si>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</si>
  <si>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</si>
  <si>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</si>
  <si>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</si>
  <si>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</si>
  <si>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</si>
  <si>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</si>
  <si>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</si>
  <si>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</si>
  <si>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</si>
  <si>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</si>
  <si>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</si>
  <si>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</si>
  <si>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</si>
  <si>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</si>
  <si>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</si>
  <si>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</si>
  <si>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</si>
  <si>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</si>
  <si>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</si>
  <si>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</si>
  <si>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</si>
  <si>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</si>
  <si>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</si>
  <si>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</si>
  <si>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</si>
  <si>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</si>
  <si>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</si>
  <si>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</si>
  <si>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</si>
  <si>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</si>
  <si>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</si>
  <si>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</si>
  <si>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</si>
  <si>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</si>
  <si>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</si>
  <si>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</si>
  <si>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</si>
  <si>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</si>
  <si>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</si>
  <si>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</si>
  <si>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</si>
  <si>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</si>
  <si>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</si>
  <si>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</si>
  <si>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</si>
  <si>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</si>
  <si>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</si>
  <si>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</si>
  <si>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</si>
  <si>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</si>
  <si>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</si>
  <si>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</si>
  <si>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</si>
  <si>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</si>
  <si>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</si>
  <si>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</si>
  <si>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</si>
  <si>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</si>
  <si>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</si>
  <si>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</si>
  <si>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</si>
  <si>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</si>
  <si>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</si>
  <si>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</si>
  <si>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</si>
  <si>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</si>
  <si>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</si>
  <si>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</si>
  <si>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</si>
  <si>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</si>
  <si>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</si>
  <si>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</si>
  <si>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</si>
  <si>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</si>
  <si>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</si>
  <si>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</si>
  <si>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</si>
  <si>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</si>
  <si>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</si>
  <si>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</si>
  <si>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</si>
  <si>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</si>
  <si>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</si>
  <si>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</si>
  <si>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</si>
  <si>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</si>
  <si>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</si>
  <si>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</si>
  <si>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</si>
  <si>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</si>
  <si>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</si>
  <si>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</si>
  <si>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</si>
  <si>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</si>
  <si>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</si>
  <si>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</si>
  <si>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</si>
  <si>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</si>
  <si>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</si>
  <si>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</si>
  <si>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</si>
  <si>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</si>
  <si>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</si>
  <si>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</si>
  <si>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</si>
  <si>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</si>
  <si>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</si>
  <si>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</si>
  <si>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</si>
  <si>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</si>
  <si>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</si>
  <si>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</si>
  <si>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</si>
  <si>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</si>
  <si>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</si>
  <si>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</si>
  <si>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</si>
  <si>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</si>
  <si>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</si>
  <si>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</si>
  <si>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</si>
  <si>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</si>
  <si>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</si>
  <si>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</si>
  <si>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</si>
  <si>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</si>
  <si>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</si>
  <si>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</si>
  <si>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</si>
  <si>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</si>
  <si>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</si>
  <si>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</si>
  <si>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</si>
  <si>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</si>
  <si>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</si>
  <si>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</si>
  <si>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</si>
  <si>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</si>
  <si>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</si>
  <si>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</si>
  <si>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</si>
  <si>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</si>
  <si>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</si>
  <si>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</si>
  <si>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</si>
  <si>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</si>
  <si>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</si>
  <si>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</si>
  <si>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</si>
  <si>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</si>
  <si>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</si>
  <si>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</si>
  <si>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</si>
  <si>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</si>
  <si>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</si>
  <si>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</si>
  <si>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</si>
  <si>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</si>
  <si>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</si>
  <si>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</si>
  <si>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</si>
  <si>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</si>
  <si>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</si>
  <si>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</si>
  <si>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</si>
  <si>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</si>
  <si>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</si>
  <si>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</si>
  <si>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</si>
  <si>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</si>
  <si>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</si>
  <si>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</si>
  <si>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</si>
  <si>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</si>
  <si>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</si>
  <si>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</si>
  <si>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</si>
  <si>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</si>
  <si>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</si>
  <si>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</si>
  <si>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</si>
  <si>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</si>
  <si>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</si>
  <si>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</si>
  <si>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</si>
  <si>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</si>
  <si>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</si>
  <si>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</si>
  <si>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</si>
  <si>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</si>
  <si>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</si>
  <si>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</si>
  <si>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</si>
  <si>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</si>
  <si>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</si>
  <si>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</si>
  <si>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</si>
  <si>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</si>
  <si>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</si>
  <si>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</si>
  <si>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</si>
  <si>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</si>
  <si>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</si>
  <si>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</si>
  <si>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</si>
  <si>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</si>
  <si>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</si>
  <si>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</si>
  <si>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</si>
  <si>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</si>
  <si>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</si>
  <si>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</si>
  <si>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</si>
  <si>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</si>
  <si>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</si>
  <si>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</si>
  <si>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</si>
  <si>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</si>
  <si>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</si>
  <si>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</si>
  <si>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</si>
  <si>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</si>
  <si>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</si>
  <si>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</si>
  <si>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</si>
  <si>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</si>
  <si>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</si>
  <si>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</si>
  <si>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</si>
  <si>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</si>
  <si>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</si>
  <si>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</si>
  <si>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</si>
  <si>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</si>
  <si>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</si>
  <si>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</si>
  <si>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</si>
  <si>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</si>
  <si>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</si>
  <si>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</si>
  <si>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</si>
  <si>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</si>
  <si>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</si>
  <si>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</si>
  <si>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</si>
  <si>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</si>
  <si>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</si>
  <si>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</si>
  <si>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</si>
  <si>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</si>
  <si>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</si>
  <si>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</si>
  <si>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</si>
  <si>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</si>
  <si>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</si>
  <si>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</si>
  <si>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</si>
  <si>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</si>
  <si>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</si>
  <si>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</si>
  <si>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</si>
  <si>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</si>
  <si>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</si>
  <si>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</si>
  <si>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</si>
  <si>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</si>
  <si>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</si>
  <si>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</si>
  <si>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</si>
  <si>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</si>
  <si>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</si>
  <si>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</si>
  <si>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</si>
  <si>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</si>
  <si>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</si>
  <si>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</si>
  <si>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</si>
  <si>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</si>
  <si>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</si>
  <si>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</si>
  <si>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</si>
  <si>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</si>
  <si>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</si>
  <si>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</si>
  <si>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</si>
  <si>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</si>
  <si>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</si>
  <si>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</si>
  <si>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</si>
  <si>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</si>
  <si>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</si>
  <si>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</si>
  <si>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</si>
  <si>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</si>
  <si>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</si>
  <si>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</si>
  <si>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</si>
  <si>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</si>
  <si>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</si>
  <si>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</si>
  <si>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</si>
  <si>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</si>
  <si>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</si>
  <si>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</si>
  <si>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</si>
  <si>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</si>
  <si>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</si>
  <si>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</si>
  <si>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</si>
  <si>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</si>
  <si>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</si>
  <si>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</si>
  <si>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</si>
  <si>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</si>
  <si>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</si>
  <si>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</si>
  <si>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</si>
  <si>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</si>
  <si>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</si>
  <si>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</si>
  <si>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</si>
  <si>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</si>
  <si>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</si>
  <si>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</si>
  <si>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</si>
  <si>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</si>
  <si>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</si>
  <si>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</si>
  <si>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</si>
  <si>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</si>
  <si>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</si>
  <si>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</si>
  <si>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</si>
  <si>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</si>
  <si>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</si>
  <si>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</si>
  <si>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</si>
  <si>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</si>
  <si>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</si>
  <si>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</si>
  <si>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</si>
  <si>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</si>
  <si>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</si>
  <si>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</si>
  <si>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</si>
  <si>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</si>
  <si>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</si>
  <si>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</si>
  <si>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</si>
  <si>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</si>
  <si>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</si>
  <si>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</si>
  <si>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</si>
  <si>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</si>
  <si>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</si>
  <si>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</si>
  <si>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</si>
  <si>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</si>
  <si>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</si>
  <si>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</si>
  <si>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</si>
  <si>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</si>
  <si>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</si>
  <si>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</si>
  <si>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</si>
  <si>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</si>
  <si>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</si>
  <si>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</si>
  <si>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</si>
  <si>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</si>
  <si>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</si>
  <si>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</si>
  <si>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</si>
  <si>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</si>
  <si>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</si>
  <si>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</si>
  <si>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</si>
  <si>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</si>
  <si>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</si>
  <si>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</si>
  <si>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</si>
  <si>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</si>
  <si>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</si>
  <si>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</si>
  <si>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</si>
  <si>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</si>
  <si>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</si>
  <si>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</si>
  <si>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</si>
  <si>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</si>
  <si>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</si>
  <si>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</si>
  <si>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</si>
  <si>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</si>
  <si>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</si>
  <si>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</si>
  <si>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</si>
  <si>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</si>
  <si>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</si>
  <si>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</si>
  <si>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</si>
  <si>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</si>
  <si>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</si>
  <si>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</si>
  <si>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</si>
  <si>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</si>
  <si>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</si>
  <si>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</si>
  <si>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</si>
  <si>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</si>
  <si>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</si>
  <si>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</si>
  <si>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</si>
  <si>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</si>
  <si>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</si>
  <si>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</si>
  <si>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</si>
  <si>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</si>
  <si>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</si>
  <si>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</si>
  <si>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</si>
  <si>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</si>
  <si>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</si>
  <si>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</si>
  <si>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</si>
  <si>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</si>
  <si>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</si>
  <si>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</si>
  <si>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</si>
  <si>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</si>
  <si>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</si>
  <si>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</si>
  <si>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</si>
  <si>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</si>
  <si>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</si>
  <si>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</si>
  <si>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</si>
  <si>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</si>
  <si>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</si>
  <si>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</si>
  <si>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</si>
  <si>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</si>
  <si>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</si>
  <si>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</si>
  <si>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</si>
  <si>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</si>
  <si>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</si>
  <si>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</si>
  <si>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</si>
  <si>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</si>
  <si>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</si>
  <si>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</si>
  <si>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</si>
  <si>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</si>
  <si>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</si>
  <si>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</si>
  <si>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</si>
  <si>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</si>
  <si>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</si>
  <si>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</si>
  <si>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</si>
  <si>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</si>
  <si>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</si>
  <si>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</si>
  <si>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</si>
  <si>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</si>
  <si>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</si>
  <si>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</si>
  <si>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</si>
  <si>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</si>
  <si>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</si>
  <si>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</si>
  <si>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</si>
  <si>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</si>
  <si>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</si>
  <si>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</si>
  <si>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</si>
  <si>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</si>
  <si>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</si>
  <si>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</si>
  <si>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</si>
  <si>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</si>
  <si>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</si>
  <si>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</si>
  <si>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</si>
  <si>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</si>
  <si>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</si>
  <si>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</si>
  <si>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</si>
  <si>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</si>
  <si>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</si>
  <si>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</si>
  <si>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</si>
  <si>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</si>
  <si>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</si>
  <si>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</si>
  <si>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</si>
  <si>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</si>
  <si>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</si>
  <si>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</si>
  <si>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</si>
  <si>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</si>
  <si>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</si>
  <si>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</si>
  <si>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</si>
  <si>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</si>
  <si>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</si>
  <si>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</si>
  <si>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</si>
  <si>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</si>
  <si>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</si>
  <si>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</si>
  <si>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</si>
  <si>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</si>
  <si>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</si>
  <si>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</si>
  <si>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</si>
  <si>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</si>
  <si>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</si>
  <si>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</si>
  <si>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</si>
  <si>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</si>
  <si>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</si>
  <si>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</si>
  <si>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</si>
  <si>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</si>
  <si>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</si>
  <si>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</si>
  <si>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</si>
  <si>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</si>
  <si>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</si>
  <si>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</si>
  <si>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</si>
  <si>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</si>
  <si>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</si>
  <si>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</si>
  <si>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</si>
  <si>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</si>
  <si>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</si>
  <si>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</si>
  <si>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</si>
  <si>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</si>
  <si>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</si>
  <si>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</si>
  <si>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</si>
  <si>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</si>
  <si>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</si>
  <si>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</si>
  <si>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</si>
  <si>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</si>
  <si>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</si>
  <si>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</si>
  <si>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</si>
  <si>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</si>
  <si>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</si>
  <si>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</si>
  <si>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</si>
  <si>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</si>
  <si>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</si>
  <si>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</si>
  <si>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</si>
  <si>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</si>
  <si>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</si>
  <si>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</si>
  <si>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</si>
  <si>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</si>
  <si>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</si>
  <si>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</si>
  <si>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</si>
  <si>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</si>
  <si>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</si>
  <si>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</si>
  <si>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</si>
  <si>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</si>
  <si>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</si>
  <si>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</si>
  <si>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</si>
  <si>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</si>
  <si>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</si>
  <si>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</si>
  <si>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</si>
  <si>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</si>
  <si>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</si>
  <si>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</si>
  <si>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</si>
  <si>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</si>
  <si>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</si>
  <si>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</si>
  <si>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</si>
  <si>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</si>
  <si>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</si>
  <si>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</si>
  <si>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</si>
  <si>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</si>
  <si>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</si>
  <si>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</si>
  <si>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</si>
  <si>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</si>
  <si>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</si>
  <si>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</si>
  <si>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</si>
  <si>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</si>
  <si>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</si>
  <si>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</si>
  <si>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</si>
  <si>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</si>
  <si>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</si>
  <si>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</si>
  <si>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</si>
  <si>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</si>
  <si>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</si>
  <si>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</si>
  <si>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</si>
  <si>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</si>
  <si>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</si>
  <si>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</si>
  <si>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</si>
  <si>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</si>
  <si>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</si>
  <si>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</si>
  <si>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</si>
  <si>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</si>
  <si>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</si>
  <si>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</si>
  <si>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</si>
  <si>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</si>
  <si>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</si>
  <si>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</si>
  <si>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</si>
  <si>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</si>
  <si>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</si>
  <si>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</si>
  <si>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</si>
  <si>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</si>
  <si>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</si>
  <si>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</si>
  <si>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</si>
  <si>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</si>
  <si>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</si>
  <si>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</si>
  <si>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</si>
  <si>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</si>
  <si>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</si>
  <si>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</si>
  <si>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</si>
  <si>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</si>
  <si>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</si>
  <si>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</si>
  <si>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</si>
  <si>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</si>
  <si>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</si>
  <si>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</si>
  <si>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</si>
  <si>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</si>
  <si>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</si>
  <si>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</si>
  <si>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</si>
  <si>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</si>
  <si>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</si>
  <si>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</si>
  <si>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</si>
  <si>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</si>
  <si>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</si>
  <si>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</si>
  <si>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</si>
  <si>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</si>
  <si>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</si>
  <si>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</si>
  <si>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</si>
  <si>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</si>
  <si>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</si>
  <si>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</si>
  <si>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</si>
  <si>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</si>
  <si>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</si>
  <si>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</si>
  <si>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</si>
  <si>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</si>
  <si>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</si>
  <si>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</si>
  <si>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</si>
  <si>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</si>
  <si>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</si>
  <si>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</si>
  <si>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</si>
  <si>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</si>
  <si>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</si>
  <si>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</si>
  <si>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</si>
  <si>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</si>
  <si>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</si>
  <si>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</si>
  <si>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</si>
  <si>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</si>
  <si>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</si>
  <si>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</si>
  <si>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</si>
  <si>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</si>
  <si>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</si>
  <si>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</si>
  <si>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</si>
  <si>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</si>
  <si>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</si>
  <si>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</si>
  <si>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</si>
  <si>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</si>
  <si>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</si>
  <si>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</si>
  <si>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</si>
  <si>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</si>
  <si>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</si>
  <si>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</si>
  <si>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</si>
  <si>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</si>
  <si>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</si>
  <si>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</si>
  <si>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</si>
  <si>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</si>
  <si>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</si>
  <si>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</si>
  <si>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</si>
  <si>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</si>
  <si>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</si>
  <si>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</si>
  <si>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</si>
  <si>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</si>
  <si>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</si>
  <si>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</si>
  <si>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</si>
  <si>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</si>
  <si>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</si>
  <si>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</si>
  <si>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</si>
  <si>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</si>
  <si>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</si>
  <si>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</si>
  <si>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</si>
  <si>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</si>
  <si>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</si>
  <si>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</si>
  <si>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</si>
  <si>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</si>
  <si>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</si>
  <si>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</si>
  <si>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</si>
  <si>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</si>
  <si>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</si>
  <si>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</si>
  <si>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</si>
  <si>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</si>
  <si>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</si>
  <si>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</si>
  <si>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</si>
  <si>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</si>
  <si>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</si>
  <si>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</si>
  <si>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</si>
  <si>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</si>
  <si>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</si>
  <si>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</si>
  <si>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</si>
  <si>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</si>
  <si>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</si>
  <si>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</si>
  <si>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</si>
  <si>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</si>
  <si>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</si>
  <si>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</si>
  <si>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</si>
  <si>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</si>
  <si>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</si>
  <si>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</si>
  <si>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</si>
  <si>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</si>
  <si>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</si>
  <si>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</si>
  <si>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</si>
  <si>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</si>
  <si>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</si>
  <si>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</si>
  <si>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</si>
  <si>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</si>
  <si>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</si>
  <si>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</si>
  <si>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</si>
  <si>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</si>
  <si>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</si>
  <si>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</si>
  <si>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</si>
  <si>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</si>
  <si>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</si>
  <si>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</si>
  <si>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</si>
  <si>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</si>
  <si>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</si>
  <si>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</si>
  <si>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</si>
  <si>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</si>
  <si>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</si>
  <si>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</si>
  <si>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</si>
  <si>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</si>
  <si>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</si>
  <si>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</si>
  <si>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</si>
  <si>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</si>
  <si>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</si>
  <si>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</si>
  <si>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</si>
  <si>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</si>
  <si>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</si>
  <si>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</si>
  <si>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</si>
  <si>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</si>
  <si>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</si>
  <si>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</si>
  <si>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</si>
  <si>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</si>
  <si>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</si>
  <si>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</si>
  <si>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</si>
  <si>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</si>
  <si>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</si>
  <si>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</si>
  <si>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</si>
  <si>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</si>
  <si>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</si>
  <si>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</si>
  <si>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</si>
  <si>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</si>
  <si>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</si>
  <si>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</si>
  <si>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</si>
  <si>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</si>
  <si>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</si>
  <si>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</si>
  <si>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</si>
  <si>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</si>
  <si>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</si>
  <si>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</si>
  <si>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</si>
  <si>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</si>
  <si>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</si>
  <si>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</si>
  <si>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</si>
  <si>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</si>
  <si>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</si>
  <si>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</si>
  <si>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</si>
  <si>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</si>
  <si>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</si>
  <si>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</si>
  <si>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</si>
  <si>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</si>
  <si>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</si>
  <si>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</si>
  <si>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</si>
  <si>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</si>
  <si>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</si>
  <si>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</si>
  <si>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</si>
  <si>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</si>
  <si>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</si>
  <si>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</si>
  <si>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</si>
  <si>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</si>
  <si>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</si>
  <si>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</si>
  <si>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</si>
  <si>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</si>
  <si>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</si>
  <si>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</si>
  <si>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</si>
  <si>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</si>
  <si>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</si>
  <si>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</si>
  <si>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</si>
  <si>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</si>
  <si>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</si>
  <si>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</si>
  <si>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</si>
  <si>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</si>
  <si>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</si>
  <si>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</si>
  <si>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</si>
  <si>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</si>
  <si>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</si>
  <si>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</si>
  <si>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</si>
  <si>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</si>
  <si>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</si>
  <si>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</si>
  <si>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</si>
  <si>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</si>
  <si>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</si>
  <si>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</si>
  <si>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</si>
  <si>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</si>
  <si>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</si>
  <si>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</si>
  <si>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</si>
  <si>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</si>
  <si>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</si>
  <si>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</si>
  <si>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</si>
  <si>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</si>
  <si>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</si>
  <si>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</si>
  <si>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</si>
  <si>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</si>
  <si>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</si>
  <si>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</si>
  <si>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</si>
  <si>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</si>
  <si>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</si>
  <si>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</si>
  <si>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</si>
  <si>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</si>
  <si>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</si>
  <si>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</si>
  <si>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</si>
  <si>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</si>
  <si>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</si>
  <si>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</si>
  <si>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</si>
  <si>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</si>
  <si>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</si>
  <si>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</si>
  <si>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</si>
  <si>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</si>
  <si>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</si>
  <si>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</si>
  <si>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</si>
  <si>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</si>
  <si>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</si>
  <si>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</si>
  <si>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</si>
  <si>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</si>
  <si>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</si>
  <si>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</si>
  <si>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</si>
  <si>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</si>
  <si>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</si>
  <si>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</si>
  <si>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</si>
  <si>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</si>
  <si>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</si>
  <si>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</si>
  <si>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</si>
  <si>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</si>
  <si>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</si>
  <si>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</si>
  <si>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</si>
  <si>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</si>
  <si>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</si>
  <si>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</si>
  <si>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</si>
  <si>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</si>
  <si>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</si>
  <si>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</si>
  <si>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</si>
  <si>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</si>
  <si>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</si>
  <si>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</si>
  <si>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</si>
  <si>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</si>
  <si>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</si>
  <si>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</si>
  <si>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</si>
  <si>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</si>
  <si>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</si>
  <si>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</si>
  <si>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</si>
  <si>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</si>
  <si>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</si>
  <si>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</si>
  <si>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</si>
  <si>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</si>
  <si>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</si>
  <si>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</si>
  <si>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</si>
  <si>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</si>
  <si>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</si>
  <si>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</si>
  <si>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</si>
  <si>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</si>
  <si>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</si>
  <si>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</si>
  <si>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</si>
  <si>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</si>
  <si>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</si>
  <si>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</si>
  <si>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</si>
  <si>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</si>
  <si>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</si>
  <si>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</si>
  <si>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</si>
  <si>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</si>
  <si>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</si>
  <si>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</si>
  <si>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</si>
  <si>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</si>
  <si>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</si>
  <si>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</si>
  <si>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</si>
  <si>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</si>
  <si>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</si>
  <si>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</si>
  <si>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</si>
  <si>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</si>
  <si>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</si>
  <si>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</si>
  <si>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</si>
  <si>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</si>
  <si>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</si>
  <si>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</si>
  <si>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</si>
  <si>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</si>
  <si>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</si>
  <si>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</si>
  <si>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</si>
  <si>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</si>
  <si>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</si>
  <si>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</si>
  <si>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</si>
  <si>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</si>
  <si>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</si>
  <si>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</si>
  <si>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</si>
  <si>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</si>
  <si>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</si>
  <si>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</si>
  <si>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</si>
  <si>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</si>
  <si>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</si>
  <si>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</si>
  <si>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</si>
  <si>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</si>
  <si>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</si>
  <si>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</si>
  <si>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</si>
  <si>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</si>
  <si>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</si>
  <si>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</si>
  <si>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</si>
  <si>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</si>
  <si>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</si>
  <si>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</si>
  <si>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</si>
  <si>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</si>
  <si>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</si>
  <si>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</si>
  <si>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</si>
  <si>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</si>
  <si>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</si>
  <si>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</si>
  <si>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</si>
  <si>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</si>
  <si>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</si>
  <si>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</si>
  <si>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</si>
  <si>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</si>
  <si>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</si>
  <si>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</si>
  <si>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</si>
  <si>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</si>
  <si>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</si>
  <si>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</si>
  <si>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</si>
  <si>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</si>
  <si>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</si>
  <si>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</si>
  <si>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</si>
  <si>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</si>
  <si>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</si>
  <si>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</si>
  <si>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</si>
  <si>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</si>
  <si>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</si>
  <si>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</si>
  <si>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</si>
  <si>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</si>
  <si>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</si>
  <si>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</si>
  <si>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</si>
  <si>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</si>
  <si>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</si>
  <si>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</si>
  <si>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</si>
  <si>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</si>
  <si>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</si>
  <si>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</si>
  <si>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</si>
  <si>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</si>
  <si>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</si>
  <si>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</si>
  <si>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</si>
  <si>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</si>
  <si>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</si>
  <si>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</si>
  <si>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</si>
  <si>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</si>
  <si>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</si>
  <si>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</si>
  <si>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</si>
  <si>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</si>
  <si>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</si>
  <si>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</si>
  <si>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</si>
  <si>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</si>
  <si>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</si>
  <si>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</si>
  <si>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</si>
  <si>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</si>
  <si>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</si>
  <si>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</si>
  <si>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</si>
  <si>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</si>
  <si>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</si>
  <si>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</si>
  <si>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</si>
  <si>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</si>
  <si>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</si>
  <si>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</si>
  <si>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</si>
  <si>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</si>
  <si>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</si>
  <si>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</si>
  <si>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</si>
  <si>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</si>
  <si>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</si>
  <si>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</si>
  <si>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</si>
  <si>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</si>
  <si>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</si>
  <si>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</si>
  <si>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</si>
  <si>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</si>
  <si>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</si>
  <si>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</si>
  <si>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</si>
  <si>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</si>
  <si>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</si>
  <si>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</si>
  <si>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</si>
  <si>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</si>
  <si>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</si>
  <si>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</si>
  <si>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</si>
  <si>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</si>
  <si>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</si>
  <si>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</si>
  <si>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</si>
  <si>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</si>
  <si>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</si>
  <si>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</si>
  <si>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</si>
  <si>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</si>
  <si>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</si>
  <si>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</si>
  <si>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</si>
  <si>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</si>
  <si>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</si>
  <si>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</si>
  <si>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</si>
  <si>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</si>
  <si>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</si>
  <si>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</si>
  <si>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</si>
  <si>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</si>
  <si>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</si>
  <si>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</si>
  <si>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</si>
  <si>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</si>
  <si>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</si>
  <si>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</si>
  <si>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</si>
  <si>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</si>
  <si>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</si>
  <si>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</si>
  <si>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</si>
  <si>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</si>
  <si>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</si>
  <si>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</si>
  <si>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</si>
  <si>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</si>
  <si>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</si>
  <si>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</si>
  <si>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</si>
  <si>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</si>
  <si>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</si>
  <si>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</si>
  <si>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</si>
  <si>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</si>
  <si>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</si>
  <si>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</si>
  <si>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</si>
  <si>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</si>
  <si>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</si>
  <si>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</si>
  <si>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</si>
  <si>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</si>
  <si>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</si>
  <si>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</si>
  <si>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</si>
  <si>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</si>
  <si>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</si>
  <si>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</si>
  <si>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</si>
  <si>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</si>
  <si>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</si>
  <si>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</si>
  <si>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</si>
  <si>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</si>
  <si>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</si>
  <si>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</si>
  <si>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</si>
  <si>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</si>
  <si>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</si>
  <si>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</si>
  <si>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</si>
  <si>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</si>
  <si>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</si>
  <si>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</si>
  <si>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</si>
  <si>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</si>
  <si>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</si>
  <si>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</si>
  <si>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</si>
  <si>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</si>
  <si>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</si>
  <si>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</si>
  <si>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</si>
  <si>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</si>
  <si>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</si>
  <si>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</si>
  <si>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</si>
  <si>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</si>
  <si>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</si>
  <si>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</si>
  <si>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</si>
  <si>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</si>
  <si>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</si>
  <si>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</si>
  <si>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</si>
  <si>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</si>
  <si>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</si>
  <si>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</si>
  <si>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</si>
  <si>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</si>
  <si>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</si>
  <si>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</si>
  <si>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</si>
  <si>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</si>
  <si>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</si>
  <si>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</si>
  <si>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</si>
  <si>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</si>
  <si>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</si>
  <si>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</si>
  <si>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</si>
  <si>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</si>
  <si>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</si>
  <si>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</si>
  <si>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</si>
  <si>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</si>
  <si>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</si>
  <si>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</si>
  <si>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</si>
  <si>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</si>
  <si>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</si>
  <si>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</si>
  <si>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</si>
  <si>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</si>
  <si>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</si>
  <si>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</si>
  <si>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</si>
  <si>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</si>
  <si>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</si>
  <si>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</si>
  <si>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</si>
  <si>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</si>
  <si>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</si>
  <si>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</si>
  <si>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</si>
  <si>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</si>
  <si>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</si>
  <si>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</si>
  <si>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</si>
  <si>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</si>
  <si>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</si>
  <si>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</si>
  <si>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</si>
  <si>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</si>
  <si>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</si>
  <si>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</si>
  <si>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</si>
  <si>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</si>
  <si>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</si>
  <si>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</si>
  <si>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</si>
  <si>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</si>
  <si>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</si>
  <si>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</si>
  <si>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</si>
  <si>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</si>
  <si>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</si>
  <si>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</si>
  <si>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</si>
  <si>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</si>
  <si>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</si>
  <si>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</si>
  <si>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</si>
  <si>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</si>
  <si>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</si>
  <si>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</si>
  <si>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</si>
  <si>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</si>
  <si>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</si>
  <si>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</si>
  <si>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</si>
  <si>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</si>
  <si>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</si>
  <si>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</si>
  <si>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</si>
  <si>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</si>
  <si>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</si>
  <si>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</si>
  <si>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</si>
  <si>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</si>
  <si>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</si>
  <si>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</si>
  <si>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</si>
  <si>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</si>
  <si>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</si>
  <si>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</si>
  <si>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</si>
  <si>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</si>
  <si>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</si>
  <si>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</si>
  <si>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</si>
  <si>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</si>
  <si>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</si>
  <si>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</si>
  <si>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</si>
  <si>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</si>
  <si>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</si>
  <si>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</si>
  <si>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</si>
  <si>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</si>
  <si>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</si>
  <si>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</si>
  <si>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</si>
  <si>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</si>
  <si>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</si>
  <si>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</si>
  <si>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</si>
  <si>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</si>
  <si>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</si>
  <si>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</si>
  <si>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</si>
  <si>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</si>
  <si>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</si>
  <si>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</si>
  <si>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</si>
  <si>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</si>
  <si>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</si>
  <si>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</si>
  <si>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</si>
  <si>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</si>
  <si>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</si>
  <si>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</si>
  <si>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</si>
  <si>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</si>
  <si>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</si>
  <si>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</si>
  <si>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</si>
  <si>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</si>
  <si>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</si>
  <si>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</si>
  <si>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</si>
  <si>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</si>
  <si>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</si>
  <si>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</si>
  <si>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</si>
  <si>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</si>
  <si>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</si>
  <si>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</si>
  <si>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</si>
  <si>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</si>
  <si>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</si>
  <si>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</si>
  <si>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</si>
  <si>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</si>
  <si>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</si>
  <si>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</si>
  <si>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</si>
  <si>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</si>
  <si>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</si>
  <si>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</si>
  <si>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</si>
  <si>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</si>
  <si>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</si>
  <si>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</si>
  <si>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</si>
  <si>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</si>
  <si>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</si>
  <si>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</si>
  <si>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</si>
  <si>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</si>
  <si>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</si>
  <si>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</si>
  <si>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</si>
  <si>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</si>
  <si>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</si>
  <si>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</si>
  <si>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</si>
  <si>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</si>
  <si>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</si>
  <si>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</si>
  <si>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</si>
  <si>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</si>
  <si>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</si>
  <si>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</si>
  <si>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</si>
  <si>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</si>
  <si>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</si>
  <si>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</si>
  <si>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</si>
  <si>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</si>
  <si>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</si>
  <si>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</si>
  <si>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</si>
  <si>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</si>
  <si>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</si>
  <si>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</si>
  <si>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</si>
  <si>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</si>
  <si>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</si>
  <si>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</si>
  <si>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</si>
  <si>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</si>
  <si>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</si>
  <si>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</si>
  <si>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</si>
  <si>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</si>
  <si>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</si>
  <si>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</si>
  <si>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</si>
  <si>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</si>
  <si>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</si>
  <si>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</si>
  <si>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</si>
  <si>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</si>
  <si>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</si>
  <si>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</si>
  <si>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</si>
  <si>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</si>
  <si>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</si>
  <si>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</si>
  <si>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</si>
  <si>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</si>
  <si>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</si>
  <si>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</si>
  <si>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</si>
  <si>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</si>
  <si>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</si>
  <si>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</si>
  <si>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</si>
  <si>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</si>
  <si>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</si>
  <si>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</si>
  <si>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</si>
  <si>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</si>
  <si>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</si>
  <si>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</si>
  <si>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</si>
  <si>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</si>
  <si>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</si>
  <si>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</si>
  <si>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</si>
  <si>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</si>
  <si>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</si>
  <si>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</si>
  <si>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</si>
  <si>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</si>
  <si>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</si>
  <si>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</si>
  <si>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</si>
  <si>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</si>
  <si>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</si>
  <si>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</si>
  <si>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</si>
  <si>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</si>
  <si>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</si>
  <si>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</si>
  <si>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</si>
  <si>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</si>
  <si>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</si>
  <si>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</si>
  <si>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</si>
  <si>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</si>
  <si>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</si>
  <si>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</si>
  <si>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</si>
  <si>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</si>
  <si>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</si>
  <si>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</si>
  <si>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</si>
  <si>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</si>
  <si>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</si>
  <si>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</si>
  <si>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</si>
  <si>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</si>
  <si>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</si>
  <si>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</si>
  <si>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</si>
  <si>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</si>
  <si>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</si>
  <si>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</si>
  <si>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</si>
  <si>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</si>
  <si>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</si>
  <si>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</si>
  <si>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</si>
  <si>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</si>
  <si>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</si>
  <si>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</si>
  <si>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</si>
  <si>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</si>
  <si>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</si>
  <si>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</si>
  <si>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</si>
  <si>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</si>
  <si>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</si>
  <si>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</si>
  <si>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</si>
  <si>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</si>
  <si>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</si>
  <si>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</si>
  <si>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</si>
  <si>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</si>
  <si>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</si>
  <si>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</si>
  <si>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</si>
  <si>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</si>
  <si>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</si>
  <si>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</si>
  <si>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</si>
  <si>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</si>
  <si>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</si>
  <si>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</si>
  <si>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</si>
  <si>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</si>
  <si>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</si>
  <si>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</si>
  <si>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</si>
  <si>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</si>
  <si>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</si>
  <si>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</si>
  <si>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</si>
  <si>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</si>
  <si>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</si>
  <si>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</si>
  <si>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</si>
  <si>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</si>
  <si>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</si>
  <si>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</si>
  <si>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</si>
  <si>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</si>
  <si>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</si>
  <si>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</si>
  <si>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</si>
  <si>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</si>
  <si>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</si>
  <si>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</si>
  <si>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</si>
  <si>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</si>
  <si>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</si>
  <si>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</si>
  <si>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</si>
  <si>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</si>
  <si>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</si>
  <si>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</si>
  <si>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</si>
  <si>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</si>
  <si>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</si>
  <si>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</si>
  <si>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</si>
  <si>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</si>
  <si>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</si>
  <si>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</si>
  <si>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</si>
  <si>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</si>
  <si>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</si>
  <si>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</si>
  <si>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</si>
  <si>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</si>
  <si>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</si>
  <si>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</si>
  <si>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</si>
  <si>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</si>
  <si>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</si>
  <si>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</si>
  <si>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</si>
  <si>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</si>
  <si>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</si>
  <si>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</si>
  <si>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</si>
  <si>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</si>
  <si>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</si>
  <si>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</si>
  <si>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</si>
  <si>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</si>
  <si>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</si>
  <si>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</si>
  <si>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</si>
  <si>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</si>
  <si>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</si>
  <si>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</si>
  <si>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</si>
  <si>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</si>
  <si>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</si>
  <si>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</si>
  <si>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</si>
  <si>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</si>
  <si>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</si>
  <si>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</si>
  <si>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</si>
  <si>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</si>
  <si>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</si>
  <si>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</si>
  <si>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</si>
  <si>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</si>
  <si>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</si>
  <si>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</si>
  <si>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</si>
  <si>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</si>
  <si>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</si>
  <si>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</si>
  <si>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</si>
  <si>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</si>
  <si>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</si>
  <si>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</si>
  <si>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</si>
  <si>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</si>
  <si>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</si>
  <si>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</si>
  <si>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</si>
  <si>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</si>
  <si>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</si>
  <si>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</si>
  <si>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</si>
  <si>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</si>
  <si>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</si>
  <si>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</si>
  <si>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</si>
  <si>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</si>
  <si>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</si>
  <si>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</si>
  <si>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</si>
  <si>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</si>
  <si>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</si>
  <si>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</si>
  <si>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</si>
  <si>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</si>
  <si>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</si>
  <si>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</si>
  <si>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</si>
  <si>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</si>
  <si>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</si>
  <si>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</si>
  <si>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</si>
  <si>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</si>
  <si>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</si>
  <si>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</si>
  <si>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</si>
  <si>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</si>
  <si>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</si>
  <si>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</si>
  <si>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</si>
  <si>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</si>
  <si>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</si>
  <si>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</si>
  <si>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</si>
  <si>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</si>
  <si>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</si>
  <si>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</si>
  <si>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</si>
  <si>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</si>
  <si>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</si>
  <si>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</si>
  <si>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</si>
  <si>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</si>
  <si>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</si>
  <si>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</si>
  <si>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</si>
  <si>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</si>
  <si>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</si>
  <si>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</si>
  <si>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</si>
  <si>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</si>
  <si>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</si>
  <si>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</si>
  <si>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</si>
  <si>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</si>
  <si>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</si>
  <si>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</si>
  <si>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</si>
  <si>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</si>
  <si>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</si>
  <si>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</si>
  <si>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</si>
  <si>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</si>
  <si>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</si>
  <si>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</si>
  <si>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</si>
  <si>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</si>
  <si>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</si>
  <si>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</si>
  <si>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</si>
  <si>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</si>
  <si>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</si>
  <si>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</si>
  <si>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</si>
  <si>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</si>
  <si>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</si>
  <si>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</si>
  <si>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</si>
  <si>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</si>
  <si>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</si>
  <si>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</si>
  <si>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</si>
  <si>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</si>
  <si>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</si>
  <si>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</si>
  <si>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</si>
  <si>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</si>
  <si>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</si>
  <si>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</si>
  <si>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</si>
  <si>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</si>
  <si>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</si>
  <si>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</si>
  <si>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</si>
  <si>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</si>
  <si>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</si>
  <si>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</si>
  <si>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</si>
  <si>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</si>
  <si>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</si>
  <si>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</si>
  <si>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</si>
  <si>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</si>
  <si>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</si>
  <si>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</si>
  <si>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</si>
  <si>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</si>
  <si>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</si>
  <si>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</si>
  <si>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</si>
  <si>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</si>
  <si>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</si>
  <si>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</si>
  <si>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</si>
  <si>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</si>
  <si>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</si>
  <si>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</si>
  <si>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</si>
  <si>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</si>
  <si>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</si>
  <si>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</si>
  <si>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</si>
  <si>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</si>
  <si>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</si>
  <si>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</si>
  <si>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</si>
  <si>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</si>
  <si>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</si>
  <si>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</si>
  <si>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</si>
  <si>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</si>
  <si>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</si>
  <si>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</si>
  <si>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</si>
  <si>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</si>
  <si>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</si>
  <si>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</si>
  <si>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</si>
  <si>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</si>
  <si>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</si>
  <si>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</si>
  <si>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</si>
  <si>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</si>
  <si>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</si>
  <si>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</si>
  <si>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</si>
  <si>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</si>
  <si>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</si>
  <si>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</si>
  <si>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</si>
  <si>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</si>
  <si>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</si>
  <si>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</si>
  <si>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</si>
  <si>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</si>
  <si>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</si>
  <si>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</si>
  <si>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</si>
  <si>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</si>
  <si>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</si>
  <si>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</si>
  <si>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</si>
  <si>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</si>
  <si>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</si>
  <si>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</si>
  <si>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</si>
  <si>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</si>
  <si>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</si>
  <si>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</si>
  <si>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</si>
  <si>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</si>
  <si>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</si>
  <si>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</si>
  <si>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</si>
  <si>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</si>
  <si>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</si>
  <si>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</si>
  <si>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</si>
  <si>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</si>
  <si>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</si>
  <si>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</si>
  <si>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</si>
  <si>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</si>
  <si>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</si>
  <si>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</si>
  <si>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</si>
  <si>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</si>
  <si>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</si>
  <si>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</si>
  <si>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</si>
  <si>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</si>
  <si>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</si>
  <si>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</si>
  <si>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</si>
  <si>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</si>
  <si>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</si>
  <si>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</si>
  <si>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</si>
  <si>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</si>
  <si>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</si>
  <si>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</si>
  <si>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</si>
  <si>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</si>
  <si>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</si>
  <si>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</si>
  <si>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</si>
  <si>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</si>
  <si>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</si>
  <si>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</si>
  <si>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</si>
  <si>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</si>
  <si>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</si>
  <si>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</si>
  <si>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</si>
  <si>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</si>
  <si>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</si>
  <si>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</si>
  <si>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</si>
  <si>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</si>
  <si>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</si>
  <si>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</si>
  <si>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</si>
  <si>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</si>
  <si>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</si>
  <si>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</si>
  <si>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</si>
  <si>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</si>
  <si>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</si>
  <si>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</si>
  <si>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</si>
  <si>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</si>
  <si>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</si>
  <si>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</si>
  <si>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</si>
  <si>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</si>
  <si>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</si>
  <si>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</si>
  <si>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</si>
  <si>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</si>
  <si>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</si>
  <si>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</si>
  <si>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</si>
  <si>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</si>
  <si>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</si>
  <si>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</si>
  <si>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</si>
  <si>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</si>
  <si>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</si>
  <si>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</si>
  <si>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</si>
  <si>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</si>
  <si>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</si>
  <si>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</si>
  <si>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</si>
  <si>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</si>
  <si>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</si>
  <si>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</si>
  <si>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</si>
  <si>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</si>
  <si>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</si>
  <si>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</si>
  <si>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</si>
  <si>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</si>
  <si>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</si>
  <si>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</si>
  <si>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</si>
  <si>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</si>
  <si>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</si>
  <si>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</si>
  <si>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</si>
  <si>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</si>
  <si>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</si>
  <si>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</si>
  <si>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</si>
  <si>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</si>
  <si>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</si>
  <si>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</si>
  <si>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</si>
  <si>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</si>
  <si>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</si>
  <si>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</si>
  <si>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</si>
  <si>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</si>
  <si>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</si>
  <si>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</si>
  <si>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</si>
  <si>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</si>
  <si>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</si>
  <si>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</si>
  <si>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</si>
  <si>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</si>
  <si>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</si>
  <si>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</si>
  <si>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</si>
  <si>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</si>
  <si>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</si>
  <si>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</si>
  <si>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</si>
  <si>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</si>
  <si>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</si>
  <si>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</si>
  <si>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</si>
  <si>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</si>
  <si>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</si>
  <si>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</si>
  <si>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</si>
  <si>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</si>
  <si>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</si>
  <si>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</si>
  <si>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</si>
  <si>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</si>
  <si>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</si>
  <si>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</si>
  <si>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</si>
  <si>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</si>
  <si>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</si>
  <si>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</si>
  <si>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</si>
  <si>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</si>
  <si>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</si>
  <si>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</si>
  <si>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</si>
  <si>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</si>
  <si>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</si>
  <si>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</si>
  <si>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</si>
  <si>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</si>
  <si>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</si>
  <si>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</si>
  <si>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</si>
  <si>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</si>
  <si>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</si>
  <si>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</si>
  <si>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</si>
  <si>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</si>
  <si>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</si>
  <si>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</si>
  <si>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</si>
  <si>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</si>
  <si>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</si>
  <si>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</si>
  <si>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</si>
  <si>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</si>
  <si>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</si>
  <si>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</si>
  <si>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</si>
  <si>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</si>
  <si>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</si>
  <si>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</si>
  <si>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</si>
  <si>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</si>
  <si>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</si>
  <si>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</si>
  <si>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</si>
  <si>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</si>
  <si>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</si>
  <si>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</si>
  <si>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</si>
  <si>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</si>
  <si>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</si>
  <si>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</si>
  <si>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</si>
  <si>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</si>
  <si>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</si>
  <si>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</si>
  <si>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</si>
  <si>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</si>
  <si>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</si>
  <si>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</si>
  <si>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</si>
  <si>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</si>
  <si>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</si>
  <si>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</si>
  <si>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</si>
  <si>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</si>
  <si>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</si>
  <si>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</si>
  <si>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</si>
  <si>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</si>
  <si>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</si>
  <si>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</si>
  <si>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</si>
  <si>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</si>
  <si>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</si>
  <si>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</si>
  <si>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</si>
  <si>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</si>
  <si>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</si>
  <si>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</si>
  <si>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</si>
  <si>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</si>
  <si>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</si>
  <si>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</si>
  <si>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</si>
  <si>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</si>
  <si>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</si>
  <si>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</si>
  <si>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</si>
  <si>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</si>
  <si>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</si>
  <si>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</si>
  <si>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</si>
  <si>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</si>
  <si>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</si>
  <si>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</si>
  <si>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</si>
  <si>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</si>
  <si>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</si>
  <si>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</si>
  <si>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</si>
  <si>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</si>
  <si>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</si>
  <si>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</si>
  <si>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</si>
  <si>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</si>
  <si>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</si>
  <si>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</si>
  <si>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</si>
  <si>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</si>
  <si>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</si>
  <si>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</si>
  <si>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</si>
  <si>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</si>
  <si>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</si>
  <si>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</si>
  <si>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</si>
  <si>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</si>
  <si>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</si>
  <si>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</si>
  <si>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</si>
  <si>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</si>
  <si>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</si>
  <si>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</si>
  <si>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</si>
  <si>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</si>
  <si>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</si>
  <si>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</si>
  <si>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</si>
  <si>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</si>
  <si>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</si>
  <si>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</si>
  <si>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</si>
  <si>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</si>
  <si>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</si>
  <si>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</si>
  <si>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</si>
  <si>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</si>
  <si>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</si>
  <si>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</si>
  <si>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</si>
  <si>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</si>
  <si>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</si>
  <si>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</si>
  <si>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</si>
  <si>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</si>
  <si>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</si>
  <si>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</si>
  <si>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</si>
  <si>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</si>
  <si>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</si>
  <si>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</si>
  <si>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</si>
  <si>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</si>
  <si>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</si>
  <si>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</si>
  <si>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</si>
  <si>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</si>
  <si>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</si>
  <si>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</si>
  <si>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</si>
  <si>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</si>
  <si>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</si>
  <si>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</si>
  <si>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</si>
  <si>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</si>
  <si>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</si>
  <si>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</si>
  <si>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</si>
  <si>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</si>
  <si>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</si>
  <si>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</si>
  <si>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</si>
  <si>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</si>
  <si>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</si>
  <si>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</si>
  <si>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</si>
  <si>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</si>
  <si>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</si>
  <si>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</si>
  <si>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</si>
  <si>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</si>
  <si>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</si>
  <si>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</si>
  <si>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</si>
  <si>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</si>
  <si>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</si>
  <si>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</si>
  <si>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</si>
  <si>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</si>
  <si>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</si>
  <si>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</si>
  <si>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</si>
  <si>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</si>
  <si>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</si>
  <si>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</si>
  <si>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</si>
  <si>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</si>
  <si>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</si>
  <si>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</si>
  <si>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</si>
  <si>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</si>
  <si>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</si>
  <si>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</si>
  <si>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</si>
  <si>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</si>
  <si>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</si>
  <si>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</si>
  <si>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</si>
  <si>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</si>
  <si>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</si>
  <si>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</si>
  <si>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</si>
  <si>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</si>
  <si>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</si>
  <si>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</si>
  <si>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</si>
  <si>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</si>
  <si>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</si>
  <si>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</si>
  <si>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</si>
  <si>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</si>
  <si>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</si>
  <si>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</si>
  <si>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</si>
  <si>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</si>
  <si>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</si>
  <si>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</si>
  <si>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</si>
  <si>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</si>
  <si>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</si>
  <si>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</si>
  <si>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</si>
  <si>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</si>
  <si>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</si>
  <si>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</si>
  <si>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</si>
  <si>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</si>
  <si>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</si>
  <si>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</si>
  <si>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</si>
  <si>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</si>
  <si>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</si>
  <si>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</si>
  <si>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</si>
  <si>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</si>
  <si>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</si>
  <si>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</si>
  <si>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</si>
  <si>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</si>
  <si>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</si>
  <si>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</si>
  <si>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</si>
  <si>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</si>
  <si>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</si>
  <si>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</si>
  <si>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</si>
  <si>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</si>
  <si>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</si>
  <si>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</si>
  <si>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</si>
  <si>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</si>
  <si>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</si>
  <si>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</si>
  <si>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</si>
  <si>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</si>
  <si>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</si>
  <si>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</si>
  <si>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</si>
  <si>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</si>
  <si>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</si>
  <si>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</si>
  <si>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</si>
  <si>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</si>
  <si>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</si>
  <si>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</si>
  <si>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</si>
  <si>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</si>
  <si>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</si>
  <si>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</si>
  <si>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</si>
  <si>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</si>
  <si>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</si>
  <si>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</si>
  <si>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</si>
  <si>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</si>
  <si>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</si>
  <si>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</si>
  <si>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</si>
  <si>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</si>
  <si>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</si>
  <si>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</si>
  <si>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</si>
  <si>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</si>
  <si>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</si>
  <si>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</si>
  <si>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</si>
  <si>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</si>
  <si>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</si>
  <si>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</si>
  <si>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</si>
  <si>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</si>
  <si>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</si>
  <si>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</si>
  <si>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</si>
  <si>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</si>
  <si>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</si>
  <si>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</si>
  <si>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</si>
  <si>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</si>
  <si>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</si>
  <si>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</si>
  <si>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</si>
  <si>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</si>
  <si>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</si>
  <si>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</si>
  <si>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</si>
  <si>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</si>
  <si>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</si>
  <si>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</si>
  <si>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</si>
  <si>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</si>
  <si>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</si>
  <si>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</si>
  <si>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</si>
  <si>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</si>
  <si>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</si>
  <si>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</si>
  <si>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</si>
  <si>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</si>
  <si>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</si>
  <si>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</si>
  <si>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</si>
  <si>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</si>
  <si>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</si>
  <si>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</si>
  <si>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</si>
  <si>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</si>
  <si>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</si>
  <si>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</si>
  <si>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</si>
  <si>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</si>
  <si>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</si>
  <si>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</si>
  <si>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</si>
  <si>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</si>
  <si>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</si>
  <si>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</si>
  <si>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</si>
  <si>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</si>
  <si>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</si>
  <si>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</si>
  <si>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</si>
  <si>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</si>
  <si>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</si>
  <si>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</si>
  <si>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</si>
  <si>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</si>
  <si>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</si>
  <si>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</si>
  <si>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</si>
  <si>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</si>
  <si>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</si>
  <si>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</si>
  <si>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</si>
  <si>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</si>
  <si>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</si>
  <si>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</si>
  <si>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</si>
  <si>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</si>
  <si>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</si>
  <si>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</si>
  <si>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</si>
  <si>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</si>
  <si>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</si>
  <si>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</si>
  <si>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</si>
  <si>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</si>
  <si>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</si>
  <si>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</si>
  <si>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</si>
  <si>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</si>
  <si>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</si>
  <si>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</si>
  <si>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</si>
  <si>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</si>
  <si>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</si>
  <si>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</si>
  <si>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</si>
  <si>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</si>
  <si>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</si>
  <si>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</si>
  <si>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</si>
  <si>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</si>
  <si>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</si>
  <si>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</si>
  <si>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</si>
  <si>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</si>
  <si>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</si>
  <si>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</si>
  <si>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</si>
  <si>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</si>
  <si>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</si>
  <si>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</si>
  <si>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</si>
  <si>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</si>
  <si>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</si>
  <si>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</si>
  <si>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</si>
  <si>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</si>
  <si>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</si>
  <si>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</si>
  <si>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</si>
  <si>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</si>
  <si>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</si>
  <si>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</si>
  <si>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</si>
  <si>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</si>
  <si>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</si>
  <si>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</si>
  <si>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</si>
  <si>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</si>
  <si>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</si>
  <si>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</si>
  <si>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</si>
  <si>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</si>
  <si>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</si>
  <si>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</si>
  <si>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</si>
  <si>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</si>
  <si>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</si>
  <si>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</si>
  <si>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</si>
  <si>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</si>
  <si>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</si>
  <si>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</si>
  <si>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</si>
  <si>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</si>
  <si>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</si>
  <si>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</si>
  <si>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</si>
  <si>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</si>
  <si>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</si>
  <si>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</si>
  <si>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</si>
  <si>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</si>
  <si>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</si>
  <si>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</si>
  <si>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</si>
  <si>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</si>
  <si>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</si>
  <si>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</si>
  <si>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</si>
  <si>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</si>
  <si>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</si>
  <si>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</si>
  <si>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</si>
  <si>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</si>
  <si>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</si>
  <si>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</si>
  <si>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</si>
  <si>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</si>
  <si>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</si>
  <si>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</si>
  <si>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</si>
  <si>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</si>
  <si>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</si>
  <si>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</si>
  <si>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</si>
  <si>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</si>
  <si>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</si>
  <si>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</si>
  <si>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</si>
  <si>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</si>
  <si>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</si>
  <si>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</si>
  <si>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</si>
  <si>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</si>
  <si>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</si>
  <si>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</si>
  <si>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</si>
  <si>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</si>
  <si>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</si>
  <si>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</si>
  <si>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</si>
  <si>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</si>
  <si>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</si>
  <si>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</si>
  <si>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</si>
  <si>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</si>
  <si>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</si>
  <si>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</si>
  <si>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</si>
  <si>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</si>
  <si>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</si>
  <si>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</si>
  <si>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</si>
  <si>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</si>
  <si>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</si>
  <si>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</si>
  <si>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</si>
  <si>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</si>
  <si>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</si>
  <si>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</si>
  <si>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</si>
  <si>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</si>
  <si>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</si>
  <si>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</si>
  <si>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</si>
  <si>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</si>
  <si>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</si>
  <si>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</si>
  <si>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</si>
  <si>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</si>
  <si>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</si>
  <si>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</si>
  <si>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</si>
  <si>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</si>
  <si>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</si>
  <si>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</si>
  <si>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</si>
  <si>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</si>
  <si>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</si>
  <si>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</si>
  <si>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</si>
  <si>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</si>
  <si>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</si>
  <si>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</si>
  <si>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</si>
  <si>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</si>
  <si>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</si>
  <si>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</si>
  <si>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</si>
  <si>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</si>
  <si>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</si>
  <si>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</si>
  <si>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</si>
  <si>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</si>
  <si>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</si>
  <si>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</si>
  <si>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</si>
  <si>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</si>
  <si>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</si>
  <si>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</si>
  <si>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</si>
  <si>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</si>
  <si>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</si>
  <si>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</si>
  <si>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</si>
  <si>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</si>
  <si>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</si>
  <si>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</si>
  <si>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</si>
  <si>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</si>
  <si>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</si>
  <si>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</si>
  <si>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</si>
  <si>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</si>
  <si>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</si>
  <si>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</si>
  <si>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</si>
  <si>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</si>
  <si>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</si>
  <si>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</si>
  <si>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</si>
  <si>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</si>
  <si>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</si>
  <si>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</si>
  <si>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</si>
  <si>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</si>
  <si>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</si>
  <si>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</si>
  <si>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</si>
  <si>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</si>
  <si>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</si>
  <si>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</si>
  <si>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</si>
  <si>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</si>
  <si>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</si>
  <si>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</si>
  <si>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</si>
  <si>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</si>
  <si>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</si>
  <si>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</si>
  <si>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</si>
  <si>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</si>
  <si>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</si>
  <si>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</si>
  <si>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</si>
  <si>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</si>
  <si>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</si>
  <si>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</si>
  <si>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</si>
  <si>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</si>
  <si>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</si>
  <si>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</si>
  <si>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</si>
  <si>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</si>
  <si>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</si>
  <si>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</si>
  <si>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</si>
  <si>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</si>
  <si>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</si>
  <si>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</si>
  <si>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</si>
  <si>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</si>
  <si>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</si>
  <si>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</si>
  <si>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</si>
  <si>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</si>
  <si>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</si>
  <si>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</si>
  <si>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</si>
  <si>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</si>
  <si>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</si>
  <si>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</si>
  <si>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</si>
  <si>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</si>
  <si>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</si>
  <si>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</si>
  <si>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</si>
  <si>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</si>
  <si>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</si>
  <si>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</si>
  <si>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</si>
  <si>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</si>
  <si>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</si>
  <si>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</si>
  <si>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</si>
  <si>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</si>
  <si>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</si>
  <si>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</si>
  <si>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</si>
  <si>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</si>
  <si>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</si>
  <si>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</si>
  <si>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</si>
  <si>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</si>
  <si>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</si>
  <si>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</si>
  <si>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</si>
  <si>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</si>
  <si>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</si>
  <si>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</si>
  <si>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</si>
  <si>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</si>
  <si>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</si>
  <si>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</si>
  <si>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</si>
  <si>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</si>
  <si>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</si>
  <si>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</si>
  <si>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</si>
  <si>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</si>
  <si>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</si>
  <si>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</si>
  <si>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</si>
  <si>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</si>
  <si>
    <t>FD2F29D2G</t>
  </si>
  <si>
    <t>2026/6/11 合計</t>
  </si>
  <si>
    <t>FD2F29D2</t>
    <phoneticPr fontId="16" type="noConversion"/>
  </si>
  <si>
    <t>FD2F30582</t>
    <phoneticPr fontId="16" type="noConversion"/>
  </si>
  <si>
    <t>FD2F60281/292/212/262</t>
    <phoneticPr fontId="16" type="noConversion"/>
  </si>
  <si>
    <t>FD2G6GT2</t>
  </si>
  <si>
    <t>FD2GA052</t>
  </si>
  <si>
    <t>2026/6/12 合計</t>
  </si>
  <si>
    <t>FD2F6GT2</t>
    <phoneticPr fontId="16" type="noConversion"/>
  </si>
  <si>
    <t>FD2FA052</t>
    <phoneticPr fontId="16" type="noConversion"/>
  </si>
  <si>
    <t>FD2F29A2</t>
    <phoneticPr fontId="16" type="noConversion"/>
  </si>
  <si>
    <t xml:space="preserve"> MAMAY</t>
  </si>
  <si>
    <t>停機/了機</t>
    <phoneticPr fontId="13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</si>
  <si>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</si>
  <si>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</si>
  <si>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FD2F7D42</t>
  </si>
  <si>
    <t>FD2F6IN2K</t>
  </si>
  <si>
    <t>FD2F6IQ2</t>
  </si>
  <si>
    <t>2026/6/15 合計</t>
  </si>
  <si>
    <t>FD2F30642</t>
    <phoneticPr fontId="16" type="noConversion"/>
  </si>
  <si>
    <t>FD2FM4U2</t>
    <phoneticPr fontId="16" type="noConversion"/>
  </si>
  <si>
    <t>FD2FM4V2</t>
    <phoneticPr fontId="16" type="noConversion"/>
  </si>
  <si>
    <t>FD2FM4W2</t>
    <phoneticPr fontId="16" type="noConversion"/>
  </si>
  <si>
    <t>FD2FM4X2</t>
    <phoneticPr fontId="16" type="noConversion"/>
  </si>
  <si>
    <t>2FA082</t>
  </si>
  <si>
    <t>75/72BFSD</t>
  </si>
  <si>
    <t>FP01430</t>
  </si>
  <si>
    <t>白底紫十字</t>
  </si>
  <si>
    <t>L-2FA082</t>
    <phoneticPr fontId="13" type="noConversion"/>
  </si>
  <si>
    <t>FP01430</t>
    <phoneticPr fontId="11" type="noConversion"/>
  </si>
  <si>
    <t>2026/6/16 合計</t>
  </si>
  <si>
    <t>2F7E22</t>
  </si>
  <si>
    <t>FP82659</t>
  </si>
  <si>
    <t>2F6IT2</t>
  </si>
  <si>
    <t>FP12902R×2</t>
  </si>
  <si>
    <t>T03</t>
    <phoneticPr fontId="13" type="noConversion"/>
  </si>
  <si>
    <t>2F6IU2</t>
  </si>
  <si>
    <t>FP12902R×2</t>
    <phoneticPr fontId="11" type="noConversion"/>
  </si>
  <si>
    <t>FP82180R×2</t>
  </si>
  <si>
    <t>FP82180R×2</t>
    <phoneticPr fontId="11" type="noConversion"/>
  </si>
  <si>
    <t>T03</t>
    <phoneticPr fontId="11" type="noConversion"/>
  </si>
  <si>
    <t>停機：NA</t>
    <phoneticPr fontId="11" type="noConversion"/>
  </si>
  <si>
    <t>2F6IU2</t>
    <phoneticPr fontId="13" type="noConversion"/>
  </si>
  <si>
    <t>FP82180R×2</t>
    <phoneticPr fontId="13" type="noConversion"/>
  </si>
  <si>
    <t>2F7E31</t>
  </si>
  <si>
    <t>A21</t>
    <phoneticPr fontId="11" type="noConversion"/>
  </si>
  <si>
    <t>2.2</t>
    <phoneticPr fontId="11" type="noConversion"/>
  </si>
  <si>
    <t>A18</t>
    <phoneticPr fontId="11" type="noConversion"/>
  </si>
  <si>
    <t>FP02312×2</t>
    <phoneticPr fontId="11" type="noConversion"/>
  </si>
  <si>
    <t>FP82659×2</t>
  </si>
  <si>
    <t>2F08T2</t>
  </si>
  <si>
    <t>FP00413</t>
  </si>
  <si>
    <t>2FA092</t>
  </si>
  <si>
    <t>FP01436</t>
  </si>
  <si>
    <t>停機：8~10,14,21,23,24;(待料A07)</t>
    <phoneticPr fontId="11" type="noConversion"/>
  </si>
  <si>
    <t>FD2G42U2</t>
  </si>
  <si>
    <t>FD2F1PW2</t>
  </si>
  <si>
    <t>FD2F1SK2</t>
  </si>
  <si>
    <t>FD2F1YB2R</t>
  </si>
  <si>
    <t>FD2F1YC2</t>
  </si>
  <si>
    <t>FD2F26Z2</t>
  </si>
  <si>
    <t>FD2F28F2R</t>
  </si>
  <si>
    <t>FD2F28V2</t>
  </si>
  <si>
    <t>FD2G50541X</t>
  </si>
  <si>
    <t>FD2G6ID2</t>
  </si>
  <si>
    <t>2026/6/17 合計</t>
  </si>
  <si>
    <t>FD2F42U2</t>
  </si>
  <si>
    <t>FD2F50551/541</t>
    <phoneticPr fontId="16" type="noConversion"/>
  </si>
  <si>
    <t>A17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</si>
</sst>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2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3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0" fillId="0" borderId="0" xfId="0" applyNumberFormat="1"/>
    <xf numFmtId="187" fontId="95" fillId="0" borderId="290" xfId="0" applyNumberFormat="1" applyFont="1" applyBorder="1" applyAlignment="1">
      <alignment horizontal="center" vertical="center" shrinkToFit="1"/>
    </xf>
    <xf numFmtId="187" fontId="95" fillId="0" borderId="291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/>
    </xf>
    <xf numFmtId="187" fontId="95" fillId="0" borderId="74" xfId="0" applyNumberFormat="1" applyFont="1" applyBorder="1" applyAlignment="1">
      <alignment horizontal="center" vertical="center" shrinkToFit="1"/>
    </xf>
    <xf numFmtId="187" fontId="95" fillId="0" borderId="43" xfId="0" applyNumberFormat="1" applyFont="1" applyBorder="1" applyAlignment="1">
      <alignment horizontal="center" vertical="center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87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704"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1.377336689817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18T00:00:00" count="13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d v="2026-06-16T00:00:00"/>
        <d v="2026-06-17T00:00:00"/>
        <m/>
      </sharedItems>
    </cacheField>
    <cacheField name="批號" numFmtId="0">
      <sharedItems containsBlank="1" count="1186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s v="FD2G42U2"/>
        <s v="FD2F1PW2"/>
        <s v="FD2F1SK2"/>
        <s v="FD2F1YB2R"/>
        <s v="FD2F1YC2"/>
        <s v="FD2F26Z2"/>
        <s v="FD2F28F2R"/>
        <s v="FD2F28V2"/>
        <s v="FD2G50541X"/>
        <s v="FD2G6ID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78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1.472431249997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18T00:00:00" count="18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94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s v="2F7E22"/>
        <s v="2F6IT2"/>
        <s v="2F7E31"/>
        <s v="2F6IU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s v="165/48SR6"/>
        <s v="165/48/2SR6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144FCT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s v="FP82659"/>
        <s v="FP12902R×2"/>
        <s v="FP82659×2"/>
        <s v="FP82180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9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s v="綠藍三角"/>
        <s v="棕色"/>
        <s v="黃色"/>
        <s v="白桔方塊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333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71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31.95" maxValue="97.36666666666666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1"/>
    <n v="720"/>
  </r>
  <r>
    <x v="11"/>
    <x v="38"/>
    <n v="5213"/>
  </r>
  <r>
    <x v="11"/>
    <x v="88"/>
    <n v="2627"/>
  </r>
  <r>
    <x v="11"/>
    <x v="89"/>
    <n v="1380"/>
  </r>
  <r>
    <x v="11"/>
    <x v="90"/>
    <n v="1920"/>
  </r>
  <r>
    <x v="11"/>
    <x v="91"/>
    <n v="1680"/>
  </r>
  <r>
    <x v="11"/>
    <x v="92"/>
    <n v="330"/>
  </r>
  <r>
    <x v="11"/>
    <x v="93"/>
    <n v="7890"/>
  </r>
  <r>
    <x v="11"/>
    <x v="94"/>
    <n v="3624"/>
  </r>
  <r>
    <x v="11"/>
    <x v="95"/>
    <n v="744"/>
  </r>
  <r>
    <x v="11"/>
    <x v="96"/>
    <n v="637"/>
  </r>
  <r>
    <x v="11"/>
    <x v="97"/>
    <n v="692"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  <r>
    <x v="12"/>
    <x v="9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n v="12"/>
    <n v="0"/>
    <n v="8580"/>
    <n v="8772"/>
    <n v="2.8685258964143427"/>
    <n v="10.333333333333334"/>
    <n v="1"/>
    <n v="83.351666666666659"/>
    <n v="1.2916666666666667"/>
    <n v="1.2916666666666667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5"/>
    <x v="4"/>
    <x v="22"/>
    <m/>
    <x v="11"/>
    <x v="1"/>
    <x v="1"/>
    <x v="19"/>
    <n v="5"/>
    <n v="17"/>
    <n v="0"/>
    <n v="9117"/>
    <n v="8970"/>
    <m/>
    <m/>
    <m/>
    <m/>
    <n v="12"/>
    <n v="0"/>
    <n v="9262"/>
    <n v="9000"/>
    <n v="14"/>
    <n v="1"/>
    <n v="9180"/>
    <n v="8875"/>
    <n v="1.4090019569471623"/>
    <n v="14.333333333333334"/>
    <n v="0.99658787393162396"/>
    <n v="90.673333333333346"/>
    <n v="1.7916666666666667"/>
    <n v="1.7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5"/>
    <x v="5"/>
    <x v="2"/>
    <m/>
    <x v="2"/>
    <x v="2"/>
    <x v="1"/>
    <x v="2"/>
    <n v="5"/>
    <n v="14"/>
    <n v="0"/>
    <n v="9411"/>
    <n v="9847"/>
    <m/>
    <m/>
    <m/>
    <m/>
    <n v="20"/>
    <n v="4"/>
    <n v="9319"/>
    <n v="9835"/>
    <n v="28"/>
    <n v="4"/>
    <n v="9113"/>
    <n v="9660"/>
    <n v="2.8015564202334629"/>
    <n v="10.333333333333334"/>
    <n v="0.98627136752136757"/>
    <n v="95.308333333333337"/>
    <n v="1.2916666666666667"/>
    <n v="1.125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5"/>
    <x v="6"/>
    <x v="3"/>
    <s v="G"/>
    <x v="3"/>
    <x v="3"/>
    <x v="2"/>
    <x v="3"/>
    <n v="2"/>
    <n v="18"/>
    <n v="0"/>
    <n v="9012"/>
    <n v="9458"/>
    <m/>
    <m/>
    <m/>
    <m/>
    <n v="20"/>
    <n v="3"/>
    <n v="9196"/>
    <n v="9548"/>
    <n v="11"/>
    <n v="1"/>
    <n v="8916"/>
    <n v="9507"/>
    <n v="2.4615384615384617"/>
    <n v="16.333333333333332"/>
    <n v="0.9921875"/>
    <n v="92.728333333333339"/>
    <n v="2.0416666666666665"/>
    <n v="1.8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8"/>
    <x v="4"/>
    <m/>
    <x v="4"/>
    <x v="4"/>
    <x v="1"/>
    <x v="4"/>
    <n v="5"/>
    <m/>
    <m/>
    <s v="清車"/>
    <m/>
    <m/>
    <m/>
    <s v="復開"/>
    <m/>
    <m/>
    <m/>
    <s v="了機"/>
    <m/>
    <m/>
    <m/>
    <s v="了機"/>
    <m/>
    <n v="2.8685258964143427"/>
    <s v="清車"/>
    <s v=""/>
    <s v=""/>
    <s v=""/>
    <s v=""/>
    <x v="0"/>
    <n v="1"/>
    <s v="KV"/>
    <s v="NASH"/>
    <s v="NASH"/>
    <s v="RON"/>
    <x v="2"/>
    <s v="P203"/>
    <n v="0.91100000000000003"/>
    <n v="3"/>
    <n v="24"/>
    <n v="216"/>
    <n v="4"/>
    <n v="18890.495999999999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16"/>
    <m/>
    <x v="10"/>
    <x v="13"/>
    <x v="7"/>
    <x v="14"/>
    <n v="5"/>
    <n v="16"/>
    <n v="0"/>
    <n v="9059"/>
    <n v="9460"/>
    <m/>
    <m/>
    <m/>
    <m/>
    <n v="24"/>
    <n v="2"/>
    <n v="9064"/>
    <n v="9436"/>
    <n v="11"/>
    <n v="1"/>
    <n v="8961"/>
    <n v="9254"/>
    <n v="3.0638297872340425"/>
    <n v="17"/>
    <n v="0.99529246794871795"/>
    <n v="92.056666666666658"/>
    <n v="2.125"/>
    <n v="2"/>
    <x v="0"/>
    <n v="1"/>
    <s v="KV"/>
    <s v="MACMAC"/>
    <s v="MACMAC"/>
    <s v="JUNJUN"/>
    <x v="1"/>
    <s v="P203"/>
    <n v="0.91100000000000003"/>
    <n v="3"/>
    <n v="24"/>
    <n v="216"/>
    <n v="4"/>
    <n v="18890.495999999999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26"/>
    <m/>
    <x v="14"/>
    <x v="18"/>
    <x v="1"/>
    <x v="23"/>
    <n v="5"/>
    <m/>
    <m/>
    <s v="改紡"/>
    <m/>
    <m/>
    <m/>
    <s v="開車"/>
    <m/>
    <m/>
    <m/>
    <s v="停機"/>
    <m/>
    <m/>
    <m/>
    <s v="停機"/>
    <m/>
    <n v="3.0638297872340425"/>
    <s v="改紡"/>
    <s v=""/>
    <s v=""/>
    <s v=""/>
    <s v=""/>
    <x v="0"/>
    <n v="1"/>
    <s v="JOHNDEL"/>
    <s v="NASH"/>
    <s v="NASH"/>
    <s v="JUNJUN"/>
    <x v="2"/>
    <s v="P204"/>
    <n v="1.1890000000000001"/>
    <n v="2.2000000000000002"/>
    <n v="24"/>
    <n v="216"/>
    <n v="3.2"/>
    <n v="19724.083200000001"/>
  </r>
  <r>
    <x v="15"/>
    <x v="15"/>
    <x v="23"/>
    <m/>
    <x v="12"/>
    <x v="15"/>
    <x v="4"/>
    <x v="20"/>
    <n v="5"/>
    <n v="30"/>
    <n v="0"/>
    <n v="8804"/>
    <n v="8952"/>
    <m/>
    <m/>
    <m/>
    <m/>
    <n v="20"/>
    <n v="2"/>
    <n v="9235"/>
    <n v="9064"/>
    <n v="20"/>
    <n v="6"/>
    <n v="9057"/>
    <n v="9019"/>
    <n v="5.161290322580645"/>
    <n v="11.666666666666666"/>
    <n v="0.99254807692307689"/>
    <n v="90.218333333333334"/>
    <n v="1.458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19"/>
    <s v="K"/>
    <x v="5"/>
    <x v="14"/>
    <x v="1"/>
    <x v="17"/>
    <n v="5.5"/>
    <n v="22"/>
    <n v="1"/>
    <n v="6430"/>
    <m/>
    <m/>
    <m/>
    <m/>
    <m/>
    <n v="15"/>
    <n v="2"/>
    <n v="5770"/>
    <m/>
    <n v="29"/>
    <n v="5"/>
    <n v="4770"/>
    <m/>
    <n v="5.8536585365853666"/>
    <n v="22"/>
    <n v="0.9934294871794872"/>
    <n v="56.56666666666667"/>
    <n v="2.75"/>
    <n v="2.416666666666666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17"/>
    <s v="K"/>
    <x v="5"/>
    <x v="10"/>
    <x v="5"/>
    <x v="15"/>
    <n v="5.5"/>
    <n v="33"/>
    <n v="0"/>
    <n v="9440"/>
    <n v="9260"/>
    <m/>
    <m/>
    <m/>
    <m/>
    <n v="16"/>
    <n v="0"/>
    <n v="9260"/>
    <n v="9260"/>
    <n v="15"/>
    <n v="0"/>
    <n v="8890"/>
    <n v="8980"/>
    <n v="5.8299595141700413"/>
    <n v="21.333333333333332"/>
    <n v="1"/>
    <n v="91.816666666666663"/>
    <n v="2.6666666666666665"/>
    <n v="2.6666666666666665"/>
    <x v="2"/>
    <n v="1"/>
    <s v="MAR"/>
    <s v="BRYAN"/>
    <s v="BRYAN"/>
    <s v="VIN"/>
    <x v="1"/>
    <s v="P204"/>
    <n v="1.1890000000000001"/>
    <n v="3"/>
    <n v="24"/>
    <n v="216"/>
    <n v="4"/>
    <n v="24655.103999999999"/>
  </r>
  <r>
    <x v="15"/>
    <x v="22"/>
    <x v="18"/>
    <s v="K"/>
    <x v="5"/>
    <x v="14"/>
    <x v="5"/>
    <x v="16"/>
    <n v="5.5"/>
    <m/>
    <m/>
    <s v="了機"/>
    <m/>
    <m/>
    <m/>
    <s v="了機"/>
    <m/>
    <m/>
    <m/>
    <s v="FINAL"/>
    <m/>
    <m/>
    <m/>
    <s v="停機"/>
    <m/>
    <n v="5.8299595141700413"/>
    <s v="了機"/>
    <s v=""/>
    <s v=""/>
    <s v=""/>
    <s v=""/>
    <x v="2"/>
    <n v="1"/>
    <s v="MAR"/>
    <s v="NASH"/>
    <s v="NASH"/>
    <s v="JONA"/>
    <x v="2"/>
    <s v="P204"/>
    <n v="1.1890000000000001"/>
    <n v="2.9"/>
    <n v="24"/>
    <n v="216"/>
    <n v="3.9"/>
    <n v="24038.7264"/>
  </r>
  <r>
    <x v="15"/>
    <x v="23"/>
    <x v="27"/>
    <s v="K"/>
    <x v="5"/>
    <x v="19"/>
    <x v="3"/>
    <x v="24"/>
    <n v="5.5"/>
    <m/>
    <m/>
    <s v="改紡"/>
    <m/>
    <m/>
    <m/>
    <s v="開車"/>
    <m/>
    <n v="21"/>
    <n v="0"/>
    <n v="8060"/>
    <n v="8890"/>
    <n v="37"/>
    <n v="0"/>
    <n v="8330"/>
    <n v="8980"/>
    <n v="5.625"/>
    <s v="改紡"/>
    <s v=""/>
    <s v=""/>
    <s v=""/>
    <s v=""/>
    <x v="2"/>
    <n v="1"/>
    <s v="N/A"/>
    <s v="NASH"/>
    <s v="NASH"/>
    <s v="VIN"/>
    <x v="1"/>
    <s v="P204"/>
    <n v="1.1890000000000001"/>
    <n v="3"/>
    <n v="24"/>
    <n v="216"/>
    <n v="4"/>
    <n v="24655.103999999999"/>
  </r>
  <r>
    <x v="15"/>
    <x v="24"/>
    <x v="25"/>
    <m/>
    <x v="13"/>
    <x v="17"/>
    <x v="7"/>
    <x v="22"/>
    <n v="5"/>
    <n v="15"/>
    <n v="0"/>
    <n v="3330"/>
    <m/>
    <m/>
    <m/>
    <m/>
    <m/>
    <m/>
    <m/>
    <m/>
    <m/>
    <n v="21"/>
    <n v="0"/>
    <n v="3060"/>
    <m/>
    <n v="1.5483870967741935"/>
    <n v="24"/>
    <n v="1"/>
    <n v="31.95"/>
    <n v="3"/>
    <n v="3"/>
    <x v="2"/>
    <n v="2"/>
    <s v="MAR"/>
    <s v="NASH"/>
    <s v="NASH"/>
    <s v="JONA"/>
    <x v="1"/>
    <s v="P203"/>
    <n v="0.91100000000000003"/>
    <n v="1"/>
    <n v="24"/>
    <n v="216"/>
    <n v="2"/>
    <n v="9445.2479999999996"/>
  </r>
  <r>
    <x v="15"/>
    <x v="24"/>
    <x v="24"/>
    <s v="K"/>
    <x v="7"/>
    <x v="16"/>
    <x v="4"/>
    <x v="21"/>
    <n v="5.5"/>
    <n v="13"/>
    <n v="9"/>
    <m/>
    <n v="9070"/>
    <m/>
    <m/>
    <m/>
    <m/>
    <n v="13"/>
    <n v="1"/>
    <n v="7500"/>
    <m/>
    <n v="27"/>
    <n v="11"/>
    <m/>
    <n v="8800"/>
    <n v="6.6055045871559646"/>
    <n v="35.333333333333336"/>
    <n v="0.98471554487179491"/>
    <n v="84.566666666666663"/>
    <n v="4.416666666666667"/>
    <n v="2.6666666666666665"/>
    <x v="2"/>
    <n v="2"/>
    <s v="MAR"/>
    <s v="NASH"/>
    <s v="NASH"/>
    <s v="JONA"/>
    <x v="3"/>
    <s v="P227"/>
    <n v="1.859"/>
    <n v="3.3"/>
    <n v="24"/>
    <n v="216"/>
    <n v="4.3"/>
    <n v="41439.340799999998"/>
  </r>
  <r>
    <x v="15"/>
    <x v="25"/>
    <x v="21"/>
    <s v="K"/>
    <x v="5"/>
    <x v="10"/>
    <x v="5"/>
    <x v="18"/>
    <n v="5.5"/>
    <n v="27"/>
    <n v="0"/>
    <n v="7590"/>
    <n v="10000"/>
    <m/>
    <m/>
    <m/>
    <m/>
    <n v="16"/>
    <n v="0"/>
    <n v="7590"/>
    <n v="10000"/>
    <n v="29"/>
    <n v="0"/>
    <n v="7500"/>
    <n v="9910"/>
    <n v="5.8299595141700413"/>
    <n v="24"/>
    <n v="1"/>
    <n v="87.65"/>
    <n v="3"/>
    <n v="3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5"/>
    <x v="26"/>
    <x v="11"/>
    <s v="K"/>
    <x v="5"/>
    <x v="10"/>
    <x v="5"/>
    <x v="11"/>
    <n v="5.5"/>
    <n v="73"/>
    <n v="1"/>
    <n v="9910"/>
    <n v="9350"/>
    <m/>
    <m/>
    <m/>
    <m/>
    <n v="33"/>
    <n v="6"/>
    <n v="9910"/>
    <n v="9540"/>
    <n v="29"/>
    <n v="5"/>
    <n v="9810"/>
    <n v="8520"/>
    <n v="5.8299595141700413"/>
    <n v="45"/>
    <n v="0.99010416666666667"/>
    <n v="95.066666666666663"/>
    <n v="5.625"/>
    <n v="5.125"/>
    <x v="2"/>
    <n v="1"/>
    <s v="DENDEN"/>
    <s v="BRYAN"/>
    <s v="BRYAN"/>
    <s v="JONA"/>
    <x v="1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4"/>
    <x v="22"/>
    <m/>
    <x v="11"/>
    <x v="1"/>
    <x v="1"/>
    <x v="19"/>
    <n v="5"/>
    <m/>
    <m/>
    <s v="FINAL"/>
    <m/>
    <m/>
    <m/>
    <s v="FINAL"/>
    <m/>
    <m/>
    <m/>
    <s v="FINAL"/>
    <m/>
    <m/>
    <m/>
    <s v="停機"/>
    <m/>
    <n v="1.4090019569471623"/>
    <s v="FINAL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6"/>
    <x v="5"/>
    <x v="2"/>
    <m/>
    <x v="2"/>
    <x v="2"/>
    <x v="1"/>
    <x v="2"/>
    <n v="5"/>
    <n v="28"/>
    <n v="0"/>
    <n v="9288"/>
    <n v="9825"/>
    <m/>
    <m/>
    <m/>
    <m/>
    <n v="18"/>
    <n v="2"/>
    <n v="9330"/>
    <n v="9774"/>
    <n v="20"/>
    <n v="0"/>
    <n v="9288"/>
    <n v="9620"/>
    <n v="2.8015564202334629"/>
    <n v="11"/>
    <n v="0.99656784188034186"/>
    <n v="95.208333333333343"/>
    <n v="1.375"/>
    <n v="1.333333333333333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6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CEDIE"/>
    <s v="CEDIE"/>
    <s v="RON"/>
    <x v="2"/>
    <s v="P142"/>
    <n v="0.56200000000000006"/>
    <n v="1.1000000000000001"/>
    <n v="24"/>
    <n v="216"/>
    <n v="2.1"/>
    <n v="6118.1568000000007"/>
  </r>
  <r>
    <x v="1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1"/>
    <x v="28"/>
    <m/>
    <x v="15"/>
    <x v="20"/>
    <x v="4"/>
    <x v="25"/>
    <n v="5"/>
    <m/>
    <m/>
    <s v="改紡"/>
    <s v="停機"/>
    <m/>
    <m/>
    <s v="改紡"/>
    <s v="停機"/>
    <m/>
    <m/>
    <s v="開車"/>
    <s v="停機"/>
    <n v="14"/>
    <n v="0"/>
    <n v="7611"/>
    <s v="停機"/>
    <n v="5.5598455598455603"/>
    <s v="改紡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6"/>
    <x v="12"/>
    <x v="16"/>
    <m/>
    <x v="10"/>
    <x v="13"/>
    <x v="7"/>
    <x v="14"/>
    <n v="5"/>
    <n v="3"/>
    <n v="0"/>
    <n v="8974"/>
    <n v="9080"/>
    <m/>
    <m/>
    <m/>
    <m/>
    <n v="27"/>
    <n v="9"/>
    <n v="8865"/>
    <n v="9259"/>
    <n v="12"/>
    <n v="5"/>
    <n v="9144"/>
    <n v="9501"/>
    <n v="3.0638297872340425"/>
    <n v="14"/>
    <n v="0.97803151709401714"/>
    <n v="91.371666666666655"/>
    <n v="1.75"/>
    <n v="1.1666666666666667"/>
    <x v="0"/>
    <n v="1"/>
    <s v="KV"/>
    <s v="EDISON"/>
    <s v="EDISON"/>
    <s v="JUNJUN"/>
    <x v="1"/>
    <s v="P203"/>
    <n v="0.91100000000000003"/>
    <n v="3"/>
    <n v="24"/>
    <n v="216"/>
    <n v="4"/>
    <n v="18890.495999999999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26"/>
    <m/>
    <x v="14"/>
    <x v="18"/>
    <x v="1"/>
    <x v="23"/>
    <n v="5"/>
    <m/>
    <m/>
    <s v="檢修"/>
    <m/>
    <m/>
    <m/>
    <s v="開車"/>
    <m/>
    <n v="23"/>
    <n v="0"/>
    <n v="7930"/>
    <n v="7145"/>
    <n v="27"/>
    <n v="2"/>
    <n v="7693"/>
    <n v="7670"/>
    <n v="3.0638297872340425"/>
    <s v="檢修"/>
    <s v=""/>
    <s v=""/>
    <s v=""/>
    <s v=""/>
    <x v="0"/>
    <n v="1"/>
    <s v="JOHNDEL"/>
    <s v="EDISON"/>
    <s v="EDISON"/>
    <s v="JUNJUN"/>
    <x v="2"/>
    <s v="P204"/>
    <n v="1.1890000000000001"/>
    <n v="2.2000000000000002"/>
    <n v="24"/>
    <n v="216"/>
    <n v="3.2"/>
    <n v="19724.083200000001"/>
  </r>
  <r>
    <x v="16"/>
    <x v="15"/>
    <x v="23"/>
    <m/>
    <x v="12"/>
    <x v="15"/>
    <x v="4"/>
    <x v="20"/>
    <n v="5"/>
    <n v="20"/>
    <n v="0"/>
    <n v="9195"/>
    <n v="8753"/>
    <m/>
    <m/>
    <m/>
    <m/>
    <n v="26"/>
    <n v="0"/>
    <n v="8932"/>
    <n v="9020"/>
    <n v="20"/>
    <n v="4"/>
    <n v="8896"/>
    <n v="8561"/>
    <n v="5.161290322580645"/>
    <n v="11"/>
    <n v="0.9962740384615385"/>
    <n v="88.928333333333342"/>
    <n v="1.375"/>
    <n v="1.2916666666666667"/>
    <x v="0"/>
    <n v="0.5"/>
    <s v="KV"/>
    <s v="CEDIE"/>
    <s v="CEDIE"/>
    <s v="RON"/>
    <x v="2"/>
    <s v="P227"/>
    <n v="1.859"/>
    <n v="2.8"/>
    <n v="24"/>
    <n v="216"/>
    <n v="3.8"/>
    <n v="36620.8128"/>
  </r>
  <r>
    <x v="1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17"/>
    <s v="K"/>
    <x v="5"/>
    <x v="10"/>
    <x v="5"/>
    <x v="15"/>
    <n v="5.5"/>
    <n v="43"/>
    <n v="0"/>
    <n v="8800"/>
    <n v="8980"/>
    <m/>
    <m/>
    <m/>
    <m/>
    <n v="22"/>
    <n v="0"/>
    <n v="9070"/>
    <n v="9690"/>
    <n v="30"/>
    <n v="0"/>
    <n v="7780"/>
    <n v="8700"/>
    <n v="5.8299595141700413"/>
    <n v="31.666666666666668"/>
    <n v="1"/>
    <n v="88.36666666666666"/>
    <n v="3.9583333333333335"/>
    <n v="3.958333333333333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6"/>
    <x v="22"/>
    <x v="29"/>
    <s v="K"/>
    <x v="5"/>
    <x v="21"/>
    <x v="5"/>
    <x v="26"/>
    <n v="5.5"/>
    <m/>
    <m/>
    <s v="改紡"/>
    <m/>
    <m/>
    <m/>
    <s v="改紡"/>
    <m/>
    <n v="0"/>
    <n v="0"/>
    <n v="8520"/>
    <n v="9740"/>
    <n v="39"/>
    <n v="0"/>
    <n v="9170"/>
    <n v="9630"/>
    <n v="5.8775510204081636"/>
    <s v="改紡"/>
    <s v=""/>
    <s v=""/>
    <s v=""/>
    <s v=""/>
    <x v="2"/>
    <n v="1"/>
    <s v="MAR"/>
    <s v="BRYAN"/>
    <s v="BRYAN"/>
    <s v="WILSON"/>
    <x v="2"/>
    <s v="P204"/>
    <n v="1.1890000000000001"/>
    <n v="2.9"/>
    <n v="24"/>
    <n v="216"/>
    <n v="3.9"/>
    <n v="24038.7264"/>
  </r>
  <r>
    <x v="16"/>
    <x v="23"/>
    <x v="27"/>
    <s v="K"/>
    <x v="5"/>
    <x v="19"/>
    <x v="3"/>
    <x v="24"/>
    <n v="5.5"/>
    <n v="48"/>
    <n v="0"/>
    <n v="8520"/>
    <n v="8520"/>
    <m/>
    <m/>
    <m/>
    <m/>
    <n v="53"/>
    <n v="0"/>
    <n v="8520"/>
    <n v="7870"/>
    <n v="62"/>
    <n v="0"/>
    <n v="8060"/>
    <n v="8150"/>
    <n v="5.625"/>
    <n v="54.333333333333336"/>
    <n v="1"/>
    <n v="82.733333333333334"/>
    <n v="6.791666666666667"/>
    <n v="6.791666666666667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6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WILSON"/>
    <x v="1"/>
    <s v="P203"/>
    <n v="0.91100000000000003"/>
    <n v="1"/>
    <n v="24"/>
    <n v="216"/>
    <n v="2"/>
    <n v="9445.2479999999996"/>
  </r>
  <r>
    <x v="16"/>
    <x v="24"/>
    <x v="24"/>
    <s v="K"/>
    <x v="7"/>
    <x v="16"/>
    <x v="4"/>
    <x v="21"/>
    <n v="5.5"/>
    <n v="9"/>
    <n v="0"/>
    <m/>
    <n v="8800"/>
    <m/>
    <m/>
    <m/>
    <m/>
    <n v="4"/>
    <n v="3"/>
    <n v="8610"/>
    <m/>
    <n v="12"/>
    <n v="0"/>
    <m/>
    <n v="8610"/>
    <n v="6.6055045871559646"/>
    <n v="16.666666666666668"/>
    <n v="0.99781650641025643"/>
    <n v="86.733333333333334"/>
    <n v="2.0833333333333335"/>
    <n v="1.8333333333333333"/>
    <x v="2"/>
    <n v="2"/>
    <s v="MAR"/>
    <s v="MAMAY"/>
    <s v="MAMAY"/>
    <s v="WILSON"/>
    <x v="3"/>
    <s v="P227"/>
    <n v="1.859"/>
    <n v="3.3"/>
    <n v="24"/>
    <n v="216"/>
    <n v="4.3"/>
    <n v="41439.340799999998"/>
  </r>
  <r>
    <x v="16"/>
    <x v="25"/>
    <x v="21"/>
    <s v="K"/>
    <x v="5"/>
    <x v="10"/>
    <x v="5"/>
    <x v="18"/>
    <n v="5.5"/>
    <n v="24"/>
    <n v="2"/>
    <n v="7500"/>
    <n v="10000"/>
    <m/>
    <m/>
    <m/>
    <m/>
    <n v="23"/>
    <n v="0"/>
    <n v="7590"/>
    <n v="10000"/>
    <n v="12"/>
    <n v="0"/>
    <n v="6940"/>
    <n v="10000"/>
    <n v="5.8299595141700413"/>
    <n v="19.666666666666668"/>
    <n v="0.99835069444444446"/>
    <n v="86.716666666666654"/>
    <n v="2.4583333333333335"/>
    <n v="2.375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6"/>
    <x v="26"/>
    <x v="11"/>
    <s v="K"/>
    <x v="5"/>
    <x v="10"/>
    <x v="5"/>
    <x v="11"/>
    <n v="5.5"/>
    <n v="53"/>
    <n v="3"/>
    <n v="10000"/>
    <n v="9540"/>
    <m/>
    <m/>
    <m/>
    <m/>
    <n v="21"/>
    <n v="0"/>
    <n v="8700"/>
    <n v="9770"/>
    <n v="22"/>
    <n v="0"/>
    <n v="9260"/>
    <n v="9070"/>
    <n v="5.8299595141700413"/>
    <n v="32"/>
    <n v="0.9975260416666667"/>
    <n v="93.9"/>
    <n v="4"/>
    <n v="3.875"/>
    <x v="2"/>
    <n v="1"/>
    <s v="DENDEN"/>
    <s v="BRYAN"/>
    <s v="BRYAN"/>
    <s v="WILSON"/>
    <x v="1"/>
    <s v="P204"/>
    <n v="1.1890000000000001"/>
    <n v="2.8"/>
    <n v="24"/>
    <n v="216"/>
    <n v="3.8"/>
    <n v="23422.3488"/>
  </r>
  <r>
    <x v="1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166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7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94">
        <item m="1" x="306"/>
        <item m="1" x="301"/>
        <item m="1" x="295"/>
        <item m="1" x="300"/>
        <item m="1" x="308"/>
        <item m="1" x="270"/>
        <item m="1" x="305"/>
        <item m="1" x="269"/>
        <item m="1" x="249"/>
        <item m="1" x="268"/>
        <item m="1" x="307"/>
        <item m="1" x="296"/>
        <item m="1" x="304"/>
        <item m="1" x="312"/>
        <item m="1" x="302"/>
        <item m="1" x="298"/>
        <item m="1" x="297"/>
        <item m="1" x="225"/>
        <item m="1" x="279"/>
        <item m="1" x="253"/>
        <item m="1" x="299"/>
        <item m="1" x="303"/>
        <item m="1" x="174"/>
        <item m="1" x="171"/>
        <item m="1" x="310"/>
        <item m="1" x="177"/>
        <item m="1" x="276"/>
        <item m="1" x="311"/>
        <item m="1" x="309"/>
        <item m="1" x="313"/>
        <item x="0"/>
        <item x="13"/>
        <item x="30"/>
        <item m="1" x="314"/>
        <item m="1" x="267"/>
        <item m="1" x="315"/>
        <item m="1" x="316"/>
        <item m="1" x="266"/>
        <item m="1" x="317"/>
        <item m="1" x="281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318"/>
        <item m="1" x="277"/>
        <item m="1" x="278"/>
        <item m="1" x="280"/>
        <item m="1" x="194"/>
        <item m="1" x="283"/>
        <item m="1" x="319"/>
        <item m="1" x="271"/>
        <item m="1" x="246"/>
        <item m="1" x="187"/>
        <item m="1" x="265"/>
        <item m="1" x="272"/>
        <item m="1" x="320"/>
        <item m="1" x="285"/>
        <item m="1" x="273"/>
        <item m="1" x="275"/>
        <item m="1" x="282"/>
        <item m="1" x="264"/>
        <item m="1" x="274"/>
        <item m="1" x="284"/>
        <item m="1" x="236"/>
        <item m="1" x="254"/>
        <item m="1" x="245"/>
        <item m="1" x="251"/>
        <item m="1" x="235"/>
        <item m="1" x="286"/>
        <item m="1" x="250"/>
        <item m="1" x="220"/>
        <item m="1" x="287"/>
        <item m="1" x="288"/>
        <item m="1" x="289"/>
        <item m="1" x="290"/>
        <item m="1" x="205"/>
        <item m="1" x="252"/>
        <item m="1" x="219"/>
        <item m="1" x="247"/>
        <item m="1" x="291"/>
        <item m="1" x="292"/>
        <item m="1" x="237"/>
        <item m="1" x="293"/>
        <item m="1" x="244"/>
        <item m="1" x="294"/>
        <item m="1" x="239"/>
        <item m="1" x="255"/>
        <item m="1" x="240"/>
        <item m="1" x="242"/>
        <item m="1" x="248"/>
        <item m="1" x="256"/>
        <item m="1" x="241"/>
        <item m="1" x="243"/>
        <item m="1" x="238"/>
        <item m="1" x="257"/>
        <item m="1" x="190"/>
        <item m="1" x="173"/>
        <item m="1" x="258"/>
        <item m="1" x="215"/>
        <item m="1" x="259"/>
        <item m="1" x="140"/>
        <item m="1" x="176"/>
        <item m="1" x="203"/>
        <item m="1" x="222"/>
        <item m="1" x="217"/>
        <item m="1" x="260"/>
        <item m="1" x="261"/>
        <item m="1" x="99"/>
        <item m="1" x="172"/>
        <item m="1" x="213"/>
        <item m="1" x="197"/>
        <item m="1" x="224"/>
        <item m="1" x="218"/>
        <item m="1" x="262"/>
        <item m="1" x="223"/>
        <item m="1" x="216"/>
        <item m="1" x="221"/>
        <item m="1" x="263"/>
        <item m="1" x="202"/>
        <item m="1" x="214"/>
        <item m="1" x="204"/>
        <item m="1" x="226"/>
        <item m="1" x="199"/>
        <item m="1" x="227"/>
        <item m="1" x="191"/>
        <item m="1" x="192"/>
        <item m="1" x="228"/>
        <item m="1" x="196"/>
        <item m="1" x="229"/>
        <item m="1" x="131"/>
        <item m="1" x="145"/>
        <item m="1" x="230"/>
        <item m="1" x="231"/>
        <item m="1" x="198"/>
        <item m="1" x="232"/>
        <item m="1" x="233"/>
        <item m="1" x="154"/>
        <item m="1" x="188"/>
        <item m="1" x="234"/>
        <item m="1" x="200"/>
        <item m="1" x="207"/>
        <item m="1" x="208"/>
        <item m="1" x="206"/>
        <item m="1" x="189"/>
        <item m="1" x="193"/>
        <item m="1" x="169"/>
        <item m="1" x="101"/>
        <item m="1" x="178"/>
        <item m="1" x="195"/>
        <item m="1" x="158"/>
        <item m="1" x="201"/>
        <item m="1" x="209"/>
        <item m="1" x="210"/>
        <item m="1" x="165"/>
        <item m="1" x="167"/>
        <item m="1" x="142"/>
        <item m="1" x="211"/>
        <item m="1" x="212"/>
        <item m="1" x="170"/>
        <item m="1" x="137"/>
        <item m="1" x="144"/>
        <item m="1" x="175"/>
        <item m="1" x="164"/>
        <item m="1" x="146"/>
        <item m="1" x="168"/>
        <item m="1" x="166"/>
        <item m="1" x="155"/>
        <item m="1" x="143"/>
        <item m="1" x="179"/>
        <item m="1" x="133"/>
        <item m="1" x="180"/>
        <item m="1" x="181"/>
        <item m="1" x="68"/>
        <item m="1" x="182"/>
        <item m="1" x="70"/>
        <item m="1" x="138"/>
        <item m="1" x="148"/>
        <item m="1" x="141"/>
        <item m="1" x="147"/>
        <item m="1" x="150"/>
        <item m="1" x="183"/>
        <item m="1" x="124"/>
        <item m="1" x="126"/>
        <item m="1" x="152"/>
        <item m="1" x="184"/>
        <item m="1" x="185"/>
        <item m="1" x="157"/>
        <item m="1" x="153"/>
        <item m="1" x="186"/>
        <item m="1" x="139"/>
        <item m="1" x="149"/>
        <item m="1" x="156"/>
        <item m="1" x="151"/>
        <item m="1" x="104"/>
        <item m="1" x="159"/>
        <item m="1" x="160"/>
        <item m="1" x="161"/>
        <item m="1" x="162"/>
        <item m="1" x="129"/>
        <item m="1" x="94"/>
        <item m="1" x="128"/>
        <item m="1" x="106"/>
        <item m="1" x="125"/>
        <item m="1" x="127"/>
        <item m="1" x="163"/>
        <item m="1" x="132"/>
        <item m="1" x="105"/>
        <item m="1" x="96"/>
        <item m="1" x="130"/>
        <item m="1" x="61"/>
        <item m="1" x="60"/>
        <item m="1" x="97"/>
        <item m="1" x="95"/>
        <item m="1" x="102"/>
        <item m="1" x="67"/>
        <item m="1" x="109"/>
        <item m="1" x="107"/>
        <item m="1" x="64"/>
        <item m="1" x="134"/>
        <item m="1" x="103"/>
        <item m="1" x="69"/>
        <item m="1" x="110"/>
        <item m="1" x="98"/>
        <item m="1" x="135"/>
        <item m="1" x="136"/>
        <item m="1" x="93"/>
        <item m="1" x="33"/>
        <item m="1" x="108"/>
        <item m="1" x="100"/>
        <item m="1" x="37"/>
        <item m="1" x="59"/>
        <item m="1" x="55"/>
        <item m="1" x="35"/>
        <item m="1" x="111"/>
        <item m="1" x="112"/>
        <item m="1" x="113"/>
        <item m="1" x="114"/>
        <item m="1" x="73"/>
        <item m="1" x="66"/>
        <item m="1" x="57"/>
        <item m="1" x="115"/>
        <item m="1" x="116"/>
        <item m="1" x="117"/>
        <item m="1" x="118"/>
        <item m="1" x="56"/>
        <item m="1" x="119"/>
        <item m="1" x="120"/>
        <item m="1" x="75"/>
        <item m="1" x="121"/>
        <item m="1" x="122"/>
        <item m="1" x="123"/>
        <item m="1" x="71"/>
        <item m="1" x="72"/>
        <item m="1" x="58"/>
        <item m="1" x="65"/>
        <item m="1" x="74"/>
        <item m="1" x="32"/>
        <item m="1" x="62"/>
        <item m="1" x="76"/>
        <item m="1" x="63"/>
        <item x="14"/>
        <item m="1" x="77"/>
        <item m="1" x="78"/>
        <item m="1" x="79"/>
        <item m="1" x="41"/>
        <item m="1" x="80"/>
        <item m="1" x="81"/>
        <item m="1" x="82"/>
        <item m="1" x="83"/>
        <item m="1" x="84"/>
        <item m="1" x="44"/>
        <item m="1" x="48"/>
        <item m="1" x="85"/>
        <item m="1" x="45"/>
        <item m="1" x="86"/>
        <item m="1" x="31"/>
        <item m="1" x="87"/>
        <item m="1" x="38"/>
        <item m="1" x="43"/>
        <item m="1" x="88"/>
        <item m="1" x="89"/>
        <item m="1" x="90"/>
        <item m="1" x="91"/>
        <item x="9"/>
        <item m="1" x="92"/>
        <item m="1" x="47"/>
        <item m="1" x="39"/>
        <item m="1" x="46"/>
        <item m="1" x="36"/>
        <item x="3"/>
        <item m="1" x="40"/>
        <item x="7"/>
        <item m="1" x="34"/>
        <item m="1" x="42"/>
        <item x="6"/>
        <item m="1" x="49"/>
        <item x="4"/>
        <item m="1" x="50"/>
        <item m="1" x="51"/>
        <item m="1" x="52"/>
        <item x="5"/>
        <item x="10"/>
        <item m="1" x="53"/>
        <item x="12"/>
        <item m="1" x="54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4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 r="1">
      <x v="1790"/>
    </i>
    <i r="1">
      <x v="1792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r="1">
      <x v="1791"/>
    </i>
    <i r="1">
      <x v="1793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3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01" firstHeaderRow="1" firstDataRow="1" firstDataCol="1"/>
  <pivotFields count="3">
    <pivotField showAll="0"/>
    <pivotField axis="axisRow" showAll="0">
      <items count="1187">
        <item m="1" x="368"/>
        <item m="1" x="369"/>
        <item m="1" x="978"/>
        <item m="1" x="311"/>
        <item m="1" x="539"/>
        <item m="1" x="440"/>
        <item m="1" x="1065"/>
        <item m="1" x="312"/>
        <item m="1" x="117"/>
        <item m="1" x="405"/>
        <item m="1" x="708"/>
        <item m="1" x="274"/>
        <item m="1" x="231"/>
        <item m="1" x="715"/>
        <item m="1" x="976"/>
        <item m="1" x="1137"/>
        <item m="1" x="275"/>
        <item m="1" x="979"/>
        <item m="1" x="997"/>
        <item m="1" x="977"/>
        <item m="1" x="1058"/>
        <item m="1" x="566"/>
        <item m="1" x="559"/>
        <item m="1" x="567"/>
        <item m="1" x="540"/>
        <item m="1" x="276"/>
        <item m="1" x="1100"/>
        <item m="1" x="1066"/>
        <item m="1" x="958"/>
        <item m="1" x="879"/>
        <item m="1" x="370"/>
        <item m="1" x="838"/>
        <item m="1" x="880"/>
        <item m="1" x="709"/>
        <item m="1" x="232"/>
        <item m="1" x="422"/>
        <item m="1" x="335"/>
        <item m="1" x="334"/>
        <item m="1" x="923"/>
        <item m="1" x="198"/>
        <item x="2"/>
        <item m="1" x="710"/>
        <item m="1" x="384"/>
        <item m="1" x="954"/>
        <item m="1" x="124"/>
        <item m="1" x="153"/>
        <item m="1" x="336"/>
        <item m="1" x="371"/>
        <item m="1" x="320"/>
        <item m="1" x="348"/>
        <item m="1" x="1101"/>
        <item m="1" x="326"/>
        <item m="1" x="1151"/>
        <item m="1" x="1102"/>
        <item m="1" x="998"/>
        <item m="1" x="248"/>
        <item m="1" x="233"/>
        <item m="1" x="729"/>
        <item m="1" x="730"/>
        <item m="1" x="1144"/>
        <item m="1" x="219"/>
        <item m="1" x="702"/>
        <item m="1" x="960"/>
        <item m="1" x="706"/>
        <item m="1" x="731"/>
        <item m="1" x="541"/>
        <item x="29"/>
        <item m="1" x="542"/>
        <item m="1" x="1070"/>
        <item x="13"/>
        <item m="1" x="724"/>
        <item m="1" x="234"/>
        <item m="1" x="725"/>
        <item m="1" x="1048"/>
        <item m="1" x="999"/>
        <item m="1" x="732"/>
        <item m="1" x="726"/>
        <item m="1" x="727"/>
        <item m="1" x="220"/>
        <item m="1" x="733"/>
        <item m="1" x="350"/>
        <item m="1" x="714"/>
        <item m="1" x="489"/>
        <item m="1" x="558"/>
        <item m="1" x="321"/>
        <item m="1" x="1157"/>
        <item m="1" x="221"/>
        <item m="1" x="980"/>
        <item m="1" x="711"/>
        <item m="1" x="850"/>
        <item m="1" x="1042"/>
        <item m="1" x="981"/>
        <item m="1" x="959"/>
        <item m="1" x="222"/>
        <item m="1" x="1002"/>
        <item m="1" x="851"/>
        <item m="1" x="305"/>
        <item x="89"/>
        <item m="1" x="277"/>
        <item m="1" x="712"/>
        <item m="1" x="543"/>
        <item m="1" x="568"/>
        <item x="14"/>
        <item m="1" x="569"/>
        <item m="1" x="963"/>
        <item m="1" x="570"/>
        <item m="1" x="544"/>
        <item x="90"/>
        <item m="1" x="1138"/>
        <item m="1" x="1086"/>
        <item m="1" x="982"/>
        <item m="1" x="159"/>
        <item m="1" x="139"/>
        <item m="1" x="125"/>
        <item m="1" x="839"/>
        <item m="1" x="840"/>
        <item m="1" x="223"/>
        <item m="1" x="1067"/>
        <item m="1" x="1003"/>
        <item m="1" x="1000"/>
        <item x="30"/>
        <item m="1" x="930"/>
        <item m="1" x="863"/>
        <item m="1" x="716"/>
        <item m="1" x="1075"/>
        <item m="1" x="909"/>
        <item m="1" x="1047"/>
        <item m="1" x="903"/>
        <item m="1" x="1089"/>
        <item m="1" x="743"/>
        <item x="31"/>
        <item m="1" x="791"/>
        <item m="1" x="744"/>
        <item m="1" x="423"/>
        <item m="1" x="1129"/>
        <item m="1" x="445"/>
        <item m="1" x="156"/>
        <item m="1" x="454"/>
        <item m="1" x="278"/>
        <item m="1" x="1127"/>
        <item m="1" x="126"/>
        <item x="3"/>
        <item m="1" x="1064"/>
        <item m="1" x="1088"/>
        <item x="32"/>
        <item m="1" x="983"/>
        <item x="33"/>
        <item m="1" x="1004"/>
        <item m="1" x="1005"/>
        <item x="15"/>
        <item m="1" x="953"/>
        <item m="1" x="792"/>
        <item m="1" x="700"/>
        <item m="1" x="931"/>
        <item m="1" x="595"/>
        <item m="1" x="477"/>
        <item m="1" x="257"/>
        <item m="1" x="932"/>
        <item m="1" x="581"/>
        <item m="1" x="904"/>
        <item m="1" x="971"/>
        <item m="1" x="1076"/>
        <item m="1" x="588"/>
        <item m="1" x="455"/>
        <item m="1" x="460"/>
        <item m="1" x="1158"/>
        <item m="1" x="532"/>
        <item m="1" x="461"/>
        <item m="1" x="306"/>
        <item m="1" x="1123"/>
        <item m="1" x="704"/>
        <item m="1" x="1119"/>
        <item m="1" x="737"/>
        <item m="1" x="199"/>
        <item m="1" x="721"/>
        <item m="1" x="927"/>
        <item m="1" x="571"/>
        <item x="21"/>
        <item m="1" x="318"/>
        <item m="1" x="933"/>
        <item m="1" x="717"/>
        <item m="1" x="406"/>
        <item m="1" x="469"/>
        <item m="1" x="307"/>
        <item m="1" x="322"/>
        <item m="1" x="434"/>
        <item m="1" x="545"/>
        <item m="1" x="442"/>
        <item m="1" x="339"/>
        <item m="1" x="793"/>
        <item m="1" x="546"/>
        <item m="1" x="776"/>
        <item m="1" x="157"/>
        <item m="1" x="118"/>
        <item x="93"/>
        <item m="1" x="560"/>
        <item m="1" x="1091"/>
        <item m="1" x="547"/>
        <item m="1" x="561"/>
        <item m="1" x="1087"/>
        <item m="1" x="143"/>
        <item m="1" x="777"/>
        <item m="1" x="1043"/>
        <item m="1" x="582"/>
        <item m="1" x="934"/>
        <item m="1" x="925"/>
        <item m="1" x="935"/>
        <item m="1" x="936"/>
        <item m="1" x="1124"/>
        <item m="1" x="464"/>
        <item m="1" x="964"/>
        <item m="1" x="965"/>
        <item m="1" x="718"/>
        <item m="1" x="696"/>
        <item m="1" x="906"/>
        <item m="1" x="720"/>
        <item m="1" x="719"/>
        <item m="1" x="680"/>
        <item m="1" x="355"/>
        <item m="1" x="562"/>
        <item m="1" x="425"/>
        <item m="1" x="323"/>
        <item m="1" x="313"/>
        <item m="1" x="144"/>
        <item m="1" x="466"/>
        <item m="1" x="1092"/>
        <item m="1" x="128"/>
        <item m="1" x="548"/>
        <item m="1" x="1082"/>
        <item m="1" x="549"/>
        <item m="1" x="327"/>
        <item m="1" x="678"/>
        <item m="1" x="550"/>
        <item m="1" x="563"/>
        <item m="1" x="154"/>
        <item x="5"/>
        <item x="6"/>
        <item m="1" x="984"/>
        <item x="40"/>
        <item x="80"/>
        <item m="1" x="955"/>
        <item m="1" x="950"/>
        <item m="1" x="794"/>
        <item m="1" x="551"/>
        <item m="1" x="552"/>
        <item m="1" x="975"/>
        <item m="1" x="1185"/>
        <item m="1" x="1116"/>
        <item m="1" x="966"/>
        <item m="1" x="103"/>
        <item m="1" x="456"/>
        <item m="1" x="691"/>
        <item m="1" x="722"/>
        <item m="1" x="698"/>
        <item m="1" x="491"/>
        <item m="1" x="119"/>
        <item m="1" x="250"/>
        <item m="1" x="703"/>
        <item m="1" x="1037"/>
        <item m="1" x="676"/>
        <item m="1" x="692"/>
        <item m="1" x="685"/>
        <item m="1" x="261"/>
        <item m="1" x="671"/>
        <item m="1" x="741"/>
        <item m="1" x="707"/>
        <item m="1" x="852"/>
        <item m="1" x="693"/>
        <item m="1" x="584"/>
        <item m="1" x="1139"/>
        <item m="1" x="468"/>
        <item m="1" x="1171"/>
        <item m="1" x="564"/>
        <item m="1" x="1074"/>
        <item m="1" x="967"/>
        <item m="1" x="1080"/>
        <item m="1" x="985"/>
        <item m="1" x="1006"/>
        <item m="1" x="961"/>
        <item m="1" x="342"/>
        <item x="8"/>
        <item m="1" x="356"/>
        <item m="1" x="609"/>
        <item m="1" x="1128"/>
        <item m="1" x="1145"/>
        <item m="1" x="593"/>
        <item m="1" x="1146"/>
        <item m="1" x="742"/>
        <item m="1" x="324"/>
        <item m="1" x="458"/>
        <item m="1" x="1140"/>
        <item m="1" x="319"/>
        <item m="1" x="699"/>
        <item m="1" x="1001"/>
        <item m="1" x="853"/>
        <item m="1" x="854"/>
        <item m="1" x="910"/>
        <item m="1" x="943"/>
        <item m="1" x="660"/>
        <item m="1" x="1172"/>
        <item m="1" x="235"/>
        <item m="1" x="1121"/>
        <item m="1" x="1152"/>
        <item m="1" x="1130"/>
        <item m="1" x="662"/>
        <item m="1" x="663"/>
        <item m="1" x="459"/>
        <item m="1" x="108"/>
        <item m="1" x="1096"/>
        <item m="1" x="1062"/>
        <item m="1" x="878"/>
        <item m="1" x="1118"/>
        <item m="1" x="938"/>
        <item m="1" x="690"/>
        <item m="1" x="448"/>
        <item m="1" x="842"/>
        <item m="1" x="675"/>
        <item m="1" x="684"/>
        <item m="1" x="316"/>
        <item m="1" x="331"/>
        <item m="1" x="902"/>
        <item m="1" x="697"/>
        <item m="1" x="689"/>
        <item m="1" x="841"/>
        <item m="1" x="484"/>
        <item m="1" x="1141"/>
        <item m="1" x="228"/>
        <item m="1" x="485"/>
        <item m="1" x="357"/>
        <item m="1" x="952"/>
        <item m="1" x="436"/>
        <item m="1" x="438"/>
        <item m="1" x="534"/>
        <item m="1" x="782"/>
        <item m="1" x="236"/>
        <item m="1" x="855"/>
        <item m="1" x="120"/>
        <item m="1" x="535"/>
        <item m="1" x="283"/>
        <item m="1" x="266"/>
        <item m="1" x="280"/>
        <item m="1" x="783"/>
        <item m="1" x="182"/>
        <item m="1" x="407"/>
        <item m="1" x="284"/>
        <item m="1" x="315"/>
        <item m="1" x="1061"/>
        <item m="1" x="986"/>
        <item m="1" x="285"/>
        <item m="1" x="1007"/>
        <item m="1" x="329"/>
        <item x="9"/>
        <item m="1" x="937"/>
        <item m="1" x="418"/>
        <item m="1" x="1120"/>
        <item m="1" x="121"/>
        <item m="1" x="683"/>
        <item m="1" x="647"/>
        <item m="1" x="921"/>
        <item m="1" x="648"/>
        <item m="1" x="928"/>
        <item m="1" x="287"/>
        <item m="1" x="1008"/>
        <item x="18"/>
        <item m="1" x="372"/>
        <item m="1" x="1015"/>
        <item m="1" x="990"/>
        <item m="1" x="1009"/>
        <item m="1" x="486"/>
        <item m="1" x="861"/>
        <item m="1" x="856"/>
        <item m="1" x="991"/>
        <item m="1" x="992"/>
        <item x="37"/>
        <item x="10"/>
        <item m="1" x="993"/>
        <item m="1" x="1046"/>
        <item m="1" x="565"/>
        <item m="1" x="844"/>
        <item m="1" x="1016"/>
        <item m="1" x="1045"/>
        <item m="1" x="859"/>
        <item m="1" x="800"/>
        <item m="1" x="779"/>
        <item m="1" x="487"/>
        <item m="1" x="1097"/>
        <item m="1" x="1017"/>
        <item m="1" x="1018"/>
        <item m="1" x="1019"/>
        <item m="1" x="288"/>
        <item m="1" x="1020"/>
        <item m="1" x="472"/>
        <item m="1" x="426"/>
        <item m="1" x="473"/>
        <item m="1" x="474"/>
        <item m="1" x="769"/>
        <item m="1" x="475"/>
        <item m="1" x="325"/>
        <item m="1" x="470"/>
        <item m="1" x="281"/>
        <item m="1" x="447"/>
        <item x="0"/>
        <item m="1" x="968"/>
        <item m="1" x="1147"/>
        <item m="1" x="181"/>
        <item m="1" x="180"/>
        <item m="1" x="204"/>
        <item m="1" x="273"/>
        <item m="1" x="203"/>
        <item m="1" x="920"/>
        <item m="1" x="784"/>
        <item m="1" x="801"/>
        <item m="1" x="202"/>
        <item m="1" x="594"/>
        <item m="1" x="420"/>
        <item m="1" x="427"/>
        <item m="1" x="415"/>
        <item m="1" x="416"/>
        <item m="1" x="272"/>
        <item m="1" x="282"/>
        <item m="1" x="271"/>
        <item m="1" x="864"/>
        <item m="1" x="256"/>
        <item m="1" x="419"/>
        <item m="1" x="270"/>
        <item m="1" x="201"/>
        <item m="1" x="862"/>
        <item m="1" x="857"/>
        <item m="1" x="785"/>
        <item m="1" x="786"/>
        <item m="1" x="746"/>
        <item m="1" x="759"/>
        <item m="1" x="770"/>
        <item m="1" x="787"/>
        <item m="1" x="994"/>
        <item m="1" x="553"/>
        <item m="1" x="554"/>
        <item m="1" x="237"/>
        <item x="11"/>
        <item m="1" x="747"/>
        <item m="1" x="269"/>
        <item m="1" x="268"/>
        <item m="1" x="1093"/>
        <item m="1" x="253"/>
        <item m="1" x="252"/>
        <item m="1" x="179"/>
        <item m="1" x="178"/>
        <item m="1" x="177"/>
        <item m="1" x="176"/>
        <item m="1" x="672"/>
        <item m="1" x="175"/>
        <item m="1" x="135"/>
        <item m="1" x="577"/>
        <item m="1" x="174"/>
        <item m="1" x="213"/>
        <item m="1" x="212"/>
        <item m="1" x="211"/>
        <item m="1" x="210"/>
        <item m="1" x="780"/>
        <item m="1" x="788"/>
        <item m="1" x="781"/>
        <item x="25"/>
        <item m="1" x="1131"/>
        <item m="1" x="951"/>
        <item m="1" x="209"/>
        <item m="1" x="208"/>
        <item m="1" x="207"/>
        <item m="1" x="701"/>
        <item m="1" x="679"/>
        <item m="1" x="735"/>
        <item m="1" x="538"/>
        <item m="1" x="995"/>
        <item m="1" x="173"/>
        <item m="1" x="996"/>
        <item m="1" x="172"/>
        <item m="1" x="238"/>
        <item m="1" x="171"/>
        <item m="1" x="170"/>
        <item m="1" x="169"/>
        <item m="1" x="168"/>
        <item m="1" x="167"/>
        <item m="1" x="682"/>
        <item m="1" x="166"/>
        <item m="1" x="165"/>
        <item m="1" x="760"/>
        <item m="1" x="1044"/>
        <item m="1" x="164"/>
        <item m="1" x="163"/>
        <item m="1" x="218"/>
        <item m="1" x="217"/>
        <item m="1" x="216"/>
        <item m="1" x="215"/>
        <item m="1" x="214"/>
        <item m="1" x="750"/>
        <item m="1" x="748"/>
        <item m="1" x="751"/>
        <item m="1" x="749"/>
        <item m="1" x="761"/>
        <item m="1" x="414"/>
        <item m="1" x="399"/>
        <item m="1" x="409"/>
        <item m="1" x="398"/>
        <item m="1" x="397"/>
        <item m="1" x="267"/>
        <item m="1" x="705"/>
        <item m="1" x="694"/>
        <item x="19"/>
        <item m="1" x="664"/>
        <item m="1" x="1094"/>
        <item m="1" x="1095"/>
        <item m="1" x="1163"/>
        <item m="1" x="1071"/>
        <item m="1" x="623"/>
        <item m="1" x="516"/>
        <item m="1" x="374"/>
        <item m="1" x="494"/>
        <item m="1" x="239"/>
        <item x="41"/>
        <item m="1" x="146"/>
        <item m="1" x="873"/>
        <item m="1" x="767"/>
        <item m="1" x="650"/>
        <item m="1" x="495"/>
        <item m="1" x="1173"/>
        <item m="1" x="496"/>
        <item m="1" x="1164"/>
        <item m="1" x="497"/>
        <item m="1" x="498"/>
        <item m="1" x="1081"/>
        <item m="1" x="1132"/>
        <item m="1" x="1125"/>
        <item m="1" x="289"/>
        <item m="1" x="375"/>
        <item m="1" x="752"/>
        <item x="58"/>
        <item m="1" x="753"/>
        <item m="1" x="802"/>
        <item m="1" x="870"/>
        <item m="1" x="871"/>
        <item m="1" x="651"/>
        <item m="1" x="1165"/>
        <item m="1" x="376"/>
        <item m="1" x="1059"/>
        <item m="1" x="290"/>
        <item m="1" x="1013"/>
        <item m="1" x="874"/>
        <item m="1" x="803"/>
        <item m="1" x="804"/>
        <item m="1" x="1174"/>
        <item m="1" x="195"/>
        <item m="1" x="686"/>
        <item m="1" x="555"/>
        <item m="1" x="1053"/>
        <item m="1" x="875"/>
        <item m="1" x="885"/>
        <item m="1" x="556"/>
        <item m="1" x="872"/>
        <item m="1" x="805"/>
        <item m="1" x="886"/>
        <item m="1" x="865"/>
        <item m="1" x="866"/>
        <item m="1" x="771"/>
        <item m="1" x="867"/>
        <item m="1" x="1159"/>
        <item m="1" x="1153"/>
        <item m="1" x="499"/>
        <item m="1" x="806"/>
        <item m="1" x="807"/>
        <item m="1" x="988"/>
        <item m="1" x="868"/>
        <item m="1" x="1049"/>
        <item m="1" x="778"/>
        <item m="1" x="808"/>
        <item m="1" x="768"/>
        <item m="1" x="887"/>
        <item m="1" x="795"/>
        <item x="59"/>
        <item m="1" x="1054"/>
        <item m="1" x="809"/>
        <item m="1" x="1160"/>
        <item m="1" x="810"/>
        <item m="1" x="774"/>
        <item m="1" x="811"/>
        <item m="1" x="618"/>
        <item m="1" x="758"/>
        <item m="1" x="827"/>
        <item m="1" x="500"/>
        <item m="1" x="828"/>
        <item m="1" x="1166"/>
        <item m="1" x="377"/>
        <item m="1" x="819"/>
        <item m="1" x="888"/>
        <item m="1" x="829"/>
        <item m="1" x="876"/>
        <item m="1" x="1026"/>
        <item m="1" x="889"/>
        <item m="1" x="911"/>
        <item m="1" x="775"/>
        <item m="1" x="830"/>
        <item m="1" x="1027"/>
        <item m="1" x="831"/>
        <item m="1" x="832"/>
        <item m="1" x="833"/>
        <item x="60"/>
        <item m="1" x="834"/>
        <item m="1" x="147"/>
        <item m="1" x="912"/>
        <item m="1" x="1161"/>
        <item m="1" x="1175"/>
        <item m="1" x="869"/>
        <item m="1" x="890"/>
        <item m="1" x="632"/>
        <item m="1" x="1176"/>
        <item m="1" x="1142"/>
        <item m="1" x="492"/>
        <item m="1" x="1073"/>
        <item m="1" x="835"/>
        <item m="1" x="1055"/>
        <item m="1" x="1177"/>
        <item m="1" x="501"/>
        <item m="1" x="1167"/>
        <item m="1" x="1162"/>
        <item m="1" x="1178"/>
        <item m="1" x="291"/>
        <item m="1" x="1106"/>
        <item m="1" x="1107"/>
        <item m="1" x="1010"/>
        <item m="1" x="989"/>
        <item m="1" x="502"/>
        <item m="1" x="1103"/>
        <item m="1" x="1109"/>
        <item m="1" x="292"/>
        <item m="1" x="973"/>
        <item m="1" x="1011"/>
        <item m="1" x="503"/>
        <item m="1" x="1099"/>
        <item m="1" x="1154"/>
        <item m="1" x="891"/>
        <item m="1" x="1056"/>
        <item m="1" x="836"/>
        <item m="1" x="837"/>
        <item m="1" x="1110"/>
        <item m="1" x="892"/>
        <item m="1" x="1111"/>
        <item m="1" x="893"/>
        <item m="1" x="745"/>
        <item m="1" x="820"/>
        <item m="1" x="655"/>
        <item m="1" x="1148"/>
        <item m="1" x="1179"/>
        <item m="1" x="1143"/>
        <item m="1" x="490"/>
        <item m="1" x="404"/>
        <item m="1" x="1098"/>
        <item m="1" x="1077"/>
        <item m="1" x="1112"/>
        <item m="1" x="734"/>
        <item m="1" x="728"/>
        <item m="1" x="1113"/>
        <item m="1" x="1012"/>
        <item m="1" x="1028"/>
        <item m="1" x="974"/>
        <item m="1" x="877"/>
        <item m="1" x="881"/>
        <item m="1" x="1014"/>
        <item m="1" x="1029"/>
        <item m="1" x="894"/>
        <item m="1" x="148"/>
        <item m="1" x="895"/>
        <item m="1" x="241"/>
        <item m="1" x="896"/>
        <item m="1" x="789"/>
        <item m="1" x="765"/>
        <item m="1" x="764"/>
        <item m="1" x="812"/>
        <item m="1" x="897"/>
        <item m="1" x="913"/>
        <item m="1" x="813"/>
        <item m="1" x="814"/>
        <item m="1" x="1050"/>
        <item m="1" x="766"/>
        <item m="1" x="942"/>
        <item m="1" x="639"/>
        <item m="1" x="908"/>
        <item m="1" x="433"/>
        <item m="1" x="1051"/>
        <item m="1" x="640"/>
        <item m="1" x="1040"/>
        <item m="1" x="1083"/>
        <item m="1" x="821"/>
        <item m="1" x="738"/>
        <item m="1" x="822"/>
        <item m="1" x="946"/>
        <item m="1" x="948"/>
        <item m="1" x="907"/>
        <item m="1" x="1039"/>
        <item m="1" x="987"/>
        <item m="1" x="847"/>
        <item m="1" x="677"/>
        <item m="1" x="736"/>
        <item m="1" x="1149"/>
        <item m="1" x="518"/>
        <item m="1" x="1072"/>
        <item m="1" x="294"/>
        <item m="1" x="796"/>
        <item m="1" x="815"/>
        <item m="1" x="642"/>
        <item m="1" x="519"/>
        <item x="65"/>
        <item m="1" x="1133"/>
        <item m="1" x="295"/>
        <item m="1" x="520"/>
        <item m="1" x="1180"/>
        <item m="1" x="521"/>
        <item m="1" x="296"/>
        <item m="1" x="962"/>
        <item m="1" x="898"/>
        <item m="1" x="1060"/>
        <item m="1" x="1134"/>
        <item m="1" x="1114"/>
        <item m="1" x="899"/>
        <item x="38"/>
        <item m="1" x="1030"/>
        <item m="1" x="242"/>
        <item m="1" x="1025"/>
        <item m="1" x="845"/>
        <item x="66"/>
        <item m="1" x="823"/>
        <item m="1" x="522"/>
        <item m="1" x="1108"/>
        <item m="1" x="947"/>
        <item m="1" x="956"/>
        <item m="1" x="576"/>
        <item m="1" x="843"/>
        <item m="1" x="359"/>
        <item m="1" x="379"/>
        <item m="1" x="557"/>
        <item m="1" x="1068"/>
        <item m="1" x="1135"/>
        <item x="44"/>
        <item m="1" x="914"/>
        <item m="1" x="824"/>
        <item m="1" x="825"/>
        <item m="1" x="149"/>
        <item m="1" x="723"/>
        <item m="1" x="602"/>
        <item m="1" x="739"/>
        <item m="1" x="1038"/>
        <item m="1" x="1168"/>
        <item m="1" x="523"/>
        <item m="1" x="1063"/>
        <item m="1" x="826"/>
        <item m="1" x="939"/>
        <item m="1" x="1122"/>
        <item m="1" x="1090"/>
        <item m="1" x="1084"/>
        <item m="1" x="1041"/>
        <item m="1" x="1069"/>
        <item m="1" x="298"/>
        <item m="1" x="1105"/>
        <item m="1" x="681"/>
        <item m="1" x="957"/>
        <item m="1" x="1117"/>
        <item m="1" x="848"/>
        <item m="1" x="687"/>
        <item m="1" x="573"/>
        <item m="1" x="150"/>
        <item m="1" x="849"/>
        <item m="1" x="860"/>
        <item m="1" x="922"/>
        <item m="1" x="900"/>
        <item m="1" x="1085"/>
        <item m="1" x="688"/>
        <item m="1" x="1155"/>
        <item m="1" x="1078"/>
        <item m="1" x="1021"/>
        <item m="1" x="969"/>
        <item m="1" x="1052"/>
        <item m="1" x="901"/>
        <item m="1" x="380"/>
        <item m="1" x="1115"/>
        <item x="76"/>
        <item m="1" x="1126"/>
        <item m="1" x="1104"/>
        <item m="1" x="1150"/>
        <item m="1" x="1136"/>
        <item m="1" x="1156"/>
        <item m="1" x="915"/>
        <item m="1" x="949"/>
        <item m="1" x="972"/>
        <item m="1" x="816"/>
        <item m="1" x="858"/>
        <item m="1" x="905"/>
        <item m="1" x="944"/>
        <item m="1" x="940"/>
        <item m="1" x="1181"/>
        <item m="1" x="713"/>
        <item m="1" x="945"/>
        <item m="1" x="846"/>
        <item m="1" x="740"/>
        <item m="1" x="970"/>
        <item m="1" x="817"/>
        <item m="1" x="1022"/>
        <item m="1" x="1182"/>
        <item m="1" x="1169"/>
        <item m="1" x="524"/>
        <item m="1" x="1183"/>
        <item m="1" x="1170"/>
        <item m="1" x="299"/>
        <item m="1" x="818"/>
        <item m="1" x="657"/>
        <item m="1" x="194"/>
        <item m="1" x="525"/>
        <item m="1" x="300"/>
        <item m="1" x="244"/>
        <item m="1" x="797"/>
        <item m="1" x="1023"/>
        <item m="1" x="1184"/>
        <item m="1" x="882"/>
        <item m="1" x="926"/>
        <item m="1" x="245"/>
        <item m="1" x="196"/>
        <item m="1" x="916"/>
        <item m="1" x="197"/>
        <item m="1" x="941"/>
        <item m="1" x="924"/>
        <item m="1" x="929"/>
        <item m="1" x="246"/>
        <item m="1" x="381"/>
        <item m="1" x="1031"/>
        <item m="1" x="382"/>
        <item m="1" x="1032"/>
        <item m="1" x="1033"/>
        <item x="48"/>
        <item m="1" x="1034"/>
        <item m="1" x="1035"/>
        <item m="1" x="1036"/>
        <item m="1" x="917"/>
        <item x="49"/>
        <item m="1" x="918"/>
        <item m="1" x="883"/>
        <item m="1" x="152"/>
        <item m="1" x="884"/>
        <item m="1" x="1057"/>
        <item m="1" x="798"/>
        <item m="1" x="799"/>
        <item m="1" x="504"/>
        <item m="1" x="505"/>
        <item m="1" x="506"/>
        <item m="1" x="507"/>
        <item m="1" x="508"/>
        <item m="1" x="1079"/>
        <item m="1" x="763"/>
        <item m="1" x="247"/>
        <item m="1" x="757"/>
        <item m="1" x="919"/>
        <item m="1" x="510"/>
        <item m="1" x="511"/>
        <item m="1" x="512"/>
        <item m="1" x="513"/>
        <item m="1" x="658"/>
        <item m="1" x="514"/>
        <item m="1" x="187"/>
        <item m="1" x="1024"/>
        <item m="1" x="383"/>
        <item m="1" x="393"/>
        <item m="1" x="515"/>
        <item m="1" x="186"/>
        <item m="1" x="185"/>
        <item m="1" x="773"/>
        <item m="1" x="183"/>
        <item m="1" x="184"/>
        <item m="1" x="193"/>
        <item m="1" x="192"/>
        <item m="1" x="772"/>
        <item m="1" x="392"/>
        <item x="26"/>
        <item m="1" x="191"/>
        <item m="1" x="190"/>
        <item m="1" x="189"/>
        <item m="1" x="188"/>
        <item m="1" x="756"/>
        <item m="1" x="755"/>
        <item m="1" x="762"/>
        <item m="1" x="754"/>
        <item m="1" x="476"/>
        <item m="1" x="303"/>
        <item m="1" x="790"/>
        <item m="1" x="695"/>
        <item x="98"/>
        <item m="1" x="572"/>
        <item m="1" x="574"/>
        <item m="1" x="343"/>
        <item m="1" x="575"/>
        <item m="1" x="578"/>
        <item m="1" x="579"/>
        <item x="79"/>
        <item m="1" x="580"/>
        <item m="1" x="583"/>
        <item m="1" x="585"/>
        <item m="1" x="586"/>
        <item m="1" x="587"/>
        <item m="1" x="589"/>
        <item m="1" x="590"/>
        <item m="1" x="591"/>
        <item m="1" x="592"/>
        <item m="1" x="390"/>
        <item m="1" x="107"/>
        <item m="1" x="596"/>
        <item m="1" x="597"/>
        <item m="1" x="598"/>
        <item m="1" x="599"/>
        <item m="1" x="600"/>
        <item m="1" x="601"/>
        <item m="1" x="603"/>
        <item m="1" x="604"/>
        <item m="1" x="605"/>
        <item m="1" x="606"/>
        <item m="1" x="607"/>
        <item m="1" x="608"/>
        <item m="1" x="610"/>
        <item m="1" x="611"/>
        <item m="1" x="612"/>
        <item m="1" x="613"/>
        <item m="1" x="614"/>
        <item m="1" x="615"/>
        <item m="1" x="616"/>
        <item m="1" x="617"/>
        <item m="1" x="389"/>
        <item m="1" x="619"/>
        <item m="1" x="620"/>
        <item m="1" x="621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3"/>
        <item m="1" x="634"/>
        <item m="1" x="635"/>
        <item m="1" x="636"/>
        <item m="1" x="637"/>
        <item m="1" x="638"/>
        <item m="1" x="641"/>
        <item m="1" x="643"/>
        <item m="1" x="644"/>
        <item m="1" x="645"/>
        <item m="1" x="259"/>
        <item m="1" x="646"/>
        <item m="1" x="649"/>
        <item m="1" x="652"/>
        <item m="1" x="653"/>
        <item m="1" x="654"/>
        <item m="1" x="229"/>
        <item m="1" x="656"/>
        <item m="1" x="364"/>
        <item m="1" x="659"/>
        <item m="1" x="661"/>
        <item m="1" x="665"/>
        <item m="1" x="666"/>
        <item m="1" x="667"/>
        <item m="1" x="668"/>
        <item m="1" x="669"/>
        <item m="1" x="670"/>
        <item m="1" x="430"/>
        <item m="1" x="673"/>
        <item m="1" x="674"/>
        <item m="1" x="391"/>
        <item m="1" x="354"/>
        <item m="1" x="394"/>
        <item m="1" x="395"/>
        <item m="1" x="396"/>
        <item m="1" x="400"/>
        <item m="1" x="401"/>
        <item m="1" x="402"/>
        <item m="1" x="403"/>
        <item m="1" x="408"/>
        <item m="1" x="410"/>
        <item m="1" x="411"/>
        <item m="1" x="412"/>
        <item m="1" x="413"/>
        <item m="1" x="417"/>
        <item m="1" x="421"/>
        <item m="1" x="424"/>
        <item m="1" x="351"/>
        <item m="1" x="428"/>
        <item m="1" x="429"/>
        <item m="1" x="431"/>
        <item m="1" x="432"/>
        <item m="1" x="435"/>
        <item m="1" x="437"/>
        <item m="1" x="314"/>
        <item m="1" x="439"/>
        <item m="1" x="441"/>
        <item m="1" x="333"/>
        <item m="1" x="443"/>
        <item m="1" x="444"/>
        <item x="1"/>
        <item x="20"/>
        <item m="1" x="446"/>
        <item m="1" x="449"/>
        <item m="1" x="450"/>
        <item m="1" x="451"/>
        <item m="1" x="452"/>
        <item m="1" x="136"/>
        <item m="1" x="113"/>
        <item m="1" x="453"/>
        <item x="56"/>
        <item m="1" x="457"/>
        <item m="1" x="162"/>
        <item m="1" x="462"/>
        <item m="1" x="463"/>
        <item m="1" x="465"/>
        <item m="1" x="467"/>
        <item m="1" x="361"/>
        <item m="1" x="471"/>
        <item m="1" x="478"/>
        <item m="1" x="479"/>
        <item m="1" x="480"/>
        <item m="1" x="481"/>
        <item m="1" x="482"/>
        <item m="1" x="483"/>
        <item m="1" x="488"/>
        <item x="92"/>
        <item m="1" x="493"/>
        <item m="1" x="509"/>
        <item m="1" x="517"/>
        <item m="1" x="526"/>
        <item m="1" x="527"/>
        <item m="1" x="528"/>
        <item m="1" x="529"/>
        <item m="1" x="530"/>
        <item m="1" x="531"/>
        <item m="1" x="386"/>
        <item m="1" x="533"/>
        <item m="1" x="536"/>
        <item m="1" x="537"/>
        <item x="12"/>
        <item m="1" x="264"/>
        <item m="1" x="265"/>
        <item m="1" x="279"/>
        <item m="1" x="158"/>
        <item x="74"/>
        <item m="1" x="249"/>
        <item m="1" x="286"/>
        <item m="1" x="293"/>
        <item m="1" x="297"/>
        <item m="1" x="301"/>
        <item m="1" x="302"/>
        <item m="1" x="304"/>
        <item m="1" x="260"/>
        <item m="1" x="308"/>
        <item x="7"/>
        <item m="1" x="309"/>
        <item m="1" x="310"/>
        <item m="1" x="317"/>
        <item m="1" x="160"/>
        <item m="1" x="328"/>
        <item m="1" x="330"/>
        <item m="1" x="332"/>
        <item m="1" x="337"/>
        <item m="1" x="338"/>
        <item m="1" x="340"/>
        <item m="1" x="341"/>
        <item m="1" x="344"/>
        <item m="1" x="345"/>
        <item m="1" x="346"/>
        <item m="1" x="347"/>
        <item m="1" x="106"/>
        <item x="52"/>
        <item m="1" x="349"/>
        <item m="1" x="352"/>
        <item m="1" x="353"/>
        <item m="1" x="358"/>
        <item m="1" x="360"/>
        <item m="1" x="362"/>
        <item m="1" x="363"/>
        <item m="1" x="104"/>
        <item m="1" x="365"/>
        <item m="1" x="366"/>
        <item m="1" x="367"/>
        <item m="1" x="373"/>
        <item m="1" x="378"/>
        <item m="1" x="134"/>
        <item m="1" x="385"/>
        <item m="1" x="387"/>
        <item m="1" x="388"/>
        <item m="1" x="99"/>
        <item m="1" x="100"/>
        <item m="1" x="101"/>
        <item m="1" x="102"/>
        <item m="1" x="105"/>
        <item m="1" x="109"/>
        <item x="51"/>
        <item m="1" x="110"/>
        <item m="1" x="111"/>
        <item m="1" x="112"/>
        <item m="1" x="114"/>
        <item m="1" x="115"/>
        <item m="1" x="116"/>
        <item m="1" x="122"/>
        <item m="1" x="123"/>
        <item m="1" x="127"/>
        <item m="1" x="129"/>
        <item m="1" x="130"/>
        <item m="1" x="131"/>
        <item m="1" x="132"/>
        <item x="95"/>
        <item m="1" x="133"/>
        <item m="1" x="137"/>
        <item m="1" x="138"/>
        <item m="1" x="140"/>
        <item m="1" x="141"/>
        <item m="1" x="142"/>
        <item x="81"/>
        <item m="1" x="145"/>
        <item x="53"/>
        <item m="1" x="151"/>
        <item m="1" x="155"/>
        <item m="1" x="161"/>
        <item m="1" x="200"/>
        <item m="1" x="205"/>
        <item m="1" x="206"/>
        <item m="1" x="224"/>
        <item m="1" x="225"/>
        <item m="1" x="226"/>
        <item m="1" x="227"/>
        <item m="1" x="230"/>
        <item m="1" x="240"/>
        <item m="1" x="243"/>
        <item m="1" x="251"/>
        <item m="1" x="254"/>
        <item m="1" x="255"/>
        <item x="54"/>
        <item m="1" x="258"/>
        <item m="1" x="262"/>
        <item x="17"/>
        <item m="1" x="263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x="88"/>
        <item x="91"/>
        <item x="94"/>
        <item x="96"/>
        <item x="97"/>
        <item t="default"/>
      </items>
    </pivotField>
    <pivotField dataField="1" showAll="0"/>
  </pivotFields>
  <rowFields count="1">
    <field x="1"/>
  </rowFields>
  <rowItems count="100">
    <i>
      <x v="40"/>
    </i>
    <i>
      <x v="66"/>
    </i>
    <i>
      <x v="69"/>
    </i>
    <i>
      <x v="97"/>
    </i>
    <i>
      <x v="102"/>
    </i>
    <i>
      <x v="107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194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27"/>
    </i>
    <i>
      <x v="1041"/>
    </i>
    <i>
      <x v="1046"/>
    </i>
    <i>
      <x v="1056"/>
    </i>
    <i>
      <x v="1073"/>
    </i>
    <i>
      <x v="1097"/>
    </i>
    <i>
      <x v="1111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3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18" firstHeaderRow="1" firstDataRow="1" firstDataCol="2"/>
  <pivotFields count="3">
    <pivotField axis="axisRow" compact="0" outline="0" subtotalTop="0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87">
        <item m="1" x="368"/>
        <item m="1" x="369"/>
        <item m="1" x="978"/>
        <item m="1" x="311"/>
        <item m="1" x="539"/>
        <item m="1" x="462"/>
        <item m="1" x="480"/>
        <item m="1" x="440"/>
        <item m="1" x="441"/>
        <item m="1" x="1065"/>
        <item m="1" x="312"/>
        <item m="1" x="117"/>
        <item m="1" x="405"/>
        <item m="1" x="708"/>
        <item m="1" x="274"/>
        <item m="1" x="231"/>
        <item m="1" x="715"/>
        <item m="1" x="976"/>
        <item m="1" x="1137"/>
        <item m="1" x="275"/>
        <item m="1" x="979"/>
        <item m="1" x="997"/>
        <item m="1" x="977"/>
        <item m="1" x="1058"/>
        <item m="1" x="566"/>
        <item m="1" x="559"/>
        <item m="1" x="567"/>
        <item m="1" x="540"/>
        <item m="1" x="276"/>
        <item m="1" x="421"/>
        <item m="1" x="1100"/>
        <item m="1" x="1066"/>
        <item m="1" x="958"/>
        <item m="1" x="879"/>
        <item m="1" x="370"/>
        <item m="1" x="838"/>
        <item m="1" x="360"/>
        <item m="1" x="880"/>
        <item m="1" x="709"/>
        <item m="1" x="232"/>
        <item m="1" x="422"/>
        <item m="1" x="335"/>
        <item m="1" x="334"/>
        <item m="1" x="923"/>
        <item m="1" x="198"/>
        <item x="2"/>
        <item m="1" x="710"/>
        <item m="1" x="384"/>
        <item m="1" x="954"/>
        <item m="1" x="124"/>
        <item m="1" x="153"/>
        <item m="1" x="336"/>
        <item m="1" x="337"/>
        <item x="12"/>
        <item m="1" x="332"/>
        <item m="1" x="536"/>
        <item m="1" x="361"/>
        <item m="1" x="371"/>
        <item m="1" x="574"/>
        <item m="1" x="320"/>
        <item m="1" x="348"/>
        <item m="1" x="1101"/>
        <item m="1" x="326"/>
        <item m="1" x="1151"/>
        <item m="1" x="1102"/>
        <item m="1" x="998"/>
        <item m="1" x="248"/>
        <item m="1" x="233"/>
        <item m="1" x="729"/>
        <item m="1" x="730"/>
        <item m="1" x="1144"/>
        <item m="1" x="219"/>
        <item m="1" x="702"/>
        <item m="1" x="960"/>
        <item m="1" x="706"/>
        <item m="1" x="731"/>
        <item m="1" x="541"/>
        <item x="29"/>
        <item m="1" x="542"/>
        <item m="1" x="389"/>
        <item m="1" x="1070"/>
        <item x="13"/>
        <item m="1" x="724"/>
        <item m="1" x="234"/>
        <item m="1" x="725"/>
        <item m="1" x="1048"/>
        <item m="1" x="999"/>
        <item m="1" x="732"/>
        <item m="1" x="726"/>
        <item m="1" x="727"/>
        <item m="1" x="220"/>
        <item m="1" x="410"/>
        <item m="1" x="733"/>
        <item m="1" x="350"/>
        <item m="1" x="714"/>
        <item m="1" x="489"/>
        <item m="1" x="558"/>
        <item m="1" x="321"/>
        <item m="1" x="1157"/>
        <item m="1" x="221"/>
        <item m="1" x="980"/>
        <item m="1" x="711"/>
        <item m="1" x="850"/>
        <item m="1" x="1042"/>
        <item m="1" x="981"/>
        <item m="1" x="959"/>
        <item m="1" x="222"/>
        <item m="1" x="1002"/>
        <item m="1" x="851"/>
        <item m="1" x="305"/>
        <item x="89"/>
        <item m="1" x="277"/>
        <item m="1" x="712"/>
        <item m="1" x="543"/>
        <item m="1" x="579"/>
        <item m="1" x="568"/>
        <item x="14"/>
        <item m="1" x="453"/>
        <item m="1" x="481"/>
        <item m="1" x="569"/>
        <item m="1" x="963"/>
        <item m="1" x="570"/>
        <item m="1" x="544"/>
        <item x="90"/>
        <item m="1" x="1138"/>
        <item m="1" x="1086"/>
        <item x="79"/>
        <item m="1" x="982"/>
        <item m="1" x="572"/>
        <item m="1" x="159"/>
        <item m="1" x="139"/>
        <item m="1" x="125"/>
        <item m="1" x="839"/>
        <item m="1" x="840"/>
        <item m="1" x="223"/>
        <item m="1" x="1067"/>
        <item m="1" x="1003"/>
        <item m="1" x="1000"/>
        <item x="30"/>
        <item m="1" x="930"/>
        <item m="1" x="863"/>
        <item m="1" x="716"/>
        <item m="1" x="1075"/>
        <item m="1" x="909"/>
        <item m="1" x="1047"/>
        <item m="1" x="903"/>
        <item m="1" x="1089"/>
        <item m="1" x="743"/>
        <item x="31"/>
        <item m="1" x="791"/>
        <item m="1" x="744"/>
        <item m="1" x="423"/>
        <item m="1" x="1129"/>
        <item m="1" x="445"/>
        <item m="1" x="156"/>
        <item m="1" x="454"/>
        <item m="1" x="278"/>
        <item m="1" x="1127"/>
        <item m="1" x="126"/>
        <item x="3"/>
        <item m="1" x="1064"/>
        <item m="1" x="1088"/>
        <item x="32"/>
        <item m="1" x="983"/>
        <item x="33"/>
        <item m="1" x="1004"/>
        <item m="1" x="1005"/>
        <item x="15"/>
        <item m="1" x="953"/>
        <item m="1" x="792"/>
        <item m="1" x="700"/>
        <item m="1" x="931"/>
        <item m="1" x="595"/>
        <item m="1" x="580"/>
        <item m="1" x="477"/>
        <item m="1" x="257"/>
        <item m="1" x="932"/>
        <item m="1" x="581"/>
        <item m="1" x="904"/>
        <item m="1" x="971"/>
        <item m="1" x="1076"/>
        <item m="1" x="333"/>
        <item m="1" x="588"/>
        <item m="1" x="455"/>
        <item m="1" x="575"/>
        <item m="1" x="460"/>
        <item m="1" x="424"/>
        <item m="1" x="463"/>
        <item m="1" x="1158"/>
        <item m="1" x="532"/>
        <item m="1" x="461"/>
        <item m="1" x="306"/>
        <item m="1" x="351"/>
        <item m="1" x="1123"/>
        <item m="1" x="704"/>
        <item m="1" x="1119"/>
        <item m="1" x="737"/>
        <item m="1" x="199"/>
        <item m="1" x="160"/>
        <item m="1" x="721"/>
        <item m="1" x="927"/>
        <item m="1" x="338"/>
        <item m="1" x="571"/>
        <item x="34"/>
        <item m="1" x="224"/>
        <item x="91"/>
        <item x="92"/>
        <item x="21"/>
        <item m="1" x="318"/>
        <item m="1" x="933"/>
        <item m="1" x="717"/>
        <item m="1" x="352"/>
        <item x="78"/>
        <item m="1" x="317"/>
        <item m="1" x="110"/>
        <item m="1" x="478"/>
        <item x="39"/>
        <item m="1" x="537"/>
        <item m="1" x="406"/>
        <item m="1" x="469"/>
        <item m="1" x="307"/>
        <item m="1" x="322"/>
        <item m="1" x="434"/>
        <item m="1" x="545"/>
        <item m="1" x="442"/>
        <item m="1" x="339"/>
        <item m="1" x="793"/>
        <item m="1" x="546"/>
        <item m="1" x="776"/>
        <item m="1" x="591"/>
        <item m="1" x="157"/>
        <item m="1" x="118"/>
        <item x="93"/>
        <item m="1" x="592"/>
        <item m="1" x="560"/>
        <item m="1" x="619"/>
        <item m="1" x="417"/>
        <item m="1" x="408"/>
        <item m="1" x="1091"/>
        <item m="1" x="547"/>
        <item m="1" x="561"/>
        <item m="1" x="1087"/>
        <item m="1" x="143"/>
        <item m="1" x="777"/>
        <item m="1" x="607"/>
        <item m="1" x="155"/>
        <item x="4"/>
        <item m="1" x="604"/>
        <item m="1" x="482"/>
        <item m="1" x="1043"/>
        <item m="1" x="340"/>
        <item m="1" x="582"/>
        <item x="94"/>
        <item m="1" x="934"/>
        <item m="1" x="925"/>
        <item m="1" x="935"/>
        <item m="1" x="936"/>
        <item m="1" x="1124"/>
        <item m="1" x="260"/>
        <item m="1" x="225"/>
        <item m="1" x="464"/>
        <item m="1" x="964"/>
        <item m="1" x="965"/>
        <item m="1" x="127"/>
        <item m="1" x="718"/>
        <item m="1" x="696"/>
        <item m="1" x="226"/>
        <item x="35"/>
        <item m="1" x="906"/>
        <item m="1" x="720"/>
        <item m="1" x="719"/>
        <item m="1" x="680"/>
        <item x="95"/>
        <item x="36"/>
        <item m="1" x="353"/>
        <item m="1" x="354"/>
        <item m="1" x="355"/>
        <item x="16"/>
        <item x="82"/>
        <item x="75"/>
        <item m="1" x="102"/>
        <item m="1" x="346"/>
        <item m="1" x="443"/>
        <item m="1" x="562"/>
        <item m="1" x="583"/>
        <item m="1" x="528"/>
        <item m="1" x="425"/>
        <item x="20"/>
        <item x="56"/>
        <item m="1" x="659"/>
        <item m="1" x="323"/>
        <item m="1" x="313"/>
        <item m="1" x="144"/>
        <item m="1" x="465"/>
        <item m="1" x="466"/>
        <item m="1" x="1092"/>
        <item m="1" x="128"/>
        <item m="1" x="548"/>
        <item m="1" x="1082"/>
        <item m="1" x="549"/>
        <item m="1" x="444"/>
        <item m="1" x="437"/>
        <item m="1" x="327"/>
        <item m="1" x="678"/>
        <item m="1" x="550"/>
        <item m="1" x="563"/>
        <item m="1" x="154"/>
        <item x="5"/>
        <item x="6"/>
        <item m="1" x="984"/>
        <item m="1" x="467"/>
        <item x="40"/>
        <item x="80"/>
        <item m="1" x="955"/>
        <item m="1" x="950"/>
        <item m="1" x="794"/>
        <item m="1" x="551"/>
        <item m="1" x="552"/>
        <item m="1" x="975"/>
        <item m="1" x="279"/>
        <item m="1" x="308"/>
        <item m="1" x="1185"/>
        <item m="1" x="1116"/>
        <item m="1" x="341"/>
        <item m="1" x="966"/>
        <item m="1" x="103"/>
        <item m="1" x="456"/>
        <item m="1" x="691"/>
        <item m="1" x="722"/>
        <item x="7"/>
        <item m="1" x="158"/>
        <item m="1" x="249"/>
        <item m="1" x="698"/>
        <item m="1" x="491"/>
        <item m="1" x="255"/>
        <item m="1" x="119"/>
        <item m="1" x="250"/>
        <item m="1" x="703"/>
        <item m="1" x="1037"/>
        <item m="1" x="227"/>
        <item m="1" x="676"/>
        <item m="1" x="692"/>
        <item m="1" x="309"/>
        <item m="1" x="685"/>
        <item m="1" x="261"/>
        <item m="1" x="671"/>
        <item m="1" x="741"/>
        <item m="1" x="707"/>
        <item m="1" x="259"/>
        <item m="1" x="578"/>
        <item x="1"/>
        <item m="1" x="390"/>
        <item m="1" x="483"/>
        <item m="1" x="449"/>
        <item m="1" x="314"/>
        <item m="1" x="104"/>
        <item m="1" x="530"/>
        <item m="1" x="529"/>
        <item m="1" x="345"/>
        <item m="1" x="852"/>
        <item m="1" x="132"/>
        <item x="72"/>
        <item m="1" x="105"/>
        <item m="1" x="145"/>
        <item m="1" x="138"/>
        <item x="57"/>
        <item m="1" x="693"/>
        <item m="1" x="584"/>
        <item m="1" x="1139"/>
        <item m="1" x="468"/>
        <item m="1" x="1171"/>
        <item m="1" x="564"/>
        <item m="1" x="1074"/>
        <item m="1" x="967"/>
        <item m="1" x="1080"/>
        <item m="1" x="985"/>
        <item m="1" x="1006"/>
        <item m="1" x="961"/>
        <item m="1" x="342"/>
        <item x="8"/>
        <item m="1" x="356"/>
        <item m="1" x="665"/>
        <item m="1" x="493"/>
        <item m="1" x="328"/>
        <item x="52"/>
        <item m="1" x="131"/>
        <item x="51"/>
        <item x="17"/>
        <item m="1" x="585"/>
        <item m="1" x="586"/>
        <item m="1" x="609"/>
        <item m="1" x="1128"/>
        <item m="1" x="457"/>
        <item m="1" x="1145"/>
        <item m="1" x="593"/>
        <item m="1" x="605"/>
        <item m="1" x="1146"/>
        <item m="1" x="742"/>
        <item m="1" x="324"/>
        <item m="1" x="458"/>
        <item m="1" x="1140"/>
        <item m="1" x="319"/>
        <item m="1" x="699"/>
        <item m="1" x="1001"/>
        <item m="1" x="853"/>
        <item m="1" x="854"/>
        <item m="1" x="910"/>
        <item m="1" x="943"/>
        <item m="1" x="660"/>
        <item m="1" x="1172"/>
        <item m="1" x="235"/>
        <item m="1" x="661"/>
        <item m="1" x="1121"/>
        <item m="1" x="667"/>
        <item m="1" x="1152"/>
        <item m="1" x="1130"/>
        <item m="1" x="662"/>
        <item m="1" x="587"/>
        <item m="1" x="663"/>
        <item m="1" x="107"/>
        <item m="1" x="459"/>
        <item m="1" x="108"/>
        <item m="1" x="162"/>
        <item m="1" x="1096"/>
        <item m="1" x="1062"/>
        <item m="1" x="878"/>
        <item m="1" x="1118"/>
        <item m="1" x="938"/>
        <item x="74"/>
        <item m="1" x="690"/>
        <item m="1" x="448"/>
        <item m="1" x="344"/>
        <item m="1" x="842"/>
        <item m="1" x="675"/>
        <item m="1" x="684"/>
        <item m="1" x="316"/>
        <item m="1" x="331"/>
        <item m="1" x="902"/>
        <item m="1" x="697"/>
        <item m="1" x="689"/>
        <item m="1" x="106"/>
        <item m="1" x="841"/>
        <item m="1" x="484"/>
        <item m="1" x="430"/>
        <item m="1" x="394"/>
        <item m="1" x="646"/>
        <item m="1" x="388"/>
        <item m="1" x="386"/>
        <item m="1" x="99"/>
        <item m="1" x="130"/>
        <item m="1" x="115"/>
        <item x="54"/>
        <item m="1" x="100"/>
        <item m="1" x="129"/>
        <item x="81"/>
        <item m="1" x="116"/>
        <item x="71"/>
        <item x="73"/>
        <item x="86"/>
        <item x="87"/>
        <item m="1" x="1141"/>
        <item m="1" x="228"/>
        <item m="1" x="485"/>
        <item m="1" x="357"/>
        <item m="1" x="952"/>
        <item m="1" x="385"/>
        <item m="1" x="435"/>
        <item m="1" x="436"/>
        <item m="1" x="438"/>
        <item m="1" x="534"/>
        <item m="1" x="782"/>
        <item m="1" x="608"/>
        <item m="1" x="612"/>
        <item m="1" x="236"/>
        <item m="1" x="855"/>
        <item m="1" x="120"/>
        <item m="1" x="535"/>
        <item m="1" x="283"/>
        <item m="1" x="266"/>
        <item m="1" x="280"/>
        <item m="1" x="783"/>
        <item m="1" x="600"/>
        <item m="1" x="182"/>
        <item m="1" x="407"/>
        <item m="1" x="284"/>
        <item m="1" x="315"/>
        <item m="1" x="599"/>
        <item m="1" x="1061"/>
        <item m="1" x="986"/>
        <item m="1" x="285"/>
        <item m="1" x="1007"/>
        <item m="1" x="329"/>
        <item x="9"/>
        <item m="1" x="937"/>
        <item m="1" x="418"/>
        <item m="1" x="471"/>
        <item m="1" x="1120"/>
        <item m="1" x="286"/>
        <item m="1" x="121"/>
        <item m="1" x="343"/>
        <item m="1" x="683"/>
        <item m="1" x="647"/>
        <item m="1" x="921"/>
        <item m="1" x="648"/>
        <item m="1" x="928"/>
        <item x="85"/>
        <item m="1" x="358"/>
        <item m="1" x="349"/>
        <item m="1" x="133"/>
        <item m="1" x="161"/>
        <item m="1" x="287"/>
        <item m="1" x="1008"/>
        <item x="18"/>
        <item m="1" x="372"/>
        <item m="1" x="1015"/>
        <item m="1" x="990"/>
        <item m="1" x="1009"/>
        <item m="1" x="486"/>
        <item m="1" x="861"/>
        <item m="1" x="856"/>
        <item m="1" x="991"/>
        <item m="1" x="992"/>
        <item x="37"/>
        <item x="10"/>
        <item m="1" x="993"/>
        <item m="1" x="1046"/>
        <item m="1" x="565"/>
        <item m="1" x="844"/>
        <item m="1" x="1016"/>
        <item m="1" x="1045"/>
        <item m="1" x="859"/>
        <item m="1" x="800"/>
        <item m="1" x="779"/>
        <item m="1" x="620"/>
        <item m="1" x="621"/>
        <item m="1" x="487"/>
        <item m="1" x="1097"/>
        <item m="1" x="1017"/>
        <item m="1" x="1018"/>
        <item m="1" x="1019"/>
        <item m="1" x="288"/>
        <item m="1" x="1020"/>
        <item m="1" x="472"/>
        <item m="1" x="426"/>
        <item m="1" x="473"/>
        <item m="1" x="474"/>
        <item m="1" x="769"/>
        <item m="1" x="475"/>
        <item m="1" x="325"/>
        <item m="1" x="470"/>
        <item m="1" x="281"/>
        <item m="1" x="447"/>
        <item x="0"/>
        <item m="1" x="968"/>
        <item m="1" x="1147"/>
        <item m="1" x="181"/>
        <item m="1" x="180"/>
        <item m="1" x="204"/>
        <item m="1" x="273"/>
        <item m="1" x="203"/>
        <item m="1" x="920"/>
        <item m="1" x="784"/>
        <item m="1" x="801"/>
        <item m="1" x="202"/>
        <item m="1" x="594"/>
        <item m="1" x="420"/>
        <item m="1" x="427"/>
        <item m="1" x="415"/>
        <item m="1" x="416"/>
        <item m="1" x="272"/>
        <item m="1" x="282"/>
        <item m="1" x="271"/>
        <item m="1" x="864"/>
        <item m="1" x="256"/>
        <item m="1" x="419"/>
        <item m="1" x="270"/>
        <item m="1" x="201"/>
        <item m="1" x="862"/>
        <item m="1" x="857"/>
        <item m="1" x="785"/>
        <item m="1" x="786"/>
        <item m="1" x="746"/>
        <item m="1" x="598"/>
        <item m="1" x="590"/>
        <item m="1" x="428"/>
        <item m="1" x="395"/>
        <item m="1" x="533"/>
        <item m="1" x="429"/>
        <item m="1" x="200"/>
        <item x="55"/>
        <item m="1" x="140"/>
        <item m="1" x="109"/>
        <item m="1" x="759"/>
        <item m="1" x="770"/>
        <item m="1" x="787"/>
        <item m="1" x="994"/>
        <item m="1" x="553"/>
        <item m="1" x="554"/>
        <item m="1" x="237"/>
        <item x="11"/>
        <item m="1" x="747"/>
        <item m="1" x="269"/>
        <item m="1" x="268"/>
        <item m="1" x="1093"/>
        <item m="1" x="253"/>
        <item m="1" x="252"/>
        <item m="1" x="179"/>
        <item m="1" x="178"/>
        <item m="1" x="177"/>
        <item m="1" x="176"/>
        <item m="1" x="672"/>
        <item m="1" x="175"/>
        <item m="1" x="135"/>
        <item m="1" x="577"/>
        <item m="1" x="174"/>
        <item m="1" x="213"/>
        <item m="1" x="212"/>
        <item m="1" x="211"/>
        <item m="1" x="210"/>
        <item m="1" x="780"/>
        <item m="1" x="788"/>
        <item m="1" x="781"/>
        <item x="25"/>
        <item m="1" x="1131"/>
        <item m="1" x="614"/>
        <item m="1" x="597"/>
        <item m="1" x="613"/>
        <item m="1" x="403"/>
        <item m="1" x="402"/>
        <item m="1" x="413"/>
        <item m="1" x="401"/>
        <item m="1" x="400"/>
        <item m="1" x="391"/>
        <item m="1" x="951"/>
        <item m="1" x="396"/>
        <item m="1" x="209"/>
        <item m="1" x="208"/>
        <item m="1" x="207"/>
        <item m="1" x="265"/>
        <item m="1" x="206"/>
        <item m="1" x="451"/>
        <item m="1" x="205"/>
        <item x="24"/>
        <item x="23"/>
        <item x="22"/>
        <item m="1" x="701"/>
        <item m="1" x="679"/>
        <item m="1" x="735"/>
        <item m="1" x="538"/>
        <item m="1" x="136"/>
        <item m="1" x="452"/>
        <item m="1" x="995"/>
        <item m="1" x="173"/>
        <item m="1" x="996"/>
        <item m="1" x="172"/>
        <item m="1" x="238"/>
        <item m="1" x="171"/>
        <item m="1" x="264"/>
        <item m="1" x="387"/>
        <item m="1" x="101"/>
        <item m="1" x="170"/>
        <item m="1" x="169"/>
        <item m="1" x="168"/>
        <item m="1" x="167"/>
        <item m="1" x="682"/>
        <item m="1" x="166"/>
        <item x="50"/>
        <item m="1" x="111"/>
        <item m="1" x="165"/>
        <item m="1" x="760"/>
        <item m="1" x="1044"/>
        <item m="1" x="164"/>
        <item m="1" x="163"/>
        <item m="1" x="218"/>
        <item m="1" x="217"/>
        <item m="1" x="216"/>
        <item m="1" x="215"/>
        <item m="1" x="214"/>
        <item m="1" x="750"/>
        <item m="1" x="748"/>
        <item m="1" x="751"/>
        <item m="1" x="749"/>
        <item m="1" x="622"/>
        <item m="1" x="761"/>
        <item m="1" x="611"/>
        <item m="1" x="596"/>
        <item m="1" x="414"/>
        <item m="1" x="399"/>
        <item m="1" x="409"/>
        <item m="1" x="398"/>
        <item m="1" x="397"/>
        <item m="1" x="267"/>
        <item m="1" x="705"/>
        <item m="1" x="694"/>
        <item x="19"/>
        <item m="1" x="664"/>
        <item m="1" x="431"/>
        <item m="1" x="1094"/>
        <item m="1" x="1095"/>
        <item m="1" x="330"/>
        <item m="1" x="1163"/>
        <item m="1" x="1071"/>
        <item m="1" x="623"/>
        <item m="1" x="516"/>
        <item m="1" x="374"/>
        <item m="1" x="494"/>
        <item m="1" x="239"/>
        <item m="1" x="668"/>
        <item x="41"/>
        <item m="1" x="146"/>
        <item m="1" x="873"/>
        <item m="1" x="767"/>
        <item m="1" x="650"/>
        <item m="1" x="495"/>
        <item m="1" x="1173"/>
        <item m="1" x="496"/>
        <item m="1" x="1164"/>
        <item m="1" x="497"/>
        <item m="1" x="498"/>
        <item m="1" x="1081"/>
        <item m="1" x="1132"/>
        <item m="1" x="1125"/>
        <item m="1" x="289"/>
        <item m="1" x="375"/>
        <item m="1" x="752"/>
        <item x="58"/>
        <item m="1" x="753"/>
        <item m="1" x="802"/>
        <item m="1" x="870"/>
        <item m="1" x="871"/>
        <item m="1" x="624"/>
        <item m="1" x="610"/>
        <item m="1" x="625"/>
        <item m="1" x="651"/>
        <item m="1" x="1165"/>
        <item m="1" x="376"/>
        <item m="1" x="1059"/>
        <item m="1" x="290"/>
        <item m="1" x="1013"/>
        <item m="1" x="874"/>
        <item m="1" x="803"/>
        <item m="1" x="804"/>
        <item m="1" x="1174"/>
        <item m="1" x="195"/>
        <item m="1" x="686"/>
        <item m="1" x="555"/>
        <item m="1" x="1053"/>
        <item m="1" x="875"/>
        <item m="1" x="885"/>
        <item m="1" x="556"/>
        <item m="1" x="872"/>
        <item m="1" x="240"/>
        <item m="1" x="258"/>
        <item m="1" x="805"/>
        <item m="1" x="626"/>
        <item m="1" x="886"/>
        <item m="1" x="865"/>
        <item m="1" x="866"/>
        <item m="1" x="771"/>
        <item m="1" x="867"/>
        <item m="1" x="1159"/>
        <item m="1" x="627"/>
        <item m="1" x="1153"/>
        <item m="1" x="499"/>
        <item m="1" x="806"/>
        <item m="1" x="807"/>
        <item m="1" x="988"/>
        <item m="1" x="868"/>
        <item m="1" x="1049"/>
        <item m="1" x="778"/>
        <item m="1" x="808"/>
        <item m="1" x="768"/>
        <item m="1" x="887"/>
        <item m="1" x="795"/>
        <item x="59"/>
        <item m="1" x="1054"/>
        <item m="1" x="809"/>
        <item m="1" x="1160"/>
        <item m="1" x="810"/>
        <item m="1" x="774"/>
        <item m="1" x="811"/>
        <item m="1" x="618"/>
        <item m="1" x="652"/>
        <item m="1" x="653"/>
        <item m="1" x="758"/>
        <item m="1" x="827"/>
        <item m="1" x="628"/>
        <item m="1" x="500"/>
        <item m="1" x="828"/>
        <item m="1" x="1166"/>
        <item m="1" x="377"/>
        <item m="1" x="819"/>
        <item m="1" x="629"/>
        <item m="1" x="888"/>
        <item m="1" x="829"/>
        <item m="1" x="876"/>
        <item m="1" x="630"/>
        <item m="1" x="1026"/>
        <item m="1" x="889"/>
        <item m="1" x="911"/>
        <item m="1" x="775"/>
        <item m="1" x="830"/>
        <item m="1" x="1027"/>
        <item m="1" x="831"/>
        <item m="1" x="832"/>
        <item m="1" x="833"/>
        <item x="60"/>
        <item m="1" x="834"/>
        <item m="1" x="147"/>
        <item m="1" x="912"/>
        <item m="1" x="654"/>
        <item m="1" x="631"/>
        <item m="1" x="1161"/>
        <item m="1" x="1175"/>
        <item m="1" x="869"/>
        <item m="1" x="890"/>
        <item m="1" x="632"/>
        <item m="1" x="1176"/>
        <item m="1" x="1142"/>
        <item m="1" x="633"/>
        <item m="1" x="492"/>
        <item m="1" x="634"/>
        <item m="1" x="1073"/>
        <item m="1" x="835"/>
        <item m="1" x="1055"/>
        <item m="1" x="1177"/>
        <item m="1" x="501"/>
        <item m="1" x="1167"/>
        <item m="1" x="1162"/>
        <item m="1" x="1178"/>
        <item m="1" x="291"/>
        <item m="1" x="1106"/>
        <item m="1" x="1107"/>
        <item m="1" x="1010"/>
        <item m="1" x="989"/>
        <item m="1" x="502"/>
        <item m="1" x="1103"/>
        <item m="1" x="635"/>
        <item m="1" x="636"/>
        <item m="1" x="1109"/>
        <item m="1" x="292"/>
        <item m="1" x="973"/>
        <item m="1" x="1011"/>
        <item m="1" x="503"/>
        <item m="1" x="1099"/>
        <item m="1" x="1154"/>
        <item m="1" x="891"/>
        <item m="1" x="1056"/>
        <item m="1" x="836"/>
        <item m="1" x="837"/>
        <item m="1" x="1110"/>
        <item m="1" x="892"/>
        <item m="1" x="1111"/>
        <item m="1" x="893"/>
        <item m="1" x="745"/>
        <item m="1" x="820"/>
        <item m="1" x="655"/>
        <item m="1" x="1148"/>
        <item m="1" x="1179"/>
        <item m="1" x="1143"/>
        <item m="1" x="490"/>
        <item m="1" x="404"/>
        <item m="1" x="1098"/>
        <item m="1" x="1077"/>
        <item m="1" x="1112"/>
        <item m="1" x="734"/>
        <item m="1" x="728"/>
        <item m="1" x="1113"/>
        <item m="1" x="1012"/>
        <item m="1" x="1028"/>
        <item m="1" x="974"/>
        <item m="1" x="877"/>
        <item m="1" x="881"/>
        <item m="1" x="1014"/>
        <item m="1" x="1029"/>
        <item m="1" x="894"/>
        <item m="1" x="148"/>
        <item m="1" x="895"/>
        <item m="1" x="241"/>
        <item m="1" x="896"/>
        <item m="1" x="789"/>
        <item m="1" x="765"/>
        <item m="1" x="764"/>
        <item m="1" x="812"/>
        <item m="1" x="897"/>
        <item m="1" x="913"/>
        <item m="1" x="813"/>
        <item m="1" x="814"/>
        <item m="1" x="1050"/>
        <item m="1" x="766"/>
        <item m="1" x="637"/>
        <item m="1" x="638"/>
        <item m="1" x="606"/>
        <item m="1" x="942"/>
        <item m="1" x="639"/>
        <item m="1" x="908"/>
        <item m="1" x="433"/>
        <item m="1" x="1051"/>
        <item m="1" x="640"/>
        <item m="1" x="641"/>
        <item m="1" x="1040"/>
        <item m="1" x="1083"/>
        <item m="1" x="432"/>
        <item m="1" x="821"/>
        <item m="1" x="649"/>
        <item m="1" x="517"/>
        <item m="1" x="738"/>
        <item m="1" x="293"/>
        <item m="1" x="822"/>
        <item m="1" x="946"/>
        <item m="1" x="948"/>
        <item m="1" x="907"/>
        <item x="61"/>
        <item m="1" x="1039"/>
        <item x="62"/>
        <item m="1" x="987"/>
        <item m="1" x="847"/>
        <item x="63"/>
        <item m="1" x="677"/>
        <item x="42"/>
        <item m="1" x="736"/>
        <item x="64"/>
        <item m="1" x="446"/>
        <item m="1" x="479"/>
        <item m="1" x="304"/>
        <item m="1" x="1149"/>
        <item m="1" x="518"/>
        <item m="1" x="1072"/>
        <item m="1" x="294"/>
        <item m="1" x="796"/>
        <item m="1" x="815"/>
        <item m="1" x="642"/>
        <item m="1" x="519"/>
        <item x="65"/>
        <item m="1" x="1133"/>
        <item m="1" x="295"/>
        <item m="1" x="645"/>
        <item m="1" x="520"/>
        <item m="1" x="1180"/>
        <item m="1" x="521"/>
        <item m="1" x="296"/>
        <item m="1" x="962"/>
        <item m="1" x="898"/>
        <item m="1" x="1060"/>
        <item m="1" x="669"/>
        <item m="1" x="1134"/>
        <item m="1" x="1114"/>
        <item m="1" x="899"/>
        <item m="1" x="229"/>
        <item x="38"/>
        <item m="1" x="1030"/>
        <item m="1" x="242"/>
        <item m="1" x="1025"/>
        <item m="1" x="845"/>
        <item x="66"/>
        <item m="1" x="823"/>
        <item m="1" x="656"/>
        <item m="1" x="643"/>
        <item m="1" x="522"/>
        <item m="1" x="364"/>
        <item m="1" x="1108"/>
        <item m="1" x="947"/>
        <item m="1" x="956"/>
        <item m="1" x="297"/>
        <item m="1" x="576"/>
        <item x="53"/>
        <item x="67"/>
        <item x="43"/>
        <item m="1" x="843"/>
        <item m="1" x="359"/>
        <item m="1" x="666"/>
        <item m="1" x="230"/>
        <item m="1" x="378"/>
        <item m="1" x="531"/>
        <item m="1" x="363"/>
        <item m="1" x="310"/>
        <item m="1" x="373"/>
        <item m="1" x="123"/>
        <item m="1" x="379"/>
        <item m="1" x="557"/>
        <item m="1" x="1068"/>
        <item m="1" x="1135"/>
        <item x="44"/>
        <item m="1" x="914"/>
        <item m="1" x="824"/>
        <item m="1" x="825"/>
        <item m="1" x="149"/>
        <item m="1" x="723"/>
        <item m="1" x="644"/>
        <item m="1" x="603"/>
        <item m="1" x="602"/>
        <item m="1" x="739"/>
        <item m="1" x="1038"/>
        <item m="1" x="1168"/>
        <item m="1" x="523"/>
        <item m="1" x="1063"/>
        <item m="1" x="826"/>
        <item m="1" x="939"/>
        <item m="1" x="1122"/>
        <item m="1" x="1090"/>
        <item m="1" x="1084"/>
        <item m="1" x="1041"/>
        <item m="1" x="1069"/>
        <item m="1" x="298"/>
        <item m="1" x="1105"/>
        <item m="1" x="673"/>
        <item m="1" x="681"/>
        <item x="68"/>
        <item m="1" x="957"/>
        <item m="1" x="1117"/>
        <item m="1" x="848"/>
        <item m="1" x="687"/>
        <item m="1" x="573"/>
        <item m="1" x="150"/>
        <item m="1" x="151"/>
        <item m="1" x="243"/>
        <item m="1" x="849"/>
        <item x="45"/>
        <item x="46"/>
        <item x="69"/>
        <item x="70"/>
        <item m="1" x="860"/>
        <item m="1" x="922"/>
        <item m="1" x="615"/>
        <item m="1" x="900"/>
        <item m="1" x="1085"/>
        <item m="1" x="589"/>
        <item m="1" x="688"/>
        <item m="1" x="113"/>
        <item m="1" x="114"/>
        <item m="1" x="674"/>
        <item m="1" x="347"/>
        <item x="88"/>
        <item m="1" x="251"/>
        <item m="1" x="1155"/>
        <item m="1" x="1078"/>
        <item m="1" x="1021"/>
        <item m="1" x="969"/>
        <item m="1" x="1052"/>
        <item m="1" x="901"/>
        <item m="1" x="380"/>
        <item m="1" x="1115"/>
        <item x="96"/>
        <item x="76"/>
        <item m="1" x="1126"/>
        <item m="1" x="141"/>
        <item m="1" x="1104"/>
        <item m="1" x="1150"/>
        <item m="1" x="1136"/>
        <item m="1" x="1156"/>
        <item m="1" x="915"/>
        <item m="1" x="949"/>
        <item m="1" x="972"/>
        <item m="1" x="816"/>
        <item m="1" x="858"/>
        <item m="1" x="905"/>
        <item m="1" x="944"/>
        <item m="1" x="940"/>
        <item m="1" x="1181"/>
        <item m="1" x="713"/>
        <item m="1" x="945"/>
        <item m="1" x="846"/>
        <item m="1" x="365"/>
        <item m="1" x="740"/>
        <item m="1" x="366"/>
        <item m="1" x="142"/>
        <item m="1" x="367"/>
        <item x="83"/>
        <item m="1" x="263"/>
        <item x="97"/>
        <item m="1" x="254"/>
        <item m="1" x="970"/>
        <item m="1" x="817"/>
        <item m="1" x="616"/>
        <item m="1" x="1022"/>
        <item m="1" x="1182"/>
        <item m="1" x="1169"/>
        <item m="1" x="524"/>
        <item m="1" x="1183"/>
        <item m="1" x="1170"/>
        <item m="1" x="299"/>
        <item m="1" x="818"/>
        <item m="1" x="657"/>
        <item m="1" x="194"/>
        <item m="1" x="525"/>
        <item m="1" x="300"/>
        <item m="1" x="244"/>
        <item m="1" x="797"/>
        <item m="1" x="617"/>
        <item m="1" x="1023"/>
        <item m="1" x="1184"/>
        <item m="1" x="882"/>
        <item m="1" x="926"/>
        <item m="1" x="362"/>
        <item m="1" x="245"/>
        <item m="1" x="196"/>
        <item m="1" x="916"/>
        <item m="1" x="197"/>
        <item m="1" x="941"/>
        <item m="1" x="924"/>
        <item m="1" x="488"/>
        <item m="1" x="526"/>
        <item m="1" x="412"/>
        <item m="1" x="527"/>
        <item m="1" x="509"/>
        <item m="1" x="301"/>
        <item m="1" x="122"/>
        <item m="1" x="302"/>
        <item x="47"/>
        <item m="1" x="929"/>
        <item m="1" x="137"/>
        <item m="1" x="246"/>
        <item m="1" x="381"/>
        <item m="1" x="1031"/>
        <item m="1" x="382"/>
        <item m="1" x="1032"/>
        <item m="1" x="1033"/>
        <item x="48"/>
        <item m="1" x="1034"/>
        <item m="1" x="1035"/>
        <item m="1" x="1036"/>
        <item m="1" x="917"/>
        <item x="49"/>
        <item m="1" x="918"/>
        <item m="1" x="883"/>
        <item m="1" x="152"/>
        <item m="1" x="884"/>
        <item m="1" x="1057"/>
        <item m="1" x="798"/>
        <item m="1" x="799"/>
        <item m="1" x="504"/>
        <item m="1" x="505"/>
        <item m="1" x="506"/>
        <item m="1" x="507"/>
        <item m="1" x="508"/>
        <item m="1" x="1079"/>
        <item m="1" x="763"/>
        <item m="1" x="247"/>
        <item m="1" x="757"/>
        <item m="1" x="919"/>
        <item m="1" x="510"/>
        <item m="1" x="511"/>
        <item m="1" x="512"/>
        <item m="1" x="513"/>
        <item m="1" x="658"/>
        <item m="1" x="514"/>
        <item m="1" x="187"/>
        <item m="1" x="1024"/>
        <item m="1" x="450"/>
        <item m="1" x="383"/>
        <item m="1" x="393"/>
        <item m="1" x="515"/>
        <item m="1" x="186"/>
        <item m="1" x="185"/>
        <item m="1" x="262"/>
        <item m="1" x="134"/>
        <item x="84"/>
        <item m="1" x="773"/>
        <item m="1" x="670"/>
        <item m="1" x="183"/>
        <item m="1" x="184"/>
        <item m="1" x="193"/>
        <item m="1" x="192"/>
        <item m="1" x="772"/>
        <item m="1" x="601"/>
        <item m="1" x="411"/>
        <item m="1" x="392"/>
        <item x="28"/>
        <item x="27"/>
        <item x="26"/>
        <item m="1" x="191"/>
        <item m="1" x="190"/>
        <item m="1" x="112"/>
        <item m="1" x="189"/>
        <item m="1" x="188"/>
        <item m="1" x="756"/>
        <item m="1" x="755"/>
        <item m="1" x="762"/>
        <item m="1" x="754"/>
        <item m="1" x="476"/>
        <item m="1" x="439"/>
        <item m="1" x="303"/>
        <item x="77"/>
        <item m="1" x="790"/>
        <item m="1" x="695"/>
        <item x="9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17">
    <i>
      <x/>
      <x v="45"/>
    </i>
    <i r="1">
      <x v="159"/>
    </i>
    <i r="1">
      <x v="246"/>
    </i>
    <i r="1">
      <x v="307"/>
    </i>
    <i r="1">
      <x v="308"/>
    </i>
    <i r="1">
      <x v="329"/>
    </i>
    <i r="1">
      <x v="350"/>
    </i>
    <i r="1">
      <x v="379"/>
    </i>
    <i r="1">
      <x v="492"/>
    </i>
    <i r="1">
      <x v="523"/>
    </i>
    <i r="1">
      <x v="552"/>
    </i>
    <i r="1">
      <x v="599"/>
    </i>
    <i t="default">
      <x/>
    </i>
    <i>
      <x v="1"/>
      <x v="53"/>
    </i>
    <i r="1">
      <x v="81"/>
    </i>
    <i r="1">
      <x v="116"/>
    </i>
    <i r="1">
      <x v="167"/>
    </i>
    <i r="1">
      <x v="277"/>
    </i>
    <i r="1">
      <x v="387"/>
    </i>
    <i r="1">
      <x v="512"/>
    </i>
    <i r="1">
      <x v="694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7"/>
    </i>
    <i r="1">
      <x v="216"/>
    </i>
    <i r="1">
      <x v="267"/>
    </i>
    <i r="1">
      <x v="273"/>
    </i>
    <i r="1">
      <x v="287"/>
    </i>
    <i r="1">
      <x v="522"/>
    </i>
    <i r="1">
      <x v="622"/>
    </i>
    <i r="1">
      <x v="642"/>
    </i>
    <i r="1">
      <x v="643"/>
    </i>
    <i r="1">
      <x v="644"/>
    </i>
    <i r="1">
      <x v="949"/>
    </i>
    <i r="1">
      <x v="1167"/>
    </i>
    <i r="1">
      <x v="1168"/>
    </i>
    <i r="1">
      <x v="1169"/>
    </i>
    <i t="default">
      <x v="2"/>
    </i>
    <i>
      <x v="3"/>
      <x v="311"/>
    </i>
    <i r="1">
      <x v="708"/>
    </i>
    <i r="1">
      <x v="919"/>
    </i>
    <i r="1">
      <x v="967"/>
    </i>
    <i r="1">
      <x v="982"/>
    </i>
    <i r="1">
      <x v="1017"/>
    </i>
    <i r="1">
      <x v="1018"/>
    </i>
    <i r="1">
      <x v="1108"/>
    </i>
    <i r="1">
      <x v="1117"/>
    </i>
    <i r="1">
      <x v="1122"/>
    </i>
    <i t="default">
      <x v="3"/>
    </i>
    <i>
      <x v="4"/>
      <x v="384"/>
    </i>
    <i r="1">
      <x v="386"/>
    </i>
    <i r="1">
      <x v="666"/>
    </i>
    <i r="1">
      <x v="965"/>
    </i>
    <i t="default">
      <x v="4"/>
    </i>
    <i>
      <x v="5"/>
      <x v="288"/>
    </i>
    <i r="1">
      <x v="361"/>
    </i>
    <i r="1">
      <x v="365"/>
    </i>
    <i r="1">
      <x v="451"/>
    </i>
    <i r="1">
      <x v="456"/>
    </i>
    <i r="1">
      <x v="457"/>
    </i>
    <i r="1">
      <x v="589"/>
    </i>
    <i r="1">
      <x v="725"/>
    </i>
    <i r="1">
      <x v="774"/>
    </i>
    <i r="1">
      <x v="806"/>
    </i>
    <i r="1">
      <x v="912"/>
    </i>
    <i r="1">
      <x v="914"/>
    </i>
    <i r="1">
      <x v="917"/>
    </i>
    <i r="1">
      <x v="921"/>
    </i>
    <i r="1">
      <x v="933"/>
    </i>
    <i r="1">
      <x v="954"/>
    </i>
    <i r="1">
      <x v="966"/>
    </i>
    <i r="1">
      <x v="1007"/>
    </i>
    <i r="1">
      <x v="1019"/>
    </i>
    <i r="1">
      <x v="1020"/>
    </i>
    <i t="default">
      <x v="5"/>
    </i>
    <i>
      <x v="6"/>
      <x v="126"/>
    </i>
    <i r="1">
      <x v="212"/>
    </i>
    <i r="1">
      <x v="279"/>
    </i>
    <i r="1">
      <x v="312"/>
    </i>
    <i r="1">
      <x v="428"/>
    </i>
    <i r="1">
      <x v="454"/>
    </i>
    <i r="1">
      <x v="1043"/>
    </i>
    <i r="1">
      <x v="1182"/>
    </i>
    <i t="default">
      <x v="6"/>
    </i>
    <i>
      <x v="7"/>
      <x v="278"/>
    </i>
    <i r="1">
      <x v="311"/>
    </i>
    <i t="default">
      <x v="7"/>
    </i>
    <i>
      <x v="8"/>
      <x v="1067"/>
    </i>
    <i r="1">
      <x v="1156"/>
    </i>
    <i t="default">
      <x v="8"/>
    </i>
    <i>
      <x v="9"/>
      <x v="458"/>
    </i>
    <i r="1">
      <x v="459"/>
    </i>
    <i r="1">
      <x v="505"/>
    </i>
    <i r="1">
      <x v="1067"/>
    </i>
    <i t="default">
      <x v="9"/>
    </i>
    <i>
      <x v="10"/>
      <x v="454"/>
    </i>
    <i t="default">
      <x v="10"/>
    </i>
    <i>
      <x v="11"/>
      <x v="110"/>
    </i>
    <i r="1">
      <x v="123"/>
    </i>
    <i r="1">
      <x v="205"/>
    </i>
    <i r="1">
      <x v="206"/>
    </i>
    <i r="1">
      <x v="232"/>
    </i>
    <i r="1">
      <x v="252"/>
    </i>
    <i r="1">
      <x v="272"/>
    </i>
    <i r="1">
      <x v="949"/>
    </i>
    <i r="1">
      <x v="1032"/>
    </i>
    <i r="1">
      <x v="1042"/>
    </i>
    <i r="1">
      <x v="1069"/>
    </i>
    <i t="default">
      <x v="11"/>
    </i>
    <i>
      <x v="12"/>
      <x v="1185"/>
    </i>
    <i t="default">
      <x v="12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3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5" firstHeaderRow="1" firstDataRow="1" firstDataCol="1"/>
  <pivotFields count="3">
    <pivotField axis="axisRow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166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D28" firstHeaderRow="1" firstDataRow="8" firstDataCol="1"/>
  <pivotFields count="45">
    <pivotField axis="axisRow" compact="0" outline="0" subtotalTop="0" showAll="0" includeNewItemsInFilter="1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94">
        <item h="1" x="30"/>
        <item m="1" x="1767"/>
        <item m="1" x="1587"/>
        <item m="1" x="1450"/>
        <item m="1" x="1288"/>
        <item m="1" x="1546"/>
        <item m="1" x="1231"/>
        <item m="1" x="1559"/>
        <item m="1" x="1317"/>
        <item m="1" x="1289"/>
        <item m="1" x="1579"/>
        <item m="1" x="1181"/>
        <item m="1" x="1600"/>
        <item m="1" x="1245"/>
        <item m="1" x="1605"/>
        <item m="1" x="1190"/>
        <item m="1" x="1556"/>
        <item m="1" x="1688"/>
        <item m="1" x="1433"/>
        <item m="1" x="1462"/>
        <item m="1" x="1142"/>
        <item m="1" x="1302"/>
        <item m="1" x="1477"/>
        <item m="1" x="1186"/>
        <item m="1" x="1208"/>
        <item m="1" x="1254"/>
        <item m="1" x="1551"/>
        <item m="1" x="1562"/>
        <item m="1" x="1256"/>
        <item m="1" x="1162"/>
        <item m="1" x="1502"/>
        <item m="1" x="1327"/>
        <item m="1" x="1654"/>
        <item m="1" x="1592"/>
        <item m="1" x="1581"/>
        <item m="1" x="1189"/>
        <item m="1" x="1240"/>
        <item m="1" x="1549"/>
        <item m="1" x="1561"/>
        <item m="1" x="1287"/>
        <item m="1" x="1614"/>
        <item m="1" x="1249"/>
        <item m="1" x="1628"/>
        <item m="1" x="1586"/>
        <item m="1" x="1207"/>
        <item m="1" x="1284"/>
        <item m="1" x="1252"/>
        <item m="1" x="1601"/>
        <item m="1" x="1599"/>
        <item m="1" x="1270"/>
        <item m="1" x="1274"/>
        <item m="1" x="1645"/>
        <item m="1" x="1294"/>
        <item m="1" x="1281"/>
        <item m="1" x="1570"/>
        <item m="1" x="1558"/>
        <item m="1" x="1305"/>
        <item m="1" x="1268"/>
        <item m="1" x="1106"/>
        <item m="1" x="1650"/>
        <item m="1" x="1533"/>
        <item m="1" x="1667"/>
        <item m="1" x="1636"/>
        <item m="1" x="1323"/>
        <item m="1" x="1594"/>
        <item m="1" x="1292"/>
        <item m="1" x="1655"/>
        <item m="1" x="1609"/>
        <item m="1" x="1340"/>
        <item m="1" x="1683"/>
        <item m="1" x="1616"/>
        <item m="1" x="1626"/>
        <item m="1" x="1584"/>
        <item m="1" x="1423"/>
        <item m="1" x="1776"/>
        <item m="1" x="1316"/>
        <item m="1" x="1440"/>
        <item m="1" x="1326"/>
        <item m="1" x="1603"/>
        <item m="1" x="1117"/>
        <item m="1" x="1656"/>
        <item m="1" x="1453"/>
        <item m="1" x="1751"/>
        <item m="1" x="1120"/>
        <item m="1" x="1308"/>
        <item m="1" x="1789"/>
        <item m="1" x="1664"/>
        <item m="1" x="1344"/>
        <item m="1" x="1680"/>
        <item m="1" x="1298"/>
        <item m="1" x="1163"/>
        <item m="1" x="1463"/>
        <item m="1" x="1637"/>
        <item m="1" x="1639"/>
        <item m="1" x="1172"/>
        <item m="1" x="1747"/>
        <item m="1" x="1180"/>
        <item m="1" x="1333"/>
        <item m="1" x="1261"/>
        <item m="1" x="1150"/>
        <item m="1" x="1329"/>
        <item m="1" x="1517"/>
        <item m="1" x="1690"/>
        <item m="1" x="1689"/>
        <item m="1" x="1247"/>
        <item m="1" x="1165"/>
        <item m="1" x="1611"/>
        <item m="1" x="1201"/>
        <item m="1" x="1355"/>
        <item m="1" x="1258"/>
        <item m="1" x="1304"/>
        <item m="1" x="1596"/>
        <item m="1" x="1673"/>
        <item m="1" x="1399"/>
        <item m="1" x="1224"/>
        <item m="1" x="1250"/>
        <item m="1" x="1720"/>
        <item m="1" x="1272"/>
        <item m="1" x="1632"/>
        <item m="1" x="1770"/>
        <item m="1" x="1576"/>
        <item m="1" x="1729"/>
        <item m="1" x="1200"/>
        <item m="1" x="1262"/>
        <item m="1" x="1666"/>
        <item m="1" x="1772"/>
        <item m="1" x="1312"/>
        <item m="1" x="1342"/>
        <item m="1" x="1649"/>
        <item m="1" x="1318"/>
        <item m="1" x="1619"/>
        <item m="1" x="1276"/>
        <item m="1" x="1652"/>
        <item m="1" x="1640"/>
        <item m="1" x="1350"/>
        <item m="1" x="1669"/>
        <item m="1" x="1343"/>
        <item m="1" x="1692"/>
        <item m="1" x="1779"/>
        <item m="1" x="1359"/>
        <item m="1" x="1633"/>
        <item m="1" x="1306"/>
        <item m="1" x="1290"/>
        <item m="1" x="1691"/>
        <item m="1" x="1651"/>
        <item m="1" x="1425"/>
        <item m="1" x="1286"/>
        <item m="1" x="1713"/>
        <item m="1" x="1380"/>
        <item m="1" x="1325"/>
        <item m="1" x="1351"/>
        <item m="1" x="1730"/>
        <item m="1" x="1424"/>
        <item m="1" x="1386"/>
        <item m="1" x="1420"/>
        <item m="1" x="1376"/>
        <item m="1" x="1360"/>
        <item m="1" x="1441"/>
        <item m="1" x="1744"/>
        <item m="1" x="1668"/>
        <item m="1" x="1118"/>
        <item m="1" x="1659"/>
        <item m="1" x="1347"/>
        <item m="1" x="1693"/>
        <item m="1" x="1464"/>
        <item m="1" x="1164"/>
        <item m="1" x="1706"/>
        <item m="1" x="1454"/>
        <item m="1" x="1715"/>
        <item m="1" x="1710"/>
        <item m="1" x="1503"/>
        <item m="1" x="1391"/>
        <item m="1" x="1684"/>
        <item m="1" x="1489"/>
        <item m="1" x="1699"/>
        <item m="1" x="1218"/>
        <item m="1" x="1365"/>
        <item m="1" x="1723"/>
        <item m="1" x="1525"/>
        <item m="1" x="1518"/>
        <item m="1" x="1105"/>
        <item m="1" x="1211"/>
        <item m="1" x="1119"/>
        <item m="1" x="1653"/>
        <item m="1" x="1227"/>
        <item m="1" x="1685"/>
        <item m="1" x="1764"/>
        <item m="1" x="1745"/>
        <item m="1" x="1415"/>
        <item m="1" x="1377"/>
        <item m="1" x="1371"/>
        <item m="1" x="1634"/>
        <item m="1" x="1700"/>
        <item m="1" x="1694"/>
        <item m="1" x="1711"/>
        <item m="1" x="1396"/>
        <item m="1" x="1225"/>
        <item m="1" x="1707"/>
        <item m="1" x="844"/>
        <item m="1" x="1383"/>
        <item m="1" x="1716"/>
        <item m="1" x="1251"/>
        <item m="1" x="1724"/>
        <item m="1" x="1372"/>
        <item m="1" x="1721"/>
        <item m="1" x="1279"/>
        <item m="1" x="1732"/>
        <item m="1" x="1265"/>
        <item m="1" x="1387"/>
        <item m="1" x="1736"/>
        <item m="1" x="1277"/>
        <item m="1" x="1620"/>
        <item m="1" x="1635"/>
        <item m="1" x="1397"/>
        <item m="1" x="1328"/>
        <item m="1" x="1670"/>
        <item m="1" x="1739"/>
        <item m="1" x="1361"/>
        <item m="1" x="1352"/>
        <item m="1" x="1299"/>
        <item m="1" x="1367"/>
        <item m="1" x="1787"/>
        <item m="1" x="1793"/>
        <item m="1" x="1771"/>
        <item m="1" x="1661"/>
        <item m="1" x="1725"/>
        <item m="1" x="1465"/>
        <item m="1" x="1114"/>
        <item m="1" x="1129"/>
        <item m="1" x="1737"/>
        <item m="1" x="1389"/>
        <item m="1" x="1750"/>
        <item m="1" x="1408"/>
        <item m="1" x="1131"/>
        <item m="1" x="1671"/>
        <item m="1" x="1138"/>
        <item m="1" x="1455"/>
        <item m="1" x="1686"/>
        <item m="1" x="1149"/>
        <item m="1" x="1760"/>
        <item m="1" x="1411"/>
        <item m="1" x="1781"/>
        <item m="1" x="1726"/>
        <item m="1" x="1733"/>
        <item m="1" x="1368"/>
        <item m="1" x="1362"/>
        <item m="1" x="1701"/>
        <item m="1" x="1107"/>
        <item m="1" x="1479"/>
        <item m="1" x="1123"/>
        <item m="1" x="1740"/>
        <item m="1" x="1173"/>
        <item m="1" x="1428"/>
        <item m="1" x="1429"/>
        <item m="1" x="1182"/>
        <item m="1" x="1755"/>
        <item m="1" x="1159"/>
        <item m="1" x="1717"/>
        <item m="1" x="1144"/>
        <item m="1" x="1702"/>
        <item m="1" x="1111"/>
        <item m="1" x="1191"/>
        <item m="1" x="1375"/>
        <item m="1" x="1712"/>
        <item m="1" x="1125"/>
        <item m="1" x="1734"/>
        <item m="1" x="1539"/>
        <item m="1" x="1444"/>
        <item m="1" x="1478"/>
        <item m="1" x="1108"/>
        <item m="1" x="1490"/>
        <item m="1" x="1504"/>
        <item m="1" x="1563"/>
        <item m="1" x="1519"/>
        <item m="1" x="1604"/>
        <item m="1" x="1526"/>
        <item m="1" x="1507"/>
        <item m="1" x="1255"/>
        <item m="1" x="1212"/>
        <item m="1" x="1203"/>
        <item m="1" x="1741"/>
        <item m="1" x="1394"/>
        <item m="1" x="1229"/>
        <item m="1" x="1334"/>
        <item m="1" x="1168"/>
        <item m="1" x="1241"/>
        <item m="1" x="1777"/>
        <item m="1" x="1756"/>
        <item m="1" x="1470"/>
        <item m="1" x="1769"/>
        <item m="1" x="1758"/>
        <item m="1" x="1762"/>
        <item m="1" x="1588"/>
        <item m="1" x="1625"/>
        <item m="1" x="1313"/>
        <item m="1" x="1409"/>
        <item m="1" x="1417"/>
        <item m="1" x="1283"/>
        <item m="1" x="1253"/>
        <item m="1" x="1282"/>
        <item m="1" x="1458"/>
        <item m="1" x="1785"/>
        <item m="1" x="1293"/>
        <item m="1" x="1427"/>
        <item m="1" x="1330"/>
        <item m="1" x="1296"/>
        <item m="1" x="1309"/>
        <item m="1" x="1456"/>
        <item m="1" x="1674"/>
        <item m="1" x="1622"/>
        <item m="1" x="1468"/>
        <item m="1" x="931"/>
        <item m="1" x="1481"/>
        <item m="1" x="1687"/>
        <item m="1" x="1494"/>
        <item m="1" x="1657"/>
        <item m="1" x="1187"/>
        <item m="1" x="1676"/>
        <item m="1" x="1520"/>
        <item m="1" x="1508"/>
        <item m="1" x="1146"/>
        <item m="1" x="1369"/>
        <item m="1" x="1353"/>
        <item m="1" x="1784"/>
        <item m="1" x="1195"/>
        <item m="1" x="1703"/>
        <item m="1" x="1214"/>
        <item m="1" x="1675"/>
        <item m="1" x="1554"/>
        <item m="1" x="1209"/>
        <item m="1" x="1718"/>
        <item m="1" x="1126"/>
        <item m="1" x="1565"/>
        <item m="1" x="1382"/>
        <item m="1" x="1243"/>
        <item m="1" x="1418"/>
        <item m="1" x="1434"/>
        <item m="1" x="1748"/>
        <item m="1" x="1345"/>
        <item m="1" x="1742"/>
        <item m="1" x="1156"/>
        <item m="1" x="1757"/>
        <item m="1" x="1109"/>
        <item m="1" x="1167"/>
        <item m="1" x="1704"/>
        <item m="1" x="1134"/>
        <item m="1" x="1491"/>
        <item m="1" x="1505"/>
        <item m="1" x="1467"/>
        <item m="1" x="1175"/>
        <item m="1" x="1469"/>
        <item m="1" x="1527"/>
        <item m="1" x="1540"/>
        <item m="1" x="1496"/>
        <item m="1" x="1192"/>
        <item m="1" x="1790"/>
        <item m="1" x="1124"/>
        <item m="1" x="1219"/>
        <item m="1" x="1509"/>
        <item m="1" x="1552"/>
        <item m="1" x="1426"/>
        <item m="1" x="1530"/>
        <item m="1" x="1521"/>
        <item m="1" x="1215"/>
        <item m="1" x="1136"/>
        <item m="1" x="1121"/>
        <item m="1" x="1354"/>
        <item m="1" x="1578"/>
        <item m="1" x="1297"/>
        <item m="1" x="1157"/>
        <item m="1" x="1602"/>
        <item m="1" x="1575"/>
        <item m="1" x="1589"/>
        <item m="1" x="1127"/>
        <item m="1" x="1623"/>
        <item m="1" x="1242"/>
        <item m="1" x="1332"/>
        <item m="1" x="1339"/>
        <item m="1" x="1324"/>
        <item m="1" x="1379"/>
        <item m="1" x="1555"/>
        <item m="1" x="1566"/>
        <item m="1" x="1511"/>
        <item m="1" x="1206"/>
        <item m="1" x="1300"/>
        <item m="1" x="1348"/>
        <item m="1" x="1442"/>
        <item m="1" x="1660"/>
        <item m="1" x="1482"/>
        <item m="1" x="1143"/>
        <item m="1" x="1705"/>
        <item m="1" x="1498"/>
        <item m="1" x="1217"/>
        <item m="1" x="1233"/>
        <item m="1" x="1483"/>
        <item m="1" x="1370"/>
        <item m="1" x="1401"/>
        <item m="1" x="1363"/>
        <item m="1" x="1115"/>
        <item m="1" x="1151"/>
        <item m="1" x="1390"/>
        <item m="1" x="1728"/>
        <item m="1" x="1480"/>
        <item m="1" x="1727"/>
        <item m="1" x="1130"/>
        <item m="1" x="1269"/>
        <item m="1" x="1139"/>
        <item m="1" x="1413"/>
        <item m="1" x="1473"/>
        <item m="1" x="1743"/>
        <item m="1" x="1273"/>
        <item m="1" x="1735"/>
        <item m="1" x="1395"/>
        <item m="1" x="1419"/>
        <item m="1" x="1403"/>
        <item m="1" x="1407"/>
        <item m="1" x="1436"/>
        <item m="1" x="1160"/>
        <item m="1" x="1404"/>
        <item m="1" x="1336"/>
        <item m="1" x="1641"/>
        <item m="1" x="1169"/>
        <item m="1" x="1112"/>
        <item m="1" x="1230"/>
        <item m="1" x="1176"/>
        <item m="1" x="1493"/>
        <item m="1" x="1695"/>
        <item m="1" x="1678"/>
        <item m="1" x="1248"/>
        <item m="1" x="1778"/>
        <item m="1" x="1357"/>
        <item m="1" x="1567"/>
        <item m="1" x="1445"/>
        <item m="1" x="1147"/>
        <item m="1" x="1471"/>
        <item m="1" x="1714"/>
        <item m="1" x="1617"/>
        <item m="1" x="1630"/>
        <item m="1" x="1393"/>
        <item m="1" x="1535"/>
        <item m="1" x="1188"/>
        <item m="1" x="1373"/>
        <item m="1" x="1174"/>
        <item m="1" x="1731"/>
        <item m="1" x="1204"/>
        <item m="1" x="1194"/>
        <item m="1" x="1257"/>
        <item m="1" x="1543"/>
        <item m="1" x="1232"/>
        <item m="1" x="1564"/>
        <item m="1" x="1384"/>
        <item m="1" x="1259"/>
        <item m="1" x="1398"/>
        <item m="1" x="1388"/>
        <item m="1" x="1568"/>
        <item m="1" x="1682"/>
        <item m="1" x="1532"/>
        <item m="1" x="1141"/>
        <item m="1" x="1314"/>
        <item m="1" x="1171"/>
        <item m="1" x="1506"/>
        <item m="1" x="1335"/>
        <item m="1" x="1475"/>
        <item m="1" x="1580"/>
        <item m="1" x="1170"/>
        <item m="1" x="1759"/>
        <item m="1" x="1349"/>
        <item m="1" x="1356"/>
        <item m="1" x="1410"/>
        <item m="1" x="1591"/>
        <item m="1" x="1647"/>
        <item m="1" x="1780"/>
        <item m="1" x="1544"/>
        <item m="1" x="1177"/>
        <item m="1" x="1435"/>
        <item m="1" x="1271"/>
        <item m="1" x="1528"/>
        <item m="1" x="1443"/>
        <item m="1" x="1402"/>
        <item m="1" x="1643"/>
        <item m="1" x="1627"/>
        <item m="1" x="1775"/>
        <item m="1" x="1754"/>
        <item m="1" x="1768"/>
        <item m="1" x="1613"/>
        <item m="1" x="1199"/>
        <item m="1" x="1766"/>
        <item m="1" x="1145"/>
        <item m="1" x="1405"/>
        <item m="1" x="1529"/>
        <item m="1" x="1198"/>
        <item m="1" x="1422"/>
        <item m="1" x="1746"/>
        <item m="1" x="1572"/>
        <item m="1" x="1548"/>
        <item m="1" x="1213"/>
        <item m="1" x="1484"/>
        <item m="1" x="1607"/>
        <item m="1" x="1414"/>
        <item m="1" x="1553"/>
        <item m="1" x="1430"/>
        <item m="1" x="1236"/>
        <item m="1" x="1447"/>
        <item m="1" x="1154"/>
        <item m="1" x="1437"/>
        <item m="1" x="1179"/>
        <item m="1" x="1084"/>
        <item m="1" x="1285"/>
        <item m="1" x="1538"/>
        <item m="1" x="1485"/>
        <item m="1" x="1153"/>
        <item m="1" x="1472"/>
        <item m="1" x="1499"/>
        <item m="1" x="1183"/>
        <item m="1" x="1210"/>
        <item m="1" x="1238"/>
        <item m="1" x="1459"/>
        <item m="1" x="1514"/>
        <item m="1" x="1495"/>
        <item m="1" x="1577"/>
        <item m="1" x="1197"/>
        <item m="1" x="1497"/>
        <item m="1" x="1221"/>
        <item m="1" x="1184"/>
        <item m="1" x="1557"/>
        <item m="1" x="1531"/>
        <item m="1" x="1542"/>
        <item m="1" x="1438"/>
        <item m="1" x="1569"/>
        <item m="1" x="1752"/>
        <item m="1" x="1583"/>
        <item m="1" x="1541"/>
        <item m="1" x="1451"/>
        <item m="1" x="1431"/>
        <item m="1" x="1148"/>
        <item m="1" x="1140"/>
        <item m="1" x="1341"/>
        <item m="1" x="1237"/>
        <item m="1" x="1590"/>
        <item m="1" x="1608"/>
        <item m="1" x="1593"/>
        <item m="1" x="1301"/>
        <item m="1" x="1697"/>
        <item m="1" x="1612"/>
        <item m="1" x="1615"/>
        <item m="1" x="1663"/>
        <item m="1" x="1374"/>
        <item m="1" x="1366"/>
        <item m="1" x="1629"/>
        <item m="1" x="1646"/>
        <item m="1" x="1378"/>
        <item m="1" x="1708"/>
        <item m="1" x="1624"/>
        <item m="1" x="1086"/>
        <item m="1" x="1133"/>
        <item m="1" x="1185"/>
        <item m="1" x="1679"/>
        <item m="1" x="1644"/>
        <item m="1" x="1416"/>
        <item m="1" x="1421"/>
        <item m="1" x="1406"/>
        <item m="1" x="1275"/>
        <item m="1" x="1116"/>
        <item m="1" x="1385"/>
        <item m="1" x="1311"/>
        <item m="1" x="1244"/>
        <item m="1" x="1749"/>
        <item m="1" x="1291"/>
        <item m="1" x="1638"/>
        <item m="1" x="1400"/>
        <item m="1" x="1696"/>
        <item m="1" x="1358"/>
        <item m="1" x="1202"/>
        <item m="1" x="1773"/>
        <item m="1" x="1460"/>
        <item m="1" x="1677"/>
        <item m="1" x="1763"/>
        <item m="1" x="1761"/>
        <item m="1" x="1658"/>
        <item m="1" x="1474"/>
        <item m="1" x="1449"/>
        <item m="1" x="1337"/>
        <item m="1" x="1487"/>
        <item m="1" x="1346"/>
        <item m="1" x="1786"/>
        <item m="1" x="1412"/>
        <item m="1" x="1522"/>
        <item m="1" x="1536"/>
        <item m="1" x="1161"/>
        <item m="1" x="1545"/>
        <item m="1" x="1226"/>
        <item m="1" x="1783"/>
        <item m="1" x="1110"/>
        <item m="1" x="1550"/>
        <item m="1" x="1791"/>
        <item m="1" x="1500"/>
        <item m="1" x="1135"/>
        <item m="1" x="1571"/>
        <item m="1" x="1264"/>
        <item m="1" x="1585"/>
        <item m="1" x="1278"/>
        <item m="1" x="1574"/>
        <item m="1" x="1782"/>
        <item m="1" x="1178"/>
        <item m="1" x="1457"/>
        <item m="1" x="1263"/>
        <item m="1" x="1155"/>
        <item m="1" x="1595"/>
        <item m="1" x="1307"/>
        <item m="1" x="1610"/>
        <item m="1" x="1792"/>
        <item m="1" x="1319"/>
        <item m="1" x="1113"/>
        <item m="1" x="1631"/>
        <item m="1" x="1166"/>
        <item m="1" x="1512"/>
        <item m="1" x="1648"/>
        <item m="1" x="1510"/>
        <item m="1" x="1228"/>
        <item m="1" x="1320"/>
        <item m="1" x="1239"/>
        <item m="1" x="1205"/>
        <item m="1" x="1193"/>
        <item m="1" x="1515"/>
        <item m="1" x="1618"/>
        <item m="1" x="1216"/>
        <item m="1" x="1665"/>
        <item m="1" x="1066"/>
        <item m="1" x="1698"/>
        <item m="1" x="1681"/>
        <item m="1" x="1364"/>
        <item m="1" x="1266"/>
        <item m="1" x="1719"/>
        <item m="1" x="1246"/>
        <item m="1" x="1606"/>
        <item m="1" x="1722"/>
        <item m="1" x="1709"/>
        <item m="1" x="1128"/>
        <item m="1" x="1452"/>
        <item m="1" x="1547"/>
        <item m="1" x="1137"/>
        <item m="1" x="1432"/>
        <item m="1" x="1738"/>
        <item m="1" x="1280"/>
        <item m="1" x="1392"/>
        <item m="1" x="1439"/>
        <item m="1" x="1461"/>
        <item m="1" x="1222"/>
        <item m="1" x="1523"/>
        <item m="1" x="1621"/>
        <item m="1" x="1235"/>
        <item m="1" x="1488"/>
        <item m="1" x="1122"/>
        <item m="1" x="1662"/>
        <item m="1" x="1381"/>
        <item m="1" x="1642"/>
        <item m="1" x="1476"/>
        <item m="1" x="1132"/>
        <item m="1" x="1322"/>
        <item m="1" x="1753"/>
        <item m="1" x="1321"/>
        <item m="1" x="1672"/>
        <item m="1" x="1774"/>
        <item m="1" x="1788"/>
        <item m="1" x="1765"/>
        <item m="1" x="1501"/>
        <item m="1" x="1524"/>
        <item m="1" x="1068"/>
        <item m="1" x="1516"/>
        <item m="1" x="1078"/>
        <item m="1" x="1448"/>
        <item m="1" x="1537"/>
        <item m="1" x="1080"/>
        <item m="1" x="1446"/>
        <item m="1" x="1087"/>
        <item m="1" x="926"/>
        <item m="1" x="1560"/>
        <item m="1" x="1158"/>
        <item m="1" x="1223"/>
        <item m="1" x="1486"/>
        <item m="1" x="1573"/>
        <item m="1" x="1582"/>
        <item m="1" x="1338"/>
        <item m="1" x="1513"/>
        <item m="1" x="1466"/>
        <item m="1" x="1152"/>
        <item m="1" x="1196"/>
        <item m="1" x="999"/>
        <item m="1" x="1085"/>
        <item m="1" x="1598"/>
        <item m="1" x="1220"/>
        <item m="1" x="1534"/>
        <item m="1" x="1315"/>
        <item m="1" x="1303"/>
        <item m="1" x="1234"/>
        <item m="1" x="1267"/>
        <item m="1" x="1074"/>
        <item m="1" x="1079"/>
        <item m="1" x="1295"/>
        <item m="1" x="1088"/>
        <item m="1" x="1310"/>
        <item m="1" x="1011"/>
        <item m="1" x="1492"/>
        <item m="1" x="1089"/>
        <item m="1" x="1597"/>
        <item m="1" x="1082"/>
        <item m="1" x="1090"/>
        <item m="1" x="1091"/>
        <item m="1" x="1260"/>
        <item m="1" x="1064"/>
        <item m="1" x="1065"/>
        <item m="1" x="1077"/>
        <item m="1" x="1331"/>
        <item m="1" x="1094"/>
        <item m="1" x="1095"/>
        <item m="1" x="1070"/>
        <item m="1" x="1067"/>
        <item m="1" x="1076"/>
        <item m="1" x="1092"/>
        <item m="1" x="1071"/>
        <item m="1" x="1028"/>
        <item m="1" x="1081"/>
        <item m="1" x="1093"/>
        <item m="1" x="1096"/>
        <item m="1" x="989"/>
        <item m="1" x="1075"/>
        <item m="1" x="965"/>
        <item m="1" x="1051"/>
        <item m="1" x="1083"/>
        <item m="1" x="1069"/>
        <item m="1" x="1042"/>
        <item m="1" x="1031"/>
        <item m="1" x="1072"/>
        <item m="1" x="1073"/>
        <item m="1" x="1034"/>
        <item m="1" x="1050"/>
        <item m="1" x="1097"/>
        <item m="1" x="774"/>
        <item m="1" x="1035"/>
        <item m="1" x="1098"/>
        <item m="1" x="1099"/>
        <item m="1" x="966"/>
        <item m="1" x="1026"/>
        <item m="1" x="913"/>
        <item m="1" x="1048"/>
        <item m="1" x="1036"/>
        <item m="1" x="1057"/>
        <item m="1" x="1032"/>
        <item m="1" x="1033"/>
        <item m="1" x="1000"/>
        <item m="1" x="1044"/>
        <item m="1" x="1052"/>
        <item m="1" x="1100"/>
        <item m="1" x="1043"/>
        <item m="1" x="1027"/>
        <item m="1" x="907"/>
        <item m="1" x="1038"/>
        <item m="1" x="1101"/>
        <item m="1" x="1102"/>
        <item m="1" x="893"/>
        <item m="1" x="1030"/>
        <item m="1" x="816"/>
        <item m="1" x="1046"/>
        <item m="1" x="1003"/>
        <item m="1" x="1103"/>
        <item m="1" x="994"/>
        <item m="1" x="1104"/>
        <item m="1" x="1029"/>
        <item m="1" x="1037"/>
        <item m="1" x="1041"/>
        <item m="1" x="1005"/>
        <item m="1" x="1047"/>
        <item m="1" x="1039"/>
        <item m="1" x="1045"/>
        <item m="1" x="1040"/>
        <item m="1" x="1049"/>
        <item m="1" x="1053"/>
        <item m="1" x="1054"/>
        <item m="1" x="1055"/>
        <item m="1" x="1056"/>
        <item m="1" x="956"/>
        <item m="1" x="1058"/>
        <item m="1" x="967"/>
        <item m="1" x="1059"/>
        <item m="1" x="1060"/>
        <item m="1" x="990"/>
        <item m="1" x="1004"/>
        <item m="1" x="992"/>
        <item m="1" x="995"/>
        <item m="1" x="996"/>
        <item m="1" x="1061"/>
        <item m="1" x="1062"/>
        <item m="1" x="997"/>
        <item m="1" x="1001"/>
        <item m="1" x="1063"/>
        <item m="1" x="991"/>
        <item m="1" x="914"/>
        <item m="1" x="1002"/>
        <item m="1" x="1007"/>
        <item m="1" x="1009"/>
        <item m="1" x="998"/>
        <item m="1" x="1008"/>
        <item m="1" x="1006"/>
        <item m="1" x="993"/>
        <item m="1" x="972"/>
        <item m="1" x="908"/>
        <item m="1" x="970"/>
        <item m="1" x="1010"/>
        <item m="1" x="1012"/>
        <item m="1" x="1013"/>
        <item m="1" x="1014"/>
        <item m="1" x="969"/>
        <item m="1" x="1015"/>
        <item m="1" x="959"/>
        <item m="1" x="960"/>
        <item m="1" x="1016"/>
        <item m="1" x="1017"/>
        <item m="1" x="1018"/>
        <item m="1" x="1019"/>
        <item m="1" x="927"/>
        <item m="1" x="1020"/>
        <item m="1" x="953"/>
        <item m="1" x="1021"/>
        <item m="1" x="1022"/>
        <item m="1" x="901"/>
        <item m="1" x="1023"/>
        <item m="1" x="903"/>
        <item m="1" x="961"/>
        <item m="1" x="962"/>
        <item m="1" x="1024"/>
        <item m="1" x="823"/>
        <item m="1" x="973"/>
        <item m="1" x="954"/>
        <item m="1" x="1025"/>
        <item m="1" x="884"/>
        <item m="1" x="817"/>
        <item m="1" x="963"/>
        <item m="1" x="964"/>
        <item m="1" x="827"/>
        <item m="1" x="957"/>
        <item m="1" x="958"/>
        <item m="1" x="905"/>
        <item m="1" x="923"/>
        <item m="1" x="775"/>
        <item m="1" x="930"/>
        <item m="1" x="842"/>
        <item m="1" x="955"/>
        <item m="1" x="912"/>
        <item m="1" x="968"/>
        <item m="1" x="971"/>
        <item m="1" x="974"/>
        <item m="1" x="975"/>
        <item m="1" x="976"/>
        <item m="1" x="918"/>
        <item m="1" x="977"/>
        <item m="1" x="978"/>
        <item m="1" x="921"/>
        <item m="1" x="919"/>
        <item m="1" x="979"/>
        <item m="1" x="980"/>
        <item m="1" x="911"/>
        <item m="1" x="981"/>
        <item m="1" x="933"/>
        <item m="1" x="982"/>
        <item m="1" x="983"/>
        <item m="1" x="984"/>
        <item m="1" x="910"/>
        <item m="1" x="932"/>
        <item m="1" x="904"/>
        <item m="1" x="906"/>
        <item m="1" x="985"/>
        <item m="1" x="915"/>
        <item m="1" x="916"/>
        <item m="1" x="922"/>
        <item m="1" x="986"/>
        <item m="1" x="929"/>
        <item m="1" x="873"/>
        <item m="1" x="987"/>
        <item m="1" x="917"/>
        <item m="1" x="920"/>
        <item m="1" x="924"/>
        <item m="1" x="925"/>
        <item m="1" x="928"/>
        <item m="1" x="902"/>
        <item m="1" x="878"/>
        <item m="1" x="988"/>
        <item m="1" x="909"/>
        <item m="1" x="934"/>
        <item m="1" x="935"/>
        <item m="1" x="936"/>
        <item m="1" x="937"/>
        <item m="1" x="888"/>
        <item m="1" x="938"/>
        <item m="1" x="939"/>
        <item m="1" x="940"/>
        <item m="1" x="941"/>
        <item m="1" x="942"/>
        <item m="1" x="891"/>
        <item m="1" x="943"/>
        <item m="1" x="944"/>
        <item m="1" x="809"/>
        <item m="1" x="886"/>
        <item m="1" x="945"/>
        <item m="1" x="879"/>
        <item m="1" x="701"/>
        <item m="1" x="946"/>
        <item m="1" x="882"/>
        <item m="1" x="947"/>
        <item m="1" x="883"/>
        <item m="1" x="892"/>
        <item m="1" x="948"/>
        <item m="1" x="672"/>
        <item m="1" x="887"/>
        <item m="1" x="889"/>
        <item m="1" x="874"/>
        <item m="1" x="880"/>
        <item m="1" x="949"/>
        <item m="1" x="860"/>
        <item m="1" x="629"/>
        <item m="1" x="881"/>
        <item m="1" x="950"/>
        <item m="1" x="822"/>
        <item m="1" x="951"/>
        <item m="1" x="854"/>
        <item m="1" x="734"/>
        <item m="1" x="877"/>
        <item m="1" x="952"/>
        <item m="1" x="813"/>
        <item m="1" x="885"/>
        <item m="1" x="829"/>
        <item m="1" x="875"/>
        <item m="1" x="876"/>
        <item m="1" x="843"/>
        <item m="1" x="890"/>
        <item m="1" x="859"/>
        <item m="1" x="852"/>
        <item m="1" x="731"/>
        <item m="1" x="853"/>
        <item m="1" x="894"/>
        <item m="1" x="895"/>
        <item m="1" x="850"/>
        <item m="1" x="856"/>
        <item m="1" x="896"/>
        <item m="1" x="861"/>
        <item m="1" x="847"/>
        <item m="1" x="851"/>
        <item m="1" x="897"/>
        <item m="1" x="898"/>
        <item m="1" x="846"/>
        <item m="1" x="899"/>
        <item m="1" x="900"/>
        <item m="1" x="848"/>
        <item m="1" x="858"/>
        <item m="1" x="743"/>
        <item m="1" x="845"/>
        <item m="1" x="777"/>
        <item m="1" x="862"/>
        <item m="1" x="857"/>
        <item m="1" x="849"/>
        <item m="1" x="802"/>
        <item m="1" x="855"/>
        <item m="1" x="807"/>
        <item m="1" x="536"/>
        <item m="1" x="863"/>
        <item m="1" x="864"/>
        <item m="1" x="808"/>
        <item m="1" x="821"/>
        <item m="1" x="865"/>
        <item m="1" x="866"/>
        <item m="1" x="800"/>
        <item m="1" x="801"/>
        <item m="1" x="867"/>
        <item m="1" x="828"/>
        <item m="1" x="804"/>
        <item m="1" x="815"/>
        <item m="1" x="868"/>
        <item m="1" x="771"/>
        <item m="1" x="869"/>
        <item m="1" x="739"/>
        <item m="1" x="811"/>
        <item m="1" x="870"/>
        <item m="1" x="871"/>
        <item m="1" x="872"/>
        <item m="1" x="825"/>
        <item m="1" x="814"/>
        <item m="1" x="824"/>
        <item m="1" x="781"/>
        <item m="1" x="806"/>
        <item m="1" x="810"/>
        <item m="1" x="826"/>
        <item m="1" x="803"/>
        <item m="1" x="812"/>
        <item m="1" x="819"/>
        <item m="1" x="805"/>
        <item m="1" x="818"/>
        <item m="1" x="820"/>
        <item m="1" x="830"/>
        <item m="1" x="831"/>
        <item m="1" x="832"/>
        <item m="1" x="833"/>
        <item m="1" x="834"/>
        <item m="1" x="761"/>
        <item m="1" x="779"/>
        <item m="1" x="835"/>
        <item m="1" x="836"/>
        <item m="1" x="764"/>
        <item m="1" x="837"/>
        <item m="1" x="768"/>
        <item m="1" x="838"/>
        <item m="1" x="594"/>
        <item m="1" x="691"/>
        <item m="1" x="839"/>
        <item m="1" x="840"/>
        <item m="1" x="769"/>
        <item m="1" x="841"/>
        <item m="1" x="773"/>
        <item m="1" x="733"/>
        <item m="1" x="762"/>
        <item m="1" x="766"/>
        <item m="1" x="767"/>
        <item m="1" x="776"/>
        <item m="1" x="763"/>
        <item m="1" x="765"/>
        <item m="1" x="760"/>
        <item m="1" x="759"/>
        <item m="1" x="778"/>
        <item m="1" x="770"/>
        <item m="1" x="772"/>
        <item m="1" x="780"/>
        <item m="1" x="782"/>
        <item m="1" x="783"/>
        <item m="1" x="736"/>
        <item m="1" x="738"/>
        <item m="1" x="698"/>
        <item m="1" x="784"/>
        <item m="1" x="785"/>
        <item m="1" x="730"/>
        <item m="1" x="735"/>
        <item m="1" x="786"/>
        <item m="1" x="740"/>
        <item m="1" x="787"/>
        <item m="1" x="788"/>
        <item m="1" x="789"/>
        <item m="1" x="790"/>
        <item m="1" x="791"/>
        <item m="1" x="792"/>
        <item m="1" x="793"/>
        <item m="1" x="794"/>
        <item h="1" m="1" x="795"/>
        <item m="1" x="796"/>
        <item m="1" x="700"/>
        <item m="1" x="721"/>
        <item m="1" x="797"/>
        <item m="1" x="726"/>
        <item m="1" x="798"/>
        <item m="1" x="702"/>
        <item m="1" x="732"/>
        <item m="1" x="741"/>
        <item m="1" x="737"/>
        <item m="1" x="727"/>
        <item m="1" x="728"/>
        <item m="1" x="799"/>
        <item m="1" x="723"/>
        <item m="1" x="725"/>
        <item m="1" x="722"/>
        <item m="1" x="692"/>
        <item m="1" x="742"/>
        <item m="1" x="724"/>
        <item m="1" x="729"/>
        <item m="1" x="744"/>
        <item m="1" x="710"/>
        <item m="1" x="745"/>
        <item m="1" x="708"/>
        <item m="1" x="746"/>
        <item m="1" x="747"/>
        <item m="1" x="748"/>
        <item m="1" x="695"/>
        <item m="1" x="598"/>
        <item m="1" x="749"/>
        <item m="1" x="750"/>
        <item m="1" x="591"/>
        <item m="1" x="751"/>
        <item m="1" x="468"/>
        <item m="1" x="711"/>
        <item m="1" x="752"/>
        <item m="1" x="680"/>
        <item m="1" x="632"/>
        <item m="1" x="633"/>
        <item m="1" x="704"/>
        <item m="1" x="753"/>
        <item m="1" x="671"/>
        <item m="1" x="754"/>
        <item m="1" x="755"/>
        <item m="1" x="635"/>
        <item m="1" x="699"/>
        <item m="1" x="697"/>
        <item m="1" x="667"/>
        <item m="1" x="756"/>
        <item m="1" x="757"/>
        <item m="1" x="693"/>
        <item m="1" x="758"/>
        <item m="1" x="465"/>
        <item m="1" x="709"/>
        <item m="1" x="705"/>
        <item m="1" x="706"/>
        <item m="1" x="694"/>
        <item m="1" x="696"/>
        <item m="1" x="668"/>
        <item m="1" x="670"/>
        <item m="1" x="703"/>
        <item m="1" x="574"/>
        <item m="1" x="707"/>
        <item m="1" x="660"/>
        <item m="1" x="712"/>
        <item m="1" x="677"/>
        <item m="1" x="713"/>
        <item m="1" x="714"/>
        <item m="1" x="674"/>
        <item m="1" x="715"/>
        <item m="1" x="716"/>
        <item m="1" x="717"/>
        <item m="1" x="675"/>
        <item m="1" x="661"/>
        <item m="1" x="678"/>
        <item m="1" x="679"/>
        <item m="1" x="718"/>
        <item m="1" x="663"/>
        <item m="1" x="666"/>
        <item m="1" x="673"/>
        <item m="1" x="719"/>
        <item m="1" x="676"/>
        <item m="1" x="662"/>
        <item m="1" x="669"/>
        <item m="1" x="643"/>
        <item m="1" x="664"/>
        <item m="1" x="720"/>
        <item m="1" x="641"/>
        <item m="1" x="626"/>
        <item m="1" x="665"/>
        <item m="1" x="639"/>
        <item m="1" x="636"/>
        <item m="1" x="681"/>
        <item m="1" x="682"/>
        <item m="1" x="683"/>
        <item m="1" x="684"/>
        <item m="1" x="685"/>
        <item m="1" x="642"/>
        <item m="1" x="619"/>
        <item m="1" x="634"/>
        <item m="1" x="565"/>
        <item m="1" x="686"/>
        <item m="1" x="560"/>
        <item m="1" x="600"/>
        <item m="1" x="687"/>
        <item m="1" x="595"/>
        <item m="1" x="630"/>
        <item m="1" x="688"/>
        <item m="1" x="689"/>
        <item m="1" x="621"/>
        <item m="1" x="627"/>
        <item m="1" x="628"/>
        <item m="1" x="631"/>
        <item m="1" x="640"/>
        <item m="1" x="623"/>
        <item m="1" x="637"/>
        <item m="1" x="564"/>
        <item m="1" x="622"/>
        <item m="1" x="638"/>
        <item m="1" x="624"/>
        <item m="1" x="625"/>
        <item m="1" x="690"/>
        <item m="1" x="620"/>
        <item m="1" x="556"/>
        <item m="1" x="644"/>
        <item m="1" x="597"/>
        <item m="1" x="571"/>
        <item m="1" x="645"/>
        <item m="1" x="603"/>
        <item m="1" x="567"/>
        <item m="1" x="544"/>
        <item m="1" x="646"/>
        <item m="1" x="588"/>
        <item m="1" x="647"/>
        <item m="1" x="648"/>
        <item m="1" x="593"/>
        <item m="1" x="573"/>
        <item m="1" x="649"/>
        <item m="1" x="650"/>
        <item m="1" x="557"/>
        <item m="1" x="592"/>
        <item m="1" x="651"/>
        <item m="1" x="607"/>
        <item m="1" x="652"/>
        <item m="1" x="653"/>
        <item m="1" x="606"/>
        <item m="1" x="654"/>
        <item m="1" x="655"/>
        <item m="1" x="656"/>
        <item m="1" x="657"/>
        <item m="1" x="539"/>
        <item m="1" x="608"/>
        <item m="1" x="658"/>
        <item m="1" x="605"/>
        <item m="1" x="659"/>
        <item m="1" x="599"/>
        <item m="1" x="559"/>
        <item m="1" x="576"/>
        <item m="1" x="589"/>
        <item m="1" x="601"/>
        <item m="1" x="604"/>
        <item m="1" x="602"/>
        <item m="1" x="516"/>
        <item m="1" x="596"/>
        <item m="1" x="590"/>
        <item m="1" x="618"/>
        <item m="1" x="609"/>
        <item m="1" x="566"/>
        <item m="1" x="610"/>
        <item m="1" x="519"/>
        <item m="1" x="533"/>
        <item m="1" x="562"/>
        <item m="1" x="563"/>
        <item m="1" x="568"/>
        <item m="1" x="611"/>
        <item m="1" x="572"/>
        <item m="1" x="612"/>
        <item m="1" x="613"/>
        <item m="1" x="575"/>
        <item m="1" x="558"/>
        <item m="1" x="531"/>
        <item m="1" x="614"/>
        <item m="1" x="521"/>
        <item m="1" x="547"/>
        <item m="1" x="520"/>
        <item m="1" x="615"/>
        <item m="1" x="616"/>
        <item m="1" x="617"/>
        <item m="1" x="577"/>
        <item m="1" x="535"/>
        <item m="1" x="545"/>
        <item m="1" x="505"/>
        <item m="1" x="569"/>
        <item m="1" x="494"/>
        <item m="1" x="561"/>
        <item m="1" x="570"/>
        <item m="1" x="578"/>
        <item m="1" x="534"/>
        <item m="1" x="498"/>
        <item m="1" x="579"/>
        <item m="1" x="530"/>
        <item m="1" x="580"/>
        <item m="1" x="522"/>
        <item m="1" x="542"/>
        <item m="1" x="581"/>
        <item m="1" x="582"/>
        <item m="1" x="514"/>
        <item m="1" x="515"/>
        <item m="1" x="523"/>
        <item m="1" x="517"/>
        <item m="1" x="524"/>
        <item m="1" x="538"/>
        <item m="1" x="540"/>
        <item m="1" x="583"/>
        <item m="1" x="546"/>
        <item m="1" x="525"/>
        <item m="1" x="526"/>
        <item m="1" x="584"/>
        <item m="1" x="527"/>
        <item m="1" x="529"/>
        <item m="1" x="532"/>
        <item m="1" x="585"/>
        <item m="1" x="586"/>
        <item m="1" x="587"/>
        <item m="1" x="421"/>
        <item m="1" x="528"/>
        <item m="1" x="518"/>
        <item m="1" x="463"/>
        <item m="1" x="537"/>
        <item m="1" x="541"/>
        <item m="1" x="543"/>
        <item m="1" x="452"/>
        <item m="1" x="548"/>
        <item m="1" x="487"/>
        <item m="1" x="492"/>
        <item m="1" x="454"/>
        <item m="1" x="549"/>
        <item m="1" x="458"/>
        <item m="1" x="550"/>
        <item m="1" x="551"/>
        <item m="1" x="552"/>
        <item m="1" x="553"/>
        <item m="1" x="469"/>
        <item m="1" x="485"/>
        <item m="1" x="554"/>
        <item m="1" x="453"/>
        <item m="1" x="555"/>
        <item m="1" x="435"/>
        <item m="1" x="499"/>
        <item m="1" x="500"/>
        <item m="1" x="484"/>
        <item m="1" x="501"/>
        <item m="1" x="504"/>
        <item m="1" x="497"/>
        <item m="1" x="486"/>
        <item m="1" x="489"/>
        <item m="1" x="482"/>
        <item m="1" x="455"/>
        <item m="1" x="491"/>
        <item m="1" x="493"/>
        <item m="1" x="490"/>
        <item m="1" x="495"/>
        <item m="1" x="496"/>
        <item m="1" x="502"/>
        <item m="1" x="483"/>
        <item m="1" x="427"/>
        <item m="1" x="488"/>
        <item m="1" x="470"/>
        <item m="1" x="354"/>
        <item m="1" x="503"/>
        <item m="1" x="506"/>
        <item m="1" x="425"/>
        <item m="1" x="507"/>
        <item m="1" x="508"/>
        <item m="1" x="509"/>
        <item m="1" x="461"/>
        <item m="1" x="464"/>
        <item m="1" x="457"/>
        <item m="1" x="460"/>
        <item m="1" x="420"/>
        <item m="1" x="436"/>
        <item m="1" x="419"/>
        <item m="1" x="429"/>
        <item m="1" x="510"/>
        <item m="1" x="511"/>
        <item m="1" x="512"/>
        <item m="1" x="471"/>
        <item m="1" x="513"/>
        <item m="1" x="473"/>
        <item sd="0" x="13"/>
        <item m="1" x="428"/>
        <item m="1" x="467"/>
        <item m="1" x="466"/>
        <item m="1" x="472"/>
        <item m="1" x="456"/>
        <item m="1" x="459"/>
        <item m="1" x="462"/>
        <item m="1" x="430"/>
        <item m="1" x="439"/>
        <item sd="0" x="0"/>
        <item m="1" x="474"/>
        <item m="1" x="475"/>
        <item m="1" x="409"/>
        <item m="1" x="440"/>
        <item m="1" x="437"/>
        <item m="1" x="438"/>
        <item m="1" x="476"/>
        <item m="1" x="477"/>
        <item m="1" x="432"/>
        <item m="1" x="478"/>
        <item m="1" x="479"/>
        <item m="1" x="418"/>
        <item m="1" x="480"/>
        <item m="1" x="401"/>
        <item m="1" x="405"/>
        <item m="1" x="423"/>
        <item m="1" x="422"/>
        <item m="1" x="481"/>
        <item m="1" x="397"/>
        <item m="1" x="404"/>
        <item m="1" x="433"/>
        <item m="1" x="356"/>
        <item m="1" x="426"/>
        <item m="1" x="390"/>
        <item m="1" x="424"/>
        <item m="1" x="400"/>
        <item m="1" x="434"/>
        <item m="1" x="431"/>
        <item m="1" x="441"/>
        <item m="1" x="442"/>
        <item m="1" x="306"/>
        <item m="1" x="402"/>
        <item m="1" x="443"/>
        <item m="1" x="444"/>
        <item m="1" x="445"/>
        <item m="1" x="406"/>
        <item m="1" x="398"/>
        <item m="1" x="399"/>
        <item m="1" x="446"/>
        <item m="1" x="395"/>
        <item m="1" x="447"/>
        <item m="1" x="403"/>
        <item m="1" x="410"/>
        <item m="1" x="396"/>
        <item m="1" x="448"/>
        <item m="1" x="449"/>
        <item m="1" x="450"/>
        <item m="1" x="389"/>
        <item m="1" x="392"/>
        <item m="1" x="411"/>
        <item m="1" x="414"/>
        <item m="1" x="367"/>
        <item m="1" x="408"/>
        <item m="1" x="451"/>
        <item m="1" x="412"/>
        <item m="1" x="407"/>
        <item m="1" x="393"/>
        <item m="1" x="369"/>
        <item m="1" x="349"/>
        <item m="1" x="353"/>
        <item m="1" x="391"/>
        <item m="1" x="358"/>
        <item m="1" x="368"/>
        <item m="1" x="372"/>
        <item m="1" x="394"/>
        <item m="1" x="413"/>
        <item m="1" x="351"/>
        <item m="1" x="357"/>
        <item m="1" x="359"/>
        <item m="1" x="362"/>
        <item m="1" x="364"/>
        <item m="1" x="415"/>
        <item m="1" x="363"/>
        <item m="1" x="365"/>
        <item m="1" x="366"/>
        <item m="1" x="360"/>
        <item m="1" x="361"/>
        <item m="1" x="371"/>
        <item m="1" x="373"/>
        <item m="1" x="321"/>
        <item m="1" x="416"/>
        <item m="1" x="352"/>
        <item m="1" x="326"/>
        <item m="1" x="417"/>
        <item m="1" x="370"/>
        <item m="1" x="337"/>
        <item m="1" x="338"/>
        <item m="1" x="355"/>
        <item m="1" x="382"/>
        <item m="1" x="374"/>
        <item m="1" x="350"/>
        <item m="1" x="253"/>
        <item m="1" x="375"/>
        <item m="1" x="376"/>
        <item m="1" x="377"/>
        <item m="1" x="378"/>
        <item m="1" x="323"/>
        <item m="1" x="304"/>
        <item m="1" x="324"/>
        <item m="1" x="328"/>
        <item m="1" x="379"/>
        <item m="1" x="380"/>
        <item m="1" x="381"/>
        <item m="1" x="383"/>
        <item m="1" x="384"/>
        <item m="1" x="327"/>
        <item m="1" x="385"/>
        <item m="1" x="386"/>
        <item m="1" x="322"/>
        <item m="1" x="332"/>
        <item m="1" x="329"/>
        <item m="1" x="387"/>
        <item m="1" x="388"/>
        <item m="1" x="336"/>
        <item m="1" x="330"/>
        <item m="1" x="331"/>
        <item m="1" x="312"/>
        <item m="1" x="299"/>
        <item m="1" x="325"/>
        <item m="1" x="307"/>
        <item m="1" x="333"/>
        <item m="1" x="334"/>
        <item m="1" x="303"/>
        <item m="1" x="335"/>
        <item m="1" x="301"/>
        <item m="1" x="302"/>
        <item m="1" x="339"/>
        <item m="1" x="295"/>
        <item m="1" x="174"/>
        <item m="1" x="340"/>
        <item m="1" x="171"/>
        <item m="1" x="341"/>
        <item m="1" x="342"/>
        <item m="1" x="310"/>
        <item m="1" x="298"/>
        <item m="1" x="308"/>
        <item m="1" x="177"/>
        <item m="1" x="300"/>
        <item m="1" x="270"/>
        <item m="1" x="343"/>
        <item m="1" x="344"/>
        <item m="1" x="345"/>
        <item m="1" x="297"/>
        <item m="1" x="346"/>
        <item m="1" x="279"/>
        <item m="1" x="305"/>
        <item m="1" x="311"/>
        <item m="1" x="296"/>
        <item m="1" x="347"/>
        <item m="1" x="276"/>
        <item m="1" x="348"/>
        <item m="1" x="225"/>
        <item m="1" x="309"/>
        <item m="1" x="269"/>
        <item m="1" x="249"/>
        <item m="1" x="268"/>
        <item m="1" x="313"/>
        <item m="1" x="314"/>
        <item m="1" x="267"/>
        <item m="1" x="315"/>
        <item m="1" x="316"/>
        <item m="1" x="266"/>
        <item m="1" x="317"/>
        <item m="1" x="281"/>
        <item m="1" x="318"/>
        <item m="1" x="277"/>
        <item m="1" x="278"/>
        <item m="1" x="280"/>
        <item m="1" x="194"/>
        <item m="1" x="283"/>
        <item m="1" x="319"/>
        <item m="1" x="271"/>
        <item m="1" x="246"/>
        <item m="1" x="187"/>
        <item m="1" x="265"/>
        <item m="1" x="272"/>
        <item m="1" x="320"/>
        <item m="1" x="285"/>
        <item m="1" x="273"/>
        <item m="1" x="275"/>
        <item m="1" x="282"/>
        <item m="1" x="264"/>
        <item m="1" x="274"/>
        <item m="1" x="284"/>
        <item m="1" x="236"/>
        <item m="1" x="254"/>
        <item m="1" x="245"/>
        <item m="1" x="251"/>
        <item m="1" x="235"/>
        <item m="1" x="286"/>
        <item m="1" x="250"/>
        <item m="1" x="220"/>
        <item m="1" x="287"/>
        <item m="1" x="288"/>
        <item m="1" x="289"/>
        <item m="1" x="290"/>
        <item m="1" x="205"/>
        <item m="1" x="252"/>
        <item m="1" x="219"/>
        <item m="1" x="247"/>
        <item m="1" x="291"/>
        <item m="1" x="292"/>
        <item m="1" x="237"/>
        <item m="1" x="293"/>
        <item m="1" x="244"/>
        <item m="1" x="294"/>
        <item m="1" x="239"/>
        <item m="1" x="255"/>
        <item m="1" x="240"/>
        <item m="1" x="242"/>
        <item m="1" x="248"/>
        <item m="1" x="256"/>
        <item m="1" x="241"/>
        <item m="1" x="243"/>
        <item m="1" x="238"/>
        <item m="1" x="257"/>
        <item m="1" x="190"/>
        <item m="1" x="173"/>
        <item m="1" x="258"/>
        <item m="1" x="215"/>
        <item m="1" x="259"/>
        <item m="1" x="140"/>
        <item m="1" x="176"/>
        <item m="1" x="203"/>
        <item m="1" x="222"/>
        <item m="1" x="217"/>
        <item m="1" x="260"/>
        <item m="1" x="261"/>
        <item m="1" x="99"/>
        <item m="1" x="172"/>
        <item m="1" x="213"/>
        <item m="1" x="197"/>
        <item m="1" x="224"/>
        <item m="1" x="218"/>
        <item m="1" x="262"/>
        <item m="1" x="223"/>
        <item m="1" x="216"/>
        <item m="1" x="221"/>
        <item m="1" x="263"/>
        <item m="1" x="202"/>
        <item m="1" x="214"/>
        <item m="1" x="204"/>
        <item m="1" x="226"/>
        <item m="1" x="199"/>
        <item m="1" x="227"/>
        <item m="1" x="191"/>
        <item m="1" x="192"/>
        <item m="1" x="228"/>
        <item m="1" x="196"/>
        <item m="1" x="229"/>
        <item m="1" x="131"/>
        <item m="1" x="145"/>
        <item m="1" x="230"/>
        <item m="1" x="231"/>
        <item m="1" x="198"/>
        <item m="1" x="232"/>
        <item m="1" x="233"/>
        <item m="1" x="154"/>
        <item m="1" x="188"/>
        <item m="1" x="234"/>
        <item m="1" x="200"/>
        <item m="1" x="207"/>
        <item m="1" x="208"/>
        <item m="1" x="206"/>
        <item m="1" x="189"/>
        <item m="1" x="193"/>
        <item m="1" x="169"/>
        <item m="1" x="101"/>
        <item m="1" x="178"/>
        <item m="1" x="195"/>
        <item m="1" x="158"/>
        <item m="1" x="201"/>
        <item m="1" x="209"/>
        <item m="1" x="210"/>
        <item m="1" x="165"/>
        <item m="1" x="167"/>
        <item m="1" x="142"/>
        <item m="1" x="211"/>
        <item m="1" x="212"/>
        <item m="1" x="170"/>
        <item m="1" x="137"/>
        <item m="1" x="144"/>
        <item m="1" x="175"/>
        <item m="1" x="164"/>
        <item m="1" x="146"/>
        <item m="1" x="168"/>
        <item m="1" x="166"/>
        <item m="1" x="155"/>
        <item m="1" x="143"/>
        <item m="1" x="179"/>
        <item m="1" x="133"/>
        <item m="1" x="180"/>
        <item m="1" x="181"/>
        <item m="1" x="68"/>
        <item m="1" x="182"/>
        <item m="1" x="70"/>
        <item m="1" x="138"/>
        <item m="1" x="148"/>
        <item m="1" x="141"/>
        <item m="1" x="147"/>
        <item m="1" x="150"/>
        <item m="1" x="183"/>
        <item m="1" x="124"/>
        <item m="1" x="126"/>
        <item m="1" x="152"/>
        <item m="1" x="184"/>
        <item m="1" x="185"/>
        <item m="1" x="157"/>
        <item m="1" x="153"/>
        <item m="1" x="186"/>
        <item m="1" x="139"/>
        <item m="1" x="149"/>
        <item m="1" x="156"/>
        <item m="1" x="151"/>
        <item m="1" x="104"/>
        <item m="1" x="159"/>
        <item m="1" x="160"/>
        <item m="1" x="161"/>
        <item m="1" x="162"/>
        <item m="1" x="129"/>
        <item m="1" x="94"/>
        <item m="1" x="128"/>
        <item m="1" x="106"/>
        <item m="1" x="125"/>
        <item m="1" x="127"/>
        <item m="1" x="163"/>
        <item m="1" x="132"/>
        <item m="1" x="105"/>
        <item m="1" x="96"/>
        <item m="1" x="130"/>
        <item m="1" x="61"/>
        <item m="1" x="60"/>
        <item m="1" x="97"/>
        <item m="1" x="95"/>
        <item m="1" x="102"/>
        <item m="1" x="67"/>
        <item m="1" x="109"/>
        <item m="1" x="107"/>
        <item m="1" x="64"/>
        <item m="1" x="134"/>
        <item m="1" x="103"/>
        <item m="1" x="69"/>
        <item m="1" x="110"/>
        <item m="1" x="98"/>
        <item m="1" x="135"/>
        <item m="1" x="136"/>
        <item m="1" x="93"/>
        <item m="1" x="33"/>
        <item m="1" x="108"/>
        <item m="1" x="100"/>
        <item m="1" x="37"/>
        <item m="1" x="59"/>
        <item m="1" x="55"/>
        <item m="1" x="35"/>
        <item m="1" x="111"/>
        <item m="1" x="112"/>
        <item m="1" x="113"/>
        <item m="1" x="114"/>
        <item m="1" x="73"/>
        <item m="1" x="66"/>
        <item m="1" x="57"/>
        <item m="1" x="115"/>
        <item m="1" x="116"/>
        <item m="1" x="117"/>
        <item m="1" x="118"/>
        <item m="1" x="56"/>
        <item m="1" x="119"/>
        <item m="1" x="120"/>
        <item m="1" x="75"/>
        <item m="1" x="121"/>
        <item m="1" x="122"/>
        <item m="1" x="123"/>
        <item m="1" x="71"/>
        <item m="1" x="72"/>
        <item m="1" x="58"/>
        <item m="1" x="65"/>
        <item m="1" x="74"/>
        <item m="1" x="32"/>
        <item m="1" x="62"/>
        <item m="1" x="76"/>
        <item m="1" x="63"/>
        <item x="14"/>
        <item m="1" x="77"/>
        <item m="1" x="78"/>
        <item m="1" x="79"/>
        <item m="1" x="41"/>
        <item m="1" x="80"/>
        <item m="1" x="81"/>
        <item m="1" x="82"/>
        <item m="1" x="83"/>
        <item m="1" x="84"/>
        <item m="1" x="44"/>
        <item m="1" x="48"/>
        <item m="1" x="85"/>
        <item m="1" x="45"/>
        <item m="1" x="86"/>
        <item m="1" x="31"/>
        <item m="1" x="87"/>
        <item m="1" x="38"/>
        <item m="1" x="43"/>
        <item m="1" x="88"/>
        <item m="1" x="89"/>
        <item m="1" x="90"/>
        <item m="1" x="91"/>
        <item x="9"/>
        <item m="1" x="92"/>
        <item m="1" x="47"/>
        <item m="1" x="39"/>
        <item m="1" x="46"/>
        <item m="1" x="36"/>
        <item x="3"/>
        <item m="1" x="40"/>
        <item x="7"/>
        <item m="1" x="34"/>
        <item m="1" x="42"/>
        <item x="6"/>
        <item m="1" x="49"/>
        <item x="4"/>
        <item m="1" x="50"/>
        <item m="1" x="51"/>
        <item m="1" x="52"/>
        <item x="5"/>
        <item x="10"/>
        <item m="1" x="53"/>
        <item x="12"/>
        <item m="1" x="54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0"/>
        <item m="1" x="71"/>
        <item x="16"/>
        <item m="1" x="23"/>
        <item x="2"/>
        <item m="1" x="20"/>
        <item m="1" x="53"/>
        <item x="4"/>
        <item m="1" x="169"/>
        <item m="1" x="172"/>
        <item m="1" x="31"/>
        <item m="1" x="95"/>
        <item m="1" x="205"/>
        <item m="1" x="197"/>
        <item m="1" x="58"/>
        <item m="1" x="176"/>
        <item x="3"/>
        <item m="1" x="159"/>
        <item m="1" x="84"/>
        <item m="1" x="161"/>
        <item m="1" x="180"/>
        <item m="1" x="168"/>
        <item m="1" x="39"/>
        <item m="1" x="143"/>
        <item m="1" x="141"/>
        <item m="1" x="17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4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8"/>
        <item m="1" x="183"/>
        <item m="1" x="136"/>
        <item m="1" x="213"/>
        <item m="1" x="181"/>
        <item m="1" x="145"/>
        <item m="1" x="27"/>
        <item m="1" x="123"/>
        <item m="1" x="139"/>
        <item x="7"/>
        <item m="1" x="196"/>
        <item m="1" x="207"/>
        <item x="11"/>
        <item m="1" x="68"/>
        <item m="1" x="25"/>
        <item m="1" x="52"/>
        <item m="1" x="74"/>
        <item m="1" x="51"/>
        <item m="1" x="216"/>
        <item m="1" x="212"/>
        <item m="1" x="203"/>
        <item m="1" x="189"/>
        <item m="1" x="63"/>
        <item m="1" x="163"/>
        <item m="1" x="137"/>
        <item m="1" x="56"/>
        <item m="1" x="209"/>
        <item m="1" x="211"/>
        <item m="1" x="29"/>
        <item m="1" x="167"/>
        <item m="1" x="64"/>
        <item m="1" x="66"/>
        <item m="1" x="128"/>
        <item m="1" x="164"/>
        <item m="1" x="153"/>
        <item m="1" x="65"/>
        <item m="1" x="122"/>
        <item m="1" x="178"/>
        <item m="1" x="182"/>
        <item m="1" x="188"/>
        <item m="1" x="138"/>
        <item m="1" x="192"/>
        <item m="1" x="198"/>
        <item m="1" x="50"/>
        <item m="1" x="190"/>
        <item m="1" x="187"/>
        <item m="1" x="117"/>
        <item m="1" x="151"/>
        <item m="1" x="201"/>
        <item m="1" x="92"/>
        <item x="15"/>
        <item m="1" x="142"/>
        <item m="1" x="21"/>
        <item m="1" x="217"/>
        <item x="14"/>
        <item m="1" x="86"/>
        <item m="1" x="73"/>
        <item m="1" x="149"/>
        <item m="1" x="174"/>
        <item m="1" x="72"/>
        <item m="1" x="47"/>
        <item m="1" x="61"/>
        <item m="1" x="110"/>
        <item m="1" x="59"/>
        <item m="1" x="185"/>
        <item m="1" x="75"/>
        <item m="1" x="62"/>
        <item m="1" x="162"/>
        <item m="1" x="160"/>
        <item m="1" x="124"/>
        <item m="1" x="85"/>
        <item m="1" x="18"/>
        <item m="1" x="184"/>
        <item m="1" x="200"/>
        <item m="1" x="127"/>
        <item m="1" x="177"/>
        <item m="1" x="204"/>
        <item m="1" x="206"/>
        <item m="1" x="30"/>
        <item m="1" x="41"/>
        <item x="9"/>
        <item m="1" x="195"/>
        <item m="1" x="104"/>
        <item m="1" x="35"/>
        <item m="1" x="102"/>
        <item m="1" x="130"/>
        <item m="1" x="129"/>
        <item m="1" x="218"/>
        <item m="1" x="132"/>
        <item m="1" x="22"/>
        <item m="1" x="202"/>
        <item m="1" x="111"/>
        <item m="1" x="175"/>
        <item m="1" x="156"/>
        <item m="1" x="118"/>
        <item m="1" x="34"/>
        <item m="1" x="60"/>
        <item m="1" x="152"/>
        <item m="1" x="173"/>
        <item m="1" x="48"/>
        <item m="1" x="44"/>
        <item m="1" x="170"/>
        <item m="1" x="81"/>
        <item m="1" x="77"/>
        <item m="1" x="140"/>
        <item m="1" x="165"/>
        <item m="1" x="90"/>
        <item m="1" x="166"/>
        <item m="1" x="157"/>
        <item m="1" x="150"/>
        <item m="1" x="108"/>
        <item m="1" x="43"/>
        <item m="1" x="69"/>
        <item m="1" x="146"/>
        <item m="1" x="80"/>
        <item m="1" x="103"/>
        <item m="1" x="106"/>
        <item m="1" x="131"/>
        <item m="1" x="19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3"/>
        <item m="1" x="55"/>
        <item m="1" x="36"/>
        <item m="1" x="67"/>
        <item m="1" x="99"/>
        <item m="1" x="98"/>
        <item m="1" x="97"/>
        <item m="1" x="101"/>
        <item m="1" x="83"/>
        <item m="1" x="37"/>
        <item m="1" x="26"/>
        <item m="1" x="88"/>
        <item m="1" x="93"/>
        <item m="1" x="94"/>
        <item m="1" x="87"/>
        <item m="1" x="89"/>
        <item x="13"/>
        <item m="1" x="79"/>
        <item m="1" x="76"/>
        <item m="1" x="46"/>
        <item m="1" x="57"/>
        <item x="8"/>
        <item m="1" x="54"/>
        <item m="1" x="32"/>
        <item m="1" x="42"/>
        <item m="1" x="45"/>
        <item m="1" x="49"/>
        <item m="1" x="28"/>
        <item m="1" x="40"/>
        <item x="6"/>
        <item x="12"/>
      </items>
    </pivotField>
    <pivotField axis="axisCol" compact="0" outline="0" subtotalTop="0" showAll="0" includeNewItemsInFilter="1" defaultSubtotal="0">
      <items count="24">
        <item x="22"/>
        <item x="0"/>
        <item m="1" x="23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9">
        <item x="27"/>
        <item x="0"/>
        <item m="1" x="28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7">
    <field x="31"/>
    <field x="1"/>
    <field x="2"/>
    <field x="4"/>
    <field x="5"/>
    <field x="6"/>
    <field x="7"/>
  </colFields>
  <colItems count="55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2">
      <x v="1792"/>
      <x v="107"/>
      <x v="22"/>
      <x v="1"/>
      <x v="27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2">
      <x v="1790"/>
      <x v="111"/>
      <x v="20"/>
      <x v="2"/>
      <x v="25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2">
      <x v="1793"/>
      <x v="5"/>
      <x v="23"/>
      <x v="5"/>
      <x v="2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2">
      <x v="1791"/>
      <x v="5"/>
      <x v="21"/>
      <x v="13"/>
      <x v="26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96">
      <pivotArea type="all" dataOnly="0" outline="0" fieldPosition="0"/>
    </format>
    <format dxfId="695">
      <pivotArea type="all" dataOnly="0" outline="0" fieldPosition="0"/>
    </format>
    <format dxfId="694">
      <pivotArea dataOnly="0" outline="0" fieldPosition="0">
        <references count="1">
          <reference field="31" count="0" defaultSubtotal="1"/>
        </references>
      </pivotArea>
    </format>
    <format dxfId="693">
      <pivotArea type="all" dataOnly="0" outline="0" fieldPosition="0"/>
    </format>
    <format dxfId="692">
      <pivotArea type="all" dataOnly="0" outline="0" fieldPosition="0"/>
    </format>
    <format dxfId="6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166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90">
      <pivotArea type="all" dataOnly="0" outline="0" fieldPosition="0"/>
    </format>
    <format dxfId="689">
      <pivotArea type="all" dataOnly="0" outline="0" fieldPosition="0"/>
    </format>
    <format dxfId="688">
      <pivotArea type="all" dataOnly="0" outline="0" fieldPosition="0"/>
    </format>
    <format dxfId="687">
      <pivotArea type="all" dataOnly="0" outline="0" fieldPosition="0"/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type="origin" dataOnly="0" labelOnly="1" outline="0" fieldPosition="0"/>
    </format>
    <format dxfId="683">
      <pivotArea field="1" type="button" dataOnly="0" labelOnly="1" outline="0" axis="axisRow" fieldPosition="0"/>
    </format>
    <format dxfId="682">
      <pivotArea dataOnly="0" labelOnly="1" outline="0" fieldPosition="0">
        <references count="1">
          <reference field="1" count="0"/>
        </references>
      </pivotArea>
    </format>
    <format dxfId="681">
      <pivotArea dataOnly="0" labelOnly="1" grandRow="1" outline="0" fieldPosition="0"/>
    </format>
    <format dxfId="680">
      <pivotArea type="topRight" dataOnly="0" labelOnly="1" outline="0" fieldPosition="0"/>
    </format>
    <format dxfId="679">
      <pivotArea type="all" dataOnly="0" outline="0" fieldPosition="0"/>
    </format>
    <format dxfId="678">
      <pivotArea outline="0" collapsedLevelsAreSubtotals="1" fieldPosition="0"/>
    </format>
    <format dxfId="677">
      <pivotArea type="origin" dataOnly="0" labelOnly="1" outline="0" fieldPosition="0"/>
    </format>
    <format dxfId="676">
      <pivotArea field="1" type="button" dataOnly="0" labelOnly="1" outline="0" axis="axisRow" fieldPosition="0"/>
    </format>
    <format dxfId="675">
      <pivotArea dataOnly="0" labelOnly="1" outline="0" fieldPosition="0">
        <references count="1">
          <reference field="1" count="0"/>
        </references>
      </pivotArea>
    </format>
    <format dxfId="674">
      <pivotArea dataOnly="0" labelOnly="1" grandRow="1" outline="0" fieldPosition="0"/>
    </format>
    <format dxfId="673">
      <pivotArea type="topRight" dataOnly="0" labelOnly="1" outline="0" fieldPosition="0"/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type="origin" dataOnly="0" labelOnly="1" outline="0" fieldPosition="0"/>
    </format>
    <format dxfId="669">
      <pivotArea field="1" type="button" dataOnly="0" labelOnly="1" outline="0" axis="axisRow" fieldPosition="0"/>
    </format>
    <format dxfId="668">
      <pivotArea dataOnly="0" labelOnly="1" outline="0" fieldPosition="0">
        <references count="1">
          <reference field="1" count="0"/>
        </references>
      </pivotArea>
    </format>
    <format dxfId="667">
      <pivotArea dataOnly="0" labelOnly="1" grandRow="1" outline="0" fieldPosition="0"/>
    </format>
    <format dxfId="666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166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3" firstHeaderRow="1" firstDataRow="3" firstDataCol="1"/>
  <pivotFields count="45">
    <pivotField axis="axisRow" compact="0" numFmtId="196" outline="0" subtotalTop="0" showAll="0" includeNewItemsInFilter="1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665">
      <pivotArea type="all" dataOnly="0" outline="0" fieldPosition="0"/>
    </format>
    <format dxfId="664">
      <pivotArea dataOnly="0" outline="0" fieldPosition="0">
        <references count="1">
          <reference field="31" count="0" defaultSubtotal="1"/>
        </references>
      </pivotArea>
    </format>
    <format dxfId="663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166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4" firstHeaderRow="1" firstDataRow="3" firstDataCol="1"/>
  <pivotFields count="45">
    <pivotField axis="axisRow" compact="0" outline="0" subtotalTop="0" showAll="0" includeNewItemsInFilter="1" defaultSubtotal="0">
      <items count="18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662">
      <pivotArea type="all" dataOnly="0" outline="0" fieldPosition="0"/>
    </format>
    <format dxfId="661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703" dataDxfId="701" headerRowBorderDxfId="702" tableBorderDxfId="700" totalsRowBorderDxfId="699">
  <autoFilter ref="AF57:AG63" xr:uid="{DB76BF14-1222-4E97-B8EC-45E38231C349}"/>
  <tableColumns count="2">
    <tableColumn id="1" xr3:uid="{88CB56C2-8982-4B65-B5CA-D6D34A4F29EC}" name="月底結帳" dataDxfId="698"/>
    <tableColumn id="2" xr3:uid="{D25E1405-4098-40D0-8132-6F845E1EA419}" name="欄1" dataDxfId="697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886641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32"/>
      <c r="C38" s="1532"/>
      <c r="D38" s="1533"/>
      <c r="E38" s="1532"/>
      <c r="F38" s="1532"/>
      <c r="G38" s="1533"/>
      <c r="H38" s="1532"/>
      <c r="I38" s="1532"/>
      <c r="J38" s="1533"/>
      <c r="K38" s="1532"/>
      <c r="L38" s="1532"/>
      <c r="M38" s="1533"/>
      <c r="N38" s="1532"/>
      <c r="O38" s="1532"/>
      <c r="P38" s="1533"/>
      <c r="Q38" s="1532"/>
      <c r="R38" s="1532"/>
      <c r="S38" s="1533"/>
      <c r="T38" s="1532"/>
      <c r="U38" s="1532"/>
      <c r="V38" s="1533"/>
      <c r="W38" s="1532"/>
      <c r="X38" s="1532"/>
      <c r="Y38" s="1533"/>
      <c r="Z38" s="1532"/>
      <c r="AA38" s="1532"/>
      <c r="AB38" s="1533"/>
      <c r="AC38" s="1532"/>
      <c r="AD38" s="1532"/>
      <c r="AE38" s="1533"/>
      <c r="AF38" s="1532"/>
      <c r="AG38" s="1532"/>
      <c r="AH38" s="1533"/>
      <c r="AI38" s="1532"/>
      <c r="AJ38" s="1532"/>
      <c r="AK38" s="1533"/>
      <c r="AL38" s="1532"/>
      <c r="AM38" s="1532"/>
      <c r="AN38" s="1533"/>
      <c r="AO38" s="1532"/>
      <c r="AP38" s="1532"/>
      <c r="AQ38" s="1533"/>
      <c r="AR38" s="1532"/>
      <c r="AS38" s="1532"/>
      <c r="AT38" s="1533"/>
      <c r="AU38" s="1532"/>
      <c r="AV38" s="1532"/>
      <c r="AW38" s="1533"/>
      <c r="AX38" s="1532"/>
      <c r="AY38" s="1532"/>
      <c r="AZ38" s="1533"/>
      <c r="BA38" s="1532"/>
      <c r="BB38" s="1532"/>
      <c r="BC38" s="1533"/>
      <c r="BD38" s="1531"/>
      <c r="BE38" s="1532"/>
      <c r="BF38" s="1533"/>
      <c r="BG38" s="1532"/>
      <c r="BH38" s="1532"/>
      <c r="BI38" s="1533"/>
      <c r="BJ38" s="1546"/>
      <c r="BK38" s="1547"/>
      <c r="BL38" s="1548"/>
      <c r="BM38" s="1546"/>
      <c r="BN38" s="1547"/>
      <c r="BO38" s="1548"/>
      <c r="BP38" s="1546"/>
      <c r="BQ38" s="1547"/>
      <c r="BR38" s="1548"/>
      <c r="BS38" s="1546"/>
      <c r="BT38" s="1547"/>
      <c r="BU38" s="1548"/>
      <c r="BV38" s="1546"/>
      <c r="BW38" s="1547"/>
      <c r="BX38" s="1548"/>
      <c r="BY38" s="1531"/>
      <c r="BZ38" s="1532"/>
      <c r="CA38" s="1533"/>
      <c r="CB38" s="1546"/>
      <c r="CC38" s="1547"/>
      <c r="CD38" s="1548"/>
      <c r="CE38" s="1546"/>
      <c r="CF38" s="1547"/>
      <c r="CG38" s="1548"/>
      <c r="CH38" s="1531"/>
      <c r="CI38" s="1532"/>
      <c r="CJ38" s="1533"/>
      <c r="CK38" s="1531"/>
      <c r="CL38" s="1532"/>
      <c r="CM38" s="1533"/>
      <c r="CN38" s="1531"/>
      <c r="CO38" s="1532"/>
      <c r="CP38" s="1533"/>
      <c r="CQ38" s="1531"/>
      <c r="CR38" s="1532"/>
      <c r="CS38" s="1533"/>
      <c r="CT38" s="1531"/>
      <c r="CU38" s="1532"/>
      <c r="CV38" s="1533"/>
      <c r="CW38" s="24"/>
      <c r="CX38" s="39"/>
    </row>
    <row r="39" spans="1:109" s="40" customFormat="1" ht="26.25" customHeight="1" thickBot="1">
      <c r="A39" s="58"/>
      <c r="B39" s="1555"/>
      <c r="C39" s="1555"/>
      <c r="D39" s="1556"/>
      <c r="E39" s="1555"/>
      <c r="F39" s="1555"/>
      <c r="G39" s="1556"/>
      <c r="H39" s="1555"/>
      <c r="I39" s="1555"/>
      <c r="J39" s="1556"/>
      <c r="K39" s="1555"/>
      <c r="L39" s="1555"/>
      <c r="M39" s="1556"/>
      <c r="N39" s="1555"/>
      <c r="O39" s="1555"/>
      <c r="P39" s="1556"/>
      <c r="Q39" s="1555"/>
      <c r="R39" s="1555"/>
      <c r="S39" s="1556"/>
      <c r="T39" s="1555"/>
      <c r="U39" s="1555"/>
      <c r="V39" s="1556"/>
      <c r="W39" s="1555"/>
      <c r="X39" s="1555"/>
      <c r="Y39" s="1556"/>
      <c r="Z39" s="1555"/>
      <c r="AA39" s="1555"/>
      <c r="AB39" s="1556"/>
      <c r="AC39" s="1555"/>
      <c r="AD39" s="1555"/>
      <c r="AE39" s="1556"/>
      <c r="AF39" s="1555"/>
      <c r="AG39" s="1555"/>
      <c r="AH39" s="1556"/>
      <c r="AI39" s="1555"/>
      <c r="AJ39" s="1555"/>
      <c r="AK39" s="1556"/>
      <c r="AL39" s="1555"/>
      <c r="AM39" s="1555"/>
      <c r="AN39" s="1556"/>
      <c r="AO39" s="1555"/>
      <c r="AP39" s="1555"/>
      <c r="AQ39" s="1556"/>
      <c r="AR39" s="1555"/>
      <c r="AS39" s="1555"/>
      <c r="AT39" s="1556"/>
      <c r="AU39" s="1555"/>
      <c r="AV39" s="1555"/>
      <c r="AW39" s="1556"/>
      <c r="AX39" s="1555"/>
      <c r="AY39" s="1555"/>
      <c r="AZ39" s="1556"/>
      <c r="BA39" s="1555"/>
      <c r="BB39" s="1555"/>
      <c r="BC39" s="1556"/>
      <c r="BD39" s="1549"/>
      <c r="BE39" s="1550"/>
      <c r="BF39" s="1551"/>
      <c r="BG39" s="1555"/>
      <c r="BH39" s="1555"/>
      <c r="BI39" s="1556"/>
      <c r="BJ39" s="1552"/>
      <c r="BK39" s="1553"/>
      <c r="BL39" s="1554"/>
      <c r="BM39" s="1552"/>
      <c r="BN39" s="1553"/>
      <c r="BO39" s="1554"/>
      <c r="BP39" s="1552"/>
      <c r="BQ39" s="1553"/>
      <c r="BR39" s="1554"/>
      <c r="BS39" s="1552"/>
      <c r="BT39" s="1553"/>
      <c r="BU39" s="1554"/>
      <c r="BV39" s="1552"/>
      <c r="BW39" s="1553"/>
      <c r="BX39" s="1554"/>
      <c r="BY39" s="1537"/>
      <c r="BZ39" s="1538"/>
      <c r="CA39" s="1539"/>
      <c r="CB39" s="1552"/>
      <c r="CC39" s="1553"/>
      <c r="CD39" s="1554"/>
      <c r="CE39" s="1552"/>
      <c r="CF39" s="1553"/>
      <c r="CG39" s="1554"/>
      <c r="CH39" s="1537"/>
      <c r="CI39" s="1538"/>
      <c r="CJ39" s="1539"/>
      <c r="CK39" s="1549"/>
      <c r="CL39" s="1550"/>
      <c r="CM39" s="1551"/>
      <c r="CN39" s="1549"/>
      <c r="CO39" s="1550"/>
      <c r="CP39" s="1551"/>
      <c r="CQ39" s="1537"/>
      <c r="CR39" s="1538"/>
      <c r="CS39" s="1539"/>
      <c r="CT39" s="1537"/>
      <c r="CU39" s="1538"/>
      <c r="CV39" s="1539"/>
      <c r="CW39" s="25"/>
      <c r="CX39" s="39"/>
    </row>
    <row r="40" spans="1:109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40"/>
      <c r="BE40" s="1541"/>
      <c r="BF40" s="1542"/>
      <c r="BG40" s="1557"/>
      <c r="BH40" s="1558"/>
      <c r="BI40" s="1559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0</v>
      </c>
      <c r="C41" s="1544"/>
      <c r="D41" s="1545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43">
        <f>BD38-BD39-BD60</f>
        <v>0</v>
      </c>
      <c r="BE41" s="1544"/>
      <c r="BF41" s="1545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0</v>
      </c>
      <c r="C61" s="1535"/>
      <c r="D61" s="1536"/>
      <c r="E61" s="1534">
        <f>SUM(E60:G60)</f>
        <v>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50.25" customHeight="1" thickTop="1">
      <c r="B62" s="1561">
        <f>SUM(B61:CV61)</f>
        <v>0</v>
      </c>
      <c r="C62" s="1561"/>
      <c r="D62" s="1561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660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A37" sqref="A28:XFD37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886641</v>
      </c>
    </row>
    <row r="2" spans="1:197" s="137" customFormat="1" ht="17.45" customHeight="1" thickBot="1">
      <c r="A2" s="412"/>
      <c r="B2" s="1574">
        <v>4</v>
      </c>
      <c r="C2" s="1574"/>
      <c r="D2" s="1574"/>
      <c r="E2" s="1574">
        <v>5</v>
      </c>
      <c r="F2" s="1574"/>
      <c r="G2" s="1574"/>
      <c r="H2" s="1574">
        <v>6</v>
      </c>
      <c r="I2" s="1574"/>
      <c r="J2" s="1574"/>
      <c r="K2" s="1574">
        <v>7</v>
      </c>
      <c r="L2" s="1574"/>
      <c r="M2" s="1574"/>
      <c r="N2" s="1574">
        <v>8</v>
      </c>
      <c r="O2" s="1574"/>
      <c r="P2" s="1574"/>
      <c r="Q2" s="1574">
        <v>9</v>
      </c>
      <c r="R2" s="1574"/>
      <c r="S2" s="1574"/>
      <c r="T2" s="1574">
        <v>10</v>
      </c>
      <c r="U2" s="1574"/>
      <c r="V2" s="1574"/>
      <c r="W2" s="1574">
        <v>11</v>
      </c>
      <c r="X2" s="1574"/>
      <c r="Y2" s="1574"/>
      <c r="Z2" s="1574">
        <v>12</v>
      </c>
      <c r="AA2" s="1574"/>
      <c r="AB2" s="1574"/>
      <c r="AC2" s="1574">
        <v>13</v>
      </c>
      <c r="AD2" s="1574"/>
      <c r="AE2" s="1574"/>
      <c r="AF2" s="1574">
        <v>14</v>
      </c>
      <c r="AG2" s="1574"/>
      <c r="AH2" s="1574"/>
      <c r="AI2" s="1574">
        <v>15</v>
      </c>
      <c r="AJ2" s="1574"/>
      <c r="AK2" s="1574"/>
      <c r="AL2" s="1574">
        <v>16</v>
      </c>
      <c r="AM2" s="1574"/>
      <c r="AN2" s="1574"/>
      <c r="AO2" s="1574">
        <v>17</v>
      </c>
      <c r="AP2" s="1574"/>
      <c r="AQ2" s="1574"/>
      <c r="AR2" s="1574">
        <v>18</v>
      </c>
      <c r="AS2" s="1574"/>
      <c r="AT2" s="1574"/>
      <c r="AU2" s="1574">
        <v>19</v>
      </c>
      <c r="AV2" s="1574"/>
      <c r="AW2" s="1574"/>
      <c r="AX2" s="1574">
        <v>20</v>
      </c>
      <c r="AY2" s="1574"/>
      <c r="AZ2" s="1574"/>
      <c r="BA2" s="1574">
        <v>21</v>
      </c>
      <c r="BB2" s="1574"/>
      <c r="BC2" s="1574"/>
      <c r="BD2" s="1574">
        <v>22</v>
      </c>
      <c r="BE2" s="1574"/>
      <c r="BF2" s="1574"/>
      <c r="BG2" s="1574">
        <v>23</v>
      </c>
      <c r="BH2" s="1574"/>
      <c r="BI2" s="1574"/>
      <c r="BJ2" s="1574">
        <v>24</v>
      </c>
      <c r="BK2" s="1574"/>
      <c r="BL2" s="1574"/>
      <c r="BM2" s="1574">
        <v>25</v>
      </c>
      <c r="BN2" s="1574"/>
      <c r="BO2" s="1574"/>
      <c r="BP2" s="1574">
        <v>26</v>
      </c>
      <c r="BQ2" s="1574"/>
      <c r="BR2" s="1574"/>
      <c r="BS2" s="1574">
        <v>27</v>
      </c>
      <c r="BT2" s="1574"/>
      <c r="BU2" s="1574"/>
      <c r="BV2" s="1574">
        <v>28</v>
      </c>
      <c r="BW2" s="1574"/>
      <c r="BX2" s="1574"/>
      <c r="BY2" s="1574">
        <v>29</v>
      </c>
      <c r="BZ2" s="1574"/>
      <c r="CA2" s="1574"/>
      <c r="CB2" s="1574">
        <v>30</v>
      </c>
      <c r="CC2" s="1574"/>
      <c r="CD2" s="1574"/>
      <c r="CE2" s="1574">
        <v>31</v>
      </c>
      <c r="CF2" s="1574"/>
      <c r="CG2" s="1574"/>
      <c r="CH2" s="1574">
        <v>32</v>
      </c>
      <c r="CI2" s="1574"/>
      <c r="CJ2" s="1574"/>
      <c r="CK2" s="1574">
        <v>33</v>
      </c>
      <c r="CL2" s="1574"/>
      <c r="CM2" s="1574"/>
      <c r="CN2" s="1574">
        <v>34</v>
      </c>
      <c r="CO2" s="1574"/>
      <c r="CP2" s="1574"/>
      <c r="CQ2" s="1574">
        <v>35</v>
      </c>
      <c r="CR2" s="1574"/>
      <c r="CS2" s="1574"/>
      <c r="CT2" s="1574">
        <v>36</v>
      </c>
      <c r="CU2" s="1574"/>
      <c r="CV2" s="1574"/>
      <c r="CW2" s="1574">
        <v>37</v>
      </c>
      <c r="CX2" s="1574"/>
      <c r="CY2" s="1574"/>
      <c r="CZ2" s="1574">
        <v>38</v>
      </c>
      <c r="DA2" s="1574"/>
      <c r="DB2" s="1574"/>
      <c r="DC2" s="1574">
        <v>39</v>
      </c>
      <c r="DD2" s="1574"/>
      <c r="DE2" s="1574"/>
      <c r="DF2" s="1574">
        <v>40</v>
      </c>
      <c r="DG2" s="1574"/>
      <c r="DH2" s="1574"/>
      <c r="DI2" s="1574">
        <v>41</v>
      </c>
      <c r="DJ2" s="1574"/>
      <c r="DK2" s="1574"/>
      <c r="DL2" s="1574">
        <v>42</v>
      </c>
      <c r="DM2" s="1574"/>
      <c r="DN2" s="1574"/>
      <c r="DO2" s="1574">
        <v>43</v>
      </c>
      <c r="DP2" s="1574"/>
      <c r="DQ2" s="1574"/>
      <c r="DR2" s="1574">
        <v>44</v>
      </c>
      <c r="DS2" s="1574"/>
      <c r="DT2" s="1574"/>
      <c r="DU2" s="1574">
        <v>45</v>
      </c>
      <c r="DV2" s="1574"/>
      <c r="DW2" s="1574"/>
      <c r="DX2" s="1574">
        <v>46</v>
      </c>
      <c r="DY2" s="1574"/>
      <c r="DZ2" s="1574"/>
      <c r="EA2" s="1574">
        <v>47</v>
      </c>
      <c r="EB2" s="1574"/>
      <c r="EC2" s="1574"/>
      <c r="ED2" s="1574">
        <v>48</v>
      </c>
      <c r="EE2" s="1574"/>
      <c r="EF2" s="1574"/>
      <c r="EG2" s="1574">
        <v>49</v>
      </c>
      <c r="EH2" s="1574"/>
      <c r="EI2" s="1574"/>
      <c r="EJ2" s="1574">
        <v>50</v>
      </c>
      <c r="EK2" s="1574"/>
      <c r="EL2" s="1574"/>
      <c r="EM2" s="1574">
        <v>51</v>
      </c>
      <c r="EN2" s="1574"/>
      <c r="EO2" s="1574"/>
      <c r="EP2" s="1574">
        <v>52</v>
      </c>
      <c r="EQ2" s="1574"/>
      <c r="ER2" s="1574"/>
      <c r="ES2" s="1574">
        <v>53</v>
      </c>
      <c r="ET2" s="1574"/>
      <c r="EU2" s="1574"/>
      <c r="EV2" s="1574">
        <v>54</v>
      </c>
      <c r="EW2" s="1574"/>
      <c r="EX2" s="1574"/>
      <c r="EY2" s="1574">
        <v>55</v>
      </c>
      <c r="EZ2" s="1574"/>
      <c r="FA2" s="1574"/>
      <c r="FB2" s="1574">
        <v>56</v>
      </c>
      <c r="FC2" s="1574"/>
      <c r="FD2" s="1574"/>
      <c r="FE2" s="1574">
        <v>57</v>
      </c>
      <c r="FF2" s="1574"/>
      <c r="FG2" s="1574"/>
      <c r="FH2" s="1574">
        <v>58</v>
      </c>
      <c r="FI2" s="1574"/>
      <c r="FJ2" s="1574"/>
      <c r="FK2" s="1574">
        <v>59</v>
      </c>
      <c r="FL2" s="1574"/>
      <c r="FM2" s="1574"/>
      <c r="FN2" s="1574">
        <v>60</v>
      </c>
      <c r="FO2" s="1574"/>
      <c r="FP2" s="1574"/>
      <c r="FQ2" s="1574">
        <v>61</v>
      </c>
      <c r="FR2" s="1574"/>
      <c r="FS2" s="1574"/>
      <c r="FT2" s="1574">
        <v>62</v>
      </c>
      <c r="FU2" s="1574"/>
      <c r="FV2" s="1574"/>
      <c r="FW2" s="1574">
        <v>63</v>
      </c>
      <c r="FX2" s="1574"/>
      <c r="FY2" s="1574"/>
      <c r="FZ2" s="1574">
        <v>64</v>
      </c>
      <c r="GA2" s="1574"/>
      <c r="GB2" s="1574"/>
      <c r="GC2" s="1574">
        <v>65</v>
      </c>
      <c r="GD2" s="1574"/>
      <c r="GE2" s="1574"/>
      <c r="GF2" s="1574">
        <v>66</v>
      </c>
      <c r="GG2" s="1574"/>
      <c r="GH2" s="1574"/>
      <c r="GI2" s="1574">
        <v>67</v>
      </c>
      <c r="GJ2" s="1574"/>
      <c r="GK2" s="1574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17516</v>
      </c>
      <c r="I3" s="600"/>
      <c r="J3" s="601"/>
      <c r="K3" s="599" t="s">
        <v>16815</v>
      </c>
      <c r="L3" s="600"/>
      <c r="M3" s="601">
        <v>70</v>
      </c>
      <c r="N3" s="599" t="s">
        <v>17443</v>
      </c>
      <c r="O3" s="600"/>
      <c r="P3" s="601">
        <v>70</v>
      </c>
      <c r="Q3" s="599" t="s">
        <v>17518</v>
      </c>
      <c r="R3" s="600"/>
      <c r="S3" s="601"/>
      <c r="T3" s="599" t="s">
        <v>16787</v>
      </c>
      <c r="U3" s="600"/>
      <c r="V3" s="601">
        <v>143</v>
      </c>
      <c r="W3" s="599" t="s">
        <v>17261</v>
      </c>
      <c r="X3" s="600"/>
      <c r="Y3" s="601">
        <v>71</v>
      </c>
      <c r="Z3" s="599" t="s">
        <v>17285</v>
      </c>
      <c r="AA3" s="600"/>
      <c r="AB3" s="601">
        <v>142</v>
      </c>
      <c r="AC3" s="599" t="s">
        <v>17449</v>
      </c>
      <c r="AD3" s="600"/>
      <c r="AE3" s="601">
        <v>142</v>
      </c>
      <c r="AF3" s="599" t="s">
        <v>17497</v>
      </c>
      <c r="AG3" s="600"/>
      <c r="AH3" s="601">
        <v>155</v>
      </c>
      <c r="AI3" s="599" t="s">
        <v>17510</v>
      </c>
      <c r="AJ3" s="600"/>
      <c r="AK3" s="601">
        <v>305</v>
      </c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17215</v>
      </c>
      <c r="I4" s="603"/>
      <c r="J4" s="604"/>
      <c r="K4" s="605" t="s">
        <v>1900</v>
      </c>
      <c r="L4" s="603"/>
      <c r="M4" s="604">
        <v>600</v>
      </c>
      <c r="N4" s="605" t="s">
        <v>1900</v>
      </c>
      <c r="O4" s="603"/>
      <c r="P4" s="604">
        <v>600</v>
      </c>
      <c r="Q4" s="605" t="s">
        <v>17194</v>
      </c>
      <c r="R4" s="603"/>
      <c r="S4" s="604"/>
      <c r="T4" s="605" t="s">
        <v>624</v>
      </c>
      <c r="U4" s="603"/>
      <c r="V4" s="604">
        <v>600</v>
      </c>
      <c r="W4" s="605" t="s">
        <v>17272</v>
      </c>
      <c r="X4" s="603"/>
      <c r="Y4" s="604">
        <v>600</v>
      </c>
      <c r="Z4" s="605" t="s">
        <v>17231</v>
      </c>
      <c r="AA4" s="603"/>
      <c r="AB4" s="604">
        <v>650</v>
      </c>
      <c r="AC4" s="605" t="s">
        <v>17450</v>
      </c>
      <c r="AD4" s="603"/>
      <c r="AE4" s="604">
        <v>550</v>
      </c>
      <c r="AF4" s="605" t="s">
        <v>8447</v>
      </c>
      <c r="AG4" s="603"/>
      <c r="AH4" s="604">
        <v>600</v>
      </c>
      <c r="AI4" s="605" t="s">
        <v>8522</v>
      </c>
      <c r="AJ4" s="603"/>
      <c r="AK4" s="604">
        <v>550</v>
      </c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/>
      <c r="I6" s="608">
        <f>J$3*J$4*216*24*60*H6/9000000</f>
        <v>0</v>
      </c>
      <c r="J6" s="609"/>
      <c r="K6" s="611">
        <v>1</v>
      </c>
      <c r="L6" s="608">
        <f>M$3*M$4*216*24*60*K6/9000000</f>
        <v>1451.52</v>
      </c>
      <c r="M6" s="609"/>
      <c r="N6" s="611">
        <v>0</v>
      </c>
      <c r="O6" s="608">
        <f>P$3*P$4*216*24*60*N6/9000000</f>
        <v>0</v>
      </c>
      <c r="P6" s="609"/>
      <c r="Q6" s="607"/>
      <c r="R6" s="608">
        <f>S$3*S$4*216*24*60*Q6/9000000</f>
        <v>0</v>
      </c>
      <c r="S6" s="609"/>
      <c r="T6" s="611">
        <v>1</v>
      </c>
      <c r="U6" s="608">
        <f>V$3*V$4*216*24*60*T6/9000000</f>
        <v>2965.248</v>
      </c>
      <c r="V6" s="609"/>
      <c r="W6" s="607">
        <v>0</v>
      </c>
      <c r="X6" s="608">
        <f>Y$3*Y$4*216*24*60*W6/9000000</f>
        <v>0</v>
      </c>
      <c r="Y6" s="609"/>
      <c r="Z6" s="607">
        <v>0</v>
      </c>
      <c r="AA6" s="608">
        <f>AB$3*AB$4*216*24*60*Z6/9000000</f>
        <v>0</v>
      </c>
      <c r="AB6" s="609"/>
      <c r="AC6" s="611">
        <v>0</v>
      </c>
      <c r="AD6" s="608">
        <f t="shared" ref="AD6:AD36" si="0">AE$3*AE$4*216*24*60*AC6/9000000</f>
        <v>0</v>
      </c>
      <c r="AE6" s="609"/>
      <c r="AF6" s="611">
        <v>0</v>
      </c>
      <c r="AG6" s="608">
        <f t="shared" ref="AG6:AG36" si="1">AH$3*AH$4*216*24*60*AF6/9000000</f>
        <v>0</v>
      </c>
      <c r="AH6" s="609"/>
      <c r="AI6" s="611">
        <v>0</v>
      </c>
      <c r="AJ6" s="608">
        <f t="shared" ref="AJ6:AJ36" si="2">AK$3*AK$4*216*24*60*AI6/9000000</f>
        <v>0</v>
      </c>
      <c r="AK6" s="610"/>
      <c r="AL6" s="607"/>
      <c r="AM6" s="608">
        <f t="shared" ref="AM6:AM36" si="3">AN$3*AN$4*216*24*60*AL6/9000000</f>
        <v>0</v>
      </c>
      <c r="AN6" s="610"/>
      <c r="AO6" s="611"/>
      <c r="AP6" s="608">
        <f t="shared" ref="AP6:AP36" si="4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5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6">BU$3*BU$4*216*24*60*BS6/9000000</f>
        <v>0</v>
      </c>
      <c r="BU6" s="609"/>
      <c r="BV6" s="607"/>
      <c r="BW6" s="608">
        <f t="shared" ref="BW6:BW36" si="7">BX$3*BX$4*216*24*60*BV6/9000000</f>
        <v>0</v>
      </c>
      <c r="BX6" s="609"/>
      <c r="BY6" s="607"/>
      <c r="BZ6" s="608">
        <f t="shared" ref="BZ6:BZ36" si="8">CA$3*CA$4*216*24*60*BY6/9000000</f>
        <v>0</v>
      </c>
      <c r="CA6" s="609"/>
      <c r="CB6" s="607"/>
      <c r="CC6" s="608">
        <f t="shared" ref="CC6:CC36" si="9">CD$3*CD$4*216*24*60*CB6/9000000</f>
        <v>0</v>
      </c>
      <c r="CD6" s="609"/>
      <c r="CE6" s="607"/>
      <c r="CF6" s="608">
        <f t="shared" ref="CF6:CF36" si="10">CG$3*CG$4*216*24*60*CE6/9000000</f>
        <v>0</v>
      </c>
      <c r="CG6" s="609"/>
      <c r="CH6" s="607"/>
      <c r="CI6" s="608">
        <f t="shared" ref="CI6:CI36" si="11">CJ$3*CJ$4*216*24*60*CH6/9000000</f>
        <v>0</v>
      </c>
      <c r="CJ6" s="609"/>
      <c r="CK6" s="607"/>
      <c r="CL6" s="608">
        <f t="shared" ref="CL6:CL36" si="12">CM$3*CM$4*216*24*60*CK6/9000000</f>
        <v>0</v>
      </c>
      <c r="CM6" s="609"/>
      <c r="CN6" s="607"/>
      <c r="CO6" s="608">
        <f t="shared" ref="CO6:CO36" si="13">CP$3*CP$4*216*24*60*CN6/9000000</f>
        <v>0</v>
      </c>
      <c r="CP6" s="609"/>
      <c r="CQ6" s="607"/>
      <c r="CR6" s="608">
        <f t="shared" ref="CR6:CR36" si="14">CS$3*CS$4*216*24*60*CQ6/9000000</f>
        <v>0</v>
      </c>
      <c r="CS6" s="609"/>
      <c r="CT6" s="607"/>
      <c r="CU6" s="608">
        <f t="shared" ref="CU6:CU36" si="15">CV$3*CV$4*216*24*60*CT6/9000000</f>
        <v>0</v>
      </c>
      <c r="CV6" s="609"/>
      <c r="CW6" s="607"/>
      <c r="CX6" s="608">
        <f t="shared" ref="CX6:CX36" si="16">CY$3*CY$4*216*24*60*CW6/9000000</f>
        <v>0</v>
      </c>
      <c r="CY6" s="609"/>
      <c r="CZ6" s="607"/>
      <c r="DA6" s="608">
        <f t="shared" ref="DA6:DA36" si="17">DB$3*DB$4*216*24*60*CZ6/9000000</f>
        <v>0</v>
      </c>
      <c r="DB6" s="609"/>
      <c r="DC6" s="607"/>
      <c r="DD6" s="608">
        <f t="shared" ref="DD6:DD36" si="18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9">FA$3*FA$4*216*24*60*EY6/9000000</f>
        <v>0</v>
      </c>
      <c r="FA6" s="609"/>
      <c r="FB6" s="607"/>
      <c r="FC6" s="608">
        <f t="shared" ref="FC6:FC36" si="20">FD$3*FD$4*216*24*60*FB6/9000000</f>
        <v>0</v>
      </c>
      <c r="FD6" s="609"/>
      <c r="FE6" s="607"/>
      <c r="FF6" s="608">
        <f t="shared" ref="FF6:FF36" si="21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2">FM$3*FM$4*216*24*60*FK6/9000000</f>
        <v>0</v>
      </c>
      <c r="FM6" s="610"/>
      <c r="FN6" s="611"/>
      <c r="FO6" s="608">
        <f t="shared" ref="FO6:FO36" si="23">FP$3*FP$4*216*24*60*FN6/9000000</f>
        <v>0</v>
      </c>
      <c r="FP6" s="610"/>
      <c r="FQ6" s="611"/>
      <c r="FR6" s="608">
        <f t="shared" ref="FR6:FR36" si="24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5">FY$3*FY$4*216*24*60*FW6/9000000</f>
        <v>0</v>
      </c>
      <c r="FY6" s="610"/>
      <c r="FZ6" s="611"/>
      <c r="GA6" s="608">
        <f t="shared" ref="GA6:GA36" si="26">GB$3*GB$4*216*24*60*FZ6/9000000</f>
        <v>0</v>
      </c>
      <c r="GB6" s="610"/>
      <c r="GC6" s="607"/>
      <c r="GD6" s="608">
        <f t="shared" ref="GD6:GD36" si="27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8">GK$3*GK$4*216*24*60*GI6/9000000</f>
        <v>0</v>
      </c>
      <c r="GK6" s="64"/>
      <c r="GL6" s="612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0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/>
      <c r="I7" s="608">
        <f>J$3*J$4*216*24*60*H7/9000000</f>
        <v>0</v>
      </c>
      <c r="J7" s="609"/>
      <c r="K7" s="611">
        <v>1</v>
      </c>
      <c r="L7" s="608">
        <f>M$3*M$4*216*24*60*K7/9000000</f>
        <v>1451.52</v>
      </c>
      <c r="M7" s="609">
        <v>4871</v>
      </c>
      <c r="N7" s="611">
        <v>0</v>
      </c>
      <c r="O7" s="608">
        <f>P$3*P$4*216*24*60*N7/9000000</f>
        <v>0</v>
      </c>
      <c r="P7" s="609"/>
      <c r="Q7" s="607"/>
      <c r="R7" s="608">
        <f>S$3*S$4*216*24*60*Q7/9000000</f>
        <v>0</v>
      </c>
      <c r="S7" s="609"/>
      <c r="T7" s="611">
        <v>1</v>
      </c>
      <c r="U7" s="608">
        <f>V$3*V$4*216*24*60*T7/9000000</f>
        <v>2965.248</v>
      </c>
      <c r="V7" s="609"/>
      <c r="W7" s="607">
        <v>1</v>
      </c>
      <c r="X7" s="608">
        <f>Y$3*Y$4*216*24*60*W7/9000000</f>
        <v>1472.2560000000001</v>
      </c>
      <c r="Y7" s="609"/>
      <c r="Z7" s="607">
        <v>0</v>
      </c>
      <c r="AA7" s="608">
        <f>AB$3*AB$4*216*24*60*Z7/9000000</f>
        <v>0</v>
      </c>
      <c r="AB7" s="609"/>
      <c r="AC7" s="611">
        <v>0</v>
      </c>
      <c r="AD7" s="608">
        <f t="shared" si="0"/>
        <v>0</v>
      </c>
      <c r="AE7" s="609"/>
      <c r="AF7" s="611">
        <v>0</v>
      </c>
      <c r="AG7" s="608">
        <f t="shared" si="1"/>
        <v>0</v>
      </c>
      <c r="AH7" s="610"/>
      <c r="AI7" s="611">
        <v>0</v>
      </c>
      <c r="AJ7" s="608">
        <f t="shared" si="2"/>
        <v>0</v>
      </c>
      <c r="AK7" s="609"/>
      <c r="AL7" s="607"/>
      <c r="AM7" s="608">
        <f t="shared" si="3"/>
        <v>0</v>
      </c>
      <c r="AN7" s="609"/>
      <c r="AO7" s="611"/>
      <c r="AP7" s="608">
        <f t="shared" si="4"/>
        <v>0</v>
      </c>
      <c r="AQ7" s="610"/>
      <c r="AR7" s="607"/>
      <c r="AS7" s="608">
        <f t="shared" ref="AS7:AS36" si="31">AT$3*AT$4*216*24*60*AR7/9000000</f>
        <v>0</v>
      </c>
      <c r="AT7" s="609"/>
      <c r="AU7" s="607"/>
      <c r="AV7" s="608">
        <f t="shared" ref="AV7:AV36" si="32">AW$3*AW$4*216*24*60*AU7/9000000</f>
        <v>0</v>
      </c>
      <c r="AW7" s="609"/>
      <c r="AX7" s="607"/>
      <c r="AY7" s="608">
        <f t="shared" ref="AY7:AY36" si="33">AZ$3*AZ$4*216*24*60*AX7/9000000</f>
        <v>0</v>
      </c>
      <c r="AZ7" s="609"/>
      <c r="BA7" s="607"/>
      <c r="BB7" s="608">
        <f t="shared" ref="BB7:BB35" si="34">BC$3*BC$4*216*24*60*BA7/9000000</f>
        <v>0</v>
      </c>
      <c r="BC7" s="609"/>
      <c r="BD7" s="607"/>
      <c r="BE7" s="608">
        <f t="shared" ref="BE7:BE35" si="35">BF$3*BF$4*216*24*60*BD7/9000000</f>
        <v>0</v>
      </c>
      <c r="BF7" s="609"/>
      <c r="BG7" s="607"/>
      <c r="BH7" s="608">
        <f t="shared" ref="BH7:BH35" si="36">BI$3*BI$4*216*24*60*BG7/9000000</f>
        <v>0</v>
      </c>
      <c r="BI7" s="609"/>
      <c r="BJ7" s="611"/>
      <c r="BK7" s="608">
        <f t="shared" ref="BK7:BK9" si="37">BL$3*BL$4*216*24*60*BJ7/9000000</f>
        <v>0</v>
      </c>
      <c r="BL7" s="609"/>
      <c r="BM7" s="607"/>
      <c r="BN7" s="608">
        <f t="shared" si="5"/>
        <v>0</v>
      </c>
      <c r="BO7" s="609"/>
      <c r="BP7" s="607"/>
      <c r="BQ7" s="608">
        <f t="shared" ref="BQ7:BQ9" si="38">BR$3*BR$4*216*24*60*BP7/9000000</f>
        <v>0</v>
      </c>
      <c r="BR7" s="609"/>
      <c r="BS7" s="607"/>
      <c r="BT7" s="608">
        <f t="shared" si="6"/>
        <v>0</v>
      </c>
      <c r="BU7" s="609"/>
      <c r="BV7" s="607"/>
      <c r="BW7" s="608">
        <f t="shared" si="7"/>
        <v>0</v>
      </c>
      <c r="BX7" s="609"/>
      <c r="BY7" s="607"/>
      <c r="BZ7" s="608">
        <f t="shared" si="8"/>
        <v>0</v>
      </c>
      <c r="CA7" s="609"/>
      <c r="CB7" s="607"/>
      <c r="CC7" s="608">
        <f t="shared" si="9"/>
        <v>0</v>
      </c>
      <c r="CD7" s="609"/>
      <c r="CE7" s="607"/>
      <c r="CF7" s="608">
        <f t="shared" si="10"/>
        <v>0</v>
      </c>
      <c r="CG7" s="609"/>
      <c r="CH7" s="607"/>
      <c r="CI7" s="608">
        <f t="shared" si="11"/>
        <v>0</v>
      </c>
      <c r="CJ7" s="609"/>
      <c r="CK7" s="607"/>
      <c r="CL7" s="608">
        <f t="shared" si="12"/>
        <v>0</v>
      </c>
      <c r="CM7" s="609"/>
      <c r="CN7" s="607"/>
      <c r="CO7" s="608">
        <f t="shared" si="13"/>
        <v>0</v>
      </c>
      <c r="CP7" s="609"/>
      <c r="CQ7" s="607"/>
      <c r="CR7" s="608">
        <f t="shared" si="14"/>
        <v>0</v>
      </c>
      <c r="CS7" s="609"/>
      <c r="CT7" s="607"/>
      <c r="CU7" s="608">
        <f t="shared" si="15"/>
        <v>0</v>
      </c>
      <c r="CV7" s="609"/>
      <c r="CW7" s="607"/>
      <c r="CX7" s="608">
        <f t="shared" si="16"/>
        <v>0</v>
      </c>
      <c r="CY7" s="609"/>
      <c r="CZ7" s="607"/>
      <c r="DA7" s="608">
        <f t="shared" si="17"/>
        <v>0</v>
      </c>
      <c r="DB7" s="609"/>
      <c r="DC7" s="607"/>
      <c r="DD7" s="608">
        <f t="shared" si="18"/>
        <v>0</v>
      </c>
      <c r="DE7" s="609"/>
      <c r="DF7" s="607"/>
      <c r="DG7" s="608">
        <f t="shared" ref="DG7:DG36" si="39">DH$3*DH$4*216*24*60*DF7/9000000</f>
        <v>0</v>
      </c>
      <c r="DH7" s="609"/>
      <c r="DI7" s="607"/>
      <c r="DJ7" s="608">
        <f t="shared" ref="DJ7:DJ36" si="40">DK$3*DK$4*216*24*60*DI7/9000000</f>
        <v>0</v>
      </c>
      <c r="DK7" s="609"/>
      <c r="DL7" s="607"/>
      <c r="DM7" s="608">
        <f t="shared" ref="DM7:DM36" si="41">DN$3*DN$4*216*24*60*DL7/9000000</f>
        <v>0</v>
      </c>
      <c r="DN7" s="609"/>
      <c r="DO7" s="607"/>
      <c r="DP7" s="608">
        <f t="shared" ref="DP7:DP36" si="42">DQ$3*DQ$4*216*24*60*DO7/9000000</f>
        <v>0</v>
      </c>
      <c r="DQ7" s="609"/>
      <c r="DR7" s="607"/>
      <c r="DS7" s="608">
        <f t="shared" ref="DS7:DS36" si="43">DT$3*DT$4*216*24*60*DR7/9000000</f>
        <v>0</v>
      </c>
      <c r="DT7" s="609"/>
      <c r="DU7" s="607"/>
      <c r="DV7" s="608">
        <f t="shared" ref="DV7:DV36" si="44">DW$3*DW$4*216*24*60*DU7/9000000</f>
        <v>0</v>
      </c>
      <c r="DW7" s="609"/>
      <c r="DX7" s="607"/>
      <c r="DY7" s="608">
        <f t="shared" ref="DY7:DY36" si="45">DZ$3*DZ$4*216*24*60*DX7/9000000</f>
        <v>0</v>
      </c>
      <c r="DZ7" s="609"/>
      <c r="EA7" s="607"/>
      <c r="EB7" s="608">
        <f t="shared" ref="EB7:EB36" si="46">EC$3*EC$4*216*24*60*EA7/9000000</f>
        <v>0</v>
      </c>
      <c r="EC7" s="609"/>
      <c r="ED7" s="611"/>
      <c r="EE7" s="608">
        <f t="shared" ref="EE7:EE36" si="47">EF$3*EF$4*216*24*60*ED7/9000000</f>
        <v>0</v>
      </c>
      <c r="EF7" s="609"/>
      <c r="EG7" s="611"/>
      <c r="EH7" s="608">
        <f t="shared" ref="EH7:EH36" si="48">EI$3*EI$4*216*24*60*EG7/9000000</f>
        <v>0</v>
      </c>
      <c r="EI7" s="609"/>
      <c r="EJ7" s="611"/>
      <c r="EK7" s="608">
        <f t="shared" ref="EK7:EK36" si="49">EL$3*EL$4*216*24*60*EJ7/9000000</f>
        <v>0</v>
      </c>
      <c r="EL7" s="609"/>
      <c r="EM7" s="611"/>
      <c r="EN7" s="608">
        <f t="shared" ref="EN7:EN36" si="50">EO$3*EO$4*216*24*60*EM7/9000000</f>
        <v>0</v>
      </c>
      <c r="EO7" s="609"/>
      <c r="EP7" s="611"/>
      <c r="EQ7" s="608">
        <f t="shared" ref="EQ7:EQ36" si="51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9"/>
        <v>0</v>
      </c>
      <c r="FA7" s="609"/>
      <c r="FB7" s="607"/>
      <c r="FC7" s="608">
        <f t="shared" si="20"/>
        <v>0</v>
      </c>
      <c r="FD7" s="609"/>
      <c r="FE7" s="607"/>
      <c r="FF7" s="608">
        <f t="shared" si="21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2"/>
        <v>0</v>
      </c>
      <c r="FM7" s="610"/>
      <c r="FN7" s="611"/>
      <c r="FO7" s="608">
        <f t="shared" si="23"/>
        <v>0</v>
      </c>
      <c r="FP7" s="610"/>
      <c r="FQ7" s="611"/>
      <c r="FR7" s="608">
        <f t="shared" si="24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5"/>
        <v>0</v>
      </c>
      <c r="FY7" s="610"/>
      <c r="FZ7" s="611"/>
      <c r="GA7" s="608">
        <f t="shared" si="26"/>
        <v>0</v>
      </c>
      <c r="GB7" s="610"/>
      <c r="GC7" s="607"/>
      <c r="GD7" s="608">
        <f t="shared" si="27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8"/>
        <v>0</v>
      </c>
      <c r="GK7" s="64"/>
      <c r="GL7" s="612">
        <f t="shared" si="29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0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/>
      <c r="I8" s="608">
        <f>J$3*J$4*216*24*60*H8/9000000</f>
        <v>0</v>
      </c>
      <c r="J8" s="610"/>
      <c r="K8" s="611">
        <v>1</v>
      </c>
      <c r="L8" s="608">
        <f>M$3*M$4*216*24*60*K8/9000000</f>
        <v>1451.52</v>
      </c>
      <c r="M8" s="610">
        <v>1680</v>
      </c>
      <c r="N8" s="611">
        <v>0</v>
      </c>
      <c r="O8" s="608">
        <f>P$3*P$4*216*24*60*N8/9000000</f>
        <v>0</v>
      </c>
      <c r="P8" s="610"/>
      <c r="Q8" s="607"/>
      <c r="R8" s="608">
        <f>S$3*S$4*216*24*60*Q8/9000000</f>
        <v>0</v>
      </c>
      <c r="S8" s="609"/>
      <c r="T8" s="611">
        <v>1</v>
      </c>
      <c r="U8" s="608">
        <f>V$3*V$4*216*24*60*T8/9000000</f>
        <v>2965.248</v>
      </c>
      <c r="V8" s="610">
        <v>13050</v>
      </c>
      <c r="W8" s="607">
        <v>1</v>
      </c>
      <c r="X8" s="608">
        <f>Y$3*Y$4*216*24*60*W8/9000000</f>
        <v>1472.2560000000001</v>
      </c>
      <c r="Y8" s="610">
        <v>1500</v>
      </c>
      <c r="Z8" s="607">
        <v>1</v>
      </c>
      <c r="AA8" s="608">
        <f>AB$3*AB$4*216*24*60*Z8/9000000</f>
        <v>3189.8879999999999</v>
      </c>
      <c r="AB8" s="609">
        <v>750</v>
      </c>
      <c r="AC8" s="611">
        <v>0</v>
      </c>
      <c r="AD8" s="608">
        <f t="shared" si="0"/>
        <v>0</v>
      </c>
      <c r="AE8" s="609"/>
      <c r="AF8" s="611">
        <v>0</v>
      </c>
      <c r="AG8" s="608">
        <f t="shared" si="1"/>
        <v>0</v>
      </c>
      <c r="AH8" s="610"/>
      <c r="AI8" s="611">
        <v>0</v>
      </c>
      <c r="AJ8" s="608">
        <f t="shared" si="2"/>
        <v>0</v>
      </c>
      <c r="AK8" s="609"/>
      <c r="AL8" s="607"/>
      <c r="AM8" s="608">
        <f t="shared" si="3"/>
        <v>0</v>
      </c>
      <c r="AN8" s="609"/>
      <c r="AO8" s="611"/>
      <c r="AP8" s="608">
        <f t="shared" si="4"/>
        <v>0</v>
      </c>
      <c r="AQ8" s="610"/>
      <c r="AR8" s="607"/>
      <c r="AS8" s="608">
        <f t="shared" si="31"/>
        <v>0</v>
      </c>
      <c r="AT8" s="609"/>
      <c r="AU8" s="607"/>
      <c r="AV8" s="608">
        <f t="shared" si="32"/>
        <v>0</v>
      </c>
      <c r="AW8" s="609"/>
      <c r="AX8" s="607"/>
      <c r="AY8" s="608">
        <f t="shared" si="33"/>
        <v>0</v>
      </c>
      <c r="AZ8" s="609"/>
      <c r="BA8" s="607"/>
      <c r="BB8" s="608">
        <f t="shared" si="34"/>
        <v>0</v>
      </c>
      <c r="BC8" s="609"/>
      <c r="BD8" s="607"/>
      <c r="BE8" s="608">
        <f t="shared" si="35"/>
        <v>0</v>
      </c>
      <c r="BF8" s="609"/>
      <c r="BG8" s="607"/>
      <c r="BH8" s="608">
        <f t="shared" si="36"/>
        <v>0</v>
      </c>
      <c r="BI8" s="610"/>
      <c r="BJ8" s="611"/>
      <c r="BK8" s="608">
        <f t="shared" si="37"/>
        <v>0</v>
      </c>
      <c r="BL8" s="609"/>
      <c r="BM8" s="607"/>
      <c r="BN8" s="608">
        <f t="shared" si="5"/>
        <v>0</v>
      </c>
      <c r="BO8" s="609"/>
      <c r="BP8" s="607"/>
      <c r="BQ8" s="608">
        <f t="shared" si="38"/>
        <v>0</v>
      </c>
      <c r="BR8" s="609"/>
      <c r="BS8" s="607"/>
      <c r="BT8" s="608">
        <f t="shared" si="6"/>
        <v>0</v>
      </c>
      <c r="BU8" s="609"/>
      <c r="BV8" s="607"/>
      <c r="BW8" s="608">
        <f t="shared" si="7"/>
        <v>0</v>
      </c>
      <c r="BX8" s="609"/>
      <c r="BY8" s="607"/>
      <c r="BZ8" s="608">
        <f t="shared" si="8"/>
        <v>0</v>
      </c>
      <c r="CA8" s="609"/>
      <c r="CB8" s="607"/>
      <c r="CC8" s="608">
        <f t="shared" si="9"/>
        <v>0</v>
      </c>
      <c r="CD8" s="609"/>
      <c r="CE8" s="607"/>
      <c r="CF8" s="608">
        <f t="shared" si="10"/>
        <v>0</v>
      </c>
      <c r="CG8" s="609"/>
      <c r="CH8" s="607"/>
      <c r="CI8" s="608">
        <f t="shared" si="11"/>
        <v>0</v>
      </c>
      <c r="CJ8" s="609"/>
      <c r="CK8" s="607"/>
      <c r="CL8" s="608">
        <f t="shared" si="12"/>
        <v>0</v>
      </c>
      <c r="CM8" s="609"/>
      <c r="CN8" s="607"/>
      <c r="CO8" s="608">
        <f t="shared" si="13"/>
        <v>0</v>
      </c>
      <c r="CP8" s="609"/>
      <c r="CQ8" s="607"/>
      <c r="CR8" s="608">
        <f t="shared" si="14"/>
        <v>0</v>
      </c>
      <c r="CS8" s="609"/>
      <c r="CT8" s="607"/>
      <c r="CU8" s="608">
        <f t="shared" si="15"/>
        <v>0</v>
      </c>
      <c r="CV8" s="609"/>
      <c r="CW8" s="607"/>
      <c r="CX8" s="608">
        <f t="shared" si="16"/>
        <v>0</v>
      </c>
      <c r="CY8" s="609"/>
      <c r="CZ8" s="607"/>
      <c r="DA8" s="608">
        <f t="shared" si="17"/>
        <v>0</v>
      </c>
      <c r="DB8" s="609"/>
      <c r="DC8" s="607"/>
      <c r="DD8" s="608">
        <f t="shared" si="18"/>
        <v>0</v>
      </c>
      <c r="DE8" s="609"/>
      <c r="DF8" s="607"/>
      <c r="DG8" s="608">
        <f t="shared" si="39"/>
        <v>0</v>
      </c>
      <c r="DH8" s="609"/>
      <c r="DI8" s="607"/>
      <c r="DJ8" s="608">
        <f t="shared" si="40"/>
        <v>0</v>
      </c>
      <c r="DK8" s="609"/>
      <c r="DL8" s="607"/>
      <c r="DM8" s="608">
        <f t="shared" si="41"/>
        <v>0</v>
      </c>
      <c r="DN8" s="609"/>
      <c r="DO8" s="607"/>
      <c r="DP8" s="608">
        <f t="shared" si="42"/>
        <v>0</v>
      </c>
      <c r="DQ8" s="609"/>
      <c r="DR8" s="607"/>
      <c r="DS8" s="608">
        <f t="shared" si="43"/>
        <v>0</v>
      </c>
      <c r="DT8" s="609"/>
      <c r="DU8" s="607"/>
      <c r="DV8" s="608">
        <f t="shared" si="44"/>
        <v>0</v>
      </c>
      <c r="DW8" s="609"/>
      <c r="DX8" s="607"/>
      <c r="DY8" s="608">
        <f t="shared" si="45"/>
        <v>0</v>
      </c>
      <c r="DZ8" s="609"/>
      <c r="EA8" s="607"/>
      <c r="EB8" s="608">
        <f t="shared" si="46"/>
        <v>0</v>
      </c>
      <c r="EC8" s="609"/>
      <c r="ED8" s="611"/>
      <c r="EE8" s="608">
        <f t="shared" si="47"/>
        <v>0</v>
      </c>
      <c r="EF8" s="609"/>
      <c r="EG8" s="611"/>
      <c r="EH8" s="608">
        <f t="shared" si="48"/>
        <v>0</v>
      </c>
      <c r="EI8" s="609"/>
      <c r="EJ8" s="611"/>
      <c r="EK8" s="608">
        <f t="shared" si="49"/>
        <v>0</v>
      </c>
      <c r="EL8" s="609"/>
      <c r="EM8" s="611"/>
      <c r="EN8" s="608">
        <f t="shared" si="50"/>
        <v>0</v>
      </c>
      <c r="EO8" s="609"/>
      <c r="EP8" s="611"/>
      <c r="EQ8" s="608">
        <f t="shared" si="51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9"/>
        <v>0</v>
      </c>
      <c r="FA8" s="609"/>
      <c r="FB8" s="607"/>
      <c r="FC8" s="608">
        <f t="shared" si="20"/>
        <v>0</v>
      </c>
      <c r="FD8" s="609"/>
      <c r="FE8" s="607"/>
      <c r="FF8" s="608">
        <f t="shared" si="21"/>
        <v>0</v>
      </c>
      <c r="FG8" s="609"/>
      <c r="FH8" s="607"/>
      <c r="FI8" s="608">
        <f t="shared" ref="FI8:FI36" si="52">FJ$3*FJ$4*216*24*60*FH8/9000000</f>
        <v>0</v>
      </c>
      <c r="FJ8" s="610"/>
      <c r="FK8" s="607"/>
      <c r="FL8" s="608">
        <f t="shared" si="22"/>
        <v>0</v>
      </c>
      <c r="FM8" s="610"/>
      <c r="FN8" s="611"/>
      <c r="FO8" s="608">
        <f t="shared" si="23"/>
        <v>0</v>
      </c>
      <c r="FP8" s="610"/>
      <c r="FQ8" s="611"/>
      <c r="FR8" s="608">
        <f t="shared" si="24"/>
        <v>0</v>
      </c>
      <c r="FS8" s="609"/>
      <c r="FT8" s="611"/>
      <c r="FU8" s="608">
        <f t="shared" ref="FU8:FU36" si="53">FV$3*FV$4*216*24*60*FT8/9000000</f>
        <v>0</v>
      </c>
      <c r="FV8" s="610"/>
      <c r="FW8" s="611"/>
      <c r="FX8" s="608">
        <f t="shared" si="25"/>
        <v>0</v>
      </c>
      <c r="FY8" s="610"/>
      <c r="FZ8" s="611"/>
      <c r="GA8" s="608">
        <f t="shared" si="26"/>
        <v>0</v>
      </c>
      <c r="GB8" s="610"/>
      <c r="GC8" s="607"/>
      <c r="GD8" s="608">
        <f t="shared" si="27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8"/>
        <v>0</v>
      </c>
      <c r="GK8" s="64"/>
      <c r="GL8" s="612">
        <f t="shared" si="29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0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1451.52</v>
      </c>
      <c r="M9" s="609">
        <v>1626</v>
      </c>
      <c r="N9" s="607">
        <v>0</v>
      </c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>
        <v>1</v>
      </c>
      <c r="U9" s="608">
        <f>V$3*V$4*216*24*60*T9/9000000</f>
        <v>2965.248</v>
      </c>
      <c r="V9" s="609">
        <v>2997</v>
      </c>
      <c r="W9" s="607">
        <v>1</v>
      </c>
      <c r="X9" s="608">
        <f>Y$3*Y$4*216*24*60*W9/9000000</f>
        <v>1472.2560000000001</v>
      </c>
      <c r="Y9" s="609">
        <v>1500</v>
      </c>
      <c r="Z9" s="607">
        <v>1</v>
      </c>
      <c r="AA9" s="608">
        <f>AB$3*AB$4*216*24*60*Z9/9000000</f>
        <v>3189.8879999999999</v>
      </c>
      <c r="AB9" s="609">
        <v>3689</v>
      </c>
      <c r="AC9" s="607">
        <v>0</v>
      </c>
      <c r="AD9" s="608">
        <f t="shared" si="0"/>
        <v>0</v>
      </c>
      <c r="AE9" s="609"/>
      <c r="AF9" s="607">
        <v>0</v>
      </c>
      <c r="AG9" s="608">
        <f t="shared" si="1"/>
        <v>0</v>
      </c>
      <c r="AH9" s="610"/>
      <c r="AI9" s="611">
        <v>0</v>
      </c>
      <c r="AJ9" s="608">
        <f t="shared" si="2"/>
        <v>0</v>
      </c>
      <c r="AK9" s="609"/>
      <c r="AL9" s="607"/>
      <c r="AM9" s="608">
        <f t="shared" si="3"/>
        <v>0</v>
      </c>
      <c r="AN9" s="609"/>
      <c r="AO9" s="611"/>
      <c r="AP9" s="608">
        <f t="shared" si="4"/>
        <v>0</v>
      </c>
      <c r="AQ9" s="610"/>
      <c r="AR9" s="607"/>
      <c r="AS9" s="608">
        <f t="shared" si="31"/>
        <v>0</v>
      </c>
      <c r="AT9" s="609"/>
      <c r="AU9" s="607"/>
      <c r="AV9" s="608">
        <f t="shared" si="32"/>
        <v>0</v>
      </c>
      <c r="AW9" s="609"/>
      <c r="AX9" s="607"/>
      <c r="AY9" s="608">
        <f t="shared" si="33"/>
        <v>0</v>
      </c>
      <c r="AZ9" s="609"/>
      <c r="BA9" s="607"/>
      <c r="BB9" s="608">
        <f t="shared" si="34"/>
        <v>0</v>
      </c>
      <c r="BC9" s="609"/>
      <c r="BD9" s="607"/>
      <c r="BE9" s="608">
        <f t="shared" si="35"/>
        <v>0</v>
      </c>
      <c r="BF9" s="609"/>
      <c r="BG9" s="607"/>
      <c r="BH9" s="608">
        <f t="shared" si="36"/>
        <v>0</v>
      </c>
      <c r="BI9" s="609"/>
      <c r="BJ9" s="611"/>
      <c r="BK9" s="608">
        <f t="shared" si="37"/>
        <v>0</v>
      </c>
      <c r="BL9" s="609"/>
      <c r="BM9" s="607"/>
      <c r="BN9" s="608">
        <f t="shared" si="5"/>
        <v>0</v>
      </c>
      <c r="BO9" s="609"/>
      <c r="BP9" s="607"/>
      <c r="BQ9" s="608">
        <f t="shared" si="38"/>
        <v>0</v>
      </c>
      <c r="BR9" s="609"/>
      <c r="BS9" s="607"/>
      <c r="BT9" s="608">
        <f t="shared" si="6"/>
        <v>0</v>
      </c>
      <c r="BU9" s="609"/>
      <c r="BV9" s="607"/>
      <c r="BW9" s="608">
        <f t="shared" si="7"/>
        <v>0</v>
      </c>
      <c r="BX9" s="609"/>
      <c r="BY9" s="607"/>
      <c r="BZ9" s="608">
        <f t="shared" si="8"/>
        <v>0</v>
      </c>
      <c r="CA9" s="609"/>
      <c r="CB9" s="607"/>
      <c r="CC9" s="608">
        <f t="shared" si="9"/>
        <v>0</v>
      </c>
      <c r="CD9" s="609"/>
      <c r="CE9" s="607"/>
      <c r="CF9" s="608">
        <f t="shared" si="10"/>
        <v>0</v>
      </c>
      <c r="CG9" s="609"/>
      <c r="CH9" s="607"/>
      <c r="CI9" s="608">
        <f t="shared" si="11"/>
        <v>0</v>
      </c>
      <c r="CJ9" s="609"/>
      <c r="CK9" s="607"/>
      <c r="CL9" s="608">
        <f t="shared" si="12"/>
        <v>0</v>
      </c>
      <c r="CM9" s="609"/>
      <c r="CN9" s="607"/>
      <c r="CO9" s="608">
        <f t="shared" si="13"/>
        <v>0</v>
      </c>
      <c r="CP9" s="609"/>
      <c r="CQ9" s="607"/>
      <c r="CR9" s="608">
        <f t="shared" si="14"/>
        <v>0</v>
      </c>
      <c r="CS9" s="609"/>
      <c r="CT9" s="607"/>
      <c r="CU9" s="608">
        <f t="shared" si="15"/>
        <v>0</v>
      </c>
      <c r="CV9" s="609"/>
      <c r="CW9" s="607"/>
      <c r="CX9" s="608">
        <f t="shared" si="16"/>
        <v>0</v>
      </c>
      <c r="CY9" s="609"/>
      <c r="CZ9" s="607"/>
      <c r="DA9" s="608">
        <f t="shared" si="17"/>
        <v>0</v>
      </c>
      <c r="DB9" s="609"/>
      <c r="DC9" s="607"/>
      <c r="DD9" s="608">
        <f t="shared" si="18"/>
        <v>0</v>
      </c>
      <c r="DE9" s="609"/>
      <c r="DF9" s="607"/>
      <c r="DG9" s="608">
        <f t="shared" si="39"/>
        <v>0</v>
      </c>
      <c r="DH9" s="609"/>
      <c r="DI9" s="607"/>
      <c r="DJ9" s="608">
        <f t="shared" si="40"/>
        <v>0</v>
      </c>
      <c r="DK9" s="609"/>
      <c r="DL9" s="607"/>
      <c r="DM9" s="608">
        <f t="shared" si="41"/>
        <v>0</v>
      </c>
      <c r="DN9" s="609"/>
      <c r="DO9" s="607"/>
      <c r="DP9" s="608">
        <f t="shared" si="42"/>
        <v>0</v>
      </c>
      <c r="DQ9" s="609"/>
      <c r="DR9" s="607"/>
      <c r="DS9" s="608">
        <f t="shared" si="43"/>
        <v>0</v>
      </c>
      <c r="DT9" s="609"/>
      <c r="DU9" s="607"/>
      <c r="DV9" s="608">
        <f t="shared" si="44"/>
        <v>0</v>
      </c>
      <c r="DW9" s="609"/>
      <c r="DX9" s="607"/>
      <c r="DY9" s="608">
        <f t="shared" si="45"/>
        <v>0</v>
      </c>
      <c r="DZ9" s="609"/>
      <c r="EA9" s="607"/>
      <c r="EB9" s="608">
        <f t="shared" si="46"/>
        <v>0</v>
      </c>
      <c r="EC9" s="609"/>
      <c r="ED9" s="611"/>
      <c r="EE9" s="608">
        <f t="shared" si="47"/>
        <v>0</v>
      </c>
      <c r="EF9" s="609"/>
      <c r="EG9" s="611"/>
      <c r="EH9" s="608">
        <f t="shared" si="48"/>
        <v>0</v>
      </c>
      <c r="EI9" s="609"/>
      <c r="EJ9" s="611"/>
      <c r="EK9" s="608">
        <f t="shared" si="49"/>
        <v>0</v>
      </c>
      <c r="EL9" s="609"/>
      <c r="EM9" s="611"/>
      <c r="EN9" s="608">
        <f t="shared" si="50"/>
        <v>0</v>
      </c>
      <c r="EO9" s="609"/>
      <c r="EP9" s="611"/>
      <c r="EQ9" s="608">
        <f t="shared" si="51"/>
        <v>0</v>
      </c>
      <c r="ER9" s="609"/>
      <c r="ES9" s="607"/>
      <c r="ET9" s="608">
        <f t="shared" ref="ET9:ET36" si="54">EU$3*EU$4*216*24*60*ES9/9000000</f>
        <v>0</v>
      </c>
      <c r="EU9" s="610"/>
      <c r="EV9" s="607"/>
      <c r="EW9" s="608">
        <f t="shared" ref="EW9:EW36" si="55">EX$3*EX$4*216*24*60*EV9/9000000</f>
        <v>0</v>
      </c>
      <c r="EX9" s="610"/>
      <c r="EY9" s="607"/>
      <c r="EZ9" s="608">
        <f t="shared" si="19"/>
        <v>0</v>
      </c>
      <c r="FA9" s="610"/>
      <c r="FB9" s="607"/>
      <c r="FC9" s="608">
        <f t="shared" si="20"/>
        <v>0</v>
      </c>
      <c r="FD9" s="610"/>
      <c r="FE9" s="607"/>
      <c r="FF9" s="608">
        <f t="shared" si="21"/>
        <v>0</v>
      </c>
      <c r="FG9" s="610"/>
      <c r="FH9" s="607"/>
      <c r="FI9" s="608">
        <f t="shared" si="52"/>
        <v>0</v>
      </c>
      <c r="FJ9" s="610"/>
      <c r="FK9" s="607"/>
      <c r="FL9" s="608">
        <f t="shared" si="22"/>
        <v>0</v>
      </c>
      <c r="FM9" s="610"/>
      <c r="FN9" s="611"/>
      <c r="FO9" s="608">
        <f t="shared" si="23"/>
        <v>0</v>
      </c>
      <c r="FP9" s="610"/>
      <c r="FQ9" s="607"/>
      <c r="FR9" s="608">
        <f t="shared" si="24"/>
        <v>0</v>
      </c>
      <c r="FS9" s="610"/>
      <c r="FT9" s="607"/>
      <c r="FU9" s="608">
        <f t="shared" si="53"/>
        <v>0</v>
      </c>
      <c r="FV9" s="610"/>
      <c r="FW9" s="611"/>
      <c r="FX9" s="608">
        <f t="shared" si="25"/>
        <v>0</v>
      </c>
      <c r="FY9" s="610"/>
      <c r="FZ9" s="611"/>
      <c r="GA9" s="608">
        <f t="shared" si="26"/>
        <v>0</v>
      </c>
      <c r="GB9" s="610"/>
      <c r="GC9" s="607"/>
      <c r="GD9" s="608">
        <f t="shared" si="27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8"/>
        <v>0</v>
      </c>
      <c r="GK9" s="64"/>
      <c r="GL9" s="612">
        <f t="shared" si="29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0"/>
        <v>1045.0944</v>
      </c>
      <c r="D10" s="609">
        <v>840</v>
      </c>
      <c r="E10" s="611">
        <v>1</v>
      </c>
      <c r="F10" s="608">
        <f t="shared" ref="F10:F36" si="56">G$3*G$4*216*24*60*E10/9000000</f>
        <v>914.11199999999997</v>
      </c>
      <c r="G10" s="609">
        <v>1200</v>
      </c>
      <c r="H10" s="611"/>
      <c r="I10" s="608">
        <f t="shared" ref="I10:I11" si="57">J$3*J$4*216*24*60*H10/9000000</f>
        <v>0</v>
      </c>
      <c r="J10" s="609"/>
      <c r="K10" s="611">
        <v>1</v>
      </c>
      <c r="L10" s="608">
        <f t="shared" ref="L10:L40" si="58">M$3*M$4*216*24*60*K10/9000000</f>
        <v>1451.52</v>
      </c>
      <c r="M10" s="609"/>
      <c r="N10" s="611">
        <v>0</v>
      </c>
      <c r="O10" s="608">
        <f t="shared" ref="O10:O40" si="59">P$3*P$4*216*24*60*N10/9000000</f>
        <v>0</v>
      </c>
      <c r="P10" s="609"/>
      <c r="Q10" s="611"/>
      <c r="R10" s="608">
        <f>S$3*S$4*216*24*60*Q10/9000000</f>
        <v>0</v>
      </c>
      <c r="S10" s="609"/>
      <c r="T10" s="611">
        <v>1</v>
      </c>
      <c r="U10" s="608">
        <f t="shared" ref="U10:U36" si="60">V$3*V$4*216*24*60*T10/9000000</f>
        <v>2965.248</v>
      </c>
      <c r="V10" s="609">
        <v>2822</v>
      </c>
      <c r="W10" s="611">
        <v>1</v>
      </c>
      <c r="X10" s="608">
        <f t="shared" ref="X10:X36" si="61">Y$3*Y$4*216*24*60*W10/9000000</f>
        <v>1472.2560000000001</v>
      </c>
      <c r="Y10" s="609">
        <v>1500</v>
      </c>
      <c r="Z10" s="611">
        <v>1</v>
      </c>
      <c r="AA10" s="608">
        <f>AB$3*AB$4*216*24*60*Z10/9000000</f>
        <v>3189.8879999999999</v>
      </c>
      <c r="AB10" s="609">
        <v>2850</v>
      </c>
      <c r="AC10" s="611">
        <v>0</v>
      </c>
      <c r="AD10" s="608">
        <f t="shared" si="0"/>
        <v>0</v>
      </c>
      <c r="AE10" s="609"/>
      <c r="AF10" s="607">
        <v>0</v>
      </c>
      <c r="AG10" s="608">
        <f t="shared" si="1"/>
        <v>0</v>
      </c>
      <c r="AH10" s="609"/>
      <c r="AI10" s="611">
        <v>0</v>
      </c>
      <c r="AJ10" s="608">
        <f t="shared" si="2"/>
        <v>0</v>
      </c>
      <c r="AK10" s="609"/>
      <c r="AL10" s="611"/>
      <c r="AM10" s="608">
        <f t="shared" si="3"/>
        <v>0</v>
      </c>
      <c r="AN10" s="609"/>
      <c r="AO10" s="611"/>
      <c r="AP10" s="608">
        <f t="shared" si="4"/>
        <v>0</v>
      </c>
      <c r="AQ10" s="610"/>
      <c r="AR10" s="611"/>
      <c r="AS10" s="608">
        <f t="shared" si="31"/>
        <v>0</v>
      </c>
      <c r="AT10" s="609"/>
      <c r="AU10" s="611"/>
      <c r="AV10" s="608">
        <f t="shared" si="32"/>
        <v>0</v>
      </c>
      <c r="AW10" s="609"/>
      <c r="AX10" s="607"/>
      <c r="AY10" s="608">
        <f t="shared" si="33"/>
        <v>0</v>
      </c>
      <c r="AZ10" s="609"/>
      <c r="BA10" s="607"/>
      <c r="BB10" s="608">
        <f t="shared" si="34"/>
        <v>0</v>
      </c>
      <c r="BC10" s="609"/>
      <c r="BD10" s="611"/>
      <c r="BE10" s="608">
        <f t="shared" si="35"/>
        <v>0</v>
      </c>
      <c r="BF10" s="609"/>
      <c r="BG10" s="611"/>
      <c r="BH10" s="608">
        <f t="shared" si="36"/>
        <v>0</v>
      </c>
      <c r="BI10" s="609"/>
      <c r="BJ10" s="611"/>
      <c r="BK10" s="608">
        <f t="shared" ref="BK10:BK28" si="62">BL$3*BL$4*216*24*60*BJ10/9000000</f>
        <v>0</v>
      </c>
      <c r="BL10" s="609"/>
      <c r="BM10" s="611"/>
      <c r="BN10" s="608">
        <f t="shared" ref="BN10:BN28" si="63">BO$3*BO$4*216*24*60*BM10/9000000</f>
        <v>0</v>
      </c>
      <c r="BO10" s="609"/>
      <c r="BP10" s="607"/>
      <c r="BQ10" s="608">
        <f t="shared" ref="BQ10:BQ36" si="64">BR$3*BR$4*216*24*60*BP10/9000000</f>
        <v>0</v>
      </c>
      <c r="BR10" s="609"/>
      <c r="BS10" s="607"/>
      <c r="BT10" s="608">
        <f t="shared" ref="BT10:BT36" si="65">BU$3*BU$4*216*24*60*BS10/9000000</f>
        <v>0</v>
      </c>
      <c r="BU10" s="609"/>
      <c r="BV10" s="611"/>
      <c r="BW10" s="608">
        <f t="shared" si="7"/>
        <v>0</v>
      </c>
      <c r="BX10" s="609"/>
      <c r="BY10" s="607"/>
      <c r="BZ10" s="608">
        <f t="shared" si="8"/>
        <v>0</v>
      </c>
      <c r="CA10" s="610"/>
      <c r="CB10" s="607"/>
      <c r="CC10" s="608">
        <f t="shared" si="9"/>
        <v>0</v>
      </c>
      <c r="CD10" s="610"/>
      <c r="CE10" s="607"/>
      <c r="CF10" s="608">
        <f t="shared" si="10"/>
        <v>0</v>
      </c>
      <c r="CG10" s="610"/>
      <c r="CH10" s="607"/>
      <c r="CI10" s="608">
        <f t="shared" si="11"/>
        <v>0</v>
      </c>
      <c r="CJ10" s="610"/>
      <c r="CK10" s="607"/>
      <c r="CL10" s="608">
        <f t="shared" si="12"/>
        <v>0</v>
      </c>
      <c r="CM10" s="610"/>
      <c r="CN10" s="607"/>
      <c r="CO10" s="608">
        <f t="shared" si="13"/>
        <v>0</v>
      </c>
      <c r="CP10" s="610"/>
      <c r="CQ10" s="607"/>
      <c r="CR10" s="608">
        <f t="shared" si="14"/>
        <v>0</v>
      </c>
      <c r="CS10" s="610"/>
      <c r="CT10" s="607"/>
      <c r="CU10" s="608">
        <f t="shared" si="15"/>
        <v>0</v>
      </c>
      <c r="CV10" s="610"/>
      <c r="CW10" s="607"/>
      <c r="CX10" s="608">
        <f t="shared" si="16"/>
        <v>0</v>
      </c>
      <c r="CY10" s="610"/>
      <c r="CZ10" s="607"/>
      <c r="DA10" s="608">
        <f t="shared" si="17"/>
        <v>0</v>
      </c>
      <c r="DB10" s="610"/>
      <c r="DC10" s="607"/>
      <c r="DD10" s="608">
        <f t="shared" si="18"/>
        <v>0</v>
      </c>
      <c r="DE10" s="610"/>
      <c r="DF10" s="607"/>
      <c r="DG10" s="608">
        <f t="shared" si="39"/>
        <v>0</v>
      </c>
      <c r="DH10" s="609"/>
      <c r="DI10" s="607"/>
      <c r="DJ10" s="608">
        <f t="shared" si="40"/>
        <v>0</v>
      </c>
      <c r="DK10" s="609"/>
      <c r="DL10" s="607"/>
      <c r="DM10" s="608">
        <f t="shared" si="41"/>
        <v>0</v>
      </c>
      <c r="DN10" s="609"/>
      <c r="DO10" s="607"/>
      <c r="DP10" s="608">
        <f t="shared" si="42"/>
        <v>0</v>
      </c>
      <c r="DQ10" s="609"/>
      <c r="DR10" s="607"/>
      <c r="DS10" s="608">
        <f t="shared" si="43"/>
        <v>0</v>
      </c>
      <c r="DT10" s="609"/>
      <c r="DU10" s="607"/>
      <c r="DV10" s="608">
        <f t="shared" si="44"/>
        <v>0</v>
      </c>
      <c r="DW10" s="609"/>
      <c r="DX10" s="607"/>
      <c r="DY10" s="608">
        <f t="shared" si="45"/>
        <v>0</v>
      </c>
      <c r="DZ10" s="609"/>
      <c r="EA10" s="607"/>
      <c r="EB10" s="608">
        <f t="shared" si="46"/>
        <v>0</v>
      </c>
      <c r="EC10" s="609"/>
      <c r="ED10" s="607"/>
      <c r="EE10" s="608">
        <f t="shared" si="47"/>
        <v>0</v>
      </c>
      <c r="EF10" s="609"/>
      <c r="EG10" s="611"/>
      <c r="EH10" s="608">
        <f t="shared" si="48"/>
        <v>0</v>
      </c>
      <c r="EI10" s="609"/>
      <c r="EJ10" s="611"/>
      <c r="EK10" s="608">
        <f t="shared" si="49"/>
        <v>0</v>
      </c>
      <c r="EL10" s="609"/>
      <c r="EM10" s="611"/>
      <c r="EN10" s="608">
        <f t="shared" si="50"/>
        <v>0</v>
      </c>
      <c r="EO10" s="609"/>
      <c r="EP10" s="611"/>
      <c r="EQ10" s="608">
        <f t="shared" si="51"/>
        <v>0</v>
      </c>
      <c r="ER10" s="609"/>
      <c r="ES10" s="607"/>
      <c r="ET10" s="608">
        <f t="shared" si="54"/>
        <v>0</v>
      </c>
      <c r="EU10" s="610"/>
      <c r="EV10" s="607"/>
      <c r="EW10" s="608">
        <f t="shared" si="55"/>
        <v>0</v>
      </c>
      <c r="EX10" s="610"/>
      <c r="EY10" s="607"/>
      <c r="EZ10" s="608">
        <f t="shared" si="19"/>
        <v>0</v>
      </c>
      <c r="FA10" s="610"/>
      <c r="FB10" s="607"/>
      <c r="FC10" s="608">
        <f t="shared" si="20"/>
        <v>0</v>
      </c>
      <c r="FD10" s="610"/>
      <c r="FE10" s="607"/>
      <c r="FF10" s="608">
        <f t="shared" si="21"/>
        <v>0</v>
      </c>
      <c r="FG10" s="610"/>
      <c r="FH10" s="607"/>
      <c r="FI10" s="608">
        <f t="shared" si="52"/>
        <v>0</v>
      </c>
      <c r="FJ10" s="610"/>
      <c r="FK10" s="607"/>
      <c r="FL10" s="608">
        <f t="shared" si="22"/>
        <v>0</v>
      </c>
      <c r="FM10" s="610"/>
      <c r="FN10" s="611"/>
      <c r="FO10" s="608">
        <f t="shared" si="23"/>
        <v>0</v>
      </c>
      <c r="FP10" s="610"/>
      <c r="FQ10" s="607"/>
      <c r="FR10" s="608">
        <f t="shared" si="24"/>
        <v>0</v>
      </c>
      <c r="FS10" s="610"/>
      <c r="FT10" s="607"/>
      <c r="FU10" s="608">
        <f t="shared" si="53"/>
        <v>0</v>
      </c>
      <c r="FV10" s="610"/>
      <c r="FW10" s="611"/>
      <c r="FX10" s="608">
        <f t="shared" si="25"/>
        <v>0</v>
      </c>
      <c r="FY10" s="610"/>
      <c r="FZ10" s="611"/>
      <c r="GA10" s="608">
        <f t="shared" si="26"/>
        <v>0</v>
      </c>
      <c r="GB10" s="610"/>
      <c r="GC10" s="607"/>
      <c r="GD10" s="608">
        <f t="shared" si="27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8"/>
        <v>0</v>
      </c>
      <c r="GK10" s="64"/>
      <c r="GL10" s="612">
        <f t="shared" si="29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0"/>
        <v>1045.0944</v>
      </c>
      <c r="D11" s="609"/>
      <c r="E11" s="611">
        <v>1</v>
      </c>
      <c r="F11" s="608">
        <f t="shared" si="56"/>
        <v>914.11199999999997</v>
      </c>
      <c r="G11" s="609"/>
      <c r="H11" s="611"/>
      <c r="I11" s="608">
        <f t="shared" si="57"/>
        <v>0</v>
      </c>
      <c r="J11" s="609"/>
      <c r="K11" s="611">
        <v>1</v>
      </c>
      <c r="L11" s="608">
        <f t="shared" si="58"/>
        <v>1451.52</v>
      </c>
      <c r="M11" s="609">
        <v>1920</v>
      </c>
      <c r="N11" s="611">
        <v>0</v>
      </c>
      <c r="O11" s="608">
        <f t="shared" si="59"/>
        <v>0</v>
      </c>
      <c r="P11" s="609"/>
      <c r="Q11" s="611"/>
      <c r="R11" s="608">
        <f t="shared" ref="R11:R36" si="66">S$3*S$4*216*24*60*Q11/9000000</f>
        <v>0</v>
      </c>
      <c r="S11" s="609"/>
      <c r="T11" s="611">
        <v>1</v>
      </c>
      <c r="U11" s="608">
        <f t="shared" si="60"/>
        <v>2965.248</v>
      </c>
      <c r="V11" s="609">
        <v>2250</v>
      </c>
      <c r="W11" s="611">
        <v>1</v>
      </c>
      <c r="X11" s="608">
        <f t="shared" si="61"/>
        <v>1472.2560000000001</v>
      </c>
      <c r="Y11" s="609">
        <v>600</v>
      </c>
      <c r="Z11" s="611">
        <v>1</v>
      </c>
      <c r="AA11" s="608">
        <f t="shared" ref="AA11:AA36" si="67">AB$3*AB$4*216*24*60*Z11/9000000</f>
        <v>3189.8879999999999</v>
      </c>
      <c r="AB11" s="609">
        <v>1500</v>
      </c>
      <c r="AC11" s="611">
        <v>0</v>
      </c>
      <c r="AD11" s="608">
        <f t="shared" si="0"/>
        <v>0</v>
      </c>
      <c r="AE11" s="609"/>
      <c r="AF11" s="607">
        <v>0</v>
      </c>
      <c r="AG11" s="608">
        <f t="shared" si="1"/>
        <v>0</v>
      </c>
      <c r="AH11" s="609"/>
      <c r="AI11" s="611">
        <v>0</v>
      </c>
      <c r="AJ11" s="608">
        <f t="shared" si="2"/>
        <v>0</v>
      </c>
      <c r="AK11" s="610"/>
      <c r="AL11" s="611"/>
      <c r="AM11" s="608">
        <f t="shared" si="3"/>
        <v>0</v>
      </c>
      <c r="AN11" s="610"/>
      <c r="AO11" s="611"/>
      <c r="AP11" s="608">
        <f t="shared" si="4"/>
        <v>0</v>
      </c>
      <c r="AQ11" s="610"/>
      <c r="AR11" s="611"/>
      <c r="AS11" s="608">
        <f t="shared" si="31"/>
        <v>0</v>
      </c>
      <c r="AT11" s="610"/>
      <c r="AU11" s="611"/>
      <c r="AV11" s="608">
        <f t="shared" si="32"/>
        <v>0</v>
      </c>
      <c r="AW11" s="609"/>
      <c r="AX11" s="607"/>
      <c r="AY11" s="608">
        <f t="shared" si="33"/>
        <v>0</v>
      </c>
      <c r="AZ11" s="609"/>
      <c r="BA11" s="607"/>
      <c r="BB11" s="608">
        <f t="shared" si="34"/>
        <v>0</v>
      </c>
      <c r="BC11" s="609"/>
      <c r="BD11" s="607"/>
      <c r="BE11" s="608">
        <f t="shared" si="35"/>
        <v>0</v>
      </c>
      <c r="BF11" s="609"/>
      <c r="BG11" s="607"/>
      <c r="BH11" s="608">
        <f t="shared" si="36"/>
        <v>0</v>
      </c>
      <c r="BI11" s="609"/>
      <c r="BJ11" s="611"/>
      <c r="BK11" s="608">
        <f t="shared" si="62"/>
        <v>0</v>
      </c>
      <c r="BL11" s="609"/>
      <c r="BM11" s="611"/>
      <c r="BN11" s="608">
        <f t="shared" si="63"/>
        <v>0</v>
      </c>
      <c r="BO11" s="609"/>
      <c r="BP11" s="607"/>
      <c r="BQ11" s="608">
        <f t="shared" si="64"/>
        <v>0</v>
      </c>
      <c r="BR11" s="609"/>
      <c r="BS11" s="607"/>
      <c r="BT11" s="608">
        <f t="shared" si="65"/>
        <v>0</v>
      </c>
      <c r="BU11" s="609"/>
      <c r="BV11" s="611"/>
      <c r="BW11" s="608">
        <f t="shared" si="7"/>
        <v>0</v>
      </c>
      <c r="BX11" s="609"/>
      <c r="BY11" s="607"/>
      <c r="BZ11" s="608">
        <f t="shared" si="8"/>
        <v>0</v>
      </c>
      <c r="CA11" s="610"/>
      <c r="CB11" s="607"/>
      <c r="CC11" s="608">
        <f t="shared" si="9"/>
        <v>0</v>
      </c>
      <c r="CD11" s="610"/>
      <c r="CE11" s="607"/>
      <c r="CF11" s="608">
        <f t="shared" si="10"/>
        <v>0</v>
      </c>
      <c r="CG11" s="610"/>
      <c r="CH11" s="607"/>
      <c r="CI11" s="608">
        <f t="shared" si="11"/>
        <v>0</v>
      </c>
      <c r="CJ11" s="610"/>
      <c r="CK11" s="607"/>
      <c r="CL11" s="608">
        <f t="shared" si="12"/>
        <v>0</v>
      </c>
      <c r="CM11" s="610"/>
      <c r="CN11" s="607"/>
      <c r="CO11" s="608">
        <f t="shared" si="13"/>
        <v>0</v>
      </c>
      <c r="CP11" s="610"/>
      <c r="CQ11" s="607"/>
      <c r="CR11" s="608">
        <f t="shared" si="14"/>
        <v>0</v>
      </c>
      <c r="CS11" s="610"/>
      <c r="CT11" s="607"/>
      <c r="CU11" s="608">
        <f t="shared" si="15"/>
        <v>0</v>
      </c>
      <c r="CV11" s="610"/>
      <c r="CW11" s="607"/>
      <c r="CX11" s="608">
        <f t="shared" si="16"/>
        <v>0</v>
      </c>
      <c r="CY11" s="610"/>
      <c r="CZ11" s="607"/>
      <c r="DA11" s="608">
        <f t="shared" si="17"/>
        <v>0</v>
      </c>
      <c r="DB11" s="610"/>
      <c r="DC11" s="607"/>
      <c r="DD11" s="608">
        <f t="shared" si="18"/>
        <v>0</v>
      </c>
      <c r="DE11" s="610"/>
      <c r="DF11" s="607"/>
      <c r="DG11" s="608">
        <f t="shared" si="39"/>
        <v>0</v>
      </c>
      <c r="DH11" s="609"/>
      <c r="DI11" s="607"/>
      <c r="DJ11" s="608">
        <f t="shared" si="40"/>
        <v>0</v>
      </c>
      <c r="DK11" s="609"/>
      <c r="DL11" s="607"/>
      <c r="DM11" s="608">
        <f t="shared" si="41"/>
        <v>0</v>
      </c>
      <c r="DN11" s="609"/>
      <c r="DO11" s="607"/>
      <c r="DP11" s="608">
        <f t="shared" si="42"/>
        <v>0</v>
      </c>
      <c r="DQ11" s="609"/>
      <c r="DR11" s="607"/>
      <c r="DS11" s="608">
        <f t="shared" si="43"/>
        <v>0</v>
      </c>
      <c r="DT11" s="609"/>
      <c r="DU11" s="607"/>
      <c r="DV11" s="608">
        <f t="shared" si="44"/>
        <v>0</v>
      </c>
      <c r="DW11" s="609"/>
      <c r="DX11" s="607"/>
      <c r="DY11" s="608">
        <f t="shared" si="45"/>
        <v>0</v>
      </c>
      <c r="DZ11" s="609"/>
      <c r="EA11" s="607"/>
      <c r="EB11" s="608">
        <f t="shared" si="46"/>
        <v>0</v>
      </c>
      <c r="EC11" s="609"/>
      <c r="ED11" s="607"/>
      <c r="EE11" s="608">
        <f t="shared" si="47"/>
        <v>0</v>
      </c>
      <c r="EF11" s="609"/>
      <c r="EG11" s="611"/>
      <c r="EH11" s="608">
        <f t="shared" si="48"/>
        <v>0</v>
      </c>
      <c r="EI11" s="609"/>
      <c r="EJ11" s="611"/>
      <c r="EK11" s="608">
        <f t="shared" si="49"/>
        <v>0</v>
      </c>
      <c r="EL11" s="609"/>
      <c r="EM11" s="611"/>
      <c r="EN11" s="608">
        <f t="shared" si="50"/>
        <v>0</v>
      </c>
      <c r="EO11" s="609"/>
      <c r="EP11" s="611"/>
      <c r="EQ11" s="608">
        <f t="shared" si="51"/>
        <v>0</v>
      </c>
      <c r="ER11" s="609"/>
      <c r="ES11" s="607"/>
      <c r="ET11" s="608">
        <f t="shared" si="54"/>
        <v>0</v>
      </c>
      <c r="EU11" s="610"/>
      <c r="EV11" s="611"/>
      <c r="EW11" s="608">
        <f t="shared" si="55"/>
        <v>0</v>
      </c>
      <c r="EX11" s="610"/>
      <c r="EY11" s="607"/>
      <c r="EZ11" s="608">
        <f t="shared" si="19"/>
        <v>0</v>
      </c>
      <c r="FA11" s="610"/>
      <c r="FB11" s="611"/>
      <c r="FC11" s="608">
        <f t="shared" si="20"/>
        <v>0</v>
      </c>
      <c r="FD11" s="610"/>
      <c r="FE11" s="611"/>
      <c r="FF11" s="608">
        <f t="shared" si="21"/>
        <v>0</v>
      </c>
      <c r="FG11" s="610"/>
      <c r="FH11" s="607"/>
      <c r="FI11" s="608">
        <f t="shared" si="52"/>
        <v>0</v>
      </c>
      <c r="FJ11" s="610"/>
      <c r="FK11" s="607"/>
      <c r="FL11" s="608">
        <f t="shared" si="22"/>
        <v>0</v>
      </c>
      <c r="FM11" s="610"/>
      <c r="FN11" s="611"/>
      <c r="FO11" s="608">
        <f t="shared" si="23"/>
        <v>0</v>
      </c>
      <c r="FP11" s="610"/>
      <c r="FQ11" s="607"/>
      <c r="FR11" s="608">
        <f t="shared" si="24"/>
        <v>0</v>
      </c>
      <c r="FS11" s="610"/>
      <c r="FT11" s="607"/>
      <c r="FU11" s="608">
        <f t="shared" si="53"/>
        <v>0</v>
      </c>
      <c r="FV11" s="610"/>
      <c r="FW11" s="611"/>
      <c r="FX11" s="608">
        <f t="shared" si="25"/>
        <v>0</v>
      </c>
      <c r="FY11" s="610"/>
      <c r="FZ11" s="611"/>
      <c r="GA11" s="608">
        <f t="shared" si="26"/>
        <v>0</v>
      </c>
      <c r="GB11" s="610"/>
      <c r="GC11" s="607"/>
      <c r="GD11" s="608">
        <f t="shared" si="27"/>
        <v>0</v>
      </c>
      <c r="GE11" s="610"/>
      <c r="GF11" s="607"/>
      <c r="GG11" s="608">
        <f t="shared" ref="GG11:GG36" si="68">GH$3*GH$4*216*24*60*GF11/9000000</f>
        <v>0</v>
      </c>
      <c r="GH11" s="610"/>
      <c r="GI11" s="607"/>
      <c r="GJ11" s="608">
        <f t="shared" si="28"/>
        <v>0</v>
      </c>
      <c r="GK11" s="64"/>
      <c r="GL11" s="612">
        <f t="shared" si="29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>
      <c r="A12" s="606">
        <v>7</v>
      </c>
      <c r="B12" s="611">
        <v>1</v>
      </c>
      <c r="C12" s="608">
        <f t="shared" si="30"/>
        <v>1045.0944</v>
      </c>
      <c r="D12" s="609">
        <v>2147</v>
      </c>
      <c r="E12" s="611">
        <v>1</v>
      </c>
      <c r="F12" s="608">
        <f t="shared" si="56"/>
        <v>914.11199999999997</v>
      </c>
      <c r="G12" s="609">
        <v>1680</v>
      </c>
      <c r="H12" s="611"/>
      <c r="I12" s="608">
        <f t="shared" ref="I12:I36" si="69">J$3*J$4*216*24*60*H12/9000000</f>
        <v>0</v>
      </c>
      <c r="J12" s="609"/>
      <c r="K12" s="611">
        <v>1</v>
      </c>
      <c r="L12" s="608">
        <f t="shared" si="58"/>
        <v>1451.52</v>
      </c>
      <c r="M12" s="609">
        <v>1308</v>
      </c>
      <c r="N12" s="611">
        <v>0</v>
      </c>
      <c r="O12" s="608">
        <f t="shared" si="59"/>
        <v>0</v>
      </c>
      <c r="P12" s="609"/>
      <c r="Q12" s="611"/>
      <c r="R12" s="608">
        <f t="shared" si="66"/>
        <v>0</v>
      </c>
      <c r="S12" s="609"/>
      <c r="T12" s="611">
        <v>1</v>
      </c>
      <c r="U12" s="608">
        <f t="shared" si="60"/>
        <v>2965.248</v>
      </c>
      <c r="V12" s="609">
        <v>2850</v>
      </c>
      <c r="W12" s="611">
        <v>1</v>
      </c>
      <c r="X12" s="608">
        <f t="shared" si="61"/>
        <v>1472.2560000000001</v>
      </c>
      <c r="Y12" s="609">
        <v>750</v>
      </c>
      <c r="Z12" s="611">
        <v>1</v>
      </c>
      <c r="AA12" s="608">
        <f t="shared" si="67"/>
        <v>3189.8879999999999</v>
      </c>
      <c r="AB12" s="609">
        <v>3750</v>
      </c>
      <c r="AC12" s="611">
        <v>0</v>
      </c>
      <c r="AD12" s="608">
        <f t="shared" si="0"/>
        <v>0</v>
      </c>
      <c r="AE12" s="609"/>
      <c r="AF12" s="607">
        <v>0</v>
      </c>
      <c r="AG12" s="608">
        <f t="shared" si="1"/>
        <v>0</v>
      </c>
      <c r="AH12" s="609"/>
      <c r="AI12" s="607">
        <v>0</v>
      </c>
      <c r="AJ12" s="608">
        <f t="shared" si="2"/>
        <v>0</v>
      </c>
      <c r="AK12" s="609"/>
      <c r="AL12" s="611"/>
      <c r="AM12" s="608">
        <f t="shared" si="3"/>
        <v>0</v>
      </c>
      <c r="AN12" s="609"/>
      <c r="AO12" s="611"/>
      <c r="AP12" s="608">
        <f t="shared" si="4"/>
        <v>0</v>
      </c>
      <c r="AQ12" s="610"/>
      <c r="AR12" s="611"/>
      <c r="AS12" s="608">
        <f t="shared" si="31"/>
        <v>0</v>
      </c>
      <c r="AT12" s="609"/>
      <c r="AU12" s="611"/>
      <c r="AV12" s="608">
        <f t="shared" si="32"/>
        <v>0</v>
      </c>
      <c r="AW12" s="610"/>
      <c r="AX12" s="611"/>
      <c r="AY12" s="608">
        <f t="shared" si="33"/>
        <v>0</v>
      </c>
      <c r="AZ12" s="609"/>
      <c r="BA12" s="611"/>
      <c r="BB12" s="608">
        <f t="shared" si="34"/>
        <v>0</v>
      </c>
      <c r="BC12" s="609"/>
      <c r="BD12" s="607"/>
      <c r="BE12" s="608">
        <f t="shared" si="35"/>
        <v>0</v>
      </c>
      <c r="BF12" s="609"/>
      <c r="BG12" s="607"/>
      <c r="BH12" s="608">
        <f t="shared" si="36"/>
        <v>0</v>
      </c>
      <c r="BI12" s="609"/>
      <c r="BJ12" s="607"/>
      <c r="BK12" s="608">
        <f t="shared" si="62"/>
        <v>0</v>
      </c>
      <c r="BL12" s="610"/>
      <c r="BM12" s="607"/>
      <c r="BN12" s="608">
        <f t="shared" si="63"/>
        <v>0</v>
      </c>
      <c r="BO12" s="610"/>
      <c r="BP12" s="607"/>
      <c r="BQ12" s="608">
        <f t="shared" si="64"/>
        <v>0</v>
      </c>
      <c r="BR12" s="609"/>
      <c r="BS12" s="607"/>
      <c r="BT12" s="608">
        <f t="shared" si="65"/>
        <v>0</v>
      </c>
      <c r="BU12" s="609"/>
      <c r="BV12" s="611"/>
      <c r="BW12" s="608">
        <f t="shared" si="7"/>
        <v>0</v>
      </c>
      <c r="BX12" s="609"/>
      <c r="BY12" s="607"/>
      <c r="BZ12" s="608">
        <f t="shared" si="8"/>
        <v>0</v>
      </c>
      <c r="CA12" s="610"/>
      <c r="CB12" s="611"/>
      <c r="CC12" s="608">
        <f t="shared" si="9"/>
        <v>0</v>
      </c>
      <c r="CD12" s="610"/>
      <c r="CE12" s="607"/>
      <c r="CF12" s="608">
        <f t="shared" si="10"/>
        <v>0</v>
      </c>
      <c r="CG12" s="610"/>
      <c r="CH12" s="607"/>
      <c r="CI12" s="608">
        <f t="shared" si="11"/>
        <v>0</v>
      </c>
      <c r="CJ12" s="610"/>
      <c r="CK12" s="607"/>
      <c r="CL12" s="608">
        <f t="shared" si="12"/>
        <v>0</v>
      </c>
      <c r="CM12" s="610"/>
      <c r="CN12" s="607"/>
      <c r="CO12" s="608">
        <f t="shared" si="13"/>
        <v>0</v>
      </c>
      <c r="CP12" s="610"/>
      <c r="CQ12" s="607"/>
      <c r="CR12" s="608">
        <f t="shared" si="14"/>
        <v>0</v>
      </c>
      <c r="CS12" s="610"/>
      <c r="CT12" s="607"/>
      <c r="CU12" s="608">
        <f t="shared" si="15"/>
        <v>0</v>
      </c>
      <c r="CV12" s="610"/>
      <c r="CW12" s="607"/>
      <c r="CX12" s="608">
        <f t="shared" si="16"/>
        <v>0</v>
      </c>
      <c r="CY12" s="610"/>
      <c r="CZ12" s="607"/>
      <c r="DA12" s="608">
        <f t="shared" si="17"/>
        <v>0</v>
      </c>
      <c r="DB12" s="610"/>
      <c r="DC12" s="607"/>
      <c r="DD12" s="608">
        <f t="shared" si="18"/>
        <v>0</v>
      </c>
      <c r="DE12" s="610"/>
      <c r="DF12" s="607"/>
      <c r="DG12" s="608">
        <f t="shared" si="39"/>
        <v>0</v>
      </c>
      <c r="DH12" s="610"/>
      <c r="DI12" s="607"/>
      <c r="DJ12" s="608">
        <f t="shared" si="40"/>
        <v>0</v>
      </c>
      <c r="DK12" s="610"/>
      <c r="DL12" s="607"/>
      <c r="DM12" s="608">
        <f t="shared" si="41"/>
        <v>0</v>
      </c>
      <c r="DN12" s="610"/>
      <c r="DO12" s="607"/>
      <c r="DP12" s="608">
        <f t="shared" si="42"/>
        <v>0</v>
      </c>
      <c r="DQ12" s="610"/>
      <c r="DR12" s="607"/>
      <c r="DS12" s="608">
        <f t="shared" si="43"/>
        <v>0</v>
      </c>
      <c r="DT12" s="610"/>
      <c r="DU12" s="607"/>
      <c r="DV12" s="608">
        <f t="shared" si="44"/>
        <v>0</v>
      </c>
      <c r="DW12" s="610"/>
      <c r="DX12" s="607"/>
      <c r="DY12" s="608">
        <f t="shared" si="45"/>
        <v>0</v>
      </c>
      <c r="DZ12" s="610"/>
      <c r="EA12" s="607"/>
      <c r="EB12" s="608">
        <f t="shared" si="46"/>
        <v>0</v>
      </c>
      <c r="EC12" s="610"/>
      <c r="ED12" s="607"/>
      <c r="EE12" s="608">
        <f t="shared" si="47"/>
        <v>0</v>
      </c>
      <c r="EF12" s="610"/>
      <c r="EG12" s="611"/>
      <c r="EH12" s="608">
        <f t="shared" si="48"/>
        <v>0</v>
      </c>
      <c r="EI12" s="610"/>
      <c r="EJ12" s="611"/>
      <c r="EK12" s="608">
        <f t="shared" si="49"/>
        <v>0</v>
      </c>
      <c r="EL12" s="610"/>
      <c r="EM12" s="611"/>
      <c r="EN12" s="608">
        <f t="shared" si="50"/>
        <v>0</v>
      </c>
      <c r="EO12" s="610"/>
      <c r="EP12" s="611"/>
      <c r="EQ12" s="608">
        <f t="shared" si="51"/>
        <v>0</v>
      </c>
      <c r="ER12" s="610"/>
      <c r="ES12" s="607"/>
      <c r="ET12" s="608">
        <f t="shared" si="54"/>
        <v>0</v>
      </c>
      <c r="EU12" s="610"/>
      <c r="EV12" s="611"/>
      <c r="EW12" s="608">
        <f t="shared" si="55"/>
        <v>0</v>
      </c>
      <c r="EX12" s="610"/>
      <c r="EY12" s="607"/>
      <c r="EZ12" s="608">
        <f t="shared" si="19"/>
        <v>0</v>
      </c>
      <c r="FA12" s="610"/>
      <c r="FB12" s="611"/>
      <c r="FC12" s="608">
        <f t="shared" si="20"/>
        <v>0</v>
      </c>
      <c r="FD12" s="610"/>
      <c r="FE12" s="611"/>
      <c r="FF12" s="608">
        <f t="shared" si="21"/>
        <v>0</v>
      </c>
      <c r="FG12" s="610"/>
      <c r="FH12" s="607"/>
      <c r="FI12" s="608">
        <f t="shared" si="52"/>
        <v>0</v>
      </c>
      <c r="FJ12" s="610"/>
      <c r="FK12" s="607"/>
      <c r="FL12" s="608">
        <f t="shared" si="22"/>
        <v>0</v>
      </c>
      <c r="FM12" s="610"/>
      <c r="FN12" s="611"/>
      <c r="FO12" s="608">
        <f t="shared" si="23"/>
        <v>0</v>
      </c>
      <c r="FP12" s="610"/>
      <c r="FQ12" s="607"/>
      <c r="FR12" s="608">
        <f t="shared" si="24"/>
        <v>0</v>
      </c>
      <c r="FS12" s="610"/>
      <c r="FT12" s="607"/>
      <c r="FU12" s="608">
        <f t="shared" si="53"/>
        <v>0</v>
      </c>
      <c r="FV12" s="610"/>
      <c r="FW12" s="611"/>
      <c r="FX12" s="608">
        <f t="shared" si="25"/>
        <v>0</v>
      </c>
      <c r="FY12" s="610"/>
      <c r="FZ12" s="611"/>
      <c r="GA12" s="608">
        <f t="shared" si="26"/>
        <v>0</v>
      </c>
      <c r="GB12" s="610"/>
      <c r="GC12" s="607"/>
      <c r="GD12" s="608">
        <f t="shared" si="27"/>
        <v>0</v>
      </c>
      <c r="GE12" s="610"/>
      <c r="GF12" s="607"/>
      <c r="GG12" s="608">
        <f t="shared" si="68"/>
        <v>0</v>
      </c>
      <c r="GH12" s="610"/>
      <c r="GI12" s="607"/>
      <c r="GJ12" s="608">
        <f t="shared" si="28"/>
        <v>0</v>
      </c>
      <c r="GK12" s="64"/>
      <c r="GL12" s="612">
        <f t="shared" si="29"/>
        <v>6</v>
      </c>
      <c r="GM12" s="613">
        <f>GL12+'33J'!BK12+'M80(20250122封存)'!CX12+MPS!AY12+TMT!CX12</f>
        <v>12.5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30"/>
        <v>1045.0944</v>
      </c>
      <c r="D13" s="617">
        <v>1440</v>
      </c>
      <c r="E13" s="607">
        <v>1</v>
      </c>
      <c r="F13" s="608">
        <f t="shared" si="56"/>
        <v>914.11199999999997</v>
      </c>
      <c r="G13" s="617">
        <v>600</v>
      </c>
      <c r="H13" s="607"/>
      <c r="I13" s="608">
        <f t="shared" si="69"/>
        <v>0</v>
      </c>
      <c r="J13" s="617"/>
      <c r="K13" s="607">
        <v>1</v>
      </c>
      <c r="L13" s="608">
        <f t="shared" si="58"/>
        <v>1451.52</v>
      </c>
      <c r="M13" s="617">
        <v>2260</v>
      </c>
      <c r="N13" s="611">
        <v>0</v>
      </c>
      <c r="O13" s="608">
        <f t="shared" si="59"/>
        <v>0</v>
      </c>
      <c r="P13" s="617"/>
      <c r="Q13" s="607"/>
      <c r="R13" s="608">
        <f t="shared" si="66"/>
        <v>0</v>
      </c>
      <c r="S13" s="617"/>
      <c r="T13" s="611">
        <v>1</v>
      </c>
      <c r="U13" s="608">
        <f t="shared" si="60"/>
        <v>2965.248</v>
      </c>
      <c r="V13" s="617">
        <v>2250</v>
      </c>
      <c r="W13" s="611">
        <v>1</v>
      </c>
      <c r="X13" s="608">
        <f t="shared" si="61"/>
        <v>1472.2560000000001</v>
      </c>
      <c r="Y13" s="617">
        <v>1500</v>
      </c>
      <c r="Z13" s="607">
        <v>1</v>
      </c>
      <c r="AA13" s="608">
        <f t="shared" si="67"/>
        <v>3189.8879999999999</v>
      </c>
      <c r="AB13" s="617">
        <v>2976</v>
      </c>
      <c r="AC13" s="611">
        <v>0</v>
      </c>
      <c r="AD13" s="608">
        <f t="shared" si="0"/>
        <v>0</v>
      </c>
      <c r="AE13" s="617"/>
      <c r="AF13" s="607">
        <v>0</v>
      </c>
      <c r="AG13" s="608">
        <f t="shared" si="1"/>
        <v>0</v>
      </c>
      <c r="AH13" s="617"/>
      <c r="AI13" s="607">
        <v>0</v>
      </c>
      <c r="AJ13" s="608">
        <f t="shared" si="2"/>
        <v>0</v>
      </c>
      <c r="AK13" s="617"/>
      <c r="AL13" s="611"/>
      <c r="AM13" s="608">
        <f t="shared" si="3"/>
        <v>0</v>
      </c>
      <c r="AN13" s="609"/>
      <c r="AO13" s="611"/>
      <c r="AP13" s="608">
        <f t="shared" si="4"/>
        <v>0</v>
      </c>
      <c r="AQ13" s="610"/>
      <c r="AR13" s="611"/>
      <c r="AS13" s="608">
        <f t="shared" si="31"/>
        <v>0</v>
      </c>
      <c r="AT13" s="617"/>
      <c r="AU13" s="607"/>
      <c r="AV13" s="608">
        <f t="shared" si="32"/>
        <v>0</v>
      </c>
      <c r="AW13" s="610"/>
      <c r="AX13" s="607"/>
      <c r="AY13" s="608">
        <f t="shared" si="33"/>
        <v>0</v>
      </c>
      <c r="AZ13" s="617"/>
      <c r="BA13" s="611"/>
      <c r="BB13" s="608">
        <f t="shared" si="34"/>
        <v>0</v>
      </c>
      <c r="BC13" s="617"/>
      <c r="BD13" s="607"/>
      <c r="BE13" s="608">
        <f t="shared" si="35"/>
        <v>0</v>
      </c>
      <c r="BF13" s="617"/>
      <c r="BG13" s="607"/>
      <c r="BH13" s="608">
        <f t="shared" si="36"/>
        <v>0</v>
      </c>
      <c r="BI13" s="617"/>
      <c r="BJ13" s="611"/>
      <c r="BK13" s="608">
        <f t="shared" si="62"/>
        <v>0</v>
      </c>
      <c r="BL13" s="610"/>
      <c r="BM13" s="607"/>
      <c r="BN13" s="608">
        <f t="shared" si="63"/>
        <v>0</v>
      </c>
      <c r="BO13" s="610"/>
      <c r="BP13" s="611"/>
      <c r="BQ13" s="608">
        <f t="shared" si="64"/>
        <v>0</v>
      </c>
      <c r="BR13" s="617"/>
      <c r="BS13" s="607"/>
      <c r="BT13" s="608">
        <f t="shared" si="65"/>
        <v>0</v>
      </c>
      <c r="BU13" s="617"/>
      <c r="BV13" s="611"/>
      <c r="BW13" s="608">
        <f t="shared" si="7"/>
        <v>0</v>
      </c>
      <c r="BX13" s="617"/>
      <c r="BY13" s="611"/>
      <c r="BZ13" s="608">
        <f t="shared" si="8"/>
        <v>0</v>
      </c>
      <c r="CA13" s="610"/>
      <c r="CB13" s="611"/>
      <c r="CC13" s="608">
        <f t="shared" si="9"/>
        <v>0</v>
      </c>
      <c r="CD13" s="610"/>
      <c r="CE13" s="607"/>
      <c r="CF13" s="608">
        <f t="shared" si="10"/>
        <v>0</v>
      </c>
      <c r="CG13" s="610"/>
      <c r="CH13" s="611"/>
      <c r="CI13" s="608">
        <f t="shared" si="11"/>
        <v>0</v>
      </c>
      <c r="CJ13" s="610"/>
      <c r="CK13" s="607"/>
      <c r="CL13" s="608">
        <f t="shared" si="12"/>
        <v>0</v>
      </c>
      <c r="CM13" s="610"/>
      <c r="CN13" s="607"/>
      <c r="CO13" s="608">
        <f t="shared" si="13"/>
        <v>0</v>
      </c>
      <c r="CP13" s="610"/>
      <c r="CQ13" s="607"/>
      <c r="CR13" s="608">
        <f t="shared" si="14"/>
        <v>0</v>
      </c>
      <c r="CS13" s="610"/>
      <c r="CT13" s="607"/>
      <c r="CU13" s="608">
        <f t="shared" si="15"/>
        <v>0</v>
      </c>
      <c r="CV13" s="610"/>
      <c r="CW13" s="607"/>
      <c r="CX13" s="608">
        <f t="shared" si="16"/>
        <v>0</v>
      </c>
      <c r="CY13" s="610"/>
      <c r="CZ13" s="607"/>
      <c r="DA13" s="608">
        <f t="shared" si="17"/>
        <v>0</v>
      </c>
      <c r="DB13" s="610"/>
      <c r="DC13" s="607"/>
      <c r="DD13" s="608">
        <f t="shared" si="18"/>
        <v>0</v>
      </c>
      <c r="DE13" s="610"/>
      <c r="DF13" s="607"/>
      <c r="DG13" s="608">
        <f t="shared" si="39"/>
        <v>0</v>
      </c>
      <c r="DH13" s="610"/>
      <c r="DI13" s="607"/>
      <c r="DJ13" s="608">
        <f t="shared" si="40"/>
        <v>0</v>
      </c>
      <c r="DK13" s="610"/>
      <c r="DL13" s="607"/>
      <c r="DM13" s="608">
        <f t="shared" si="41"/>
        <v>0</v>
      </c>
      <c r="DN13" s="610"/>
      <c r="DO13" s="607"/>
      <c r="DP13" s="608">
        <f t="shared" si="42"/>
        <v>0</v>
      </c>
      <c r="DQ13" s="610"/>
      <c r="DR13" s="607"/>
      <c r="DS13" s="608">
        <f t="shared" si="43"/>
        <v>0</v>
      </c>
      <c r="DT13" s="610"/>
      <c r="DU13" s="607"/>
      <c r="DV13" s="608">
        <f t="shared" si="44"/>
        <v>0</v>
      </c>
      <c r="DW13" s="610"/>
      <c r="DX13" s="607"/>
      <c r="DY13" s="608">
        <f t="shared" si="45"/>
        <v>0</v>
      </c>
      <c r="DZ13" s="610"/>
      <c r="EA13" s="607"/>
      <c r="EB13" s="608">
        <f t="shared" si="46"/>
        <v>0</v>
      </c>
      <c r="EC13" s="610"/>
      <c r="ED13" s="607"/>
      <c r="EE13" s="608">
        <f t="shared" si="47"/>
        <v>0</v>
      </c>
      <c r="EF13" s="610"/>
      <c r="EG13" s="611"/>
      <c r="EH13" s="608">
        <f t="shared" si="48"/>
        <v>0</v>
      </c>
      <c r="EI13" s="610"/>
      <c r="EJ13" s="607"/>
      <c r="EK13" s="608">
        <f t="shared" si="49"/>
        <v>0</v>
      </c>
      <c r="EL13" s="610"/>
      <c r="EM13" s="611"/>
      <c r="EN13" s="608">
        <f t="shared" si="50"/>
        <v>0</v>
      </c>
      <c r="EO13" s="610"/>
      <c r="EP13" s="611"/>
      <c r="EQ13" s="608">
        <f t="shared" si="51"/>
        <v>0</v>
      </c>
      <c r="ER13" s="610"/>
      <c r="ES13" s="607"/>
      <c r="ET13" s="608">
        <f t="shared" si="54"/>
        <v>0</v>
      </c>
      <c r="EU13" s="610"/>
      <c r="EV13" s="611"/>
      <c r="EW13" s="608">
        <f t="shared" si="55"/>
        <v>0</v>
      </c>
      <c r="EX13" s="610"/>
      <c r="EY13" s="607"/>
      <c r="EZ13" s="608">
        <f t="shared" si="19"/>
        <v>0</v>
      </c>
      <c r="FA13" s="610"/>
      <c r="FB13" s="611"/>
      <c r="FC13" s="608">
        <f t="shared" si="20"/>
        <v>0</v>
      </c>
      <c r="FD13" s="610"/>
      <c r="FE13" s="611"/>
      <c r="FF13" s="608">
        <f t="shared" si="21"/>
        <v>0</v>
      </c>
      <c r="FG13" s="610"/>
      <c r="FH13" s="607"/>
      <c r="FI13" s="608">
        <f t="shared" si="52"/>
        <v>0</v>
      </c>
      <c r="FJ13" s="610"/>
      <c r="FK13" s="607"/>
      <c r="FL13" s="608">
        <f t="shared" si="22"/>
        <v>0</v>
      </c>
      <c r="FM13" s="610"/>
      <c r="FN13" s="611"/>
      <c r="FO13" s="608">
        <f t="shared" si="23"/>
        <v>0</v>
      </c>
      <c r="FP13" s="610"/>
      <c r="FQ13" s="607"/>
      <c r="FR13" s="608">
        <f t="shared" si="24"/>
        <v>0</v>
      </c>
      <c r="FS13" s="610"/>
      <c r="FT13" s="607"/>
      <c r="FU13" s="608">
        <f t="shared" si="53"/>
        <v>0</v>
      </c>
      <c r="FV13" s="610"/>
      <c r="FW13" s="611"/>
      <c r="FX13" s="608">
        <f t="shared" si="25"/>
        <v>0</v>
      </c>
      <c r="FY13" s="610"/>
      <c r="FZ13" s="611"/>
      <c r="GA13" s="608">
        <f t="shared" si="26"/>
        <v>0</v>
      </c>
      <c r="GB13" s="610"/>
      <c r="GC13" s="607"/>
      <c r="GD13" s="608">
        <f t="shared" si="27"/>
        <v>0</v>
      </c>
      <c r="GE13" s="610"/>
      <c r="GF13" s="611"/>
      <c r="GG13" s="608">
        <f t="shared" si="68"/>
        <v>0</v>
      </c>
      <c r="GH13" s="610"/>
      <c r="GI13" s="607"/>
      <c r="GJ13" s="608">
        <f t="shared" si="28"/>
        <v>0</v>
      </c>
      <c r="GK13" s="610"/>
      <c r="GL13" s="612">
        <f t="shared" si="29"/>
        <v>6</v>
      </c>
      <c r="GM13" s="613">
        <f>GL13+'33J'!BK13+'M80(20250122封存)'!CX13+MPS!AY13+TMT!CX13</f>
        <v>12.5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30"/>
        <v>1045.0944</v>
      </c>
      <c r="D14" s="617"/>
      <c r="E14" s="607">
        <v>1</v>
      </c>
      <c r="F14" s="608">
        <f t="shared" si="56"/>
        <v>914.11199999999997</v>
      </c>
      <c r="G14" s="617"/>
      <c r="H14" s="607"/>
      <c r="I14" s="608">
        <f t="shared" si="69"/>
        <v>0</v>
      </c>
      <c r="J14" s="617"/>
      <c r="K14" s="607">
        <v>0</v>
      </c>
      <c r="L14" s="608">
        <f t="shared" si="58"/>
        <v>0</v>
      </c>
      <c r="M14" s="617"/>
      <c r="N14" s="611">
        <v>1</v>
      </c>
      <c r="O14" s="608">
        <f t="shared" si="59"/>
        <v>1451.52</v>
      </c>
      <c r="P14" s="617"/>
      <c r="Q14" s="607"/>
      <c r="R14" s="608">
        <f t="shared" si="66"/>
        <v>0</v>
      </c>
      <c r="S14" s="617"/>
      <c r="T14" s="611">
        <v>1</v>
      </c>
      <c r="U14" s="608">
        <f t="shared" si="60"/>
        <v>2965.248</v>
      </c>
      <c r="V14" s="617"/>
      <c r="W14" s="611">
        <v>1</v>
      </c>
      <c r="X14" s="608">
        <f t="shared" si="61"/>
        <v>1472.2560000000001</v>
      </c>
      <c r="Y14" s="617"/>
      <c r="Z14" s="607">
        <v>1</v>
      </c>
      <c r="AA14" s="608">
        <f t="shared" si="67"/>
        <v>3189.8879999999999</v>
      </c>
      <c r="AB14" s="617"/>
      <c r="AC14" s="607">
        <v>1</v>
      </c>
      <c r="AD14" s="608">
        <f t="shared" si="0"/>
        <v>2699.136</v>
      </c>
      <c r="AE14" s="617"/>
      <c r="AF14" s="607">
        <v>0</v>
      </c>
      <c r="AG14" s="608">
        <f t="shared" si="1"/>
        <v>0</v>
      </c>
      <c r="AH14" s="617"/>
      <c r="AI14" s="607">
        <v>0</v>
      </c>
      <c r="AJ14" s="608">
        <f t="shared" si="2"/>
        <v>0</v>
      </c>
      <c r="AK14" s="617"/>
      <c r="AL14" s="611"/>
      <c r="AM14" s="608">
        <f t="shared" si="3"/>
        <v>0</v>
      </c>
      <c r="AN14" s="609"/>
      <c r="AO14" s="611"/>
      <c r="AP14" s="608">
        <f t="shared" si="4"/>
        <v>0</v>
      </c>
      <c r="AQ14" s="610"/>
      <c r="AR14" s="611"/>
      <c r="AS14" s="608">
        <f t="shared" si="31"/>
        <v>0</v>
      </c>
      <c r="AT14" s="617"/>
      <c r="AU14" s="607"/>
      <c r="AV14" s="608">
        <f t="shared" si="32"/>
        <v>0</v>
      </c>
      <c r="AW14" s="610"/>
      <c r="AX14" s="607"/>
      <c r="AY14" s="608">
        <f t="shared" si="33"/>
        <v>0</v>
      </c>
      <c r="AZ14" s="617"/>
      <c r="BA14" s="611"/>
      <c r="BB14" s="608">
        <f t="shared" si="34"/>
        <v>0</v>
      </c>
      <c r="BC14" s="617"/>
      <c r="BD14" s="607"/>
      <c r="BE14" s="608">
        <f t="shared" si="35"/>
        <v>0</v>
      </c>
      <c r="BF14" s="617"/>
      <c r="BG14" s="607"/>
      <c r="BH14" s="608">
        <f t="shared" si="36"/>
        <v>0</v>
      </c>
      <c r="BI14" s="617"/>
      <c r="BJ14" s="611"/>
      <c r="BK14" s="608">
        <f t="shared" si="62"/>
        <v>0</v>
      </c>
      <c r="BL14" s="610"/>
      <c r="BM14" s="607"/>
      <c r="BN14" s="608">
        <f t="shared" si="63"/>
        <v>0</v>
      </c>
      <c r="BO14" s="610"/>
      <c r="BP14" s="611"/>
      <c r="BQ14" s="608">
        <f t="shared" si="64"/>
        <v>0</v>
      </c>
      <c r="BR14" s="617"/>
      <c r="BS14" s="607"/>
      <c r="BT14" s="608">
        <f t="shared" si="65"/>
        <v>0</v>
      </c>
      <c r="BU14" s="617"/>
      <c r="BV14" s="611"/>
      <c r="BW14" s="608">
        <f t="shared" si="7"/>
        <v>0</v>
      </c>
      <c r="BX14" s="617"/>
      <c r="BY14" s="611"/>
      <c r="BZ14" s="608">
        <f t="shared" si="8"/>
        <v>0</v>
      </c>
      <c r="CA14" s="610"/>
      <c r="CB14" s="607"/>
      <c r="CC14" s="608">
        <f t="shared" si="9"/>
        <v>0</v>
      </c>
      <c r="CD14" s="610"/>
      <c r="CE14" s="607"/>
      <c r="CF14" s="608">
        <f t="shared" si="10"/>
        <v>0</v>
      </c>
      <c r="CG14" s="610"/>
      <c r="CH14" s="611"/>
      <c r="CI14" s="608">
        <f t="shared" si="11"/>
        <v>0</v>
      </c>
      <c r="CJ14" s="610"/>
      <c r="CK14" s="607"/>
      <c r="CL14" s="608">
        <f t="shared" si="12"/>
        <v>0</v>
      </c>
      <c r="CM14" s="610"/>
      <c r="CN14" s="607"/>
      <c r="CO14" s="608">
        <f t="shared" si="13"/>
        <v>0</v>
      </c>
      <c r="CP14" s="610"/>
      <c r="CQ14" s="607"/>
      <c r="CR14" s="608">
        <f t="shared" si="14"/>
        <v>0</v>
      </c>
      <c r="CS14" s="610"/>
      <c r="CT14" s="607"/>
      <c r="CU14" s="608">
        <f t="shared" si="15"/>
        <v>0</v>
      </c>
      <c r="CV14" s="610"/>
      <c r="CW14" s="607"/>
      <c r="CX14" s="608">
        <f t="shared" si="16"/>
        <v>0</v>
      </c>
      <c r="CY14" s="610"/>
      <c r="CZ14" s="607"/>
      <c r="DA14" s="608">
        <f t="shared" si="17"/>
        <v>0</v>
      </c>
      <c r="DB14" s="610"/>
      <c r="DC14" s="607"/>
      <c r="DD14" s="608">
        <f t="shared" si="18"/>
        <v>0</v>
      </c>
      <c r="DE14" s="610"/>
      <c r="DF14" s="607"/>
      <c r="DG14" s="608">
        <f t="shared" si="39"/>
        <v>0</v>
      </c>
      <c r="DH14" s="610"/>
      <c r="DI14" s="607"/>
      <c r="DJ14" s="608">
        <f t="shared" si="40"/>
        <v>0</v>
      </c>
      <c r="DK14" s="610"/>
      <c r="DL14" s="607"/>
      <c r="DM14" s="608">
        <f t="shared" si="41"/>
        <v>0</v>
      </c>
      <c r="DN14" s="610"/>
      <c r="DO14" s="607"/>
      <c r="DP14" s="608">
        <f t="shared" si="42"/>
        <v>0</v>
      </c>
      <c r="DQ14" s="610"/>
      <c r="DR14" s="607"/>
      <c r="DS14" s="608">
        <f t="shared" si="43"/>
        <v>0</v>
      </c>
      <c r="DT14" s="610"/>
      <c r="DU14" s="607"/>
      <c r="DV14" s="608">
        <f t="shared" si="44"/>
        <v>0</v>
      </c>
      <c r="DW14" s="610"/>
      <c r="DX14" s="607"/>
      <c r="DY14" s="608">
        <f t="shared" si="45"/>
        <v>0</v>
      </c>
      <c r="DZ14" s="610"/>
      <c r="EA14" s="607"/>
      <c r="EB14" s="608">
        <f t="shared" si="46"/>
        <v>0</v>
      </c>
      <c r="EC14" s="610"/>
      <c r="ED14" s="607"/>
      <c r="EE14" s="608">
        <f t="shared" si="47"/>
        <v>0</v>
      </c>
      <c r="EF14" s="610"/>
      <c r="EG14" s="611"/>
      <c r="EH14" s="608">
        <f t="shared" si="48"/>
        <v>0</v>
      </c>
      <c r="EI14" s="610"/>
      <c r="EJ14" s="607"/>
      <c r="EK14" s="608">
        <f t="shared" si="49"/>
        <v>0</v>
      </c>
      <c r="EL14" s="610"/>
      <c r="EM14" s="611"/>
      <c r="EN14" s="608">
        <f t="shared" si="50"/>
        <v>0</v>
      </c>
      <c r="EO14" s="610"/>
      <c r="EP14" s="611"/>
      <c r="EQ14" s="608">
        <f t="shared" si="51"/>
        <v>0</v>
      </c>
      <c r="ER14" s="610"/>
      <c r="ES14" s="607"/>
      <c r="ET14" s="608">
        <f t="shared" si="54"/>
        <v>0</v>
      </c>
      <c r="EU14" s="610"/>
      <c r="EV14" s="611"/>
      <c r="EW14" s="608">
        <f t="shared" si="55"/>
        <v>0</v>
      </c>
      <c r="EX14" s="610"/>
      <c r="EY14" s="607"/>
      <c r="EZ14" s="608">
        <f t="shared" si="19"/>
        <v>0</v>
      </c>
      <c r="FA14" s="610"/>
      <c r="FB14" s="611"/>
      <c r="FC14" s="608">
        <f t="shared" si="20"/>
        <v>0</v>
      </c>
      <c r="FD14" s="610"/>
      <c r="FE14" s="611"/>
      <c r="FF14" s="608">
        <f t="shared" si="21"/>
        <v>0</v>
      </c>
      <c r="FG14" s="610"/>
      <c r="FH14" s="607"/>
      <c r="FI14" s="608">
        <f t="shared" si="52"/>
        <v>0</v>
      </c>
      <c r="FJ14" s="610"/>
      <c r="FK14" s="607"/>
      <c r="FL14" s="608">
        <f t="shared" si="22"/>
        <v>0</v>
      </c>
      <c r="FM14" s="610"/>
      <c r="FN14" s="611"/>
      <c r="FO14" s="608">
        <f t="shared" si="23"/>
        <v>0</v>
      </c>
      <c r="FP14" s="610"/>
      <c r="FQ14" s="607"/>
      <c r="FR14" s="608">
        <f t="shared" si="24"/>
        <v>0</v>
      </c>
      <c r="FS14" s="610"/>
      <c r="FT14" s="607"/>
      <c r="FU14" s="608">
        <f t="shared" si="53"/>
        <v>0</v>
      </c>
      <c r="FV14" s="610"/>
      <c r="FW14" s="611"/>
      <c r="FX14" s="608">
        <f t="shared" si="25"/>
        <v>0</v>
      </c>
      <c r="FY14" s="610"/>
      <c r="FZ14" s="611"/>
      <c r="GA14" s="608">
        <f t="shared" si="26"/>
        <v>0</v>
      </c>
      <c r="GB14" s="610"/>
      <c r="GC14" s="607"/>
      <c r="GD14" s="608">
        <f t="shared" si="27"/>
        <v>0</v>
      </c>
      <c r="GE14" s="610"/>
      <c r="GF14" s="611"/>
      <c r="GG14" s="608">
        <f t="shared" si="68"/>
        <v>0</v>
      </c>
      <c r="GH14" s="610"/>
      <c r="GI14" s="607"/>
      <c r="GJ14" s="608">
        <f t="shared" si="28"/>
        <v>0</v>
      </c>
      <c r="GK14" s="610"/>
      <c r="GL14" s="612">
        <f t="shared" si="29"/>
        <v>7</v>
      </c>
      <c r="GM14" s="613">
        <f>GL14+'33J'!BK14+'M80(20250122封存)'!CX14+MPS!AY14+TMT!CX14</f>
        <v>13.5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30"/>
        <v>1045.0944</v>
      </c>
      <c r="D15" s="617"/>
      <c r="E15" s="607">
        <v>1</v>
      </c>
      <c r="F15" s="608">
        <f t="shared" si="56"/>
        <v>914.11199999999997</v>
      </c>
      <c r="G15" s="617"/>
      <c r="H15" s="607"/>
      <c r="I15" s="608">
        <f t="shared" si="69"/>
        <v>0</v>
      </c>
      <c r="J15" s="617"/>
      <c r="K15" s="607">
        <v>0</v>
      </c>
      <c r="L15" s="608">
        <f t="shared" si="58"/>
        <v>0</v>
      </c>
      <c r="M15" s="617"/>
      <c r="N15" s="611">
        <v>1</v>
      </c>
      <c r="O15" s="608">
        <f t="shared" si="59"/>
        <v>1451.52</v>
      </c>
      <c r="P15" s="617"/>
      <c r="Q15" s="607"/>
      <c r="R15" s="608">
        <f t="shared" si="66"/>
        <v>0</v>
      </c>
      <c r="S15" s="617"/>
      <c r="T15" s="611">
        <v>1</v>
      </c>
      <c r="U15" s="608">
        <f t="shared" si="60"/>
        <v>2965.248</v>
      </c>
      <c r="V15" s="617"/>
      <c r="W15" s="611">
        <v>1</v>
      </c>
      <c r="X15" s="608">
        <f t="shared" si="61"/>
        <v>1472.2560000000001</v>
      </c>
      <c r="Y15" s="617"/>
      <c r="Z15" s="607">
        <v>1</v>
      </c>
      <c r="AA15" s="608">
        <f t="shared" si="67"/>
        <v>3189.8879999999999</v>
      </c>
      <c r="AB15" s="617"/>
      <c r="AC15" s="607">
        <v>1</v>
      </c>
      <c r="AD15" s="608">
        <f t="shared" si="0"/>
        <v>2699.136</v>
      </c>
      <c r="AE15" s="609"/>
      <c r="AF15" s="607">
        <v>0</v>
      </c>
      <c r="AG15" s="608">
        <f t="shared" si="1"/>
        <v>0</v>
      </c>
      <c r="AH15" s="617"/>
      <c r="AI15" s="607">
        <v>0</v>
      </c>
      <c r="AJ15" s="608">
        <f t="shared" si="2"/>
        <v>0</v>
      </c>
      <c r="AK15" s="617"/>
      <c r="AL15" s="611"/>
      <c r="AM15" s="608">
        <f t="shared" si="3"/>
        <v>0</v>
      </c>
      <c r="AN15" s="609"/>
      <c r="AO15" s="611"/>
      <c r="AP15" s="608">
        <f t="shared" si="4"/>
        <v>0</v>
      </c>
      <c r="AQ15" s="609"/>
      <c r="AR15" s="611"/>
      <c r="AS15" s="608">
        <f t="shared" si="31"/>
        <v>0</v>
      </c>
      <c r="AT15" s="609"/>
      <c r="AU15" s="607"/>
      <c r="AV15" s="608">
        <f t="shared" si="32"/>
        <v>0</v>
      </c>
      <c r="AW15" s="610"/>
      <c r="AX15" s="607"/>
      <c r="AY15" s="608">
        <f t="shared" si="33"/>
        <v>0</v>
      </c>
      <c r="AZ15" s="609"/>
      <c r="BA15" s="611"/>
      <c r="BB15" s="608">
        <f t="shared" si="34"/>
        <v>0</v>
      </c>
      <c r="BC15" s="609"/>
      <c r="BD15" s="607"/>
      <c r="BE15" s="608">
        <f t="shared" si="35"/>
        <v>0</v>
      </c>
      <c r="BF15" s="609"/>
      <c r="BG15" s="607"/>
      <c r="BH15" s="608">
        <f t="shared" si="36"/>
        <v>0</v>
      </c>
      <c r="BI15" s="617"/>
      <c r="BJ15" s="611"/>
      <c r="BK15" s="608">
        <f t="shared" si="62"/>
        <v>0</v>
      </c>
      <c r="BL15" s="610"/>
      <c r="BM15" s="607"/>
      <c r="BN15" s="608">
        <f t="shared" si="63"/>
        <v>0</v>
      </c>
      <c r="BO15" s="610"/>
      <c r="BP15" s="611"/>
      <c r="BQ15" s="608">
        <f t="shared" si="64"/>
        <v>0</v>
      </c>
      <c r="BR15" s="609"/>
      <c r="BS15" s="607"/>
      <c r="BT15" s="608">
        <f t="shared" si="65"/>
        <v>0</v>
      </c>
      <c r="BU15" s="609"/>
      <c r="BV15" s="611"/>
      <c r="BW15" s="608">
        <f t="shared" si="7"/>
        <v>0</v>
      </c>
      <c r="BX15" s="609"/>
      <c r="BY15" s="611"/>
      <c r="BZ15" s="608">
        <f t="shared" si="8"/>
        <v>0</v>
      </c>
      <c r="CA15" s="610"/>
      <c r="CB15" s="607"/>
      <c r="CC15" s="608">
        <f t="shared" si="9"/>
        <v>0</v>
      </c>
      <c r="CD15" s="609"/>
      <c r="CE15" s="607"/>
      <c r="CF15" s="608">
        <f t="shared" si="10"/>
        <v>0</v>
      </c>
      <c r="CG15" s="610"/>
      <c r="CH15" s="611"/>
      <c r="CI15" s="608">
        <f t="shared" si="11"/>
        <v>0</v>
      </c>
      <c r="CJ15" s="610"/>
      <c r="CK15" s="607"/>
      <c r="CL15" s="608">
        <f t="shared" si="12"/>
        <v>0</v>
      </c>
      <c r="CM15" s="610"/>
      <c r="CN15" s="607"/>
      <c r="CO15" s="608">
        <f t="shared" si="13"/>
        <v>0</v>
      </c>
      <c r="CP15" s="610"/>
      <c r="CQ15" s="607"/>
      <c r="CR15" s="608">
        <f t="shared" si="14"/>
        <v>0</v>
      </c>
      <c r="CS15" s="610"/>
      <c r="CT15" s="607"/>
      <c r="CU15" s="608">
        <f t="shared" si="15"/>
        <v>0</v>
      </c>
      <c r="CV15" s="609"/>
      <c r="CW15" s="607"/>
      <c r="CX15" s="608">
        <f t="shared" si="16"/>
        <v>0</v>
      </c>
      <c r="CY15" s="610"/>
      <c r="CZ15" s="607"/>
      <c r="DA15" s="608">
        <f t="shared" si="17"/>
        <v>0</v>
      </c>
      <c r="DB15" s="610"/>
      <c r="DC15" s="607"/>
      <c r="DD15" s="608">
        <f t="shared" si="18"/>
        <v>0</v>
      </c>
      <c r="DE15" s="609"/>
      <c r="DF15" s="607"/>
      <c r="DG15" s="608">
        <f t="shared" si="39"/>
        <v>0</v>
      </c>
      <c r="DH15" s="610"/>
      <c r="DI15" s="607"/>
      <c r="DJ15" s="608">
        <f t="shared" si="40"/>
        <v>0</v>
      </c>
      <c r="DK15" s="610"/>
      <c r="DL15" s="607"/>
      <c r="DM15" s="608">
        <f t="shared" si="41"/>
        <v>0</v>
      </c>
      <c r="DN15" s="610"/>
      <c r="DO15" s="607"/>
      <c r="DP15" s="608">
        <f t="shared" si="42"/>
        <v>0</v>
      </c>
      <c r="DQ15" s="610"/>
      <c r="DR15" s="607"/>
      <c r="DS15" s="608">
        <f t="shared" si="43"/>
        <v>0</v>
      </c>
      <c r="DT15" s="610"/>
      <c r="DU15" s="607"/>
      <c r="DV15" s="608">
        <f t="shared" si="44"/>
        <v>0</v>
      </c>
      <c r="DW15" s="610"/>
      <c r="DX15" s="607"/>
      <c r="DY15" s="608">
        <f t="shared" si="45"/>
        <v>0</v>
      </c>
      <c r="DZ15" s="610"/>
      <c r="EA15" s="607"/>
      <c r="EB15" s="608">
        <f t="shared" si="46"/>
        <v>0</v>
      </c>
      <c r="EC15" s="610"/>
      <c r="ED15" s="607"/>
      <c r="EE15" s="608">
        <f t="shared" si="47"/>
        <v>0</v>
      </c>
      <c r="EF15" s="610"/>
      <c r="EG15" s="611"/>
      <c r="EH15" s="608">
        <f t="shared" si="48"/>
        <v>0</v>
      </c>
      <c r="EI15" s="610"/>
      <c r="EJ15" s="607"/>
      <c r="EK15" s="608">
        <f t="shared" si="49"/>
        <v>0</v>
      </c>
      <c r="EL15" s="610"/>
      <c r="EM15" s="611"/>
      <c r="EN15" s="608">
        <f t="shared" si="50"/>
        <v>0</v>
      </c>
      <c r="EO15" s="610"/>
      <c r="EP15" s="611"/>
      <c r="EQ15" s="608">
        <f t="shared" si="51"/>
        <v>0</v>
      </c>
      <c r="ER15" s="610"/>
      <c r="ES15" s="607"/>
      <c r="ET15" s="608">
        <f t="shared" si="54"/>
        <v>0</v>
      </c>
      <c r="EU15" s="610"/>
      <c r="EV15" s="607"/>
      <c r="EW15" s="608">
        <f t="shared" si="55"/>
        <v>0</v>
      </c>
      <c r="EX15" s="610"/>
      <c r="EY15" s="607"/>
      <c r="EZ15" s="608">
        <f t="shared" si="19"/>
        <v>0</v>
      </c>
      <c r="FA15" s="610"/>
      <c r="FB15" s="607"/>
      <c r="FC15" s="608">
        <f t="shared" si="20"/>
        <v>0</v>
      </c>
      <c r="FD15" s="610"/>
      <c r="FE15" s="611"/>
      <c r="FF15" s="608">
        <f t="shared" si="21"/>
        <v>0</v>
      </c>
      <c r="FG15" s="610"/>
      <c r="FH15" s="607"/>
      <c r="FI15" s="608">
        <f t="shared" si="52"/>
        <v>0</v>
      </c>
      <c r="FJ15" s="610"/>
      <c r="FK15" s="607"/>
      <c r="FL15" s="608">
        <f t="shared" si="22"/>
        <v>0</v>
      </c>
      <c r="FM15" s="610"/>
      <c r="FN15" s="611"/>
      <c r="FO15" s="608">
        <f t="shared" si="23"/>
        <v>0</v>
      </c>
      <c r="FP15" s="610"/>
      <c r="FQ15" s="607"/>
      <c r="FR15" s="608">
        <f t="shared" si="24"/>
        <v>0</v>
      </c>
      <c r="FS15" s="610"/>
      <c r="FT15" s="607"/>
      <c r="FU15" s="608">
        <f t="shared" si="53"/>
        <v>0</v>
      </c>
      <c r="FV15" s="610"/>
      <c r="FW15" s="611"/>
      <c r="FX15" s="608">
        <f t="shared" si="25"/>
        <v>0</v>
      </c>
      <c r="FY15" s="610"/>
      <c r="FZ15" s="611"/>
      <c r="GA15" s="608">
        <f t="shared" si="26"/>
        <v>0</v>
      </c>
      <c r="GB15" s="610"/>
      <c r="GC15" s="607"/>
      <c r="GD15" s="608">
        <f t="shared" si="27"/>
        <v>0</v>
      </c>
      <c r="GE15" s="610"/>
      <c r="GF15" s="611"/>
      <c r="GG15" s="608">
        <f t="shared" si="68"/>
        <v>0</v>
      </c>
      <c r="GH15" s="610"/>
      <c r="GI15" s="607"/>
      <c r="GJ15" s="608">
        <f t="shared" si="28"/>
        <v>0</v>
      </c>
      <c r="GK15" s="610"/>
      <c r="GL15" s="612">
        <f t="shared" si="29"/>
        <v>7</v>
      </c>
      <c r="GM15" s="613">
        <f>GL15+'33J'!BK15+'M80(20250122封存)'!CX15+MPS!AY15+TMT!CX15</f>
        <v>13.5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30"/>
        <v>1045.0944</v>
      </c>
      <c r="D16" s="617">
        <v>1200</v>
      </c>
      <c r="E16" s="607">
        <v>1</v>
      </c>
      <c r="F16" s="608">
        <f t="shared" si="56"/>
        <v>914.11199999999997</v>
      </c>
      <c r="G16" s="617">
        <v>1200</v>
      </c>
      <c r="H16" s="607"/>
      <c r="I16" s="608">
        <f t="shared" si="69"/>
        <v>0</v>
      </c>
      <c r="J16" s="617"/>
      <c r="K16" s="607">
        <v>0</v>
      </c>
      <c r="L16" s="608">
        <f t="shared" si="58"/>
        <v>0</v>
      </c>
      <c r="M16" s="617">
        <v>664</v>
      </c>
      <c r="N16" s="607">
        <v>1</v>
      </c>
      <c r="O16" s="608">
        <f t="shared" si="59"/>
        <v>1451.52</v>
      </c>
      <c r="P16" s="617">
        <v>750</v>
      </c>
      <c r="Q16" s="607"/>
      <c r="R16" s="608">
        <f t="shared" si="66"/>
        <v>0</v>
      </c>
      <c r="S16" s="617"/>
      <c r="T16" s="607">
        <v>1</v>
      </c>
      <c r="U16" s="608">
        <f t="shared" si="60"/>
        <v>2965.248</v>
      </c>
      <c r="V16" s="617">
        <v>6000</v>
      </c>
      <c r="W16" s="607">
        <v>1</v>
      </c>
      <c r="X16" s="608">
        <f t="shared" si="61"/>
        <v>1472.2560000000001</v>
      </c>
      <c r="Y16" s="617">
        <v>1500</v>
      </c>
      <c r="Z16" s="607">
        <v>1</v>
      </c>
      <c r="AA16" s="608">
        <f t="shared" si="67"/>
        <v>3189.8879999999999</v>
      </c>
      <c r="AB16" s="617">
        <v>5250</v>
      </c>
      <c r="AC16" s="607">
        <v>1</v>
      </c>
      <c r="AD16" s="608">
        <f t="shared" si="0"/>
        <v>2699.136</v>
      </c>
      <c r="AE16" s="609">
        <v>1500</v>
      </c>
      <c r="AF16" s="607">
        <v>0</v>
      </c>
      <c r="AG16" s="608">
        <f t="shared" si="1"/>
        <v>0</v>
      </c>
      <c r="AH16" s="617"/>
      <c r="AI16" s="607">
        <v>0</v>
      </c>
      <c r="AJ16" s="608">
        <f t="shared" si="2"/>
        <v>0</v>
      </c>
      <c r="AK16" s="617"/>
      <c r="AL16" s="607"/>
      <c r="AM16" s="608">
        <f t="shared" si="3"/>
        <v>0</v>
      </c>
      <c r="AN16" s="609"/>
      <c r="AO16" s="611"/>
      <c r="AP16" s="608">
        <f t="shared" si="4"/>
        <v>0</v>
      </c>
      <c r="AQ16" s="609"/>
      <c r="AR16" s="607"/>
      <c r="AS16" s="608">
        <f t="shared" si="31"/>
        <v>0</v>
      </c>
      <c r="AT16" s="609"/>
      <c r="AU16" s="611"/>
      <c r="AV16" s="608">
        <f t="shared" si="32"/>
        <v>0</v>
      </c>
      <c r="AW16" s="610"/>
      <c r="AX16" s="611"/>
      <c r="AY16" s="608">
        <f t="shared" si="33"/>
        <v>0</v>
      </c>
      <c r="AZ16" s="609"/>
      <c r="BA16" s="611"/>
      <c r="BB16" s="608">
        <f t="shared" si="34"/>
        <v>0</v>
      </c>
      <c r="BC16" s="609"/>
      <c r="BD16" s="611"/>
      <c r="BE16" s="608">
        <f t="shared" si="35"/>
        <v>0</v>
      </c>
      <c r="BF16" s="609"/>
      <c r="BG16" s="611"/>
      <c r="BH16" s="608">
        <f t="shared" si="36"/>
        <v>0</v>
      </c>
      <c r="BI16" s="617"/>
      <c r="BJ16" s="607"/>
      <c r="BK16" s="608">
        <f t="shared" si="62"/>
        <v>0</v>
      </c>
      <c r="BL16" s="610"/>
      <c r="BM16" s="607"/>
      <c r="BN16" s="608">
        <f t="shared" si="63"/>
        <v>0</v>
      </c>
      <c r="BO16" s="610"/>
      <c r="BP16" s="607"/>
      <c r="BQ16" s="608">
        <f t="shared" si="64"/>
        <v>0</v>
      </c>
      <c r="BR16" s="609"/>
      <c r="BS16" s="607"/>
      <c r="BT16" s="608">
        <f t="shared" si="65"/>
        <v>0</v>
      </c>
      <c r="BU16" s="609"/>
      <c r="BV16" s="611"/>
      <c r="BW16" s="608">
        <f t="shared" si="7"/>
        <v>0</v>
      </c>
      <c r="BX16" s="609"/>
      <c r="BY16" s="607"/>
      <c r="BZ16" s="608">
        <f t="shared" si="8"/>
        <v>0</v>
      </c>
      <c r="CA16" s="610"/>
      <c r="CB16" s="607"/>
      <c r="CC16" s="608">
        <f t="shared" si="9"/>
        <v>0</v>
      </c>
      <c r="CD16" s="609"/>
      <c r="CE16" s="607"/>
      <c r="CF16" s="608">
        <f t="shared" si="10"/>
        <v>0</v>
      </c>
      <c r="CG16" s="610"/>
      <c r="CH16" s="607"/>
      <c r="CI16" s="608">
        <f t="shared" si="11"/>
        <v>0</v>
      </c>
      <c r="CJ16" s="610"/>
      <c r="CK16" s="607"/>
      <c r="CL16" s="608">
        <f t="shared" si="12"/>
        <v>0</v>
      </c>
      <c r="CM16" s="610"/>
      <c r="CN16" s="607"/>
      <c r="CO16" s="608">
        <f t="shared" si="13"/>
        <v>0</v>
      </c>
      <c r="CP16" s="610"/>
      <c r="CQ16" s="607"/>
      <c r="CR16" s="608">
        <f t="shared" si="14"/>
        <v>0</v>
      </c>
      <c r="CS16" s="610"/>
      <c r="CT16" s="607"/>
      <c r="CU16" s="608">
        <f t="shared" si="15"/>
        <v>0</v>
      </c>
      <c r="CV16" s="609"/>
      <c r="CW16" s="607"/>
      <c r="CX16" s="608">
        <f t="shared" si="16"/>
        <v>0</v>
      </c>
      <c r="CY16" s="610"/>
      <c r="CZ16" s="607"/>
      <c r="DA16" s="608">
        <f t="shared" si="17"/>
        <v>0</v>
      </c>
      <c r="DB16" s="610"/>
      <c r="DC16" s="607"/>
      <c r="DD16" s="608">
        <f t="shared" si="18"/>
        <v>0</v>
      </c>
      <c r="DE16" s="609"/>
      <c r="DF16" s="607"/>
      <c r="DG16" s="608">
        <f t="shared" si="39"/>
        <v>0</v>
      </c>
      <c r="DH16" s="610"/>
      <c r="DI16" s="607"/>
      <c r="DJ16" s="608">
        <f t="shared" si="40"/>
        <v>0</v>
      </c>
      <c r="DK16" s="610"/>
      <c r="DL16" s="607"/>
      <c r="DM16" s="608">
        <f t="shared" si="41"/>
        <v>0</v>
      </c>
      <c r="DN16" s="610"/>
      <c r="DO16" s="607"/>
      <c r="DP16" s="608">
        <f t="shared" si="42"/>
        <v>0</v>
      </c>
      <c r="DQ16" s="610"/>
      <c r="DR16" s="607"/>
      <c r="DS16" s="608">
        <f t="shared" si="43"/>
        <v>0</v>
      </c>
      <c r="DT16" s="610"/>
      <c r="DU16" s="607"/>
      <c r="DV16" s="608">
        <f t="shared" si="44"/>
        <v>0</v>
      </c>
      <c r="DW16" s="610"/>
      <c r="DX16" s="607"/>
      <c r="DY16" s="608">
        <f t="shared" si="45"/>
        <v>0</v>
      </c>
      <c r="DZ16" s="610"/>
      <c r="EA16" s="607"/>
      <c r="EB16" s="608">
        <f t="shared" si="46"/>
        <v>0</v>
      </c>
      <c r="EC16" s="610"/>
      <c r="ED16" s="607"/>
      <c r="EE16" s="608">
        <f t="shared" si="47"/>
        <v>0</v>
      </c>
      <c r="EF16" s="610"/>
      <c r="EG16" s="611"/>
      <c r="EH16" s="608">
        <f t="shared" si="48"/>
        <v>0</v>
      </c>
      <c r="EI16" s="610"/>
      <c r="EJ16" s="607"/>
      <c r="EK16" s="608">
        <f t="shared" si="49"/>
        <v>0</v>
      </c>
      <c r="EL16" s="610"/>
      <c r="EM16" s="611"/>
      <c r="EN16" s="608">
        <f t="shared" si="50"/>
        <v>0</v>
      </c>
      <c r="EO16" s="610"/>
      <c r="EP16" s="611"/>
      <c r="EQ16" s="608">
        <f t="shared" si="51"/>
        <v>0</v>
      </c>
      <c r="ER16" s="610"/>
      <c r="ES16" s="607"/>
      <c r="ET16" s="608">
        <f t="shared" si="54"/>
        <v>0</v>
      </c>
      <c r="EU16" s="610"/>
      <c r="EV16" s="607"/>
      <c r="EW16" s="608">
        <f t="shared" si="55"/>
        <v>0</v>
      </c>
      <c r="EX16" s="610"/>
      <c r="EY16" s="607"/>
      <c r="EZ16" s="608">
        <f t="shared" si="19"/>
        <v>0</v>
      </c>
      <c r="FA16" s="610"/>
      <c r="FB16" s="607"/>
      <c r="FC16" s="608">
        <f t="shared" si="20"/>
        <v>0</v>
      </c>
      <c r="FD16" s="610"/>
      <c r="FE16" s="611"/>
      <c r="FF16" s="608">
        <f t="shared" si="21"/>
        <v>0</v>
      </c>
      <c r="FG16" s="610"/>
      <c r="FH16" s="607"/>
      <c r="FI16" s="608">
        <f t="shared" si="52"/>
        <v>0</v>
      </c>
      <c r="FJ16" s="610"/>
      <c r="FK16" s="607"/>
      <c r="FL16" s="608">
        <f t="shared" si="22"/>
        <v>0</v>
      </c>
      <c r="FM16" s="610"/>
      <c r="FN16" s="611"/>
      <c r="FO16" s="608">
        <f t="shared" si="23"/>
        <v>0</v>
      </c>
      <c r="FP16" s="610"/>
      <c r="FQ16" s="607"/>
      <c r="FR16" s="608">
        <f t="shared" si="24"/>
        <v>0</v>
      </c>
      <c r="FS16" s="610"/>
      <c r="FT16" s="607"/>
      <c r="FU16" s="608">
        <f t="shared" si="53"/>
        <v>0</v>
      </c>
      <c r="FV16" s="610"/>
      <c r="FW16" s="611"/>
      <c r="FX16" s="608">
        <f t="shared" si="25"/>
        <v>0</v>
      </c>
      <c r="FY16" s="610"/>
      <c r="FZ16" s="611"/>
      <c r="GA16" s="608">
        <f t="shared" si="26"/>
        <v>0</v>
      </c>
      <c r="GB16" s="610"/>
      <c r="GC16" s="607"/>
      <c r="GD16" s="608">
        <f t="shared" si="27"/>
        <v>0</v>
      </c>
      <c r="GE16" s="610"/>
      <c r="GF16" s="611"/>
      <c r="GG16" s="608">
        <f t="shared" si="68"/>
        <v>0</v>
      </c>
      <c r="GH16" s="610"/>
      <c r="GI16" s="607"/>
      <c r="GJ16" s="608">
        <f t="shared" si="28"/>
        <v>0</v>
      </c>
      <c r="GK16" s="610"/>
      <c r="GL16" s="612">
        <f t="shared" si="29"/>
        <v>7</v>
      </c>
      <c r="GM16" s="613">
        <f>GL16+'33J'!BK16+'M80(20250122封存)'!CX16+MPS!AY16+TMT!CX16</f>
        <v>13.5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30"/>
        <v>1045.0944</v>
      </c>
      <c r="D17" s="617">
        <v>2184</v>
      </c>
      <c r="E17" s="607">
        <v>1</v>
      </c>
      <c r="F17" s="608">
        <f t="shared" si="56"/>
        <v>914.11199999999997</v>
      </c>
      <c r="G17" s="617">
        <v>600</v>
      </c>
      <c r="H17" s="607"/>
      <c r="I17" s="608">
        <f t="shared" si="69"/>
        <v>0</v>
      </c>
      <c r="J17" s="617"/>
      <c r="K17" s="607">
        <v>0</v>
      </c>
      <c r="L17" s="608">
        <f t="shared" si="58"/>
        <v>0</v>
      </c>
      <c r="M17" s="617"/>
      <c r="N17" s="607">
        <v>1</v>
      </c>
      <c r="O17" s="608">
        <f t="shared" si="59"/>
        <v>1451.52</v>
      </c>
      <c r="P17" s="617">
        <v>1500</v>
      </c>
      <c r="Q17" s="607"/>
      <c r="R17" s="608">
        <f t="shared" si="66"/>
        <v>0</v>
      </c>
      <c r="S17" s="617"/>
      <c r="T17" s="607">
        <v>1</v>
      </c>
      <c r="U17" s="608">
        <f t="shared" si="60"/>
        <v>2965.248</v>
      </c>
      <c r="V17" s="617">
        <v>2850</v>
      </c>
      <c r="W17" s="607">
        <v>1</v>
      </c>
      <c r="X17" s="608">
        <f t="shared" si="61"/>
        <v>1472.2560000000001</v>
      </c>
      <c r="Y17" s="617">
        <v>1500</v>
      </c>
      <c r="Z17" s="607">
        <v>1</v>
      </c>
      <c r="AA17" s="608">
        <f t="shared" si="67"/>
        <v>3189.8879999999999</v>
      </c>
      <c r="AB17" s="617">
        <v>3000</v>
      </c>
      <c r="AC17" s="607">
        <v>1</v>
      </c>
      <c r="AD17" s="608">
        <f t="shared" si="0"/>
        <v>2699.136</v>
      </c>
      <c r="AE17" s="617">
        <v>5250</v>
      </c>
      <c r="AF17" s="607">
        <v>0</v>
      </c>
      <c r="AG17" s="608">
        <f t="shared" si="1"/>
        <v>0</v>
      </c>
      <c r="AH17" s="617"/>
      <c r="AI17" s="607">
        <v>0</v>
      </c>
      <c r="AJ17" s="608">
        <f t="shared" si="2"/>
        <v>0</v>
      </c>
      <c r="AK17" s="617"/>
      <c r="AL17" s="607"/>
      <c r="AM17" s="608">
        <f t="shared" si="3"/>
        <v>0</v>
      </c>
      <c r="AN17" s="609"/>
      <c r="AO17" s="611"/>
      <c r="AP17" s="608">
        <f t="shared" si="4"/>
        <v>0</v>
      </c>
      <c r="AQ17" s="617"/>
      <c r="AR17" s="607"/>
      <c r="AS17" s="608">
        <f t="shared" si="31"/>
        <v>0</v>
      </c>
      <c r="AT17" s="617"/>
      <c r="AU17" s="611"/>
      <c r="AV17" s="608">
        <f t="shared" si="32"/>
        <v>0</v>
      </c>
      <c r="AW17" s="610"/>
      <c r="AX17" s="611"/>
      <c r="AY17" s="608">
        <f t="shared" si="33"/>
        <v>0</v>
      </c>
      <c r="AZ17" s="617"/>
      <c r="BA17" s="611"/>
      <c r="BB17" s="608">
        <f t="shared" si="34"/>
        <v>0</v>
      </c>
      <c r="BC17" s="617"/>
      <c r="BD17" s="611"/>
      <c r="BE17" s="608">
        <f t="shared" si="35"/>
        <v>0</v>
      </c>
      <c r="BF17" s="617"/>
      <c r="BG17" s="611"/>
      <c r="BH17" s="608">
        <f t="shared" si="36"/>
        <v>0</v>
      </c>
      <c r="BI17" s="617"/>
      <c r="BJ17" s="607"/>
      <c r="BK17" s="608">
        <f t="shared" si="62"/>
        <v>0</v>
      </c>
      <c r="BL17" s="610"/>
      <c r="BM17" s="607"/>
      <c r="BN17" s="608">
        <f t="shared" si="63"/>
        <v>0</v>
      </c>
      <c r="BO17" s="610"/>
      <c r="BP17" s="607"/>
      <c r="BQ17" s="608">
        <f t="shared" si="64"/>
        <v>0</v>
      </c>
      <c r="BR17" s="617"/>
      <c r="BS17" s="607"/>
      <c r="BT17" s="608">
        <f t="shared" si="65"/>
        <v>0</v>
      </c>
      <c r="BU17" s="617"/>
      <c r="BV17" s="611"/>
      <c r="BW17" s="608">
        <f t="shared" si="7"/>
        <v>0</v>
      </c>
      <c r="BX17" s="617"/>
      <c r="BY17" s="607"/>
      <c r="BZ17" s="608">
        <f t="shared" si="8"/>
        <v>0</v>
      </c>
      <c r="CA17" s="610"/>
      <c r="CB17" s="607"/>
      <c r="CC17" s="608">
        <f t="shared" si="9"/>
        <v>0</v>
      </c>
      <c r="CD17" s="617"/>
      <c r="CE17" s="607"/>
      <c r="CF17" s="608">
        <f t="shared" si="10"/>
        <v>0</v>
      </c>
      <c r="CG17" s="610"/>
      <c r="CH17" s="607"/>
      <c r="CI17" s="608">
        <f t="shared" si="11"/>
        <v>0</v>
      </c>
      <c r="CJ17" s="610"/>
      <c r="CK17" s="607"/>
      <c r="CL17" s="608">
        <f t="shared" si="12"/>
        <v>0</v>
      </c>
      <c r="CM17" s="610"/>
      <c r="CN17" s="607"/>
      <c r="CO17" s="608">
        <f t="shared" si="13"/>
        <v>0</v>
      </c>
      <c r="CP17" s="610"/>
      <c r="CQ17" s="607"/>
      <c r="CR17" s="608">
        <f t="shared" si="14"/>
        <v>0</v>
      </c>
      <c r="CS17" s="610"/>
      <c r="CT17" s="607"/>
      <c r="CU17" s="608">
        <f t="shared" si="15"/>
        <v>0</v>
      </c>
      <c r="CV17" s="617"/>
      <c r="CW17" s="607"/>
      <c r="CX17" s="608">
        <f t="shared" si="16"/>
        <v>0</v>
      </c>
      <c r="CY17" s="610"/>
      <c r="CZ17" s="607"/>
      <c r="DA17" s="608">
        <f t="shared" si="17"/>
        <v>0</v>
      </c>
      <c r="DB17" s="610"/>
      <c r="DC17" s="607"/>
      <c r="DD17" s="608">
        <f t="shared" si="18"/>
        <v>0</v>
      </c>
      <c r="DE17" s="617"/>
      <c r="DF17" s="607"/>
      <c r="DG17" s="608">
        <f t="shared" si="39"/>
        <v>0</v>
      </c>
      <c r="DH17" s="610"/>
      <c r="DI17" s="607"/>
      <c r="DJ17" s="608">
        <f t="shared" si="40"/>
        <v>0</v>
      </c>
      <c r="DK17" s="610"/>
      <c r="DL17" s="607"/>
      <c r="DM17" s="608">
        <f t="shared" si="41"/>
        <v>0</v>
      </c>
      <c r="DN17" s="610"/>
      <c r="DO17" s="607"/>
      <c r="DP17" s="608">
        <f t="shared" si="42"/>
        <v>0</v>
      </c>
      <c r="DQ17" s="610"/>
      <c r="DR17" s="607"/>
      <c r="DS17" s="608">
        <f t="shared" si="43"/>
        <v>0</v>
      </c>
      <c r="DT17" s="610"/>
      <c r="DU17" s="607"/>
      <c r="DV17" s="608">
        <f t="shared" si="44"/>
        <v>0</v>
      </c>
      <c r="DW17" s="610"/>
      <c r="DX17" s="607"/>
      <c r="DY17" s="608">
        <f t="shared" si="45"/>
        <v>0</v>
      </c>
      <c r="DZ17" s="610"/>
      <c r="EA17" s="607"/>
      <c r="EB17" s="608">
        <f t="shared" si="46"/>
        <v>0</v>
      </c>
      <c r="EC17" s="610"/>
      <c r="ED17" s="607"/>
      <c r="EE17" s="608">
        <f t="shared" si="47"/>
        <v>0</v>
      </c>
      <c r="EF17" s="610"/>
      <c r="EG17" s="607"/>
      <c r="EH17" s="608">
        <f t="shared" si="48"/>
        <v>0</v>
      </c>
      <c r="EI17" s="610"/>
      <c r="EJ17" s="607"/>
      <c r="EK17" s="608">
        <f t="shared" si="49"/>
        <v>0</v>
      </c>
      <c r="EL17" s="610"/>
      <c r="EM17" s="607"/>
      <c r="EN17" s="608">
        <f t="shared" si="50"/>
        <v>0</v>
      </c>
      <c r="EO17" s="610"/>
      <c r="EP17" s="607"/>
      <c r="EQ17" s="608">
        <f t="shared" si="51"/>
        <v>0</v>
      </c>
      <c r="ER17" s="610"/>
      <c r="ES17" s="607"/>
      <c r="ET17" s="608">
        <f t="shared" si="54"/>
        <v>0</v>
      </c>
      <c r="EU17" s="610"/>
      <c r="EV17" s="607"/>
      <c r="EW17" s="608">
        <f t="shared" si="55"/>
        <v>0</v>
      </c>
      <c r="EX17" s="610"/>
      <c r="EY17" s="607"/>
      <c r="EZ17" s="608">
        <f t="shared" si="19"/>
        <v>0</v>
      </c>
      <c r="FA17" s="610"/>
      <c r="FB17" s="607"/>
      <c r="FC17" s="608">
        <f t="shared" si="20"/>
        <v>0</v>
      </c>
      <c r="FD17" s="610"/>
      <c r="FE17" s="611"/>
      <c r="FF17" s="608">
        <f t="shared" si="21"/>
        <v>0</v>
      </c>
      <c r="FG17" s="610"/>
      <c r="FH17" s="607"/>
      <c r="FI17" s="608">
        <f t="shared" si="52"/>
        <v>0</v>
      </c>
      <c r="FJ17" s="610"/>
      <c r="FK17" s="607"/>
      <c r="FL17" s="608">
        <f t="shared" si="22"/>
        <v>0</v>
      </c>
      <c r="FM17" s="610"/>
      <c r="FN17" s="611"/>
      <c r="FO17" s="608">
        <f t="shared" si="23"/>
        <v>0</v>
      </c>
      <c r="FP17" s="610"/>
      <c r="FQ17" s="607"/>
      <c r="FR17" s="608">
        <f t="shared" si="24"/>
        <v>0</v>
      </c>
      <c r="FS17" s="610"/>
      <c r="FT17" s="607"/>
      <c r="FU17" s="608">
        <f t="shared" si="53"/>
        <v>0</v>
      </c>
      <c r="FV17" s="610"/>
      <c r="FW17" s="611"/>
      <c r="FX17" s="608">
        <f t="shared" si="25"/>
        <v>0</v>
      </c>
      <c r="FY17" s="610"/>
      <c r="FZ17" s="611"/>
      <c r="GA17" s="608">
        <f t="shared" si="26"/>
        <v>0</v>
      </c>
      <c r="GB17" s="610"/>
      <c r="GC17" s="607"/>
      <c r="GD17" s="608">
        <f t="shared" si="27"/>
        <v>0</v>
      </c>
      <c r="GE17" s="610"/>
      <c r="GF17" s="611"/>
      <c r="GG17" s="608">
        <f t="shared" si="68"/>
        <v>0</v>
      </c>
      <c r="GH17" s="610"/>
      <c r="GI17" s="607"/>
      <c r="GJ17" s="608">
        <f t="shared" si="28"/>
        <v>0</v>
      </c>
      <c r="GK17" s="610"/>
      <c r="GL17" s="612">
        <f t="shared" si="29"/>
        <v>7</v>
      </c>
      <c r="GM17" s="613">
        <f>GL17+'33J'!BK17+'M80(20250122封存)'!CX17+MPS!AY17+TMT!CX17</f>
        <v>13.5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30"/>
        <v>1045.0944</v>
      </c>
      <c r="D18" s="617">
        <v>1032</v>
      </c>
      <c r="E18" s="607">
        <v>1</v>
      </c>
      <c r="F18" s="608">
        <f t="shared" si="56"/>
        <v>914.11199999999997</v>
      </c>
      <c r="G18" s="617">
        <v>625</v>
      </c>
      <c r="H18" s="607"/>
      <c r="I18" s="608">
        <f t="shared" si="69"/>
        <v>0</v>
      </c>
      <c r="J18" s="617"/>
      <c r="K18" s="607">
        <v>0</v>
      </c>
      <c r="L18" s="608">
        <f t="shared" si="58"/>
        <v>0</v>
      </c>
      <c r="M18" s="617"/>
      <c r="N18" s="607">
        <v>1</v>
      </c>
      <c r="O18" s="608">
        <f t="shared" si="59"/>
        <v>1451.52</v>
      </c>
      <c r="P18" s="617">
        <v>1500</v>
      </c>
      <c r="Q18" s="607"/>
      <c r="R18" s="608">
        <f t="shared" si="66"/>
        <v>0</v>
      </c>
      <c r="S18" s="617"/>
      <c r="T18" s="607">
        <v>1</v>
      </c>
      <c r="U18" s="608">
        <f t="shared" si="60"/>
        <v>2965.248</v>
      </c>
      <c r="V18" s="617">
        <v>3750</v>
      </c>
      <c r="W18" s="607">
        <v>1</v>
      </c>
      <c r="X18" s="608">
        <f t="shared" si="61"/>
        <v>1472.2560000000001</v>
      </c>
      <c r="Y18" s="609">
        <v>2250</v>
      </c>
      <c r="Z18" s="607">
        <v>1</v>
      </c>
      <c r="AA18" s="608">
        <f t="shared" si="67"/>
        <v>3189.8879999999999</v>
      </c>
      <c r="AB18" s="617"/>
      <c r="AC18" s="607">
        <v>1</v>
      </c>
      <c r="AD18" s="608">
        <f t="shared" si="0"/>
        <v>2699.136</v>
      </c>
      <c r="AE18" s="609">
        <v>3000</v>
      </c>
      <c r="AF18" s="607">
        <v>0</v>
      </c>
      <c r="AG18" s="608">
        <f t="shared" si="1"/>
        <v>0</v>
      </c>
      <c r="AH18" s="609"/>
      <c r="AI18" s="607">
        <v>0</v>
      </c>
      <c r="AJ18" s="608">
        <f t="shared" si="2"/>
        <v>0</v>
      </c>
      <c r="AK18" s="609"/>
      <c r="AL18" s="607"/>
      <c r="AM18" s="608">
        <f t="shared" si="3"/>
        <v>0</v>
      </c>
      <c r="AN18" s="609"/>
      <c r="AO18" s="607"/>
      <c r="AP18" s="608">
        <f t="shared" si="4"/>
        <v>0</v>
      </c>
      <c r="AQ18" s="610"/>
      <c r="AR18" s="607"/>
      <c r="AS18" s="608">
        <f t="shared" si="31"/>
        <v>0</v>
      </c>
      <c r="AT18" s="609"/>
      <c r="AU18" s="611"/>
      <c r="AV18" s="608">
        <f t="shared" si="32"/>
        <v>0</v>
      </c>
      <c r="AW18" s="610"/>
      <c r="AX18" s="611"/>
      <c r="AY18" s="608">
        <f t="shared" si="33"/>
        <v>0</v>
      </c>
      <c r="AZ18" s="609"/>
      <c r="BA18" s="611"/>
      <c r="BB18" s="608">
        <f t="shared" si="34"/>
        <v>0</v>
      </c>
      <c r="BC18" s="609"/>
      <c r="BD18" s="607"/>
      <c r="BE18" s="608">
        <f t="shared" si="35"/>
        <v>0</v>
      </c>
      <c r="BF18" s="609"/>
      <c r="BG18" s="607"/>
      <c r="BH18" s="608">
        <f t="shared" si="36"/>
        <v>0</v>
      </c>
      <c r="BI18" s="617"/>
      <c r="BJ18" s="607"/>
      <c r="BK18" s="608">
        <f t="shared" si="62"/>
        <v>0</v>
      </c>
      <c r="BL18" s="610"/>
      <c r="BM18" s="607"/>
      <c r="BN18" s="608">
        <f t="shared" si="63"/>
        <v>0</v>
      </c>
      <c r="BO18" s="610"/>
      <c r="BP18" s="607"/>
      <c r="BQ18" s="608">
        <f t="shared" si="64"/>
        <v>0</v>
      </c>
      <c r="BR18" s="609"/>
      <c r="BS18" s="607"/>
      <c r="BT18" s="608">
        <f t="shared" si="65"/>
        <v>0</v>
      </c>
      <c r="BU18" s="609"/>
      <c r="BV18" s="607"/>
      <c r="BW18" s="608">
        <f t="shared" si="7"/>
        <v>0</v>
      </c>
      <c r="BX18" s="609"/>
      <c r="BY18" s="607"/>
      <c r="BZ18" s="608">
        <f t="shared" si="8"/>
        <v>0</v>
      </c>
      <c r="CA18" s="610"/>
      <c r="CB18" s="611"/>
      <c r="CC18" s="608">
        <f t="shared" si="9"/>
        <v>0</v>
      </c>
      <c r="CD18" s="610"/>
      <c r="CE18" s="607"/>
      <c r="CF18" s="608">
        <f t="shared" si="10"/>
        <v>0</v>
      </c>
      <c r="CG18" s="610"/>
      <c r="CH18" s="607"/>
      <c r="CI18" s="608">
        <f t="shared" si="11"/>
        <v>0</v>
      </c>
      <c r="CJ18" s="610"/>
      <c r="CK18" s="607"/>
      <c r="CL18" s="608">
        <f t="shared" si="12"/>
        <v>0</v>
      </c>
      <c r="CM18" s="610"/>
      <c r="CN18" s="607"/>
      <c r="CO18" s="608">
        <f t="shared" si="13"/>
        <v>0</v>
      </c>
      <c r="CP18" s="610"/>
      <c r="CQ18" s="607"/>
      <c r="CR18" s="608">
        <f t="shared" si="14"/>
        <v>0</v>
      </c>
      <c r="CS18" s="610"/>
      <c r="CT18" s="607"/>
      <c r="CU18" s="608">
        <f t="shared" si="15"/>
        <v>0</v>
      </c>
      <c r="CV18" s="610"/>
      <c r="CW18" s="607"/>
      <c r="CX18" s="608">
        <f t="shared" si="16"/>
        <v>0</v>
      </c>
      <c r="CY18" s="610"/>
      <c r="CZ18" s="607"/>
      <c r="DA18" s="608">
        <f t="shared" si="17"/>
        <v>0</v>
      </c>
      <c r="DB18" s="610"/>
      <c r="DC18" s="607"/>
      <c r="DD18" s="608">
        <f t="shared" si="18"/>
        <v>0</v>
      </c>
      <c r="DE18" s="610"/>
      <c r="DF18" s="607"/>
      <c r="DG18" s="608">
        <f t="shared" si="39"/>
        <v>0</v>
      </c>
      <c r="DH18" s="610"/>
      <c r="DI18" s="607"/>
      <c r="DJ18" s="608">
        <f t="shared" si="40"/>
        <v>0</v>
      </c>
      <c r="DK18" s="610"/>
      <c r="DL18" s="607"/>
      <c r="DM18" s="608">
        <f t="shared" si="41"/>
        <v>0</v>
      </c>
      <c r="DN18" s="610"/>
      <c r="DO18" s="607"/>
      <c r="DP18" s="608">
        <f t="shared" si="42"/>
        <v>0</v>
      </c>
      <c r="DQ18" s="610"/>
      <c r="DR18" s="607"/>
      <c r="DS18" s="608">
        <f t="shared" si="43"/>
        <v>0</v>
      </c>
      <c r="DT18" s="610"/>
      <c r="DU18" s="607"/>
      <c r="DV18" s="608">
        <f t="shared" si="44"/>
        <v>0</v>
      </c>
      <c r="DW18" s="610"/>
      <c r="DX18" s="607"/>
      <c r="DY18" s="608">
        <f t="shared" si="45"/>
        <v>0</v>
      </c>
      <c r="DZ18" s="610"/>
      <c r="EA18" s="607"/>
      <c r="EB18" s="608">
        <f t="shared" si="46"/>
        <v>0</v>
      </c>
      <c r="EC18" s="610"/>
      <c r="ED18" s="607"/>
      <c r="EE18" s="608">
        <f t="shared" si="47"/>
        <v>0</v>
      </c>
      <c r="EF18" s="610"/>
      <c r="EG18" s="607"/>
      <c r="EH18" s="608">
        <f t="shared" si="48"/>
        <v>0</v>
      </c>
      <c r="EI18" s="610"/>
      <c r="EJ18" s="607"/>
      <c r="EK18" s="608">
        <f t="shared" si="49"/>
        <v>0</v>
      </c>
      <c r="EL18" s="610"/>
      <c r="EM18" s="607"/>
      <c r="EN18" s="608">
        <f t="shared" si="50"/>
        <v>0</v>
      </c>
      <c r="EO18" s="610"/>
      <c r="EP18" s="607"/>
      <c r="EQ18" s="608">
        <f t="shared" si="51"/>
        <v>0</v>
      </c>
      <c r="ER18" s="610"/>
      <c r="ES18" s="607"/>
      <c r="ET18" s="608">
        <f t="shared" si="54"/>
        <v>0</v>
      </c>
      <c r="EU18" s="610"/>
      <c r="EV18" s="611"/>
      <c r="EW18" s="608">
        <f t="shared" si="55"/>
        <v>0</v>
      </c>
      <c r="EX18" s="610"/>
      <c r="EY18" s="607"/>
      <c r="EZ18" s="608">
        <f t="shared" si="19"/>
        <v>0</v>
      </c>
      <c r="FA18" s="610"/>
      <c r="FB18" s="607"/>
      <c r="FC18" s="608">
        <f t="shared" si="20"/>
        <v>0</v>
      </c>
      <c r="FD18" s="610"/>
      <c r="FE18" s="611"/>
      <c r="FF18" s="608">
        <f t="shared" si="21"/>
        <v>0</v>
      </c>
      <c r="FG18" s="610"/>
      <c r="FH18" s="607"/>
      <c r="FI18" s="608">
        <f t="shared" si="52"/>
        <v>0</v>
      </c>
      <c r="FJ18" s="610"/>
      <c r="FK18" s="607"/>
      <c r="FL18" s="608">
        <f t="shared" si="22"/>
        <v>0</v>
      </c>
      <c r="FM18" s="610"/>
      <c r="FN18" s="611"/>
      <c r="FO18" s="608">
        <f t="shared" si="23"/>
        <v>0</v>
      </c>
      <c r="FP18" s="610"/>
      <c r="FQ18" s="607"/>
      <c r="FR18" s="608">
        <f t="shared" si="24"/>
        <v>0</v>
      </c>
      <c r="FS18" s="610"/>
      <c r="FT18" s="607"/>
      <c r="FU18" s="608">
        <f t="shared" si="53"/>
        <v>0</v>
      </c>
      <c r="FV18" s="610"/>
      <c r="FW18" s="611"/>
      <c r="FX18" s="608">
        <f t="shared" si="25"/>
        <v>0</v>
      </c>
      <c r="FY18" s="610"/>
      <c r="FZ18" s="611"/>
      <c r="GA18" s="608">
        <f t="shared" si="26"/>
        <v>0</v>
      </c>
      <c r="GB18" s="610"/>
      <c r="GC18" s="607"/>
      <c r="GD18" s="608">
        <f t="shared" si="27"/>
        <v>0</v>
      </c>
      <c r="GE18" s="610"/>
      <c r="GF18" s="611"/>
      <c r="GG18" s="608">
        <f t="shared" si="68"/>
        <v>0</v>
      </c>
      <c r="GH18" s="610"/>
      <c r="GI18" s="607"/>
      <c r="GJ18" s="608">
        <f t="shared" si="28"/>
        <v>0</v>
      </c>
      <c r="GK18" s="610"/>
      <c r="GL18" s="612">
        <f t="shared" si="29"/>
        <v>7</v>
      </c>
      <c r="GM18" s="613">
        <f>GL18+'33J'!BK18+'M80(20250122封存)'!CX18+MPS!AY18+TMT!CX18</f>
        <v>13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30"/>
        <v>1045.0944</v>
      </c>
      <c r="D19" s="617">
        <v>792</v>
      </c>
      <c r="E19" s="607">
        <v>0.5</v>
      </c>
      <c r="F19" s="608">
        <f t="shared" si="56"/>
        <v>457.05599999999998</v>
      </c>
      <c r="G19" s="617">
        <v>1680</v>
      </c>
      <c r="H19" s="607"/>
      <c r="I19" s="608">
        <f t="shared" si="69"/>
        <v>0</v>
      </c>
      <c r="J19" s="617"/>
      <c r="K19" s="607">
        <v>0</v>
      </c>
      <c r="L19" s="608">
        <f t="shared" si="58"/>
        <v>0</v>
      </c>
      <c r="M19" s="617">
        <v>1028</v>
      </c>
      <c r="N19" s="607">
        <v>1</v>
      </c>
      <c r="O19" s="608">
        <f t="shared" si="59"/>
        <v>1451.52</v>
      </c>
      <c r="P19" s="617">
        <v>750</v>
      </c>
      <c r="Q19" s="607"/>
      <c r="R19" s="608">
        <f t="shared" si="66"/>
        <v>0</v>
      </c>
      <c r="S19" s="617"/>
      <c r="T19" s="607">
        <v>1</v>
      </c>
      <c r="U19" s="608">
        <f t="shared" si="60"/>
        <v>2965.248</v>
      </c>
      <c r="V19" s="617">
        <v>1500</v>
      </c>
      <c r="W19" s="607">
        <v>1</v>
      </c>
      <c r="X19" s="608">
        <f t="shared" si="61"/>
        <v>1472.2560000000001</v>
      </c>
      <c r="Y19" s="609">
        <v>1458</v>
      </c>
      <c r="Z19" s="607">
        <v>1</v>
      </c>
      <c r="AA19" s="608">
        <f t="shared" si="67"/>
        <v>3189.8879999999999</v>
      </c>
      <c r="AB19" s="617">
        <v>4500</v>
      </c>
      <c r="AC19" s="607">
        <v>1</v>
      </c>
      <c r="AD19" s="608">
        <f t="shared" si="0"/>
        <v>2699.136</v>
      </c>
      <c r="AE19" s="609">
        <v>2970</v>
      </c>
      <c r="AF19" s="607">
        <v>0</v>
      </c>
      <c r="AG19" s="608">
        <f t="shared" si="1"/>
        <v>0</v>
      </c>
      <c r="AH19" s="609"/>
      <c r="AI19" s="607">
        <v>0</v>
      </c>
      <c r="AJ19" s="608">
        <f t="shared" si="2"/>
        <v>0</v>
      </c>
      <c r="AK19" s="609"/>
      <c r="AL19" s="607"/>
      <c r="AM19" s="608">
        <f t="shared" si="3"/>
        <v>0</v>
      </c>
      <c r="AN19" s="609"/>
      <c r="AO19" s="607"/>
      <c r="AP19" s="608">
        <f t="shared" si="4"/>
        <v>0</v>
      </c>
      <c r="AQ19" s="610"/>
      <c r="AR19" s="607"/>
      <c r="AS19" s="608">
        <f t="shared" si="31"/>
        <v>0</v>
      </c>
      <c r="AT19" s="609"/>
      <c r="AU19" s="607"/>
      <c r="AV19" s="608">
        <f t="shared" si="32"/>
        <v>0</v>
      </c>
      <c r="AW19" s="610"/>
      <c r="AX19" s="607"/>
      <c r="AY19" s="608">
        <f t="shared" si="33"/>
        <v>0</v>
      </c>
      <c r="AZ19" s="609"/>
      <c r="BA19" s="607"/>
      <c r="BB19" s="608">
        <f t="shared" si="34"/>
        <v>0</v>
      </c>
      <c r="BC19" s="609"/>
      <c r="BD19" s="607"/>
      <c r="BE19" s="608">
        <f t="shared" si="35"/>
        <v>0</v>
      </c>
      <c r="BF19" s="609"/>
      <c r="BG19" s="607"/>
      <c r="BH19" s="608">
        <f t="shared" si="36"/>
        <v>0</v>
      </c>
      <c r="BI19" s="617"/>
      <c r="BJ19" s="607"/>
      <c r="BK19" s="608">
        <f t="shared" si="62"/>
        <v>0</v>
      </c>
      <c r="BL19" s="610"/>
      <c r="BM19" s="607"/>
      <c r="BN19" s="608">
        <f t="shared" si="63"/>
        <v>0</v>
      </c>
      <c r="BO19" s="610"/>
      <c r="BP19" s="607"/>
      <c r="BQ19" s="608">
        <f t="shared" si="64"/>
        <v>0</v>
      </c>
      <c r="BR19" s="609"/>
      <c r="BS19" s="607"/>
      <c r="BT19" s="608">
        <f t="shared" si="65"/>
        <v>0</v>
      </c>
      <c r="BU19" s="609"/>
      <c r="BV19" s="607"/>
      <c r="BW19" s="608">
        <f t="shared" si="7"/>
        <v>0</v>
      </c>
      <c r="BX19" s="609"/>
      <c r="BY19" s="607"/>
      <c r="BZ19" s="608">
        <f t="shared" si="8"/>
        <v>0</v>
      </c>
      <c r="CA19" s="610"/>
      <c r="CB19" s="611"/>
      <c r="CC19" s="608">
        <f t="shared" si="9"/>
        <v>0</v>
      </c>
      <c r="CD19" s="610"/>
      <c r="CE19" s="607"/>
      <c r="CF19" s="608">
        <f t="shared" si="10"/>
        <v>0</v>
      </c>
      <c r="CG19" s="610"/>
      <c r="CH19" s="607"/>
      <c r="CI19" s="608">
        <f t="shared" si="11"/>
        <v>0</v>
      </c>
      <c r="CJ19" s="610"/>
      <c r="CK19" s="607"/>
      <c r="CL19" s="608">
        <f t="shared" si="12"/>
        <v>0</v>
      </c>
      <c r="CM19" s="610"/>
      <c r="CN19" s="607"/>
      <c r="CO19" s="608">
        <f t="shared" si="13"/>
        <v>0</v>
      </c>
      <c r="CP19" s="610"/>
      <c r="CQ19" s="607"/>
      <c r="CR19" s="608">
        <f t="shared" si="14"/>
        <v>0</v>
      </c>
      <c r="CS19" s="610"/>
      <c r="CT19" s="607"/>
      <c r="CU19" s="608">
        <f t="shared" si="15"/>
        <v>0</v>
      </c>
      <c r="CV19" s="610"/>
      <c r="CW19" s="607"/>
      <c r="CX19" s="608">
        <f t="shared" si="16"/>
        <v>0</v>
      </c>
      <c r="CY19" s="610"/>
      <c r="CZ19" s="607"/>
      <c r="DA19" s="608">
        <f t="shared" si="17"/>
        <v>0</v>
      </c>
      <c r="DB19" s="610"/>
      <c r="DC19" s="607"/>
      <c r="DD19" s="608">
        <f t="shared" si="18"/>
        <v>0</v>
      </c>
      <c r="DE19" s="610"/>
      <c r="DF19" s="607"/>
      <c r="DG19" s="608">
        <f t="shared" si="39"/>
        <v>0</v>
      </c>
      <c r="DH19" s="610"/>
      <c r="DI19" s="607"/>
      <c r="DJ19" s="608">
        <f t="shared" si="40"/>
        <v>0</v>
      </c>
      <c r="DK19" s="610"/>
      <c r="DL19" s="607"/>
      <c r="DM19" s="608">
        <f t="shared" si="41"/>
        <v>0</v>
      </c>
      <c r="DN19" s="610"/>
      <c r="DO19" s="607"/>
      <c r="DP19" s="608">
        <f t="shared" si="42"/>
        <v>0</v>
      </c>
      <c r="DQ19" s="610"/>
      <c r="DR19" s="607"/>
      <c r="DS19" s="608">
        <f t="shared" si="43"/>
        <v>0</v>
      </c>
      <c r="DT19" s="610"/>
      <c r="DU19" s="607"/>
      <c r="DV19" s="608">
        <f t="shared" si="44"/>
        <v>0</v>
      </c>
      <c r="DW19" s="610"/>
      <c r="DX19" s="607"/>
      <c r="DY19" s="608">
        <f t="shared" si="45"/>
        <v>0</v>
      </c>
      <c r="DZ19" s="610"/>
      <c r="EA19" s="607"/>
      <c r="EB19" s="608">
        <f t="shared" si="46"/>
        <v>0</v>
      </c>
      <c r="EC19" s="610"/>
      <c r="ED19" s="607"/>
      <c r="EE19" s="608">
        <f t="shared" si="47"/>
        <v>0</v>
      </c>
      <c r="EF19" s="610"/>
      <c r="EG19" s="611"/>
      <c r="EH19" s="608">
        <f t="shared" si="48"/>
        <v>0</v>
      </c>
      <c r="EI19" s="610"/>
      <c r="EJ19" s="611"/>
      <c r="EK19" s="608">
        <f t="shared" si="49"/>
        <v>0</v>
      </c>
      <c r="EL19" s="610"/>
      <c r="EM19" s="611"/>
      <c r="EN19" s="608">
        <f t="shared" si="50"/>
        <v>0</v>
      </c>
      <c r="EO19" s="610"/>
      <c r="EP19" s="611"/>
      <c r="EQ19" s="608">
        <f t="shared" si="51"/>
        <v>0</v>
      </c>
      <c r="ER19" s="610"/>
      <c r="ES19" s="607"/>
      <c r="ET19" s="608">
        <f t="shared" si="54"/>
        <v>0</v>
      </c>
      <c r="EU19" s="610"/>
      <c r="EV19" s="611"/>
      <c r="EW19" s="608">
        <f t="shared" si="55"/>
        <v>0</v>
      </c>
      <c r="EX19" s="610"/>
      <c r="EY19" s="607"/>
      <c r="EZ19" s="608">
        <f t="shared" si="19"/>
        <v>0</v>
      </c>
      <c r="FA19" s="610"/>
      <c r="FB19" s="607"/>
      <c r="FC19" s="608">
        <f t="shared" si="20"/>
        <v>0</v>
      </c>
      <c r="FD19" s="610"/>
      <c r="FE19" s="611"/>
      <c r="FF19" s="608">
        <f t="shared" si="21"/>
        <v>0</v>
      </c>
      <c r="FG19" s="610"/>
      <c r="FH19" s="607"/>
      <c r="FI19" s="608">
        <f t="shared" si="52"/>
        <v>0</v>
      </c>
      <c r="FJ19" s="610"/>
      <c r="FK19" s="607"/>
      <c r="FL19" s="608">
        <f t="shared" si="22"/>
        <v>0</v>
      </c>
      <c r="FM19" s="610"/>
      <c r="FN19" s="611"/>
      <c r="FO19" s="608">
        <f t="shared" si="23"/>
        <v>0</v>
      </c>
      <c r="FP19" s="610"/>
      <c r="FQ19" s="611"/>
      <c r="FR19" s="608">
        <f t="shared" si="24"/>
        <v>0</v>
      </c>
      <c r="FS19" s="610"/>
      <c r="FT19" s="611"/>
      <c r="FU19" s="608">
        <f t="shared" si="53"/>
        <v>0</v>
      </c>
      <c r="FV19" s="610"/>
      <c r="FW19" s="611"/>
      <c r="FX19" s="608">
        <f t="shared" si="25"/>
        <v>0</v>
      </c>
      <c r="FY19" s="610"/>
      <c r="FZ19" s="611"/>
      <c r="GA19" s="608">
        <f t="shared" si="26"/>
        <v>0</v>
      </c>
      <c r="GB19" s="610"/>
      <c r="GC19" s="607"/>
      <c r="GD19" s="608">
        <f t="shared" si="27"/>
        <v>0</v>
      </c>
      <c r="GE19" s="610"/>
      <c r="GF19" s="611"/>
      <c r="GG19" s="608">
        <f t="shared" si="68"/>
        <v>0</v>
      </c>
      <c r="GH19" s="610"/>
      <c r="GI19" s="607"/>
      <c r="GJ19" s="608">
        <f t="shared" si="28"/>
        <v>0</v>
      </c>
      <c r="GK19" s="610"/>
      <c r="GL19" s="612">
        <f t="shared" si="29"/>
        <v>6.5</v>
      </c>
      <c r="GM19" s="613">
        <f>GL19+'33J'!BK19+'M80(20250122封存)'!CX19+MPS!AY19+TMT!CX19</f>
        <v>12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30"/>
        <v>1045.0944</v>
      </c>
      <c r="D20" s="617">
        <v>192</v>
      </c>
      <c r="E20" s="607">
        <v>0.5</v>
      </c>
      <c r="F20" s="608">
        <f t="shared" si="56"/>
        <v>457.05599999999998</v>
      </c>
      <c r="G20" s="617">
        <v>1200</v>
      </c>
      <c r="H20" s="607"/>
      <c r="I20" s="608">
        <f t="shared" si="69"/>
        <v>0</v>
      </c>
      <c r="J20" s="617"/>
      <c r="K20" s="607">
        <v>0</v>
      </c>
      <c r="L20" s="608">
        <f t="shared" si="58"/>
        <v>0</v>
      </c>
      <c r="M20" s="617"/>
      <c r="N20" s="607">
        <v>1</v>
      </c>
      <c r="O20" s="608">
        <f t="shared" si="59"/>
        <v>1451.52</v>
      </c>
      <c r="P20" s="617">
        <v>1500</v>
      </c>
      <c r="Q20" s="607"/>
      <c r="R20" s="608">
        <f t="shared" si="66"/>
        <v>0</v>
      </c>
      <c r="S20" s="617"/>
      <c r="T20" s="607">
        <v>1</v>
      </c>
      <c r="U20" s="608">
        <f t="shared" si="60"/>
        <v>2965.248</v>
      </c>
      <c r="V20" s="617">
        <v>3689</v>
      </c>
      <c r="W20" s="607">
        <v>1</v>
      </c>
      <c r="X20" s="608">
        <f t="shared" si="61"/>
        <v>1472.2560000000001</v>
      </c>
      <c r="Y20" s="609">
        <v>1500</v>
      </c>
      <c r="Z20" s="607">
        <v>1</v>
      </c>
      <c r="AA20" s="608">
        <f t="shared" si="67"/>
        <v>3189.8879999999999</v>
      </c>
      <c r="AB20" s="617">
        <v>750</v>
      </c>
      <c r="AC20" s="607">
        <v>1</v>
      </c>
      <c r="AD20" s="608">
        <f t="shared" si="0"/>
        <v>2699.136</v>
      </c>
      <c r="AE20" s="609">
        <v>2850</v>
      </c>
      <c r="AF20" s="607">
        <v>0</v>
      </c>
      <c r="AG20" s="608">
        <f t="shared" si="1"/>
        <v>0</v>
      </c>
      <c r="AH20" s="609"/>
      <c r="AI20" s="607">
        <v>0</v>
      </c>
      <c r="AJ20" s="608">
        <f t="shared" si="2"/>
        <v>0</v>
      </c>
      <c r="AK20" s="609"/>
      <c r="AL20" s="607"/>
      <c r="AM20" s="608">
        <f t="shared" si="3"/>
        <v>0</v>
      </c>
      <c r="AN20" s="609"/>
      <c r="AO20" s="607"/>
      <c r="AP20" s="608">
        <f t="shared" si="4"/>
        <v>0</v>
      </c>
      <c r="AQ20" s="610"/>
      <c r="AR20" s="607"/>
      <c r="AS20" s="608">
        <f t="shared" si="31"/>
        <v>0</v>
      </c>
      <c r="AT20" s="609"/>
      <c r="AU20" s="607"/>
      <c r="AV20" s="608">
        <f t="shared" si="32"/>
        <v>0</v>
      </c>
      <c r="AW20" s="610"/>
      <c r="AX20" s="607"/>
      <c r="AY20" s="608">
        <f t="shared" si="33"/>
        <v>0</v>
      </c>
      <c r="AZ20" s="609"/>
      <c r="BA20" s="607"/>
      <c r="BB20" s="608">
        <f t="shared" si="34"/>
        <v>0</v>
      </c>
      <c r="BC20" s="609"/>
      <c r="BD20" s="607"/>
      <c r="BE20" s="608">
        <f t="shared" si="35"/>
        <v>0</v>
      </c>
      <c r="BF20" s="609"/>
      <c r="BG20" s="607"/>
      <c r="BH20" s="608">
        <f t="shared" si="36"/>
        <v>0</v>
      </c>
      <c r="BI20" s="617"/>
      <c r="BJ20" s="607"/>
      <c r="BK20" s="608">
        <f t="shared" si="62"/>
        <v>0</v>
      </c>
      <c r="BL20" s="610"/>
      <c r="BM20" s="607"/>
      <c r="BN20" s="608">
        <f t="shared" si="63"/>
        <v>0</v>
      </c>
      <c r="BO20" s="610"/>
      <c r="BP20" s="607"/>
      <c r="BQ20" s="608">
        <f t="shared" si="64"/>
        <v>0</v>
      </c>
      <c r="BR20" s="609"/>
      <c r="BS20" s="607"/>
      <c r="BT20" s="608">
        <f t="shared" si="65"/>
        <v>0</v>
      </c>
      <c r="BU20" s="609"/>
      <c r="BV20" s="607"/>
      <c r="BW20" s="608">
        <f t="shared" si="7"/>
        <v>0</v>
      </c>
      <c r="BX20" s="609"/>
      <c r="BY20" s="607"/>
      <c r="BZ20" s="608">
        <f t="shared" si="8"/>
        <v>0</v>
      </c>
      <c r="CA20" s="610"/>
      <c r="CB20" s="611"/>
      <c r="CC20" s="608">
        <f t="shared" si="9"/>
        <v>0</v>
      </c>
      <c r="CD20" s="609"/>
      <c r="CE20" s="607"/>
      <c r="CF20" s="608">
        <f t="shared" si="10"/>
        <v>0</v>
      </c>
      <c r="CG20" s="610"/>
      <c r="CH20" s="607"/>
      <c r="CI20" s="608">
        <f t="shared" si="11"/>
        <v>0</v>
      </c>
      <c r="CJ20" s="610"/>
      <c r="CK20" s="607"/>
      <c r="CL20" s="608">
        <f t="shared" si="12"/>
        <v>0</v>
      </c>
      <c r="CM20" s="610"/>
      <c r="CN20" s="607"/>
      <c r="CO20" s="608">
        <f t="shared" si="13"/>
        <v>0</v>
      </c>
      <c r="CP20" s="610"/>
      <c r="CQ20" s="607"/>
      <c r="CR20" s="608">
        <f t="shared" si="14"/>
        <v>0</v>
      </c>
      <c r="CS20" s="610"/>
      <c r="CT20" s="607"/>
      <c r="CU20" s="608">
        <f t="shared" si="15"/>
        <v>0</v>
      </c>
      <c r="CV20" s="609"/>
      <c r="CW20" s="607"/>
      <c r="CX20" s="608">
        <f t="shared" si="16"/>
        <v>0</v>
      </c>
      <c r="CY20" s="610"/>
      <c r="CZ20" s="607"/>
      <c r="DA20" s="608">
        <f t="shared" si="17"/>
        <v>0</v>
      </c>
      <c r="DB20" s="610"/>
      <c r="DC20" s="607"/>
      <c r="DD20" s="608">
        <f t="shared" si="18"/>
        <v>0</v>
      </c>
      <c r="DE20" s="609"/>
      <c r="DF20" s="607"/>
      <c r="DG20" s="608">
        <f t="shared" si="39"/>
        <v>0</v>
      </c>
      <c r="DH20" s="610"/>
      <c r="DI20" s="607"/>
      <c r="DJ20" s="608">
        <f t="shared" si="40"/>
        <v>0</v>
      </c>
      <c r="DK20" s="610"/>
      <c r="DL20" s="607"/>
      <c r="DM20" s="608">
        <f t="shared" si="41"/>
        <v>0</v>
      </c>
      <c r="DN20" s="610"/>
      <c r="DO20" s="607"/>
      <c r="DP20" s="608">
        <f t="shared" si="42"/>
        <v>0</v>
      </c>
      <c r="DQ20" s="610"/>
      <c r="DR20" s="607"/>
      <c r="DS20" s="608">
        <f t="shared" si="43"/>
        <v>0</v>
      </c>
      <c r="DT20" s="610"/>
      <c r="DU20" s="607"/>
      <c r="DV20" s="608">
        <f t="shared" si="44"/>
        <v>0</v>
      </c>
      <c r="DW20" s="610"/>
      <c r="DX20" s="607"/>
      <c r="DY20" s="608">
        <f t="shared" si="45"/>
        <v>0</v>
      </c>
      <c r="DZ20" s="610"/>
      <c r="EA20" s="607"/>
      <c r="EB20" s="608">
        <f t="shared" si="46"/>
        <v>0</v>
      </c>
      <c r="EC20" s="610"/>
      <c r="ED20" s="607"/>
      <c r="EE20" s="608">
        <f t="shared" si="47"/>
        <v>0</v>
      </c>
      <c r="EF20" s="610"/>
      <c r="EG20" s="611"/>
      <c r="EH20" s="608">
        <f t="shared" si="48"/>
        <v>0</v>
      </c>
      <c r="EI20" s="610"/>
      <c r="EJ20" s="611"/>
      <c r="EK20" s="608">
        <f t="shared" si="49"/>
        <v>0</v>
      </c>
      <c r="EL20" s="610"/>
      <c r="EM20" s="611"/>
      <c r="EN20" s="608">
        <f t="shared" si="50"/>
        <v>0</v>
      </c>
      <c r="EO20" s="610"/>
      <c r="EP20" s="611"/>
      <c r="EQ20" s="608">
        <f t="shared" si="51"/>
        <v>0</v>
      </c>
      <c r="ER20" s="610"/>
      <c r="ES20" s="611"/>
      <c r="ET20" s="608">
        <f t="shared" si="54"/>
        <v>0</v>
      </c>
      <c r="EU20" s="610"/>
      <c r="EV20" s="611"/>
      <c r="EW20" s="608">
        <f t="shared" si="55"/>
        <v>0</v>
      </c>
      <c r="EX20" s="610"/>
      <c r="EY20" s="607"/>
      <c r="EZ20" s="608">
        <f t="shared" si="19"/>
        <v>0</v>
      </c>
      <c r="FA20" s="610"/>
      <c r="FB20" s="607"/>
      <c r="FC20" s="608">
        <f t="shared" si="20"/>
        <v>0</v>
      </c>
      <c r="FD20" s="610"/>
      <c r="FE20" s="611"/>
      <c r="FF20" s="608">
        <f t="shared" si="21"/>
        <v>0</v>
      </c>
      <c r="FG20" s="610"/>
      <c r="FH20" s="607"/>
      <c r="FI20" s="608">
        <f t="shared" si="52"/>
        <v>0</v>
      </c>
      <c r="FJ20" s="610"/>
      <c r="FK20" s="607"/>
      <c r="FL20" s="608">
        <f t="shared" si="22"/>
        <v>0</v>
      </c>
      <c r="FM20" s="610"/>
      <c r="FN20" s="611"/>
      <c r="FO20" s="608">
        <f t="shared" si="23"/>
        <v>0</v>
      </c>
      <c r="FP20" s="610"/>
      <c r="FQ20" s="611"/>
      <c r="FR20" s="608">
        <f t="shared" si="24"/>
        <v>0</v>
      </c>
      <c r="FS20" s="610"/>
      <c r="FT20" s="611"/>
      <c r="FU20" s="608">
        <f t="shared" si="53"/>
        <v>0</v>
      </c>
      <c r="FV20" s="610"/>
      <c r="FW20" s="611"/>
      <c r="FX20" s="608">
        <f t="shared" si="25"/>
        <v>0</v>
      </c>
      <c r="FY20" s="610"/>
      <c r="FZ20" s="611"/>
      <c r="GA20" s="608">
        <f t="shared" si="26"/>
        <v>0</v>
      </c>
      <c r="GB20" s="610"/>
      <c r="GC20" s="607"/>
      <c r="GD20" s="608">
        <f t="shared" si="27"/>
        <v>0</v>
      </c>
      <c r="GE20" s="610"/>
      <c r="GF20" s="607"/>
      <c r="GG20" s="608">
        <f t="shared" si="68"/>
        <v>0</v>
      </c>
      <c r="GH20" s="610"/>
      <c r="GI20" s="607"/>
      <c r="GJ20" s="608">
        <f t="shared" si="28"/>
        <v>0</v>
      </c>
      <c r="GK20" s="610"/>
      <c r="GL20" s="612">
        <f t="shared" si="29"/>
        <v>6.5</v>
      </c>
      <c r="GM20" s="613">
        <f>GL20+'33J'!BK20+'M80(20250122封存)'!CX20+MPS!AY20+TMT!CX20</f>
        <v>12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30"/>
        <v>1045.0944</v>
      </c>
      <c r="D21" s="617">
        <v>1772</v>
      </c>
      <c r="E21" s="607">
        <v>0</v>
      </c>
      <c r="F21" s="608">
        <f t="shared" si="56"/>
        <v>0</v>
      </c>
      <c r="G21" s="617"/>
      <c r="H21" s="607"/>
      <c r="I21" s="608">
        <f t="shared" si="69"/>
        <v>0</v>
      </c>
      <c r="J21" s="617"/>
      <c r="K21" s="607">
        <v>0</v>
      </c>
      <c r="L21" s="608">
        <f t="shared" si="58"/>
        <v>0</v>
      </c>
      <c r="M21" s="617"/>
      <c r="N21" s="607">
        <v>1</v>
      </c>
      <c r="O21" s="608">
        <f t="shared" si="59"/>
        <v>1451.52</v>
      </c>
      <c r="P21" s="617">
        <v>2199</v>
      </c>
      <c r="Q21" s="607"/>
      <c r="R21" s="608">
        <f t="shared" si="66"/>
        <v>0</v>
      </c>
      <c r="S21" s="617"/>
      <c r="T21" s="607">
        <v>1</v>
      </c>
      <c r="U21" s="608">
        <f t="shared" si="60"/>
        <v>2965.248</v>
      </c>
      <c r="V21" s="617">
        <v>3000</v>
      </c>
      <c r="W21" s="607">
        <v>1</v>
      </c>
      <c r="X21" s="608">
        <f t="shared" si="61"/>
        <v>1472.2560000000001</v>
      </c>
      <c r="Y21" s="617">
        <v>750</v>
      </c>
      <c r="Z21" s="607">
        <v>1</v>
      </c>
      <c r="AA21" s="608">
        <f t="shared" si="67"/>
        <v>3189.8879999999999</v>
      </c>
      <c r="AB21" s="617">
        <v>4466</v>
      </c>
      <c r="AC21" s="607">
        <v>1</v>
      </c>
      <c r="AD21" s="608">
        <f t="shared" si="0"/>
        <v>2699.136</v>
      </c>
      <c r="AE21" s="609">
        <v>1500</v>
      </c>
      <c r="AF21" s="607">
        <v>1</v>
      </c>
      <c r="AG21" s="608">
        <f t="shared" si="1"/>
        <v>3214.08</v>
      </c>
      <c r="AH21" s="617"/>
      <c r="AI21" s="611">
        <v>0</v>
      </c>
      <c r="AJ21" s="608">
        <f t="shared" si="2"/>
        <v>0</v>
      </c>
      <c r="AK21" s="617"/>
      <c r="AL21" s="607"/>
      <c r="AM21" s="608">
        <f t="shared" si="3"/>
        <v>0</v>
      </c>
      <c r="AN21" s="609"/>
      <c r="AO21" s="611"/>
      <c r="AP21" s="608">
        <f t="shared" si="4"/>
        <v>0</v>
      </c>
      <c r="AQ21" s="610"/>
      <c r="AR21" s="607"/>
      <c r="AS21" s="608">
        <f t="shared" si="31"/>
        <v>0</v>
      </c>
      <c r="AT21" s="609"/>
      <c r="AU21" s="607"/>
      <c r="AV21" s="608">
        <f t="shared" si="32"/>
        <v>0</v>
      </c>
      <c r="AW21" s="610"/>
      <c r="AX21" s="607"/>
      <c r="AY21" s="608">
        <f t="shared" si="33"/>
        <v>0</v>
      </c>
      <c r="AZ21" s="609"/>
      <c r="BA21" s="607"/>
      <c r="BB21" s="608">
        <f t="shared" si="34"/>
        <v>0</v>
      </c>
      <c r="BC21" s="609"/>
      <c r="BD21" s="607"/>
      <c r="BE21" s="608">
        <f t="shared" si="35"/>
        <v>0</v>
      </c>
      <c r="BF21" s="609"/>
      <c r="BG21" s="607"/>
      <c r="BH21" s="608">
        <f t="shared" si="36"/>
        <v>0</v>
      </c>
      <c r="BI21" s="617"/>
      <c r="BJ21" s="607"/>
      <c r="BK21" s="608">
        <f t="shared" si="62"/>
        <v>0</v>
      </c>
      <c r="BL21" s="610"/>
      <c r="BM21" s="607"/>
      <c r="BN21" s="608">
        <f t="shared" si="63"/>
        <v>0</v>
      </c>
      <c r="BO21" s="610"/>
      <c r="BP21" s="607"/>
      <c r="BQ21" s="608">
        <f t="shared" si="64"/>
        <v>0</v>
      </c>
      <c r="BR21" s="609"/>
      <c r="BS21" s="607"/>
      <c r="BT21" s="608">
        <f t="shared" si="65"/>
        <v>0</v>
      </c>
      <c r="BU21" s="609"/>
      <c r="BV21" s="607"/>
      <c r="BW21" s="608">
        <f t="shared" si="7"/>
        <v>0</v>
      </c>
      <c r="BX21" s="609"/>
      <c r="BY21" s="607"/>
      <c r="BZ21" s="608">
        <f t="shared" si="8"/>
        <v>0</v>
      </c>
      <c r="CA21" s="610"/>
      <c r="CB21" s="607"/>
      <c r="CC21" s="608">
        <f t="shared" si="9"/>
        <v>0</v>
      </c>
      <c r="CD21" s="609"/>
      <c r="CE21" s="607"/>
      <c r="CF21" s="608">
        <f t="shared" si="10"/>
        <v>0</v>
      </c>
      <c r="CG21" s="610"/>
      <c r="CH21" s="607"/>
      <c r="CI21" s="608">
        <f t="shared" si="11"/>
        <v>0</v>
      </c>
      <c r="CJ21" s="610"/>
      <c r="CK21" s="607"/>
      <c r="CL21" s="608">
        <f t="shared" si="12"/>
        <v>0</v>
      </c>
      <c r="CM21" s="610"/>
      <c r="CN21" s="607"/>
      <c r="CO21" s="608">
        <f t="shared" si="13"/>
        <v>0</v>
      </c>
      <c r="CP21" s="610"/>
      <c r="CQ21" s="607"/>
      <c r="CR21" s="608">
        <f t="shared" si="14"/>
        <v>0</v>
      </c>
      <c r="CS21" s="610"/>
      <c r="CT21" s="607"/>
      <c r="CU21" s="608">
        <f t="shared" si="15"/>
        <v>0</v>
      </c>
      <c r="CV21" s="609"/>
      <c r="CW21" s="607"/>
      <c r="CX21" s="608">
        <f t="shared" si="16"/>
        <v>0</v>
      </c>
      <c r="CY21" s="610"/>
      <c r="CZ21" s="607"/>
      <c r="DA21" s="608">
        <f t="shared" si="17"/>
        <v>0</v>
      </c>
      <c r="DB21" s="610"/>
      <c r="DC21" s="607"/>
      <c r="DD21" s="608">
        <f t="shared" si="18"/>
        <v>0</v>
      </c>
      <c r="DE21" s="609"/>
      <c r="DF21" s="607"/>
      <c r="DG21" s="608">
        <f t="shared" si="39"/>
        <v>0</v>
      </c>
      <c r="DH21" s="610"/>
      <c r="DI21" s="607"/>
      <c r="DJ21" s="608">
        <f t="shared" si="40"/>
        <v>0</v>
      </c>
      <c r="DK21" s="610"/>
      <c r="DL21" s="607"/>
      <c r="DM21" s="608">
        <f t="shared" si="41"/>
        <v>0</v>
      </c>
      <c r="DN21" s="610"/>
      <c r="DO21" s="607"/>
      <c r="DP21" s="608">
        <f t="shared" si="42"/>
        <v>0</v>
      </c>
      <c r="DQ21" s="610"/>
      <c r="DR21" s="607"/>
      <c r="DS21" s="608">
        <f t="shared" si="43"/>
        <v>0</v>
      </c>
      <c r="DT21" s="610"/>
      <c r="DU21" s="607"/>
      <c r="DV21" s="608">
        <f t="shared" si="44"/>
        <v>0</v>
      </c>
      <c r="DW21" s="610"/>
      <c r="DX21" s="607"/>
      <c r="DY21" s="608">
        <f t="shared" si="45"/>
        <v>0</v>
      </c>
      <c r="DZ21" s="610"/>
      <c r="EA21" s="607"/>
      <c r="EB21" s="608">
        <f t="shared" si="46"/>
        <v>0</v>
      </c>
      <c r="EC21" s="610"/>
      <c r="ED21" s="607"/>
      <c r="EE21" s="608">
        <f t="shared" si="47"/>
        <v>0</v>
      </c>
      <c r="EF21" s="610"/>
      <c r="EG21" s="611"/>
      <c r="EH21" s="608">
        <f t="shared" si="48"/>
        <v>0</v>
      </c>
      <c r="EI21" s="610"/>
      <c r="EJ21" s="611"/>
      <c r="EK21" s="608">
        <f t="shared" si="49"/>
        <v>0</v>
      </c>
      <c r="EL21" s="610"/>
      <c r="EM21" s="611"/>
      <c r="EN21" s="608">
        <f t="shared" si="50"/>
        <v>0</v>
      </c>
      <c r="EO21" s="610"/>
      <c r="EP21" s="611"/>
      <c r="EQ21" s="608">
        <f t="shared" si="51"/>
        <v>0</v>
      </c>
      <c r="ER21" s="610"/>
      <c r="ES21" s="611"/>
      <c r="ET21" s="608">
        <f t="shared" si="54"/>
        <v>0</v>
      </c>
      <c r="EU21" s="610"/>
      <c r="EV21" s="611"/>
      <c r="EW21" s="608">
        <f t="shared" si="55"/>
        <v>0</v>
      </c>
      <c r="EX21" s="610"/>
      <c r="EY21" s="607"/>
      <c r="EZ21" s="608">
        <f t="shared" si="19"/>
        <v>0</v>
      </c>
      <c r="FA21" s="610"/>
      <c r="FB21" s="607"/>
      <c r="FC21" s="608">
        <f t="shared" si="20"/>
        <v>0</v>
      </c>
      <c r="FD21" s="610"/>
      <c r="FE21" s="611"/>
      <c r="FF21" s="608">
        <f t="shared" si="21"/>
        <v>0</v>
      </c>
      <c r="FG21" s="610"/>
      <c r="FH21" s="607"/>
      <c r="FI21" s="608">
        <f t="shared" si="52"/>
        <v>0</v>
      </c>
      <c r="FJ21" s="610"/>
      <c r="FK21" s="607"/>
      <c r="FL21" s="608">
        <f t="shared" si="22"/>
        <v>0</v>
      </c>
      <c r="FM21" s="610"/>
      <c r="FN21" s="607"/>
      <c r="FO21" s="608">
        <f t="shared" si="23"/>
        <v>0</v>
      </c>
      <c r="FP21" s="610"/>
      <c r="FQ21" s="611"/>
      <c r="FR21" s="608">
        <f t="shared" si="24"/>
        <v>0</v>
      </c>
      <c r="FS21" s="610"/>
      <c r="FT21" s="611"/>
      <c r="FU21" s="608">
        <f t="shared" si="53"/>
        <v>0</v>
      </c>
      <c r="FV21" s="610"/>
      <c r="FW21" s="611"/>
      <c r="FX21" s="608">
        <f t="shared" si="25"/>
        <v>0</v>
      </c>
      <c r="FY21" s="610"/>
      <c r="FZ21" s="611"/>
      <c r="GA21" s="608">
        <f t="shared" si="26"/>
        <v>0</v>
      </c>
      <c r="GB21" s="610"/>
      <c r="GC21" s="607"/>
      <c r="GD21" s="608">
        <f t="shared" si="27"/>
        <v>0</v>
      </c>
      <c r="GE21" s="610"/>
      <c r="GF21" s="607"/>
      <c r="GG21" s="608">
        <f t="shared" si="68"/>
        <v>0</v>
      </c>
      <c r="GH21" s="610"/>
      <c r="GI21" s="607"/>
      <c r="GJ21" s="608">
        <f t="shared" si="28"/>
        <v>0</v>
      </c>
      <c r="GK21" s="610"/>
      <c r="GL21" s="612">
        <f t="shared" si="29"/>
        <v>7</v>
      </c>
      <c r="GM21" s="613">
        <f>GL21+'33J'!BK21+'M80(20250122封存)'!CX21+MPS!AY21+TMT!CX21</f>
        <v>13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30"/>
        <v>1045.0944</v>
      </c>
      <c r="D22" s="617">
        <v>2387</v>
      </c>
      <c r="E22" s="607">
        <v>0</v>
      </c>
      <c r="F22" s="608">
        <f t="shared" si="56"/>
        <v>0</v>
      </c>
      <c r="G22" s="617"/>
      <c r="H22" s="607"/>
      <c r="I22" s="608">
        <f t="shared" si="69"/>
        <v>0</v>
      </c>
      <c r="J22" s="617"/>
      <c r="K22" s="607">
        <v>0</v>
      </c>
      <c r="L22" s="608">
        <f t="shared" si="58"/>
        <v>0</v>
      </c>
      <c r="M22" s="617"/>
      <c r="N22" s="607">
        <v>1</v>
      </c>
      <c r="O22" s="608">
        <f t="shared" si="59"/>
        <v>1451.52</v>
      </c>
      <c r="P22" s="617">
        <v>1050</v>
      </c>
      <c r="Q22" s="607"/>
      <c r="R22" s="608">
        <f t="shared" si="66"/>
        <v>0</v>
      </c>
      <c r="S22" s="617"/>
      <c r="T22" s="607">
        <v>1</v>
      </c>
      <c r="U22" s="608">
        <f t="shared" si="60"/>
        <v>2965.248</v>
      </c>
      <c r="V22" s="617">
        <v>750</v>
      </c>
      <c r="W22" s="607">
        <v>1</v>
      </c>
      <c r="X22" s="608">
        <f t="shared" si="61"/>
        <v>1472.2560000000001</v>
      </c>
      <c r="Y22" s="617">
        <v>2100</v>
      </c>
      <c r="Z22" s="607">
        <v>1</v>
      </c>
      <c r="AA22" s="608">
        <f t="shared" si="67"/>
        <v>3189.8879999999999</v>
      </c>
      <c r="AB22" s="617">
        <v>3750</v>
      </c>
      <c r="AC22" s="607">
        <v>1</v>
      </c>
      <c r="AD22" s="608">
        <f t="shared" si="0"/>
        <v>2699.136</v>
      </c>
      <c r="AE22" s="609">
        <v>2250</v>
      </c>
      <c r="AF22" s="611">
        <v>1</v>
      </c>
      <c r="AG22" s="608">
        <f t="shared" si="1"/>
        <v>3214.08</v>
      </c>
      <c r="AH22" s="617"/>
      <c r="AI22" s="611">
        <v>0</v>
      </c>
      <c r="AJ22" s="608">
        <f t="shared" si="2"/>
        <v>0</v>
      </c>
      <c r="AK22" s="617"/>
      <c r="AL22" s="607"/>
      <c r="AM22" s="608">
        <f t="shared" si="3"/>
        <v>0</v>
      </c>
      <c r="AN22" s="609"/>
      <c r="AO22" s="611"/>
      <c r="AP22" s="608">
        <f t="shared" si="4"/>
        <v>0</v>
      </c>
      <c r="AQ22" s="610"/>
      <c r="AR22" s="607"/>
      <c r="AS22" s="608">
        <f t="shared" si="31"/>
        <v>0</v>
      </c>
      <c r="AT22" s="609"/>
      <c r="AU22" s="607"/>
      <c r="AV22" s="608">
        <f t="shared" si="32"/>
        <v>0</v>
      </c>
      <c r="AW22" s="610"/>
      <c r="AX22" s="607"/>
      <c r="AY22" s="608">
        <f t="shared" si="33"/>
        <v>0</v>
      </c>
      <c r="AZ22" s="609"/>
      <c r="BA22" s="607"/>
      <c r="BB22" s="608">
        <f t="shared" si="34"/>
        <v>0</v>
      </c>
      <c r="BC22" s="609"/>
      <c r="BD22" s="607"/>
      <c r="BE22" s="608">
        <f t="shared" si="35"/>
        <v>0</v>
      </c>
      <c r="BF22" s="609"/>
      <c r="BG22" s="607"/>
      <c r="BH22" s="608">
        <f t="shared" si="36"/>
        <v>0</v>
      </c>
      <c r="BI22" s="617"/>
      <c r="BJ22" s="607"/>
      <c r="BK22" s="608">
        <f t="shared" si="62"/>
        <v>0</v>
      </c>
      <c r="BL22" s="610"/>
      <c r="BM22" s="607"/>
      <c r="BN22" s="608">
        <f t="shared" si="63"/>
        <v>0</v>
      </c>
      <c r="BO22" s="610"/>
      <c r="BP22" s="607"/>
      <c r="BQ22" s="608">
        <f t="shared" si="64"/>
        <v>0</v>
      </c>
      <c r="BR22" s="609"/>
      <c r="BS22" s="607"/>
      <c r="BT22" s="608">
        <f t="shared" si="65"/>
        <v>0</v>
      </c>
      <c r="BU22" s="609"/>
      <c r="BV22" s="607"/>
      <c r="BW22" s="608">
        <f t="shared" si="7"/>
        <v>0</v>
      </c>
      <c r="BX22" s="609"/>
      <c r="BY22" s="607"/>
      <c r="BZ22" s="608">
        <f t="shared" si="8"/>
        <v>0</v>
      </c>
      <c r="CA22" s="610"/>
      <c r="CB22" s="607"/>
      <c r="CC22" s="608">
        <f t="shared" si="9"/>
        <v>0</v>
      </c>
      <c r="CD22" s="609"/>
      <c r="CE22" s="607"/>
      <c r="CF22" s="608">
        <f t="shared" si="10"/>
        <v>0</v>
      </c>
      <c r="CG22" s="610"/>
      <c r="CH22" s="607"/>
      <c r="CI22" s="608">
        <f t="shared" si="11"/>
        <v>0</v>
      </c>
      <c r="CJ22" s="610"/>
      <c r="CK22" s="607"/>
      <c r="CL22" s="608">
        <f t="shared" si="12"/>
        <v>0</v>
      </c>
      <c r="CM22" s="610"/>
      <c r="CN22" s="607"/>
      <c r="CO22" s="608">
        <f t="shared" si="13"/>
        <v>0</v>
      </c>
      <c r="CP22" s="610"/>
      <c r="CQ22" s="607"/>
      <c r="CR22" s="608">
        <f t="shared" si="14"/>
        <v>0</v>
      </c>
      <c r="CS22" s="610"/>
      <c r="CT22" s="607"/>
      <c r="CU22" s="608">
        <f t="shared" si="15"/>
        <v>0</v>
      </c>
      <c r="CV22" s="609"/>
      <c r="CW22" s="607"/>
      <c r="CX22" s="608">
        <f t="shared" si="16"/>
        <v>0</v>
      </c>
      <c r="CY22" s="610"/>
      <c r="CZ22" s="607"/>
      <c r="DA22" s="608">
        <f t="shared" si="17"/>
        <v>0</v>
      </c>
      <c r="DB22" s="610"/>
      <c r="DC22" s="607"/>
      <c r="DD22" s="608">
        <f t="shared" si="18"/>
        <v>0</v>
      </c>
      <c r="DE22" s="609"/>
      <c r="DF22" s="607"/>
      <c r="DG22" s="608">
        <f t="shared" si="39"/>
        <v>0</v>
      </c>
      <c r="DH22" s="610"/>
      <c r="DI22" s="607"/>
      <c r="DJ22" s="608">
        <f t="shared" si="40"/>
        <v>0</v>
      </c>
      <c r="DK22" s="610"/>
      <c r="DL22" s="607"/>
      <c r="DM22" s="608">
        <f t="shared" si="41"/>
        <v>0</v>
      </c>
      <c r="DN22" s="610"/>
      <c r="DO22" s="607"/>
      <c r="DP22" s="608">
        <f t="shared" si="42"/>
        <v>0</v>
      </c>
      <c r="DQ22" s="610"/>
      <c r="DR22" s="607"/>
      <c r="DS22" s="608">
        <f t="shared" si="43"/>
        <v>0</v>
      </c>
      <c r="DT22" s="610"/>
      <c r="DU22" s="607"/>
      <c r="DV22" s="608">
        <f t="shared" si="44"/>
        <v>0</v>
      </c>
      <c r="DW22" s="610"/>
      <c r="DX22" s="607"/>
      <c r="DY22" s="608">
        <f t="shared" si="45"/>
        <v>0</v>
      </c>
      <c r="DZ22" s="610"/>
      <c r="EA22" s="607"/>
      <c r="EB22" s="608">
        <f t="shared" si="46"/>
        <v>0</v>
      </c>
      <c r="EC22" s="610"/>
      <c r="ED22" s="607"/>
      <c r="EE22" s="608">
        <f t="shared" si="47"/>
        <v>0</v>
      </c>
      <c r="EF22" s="610"/>
      <c r="EG22" s="611"/>
      <c r="EH22" s="608">
        <f t="shared" si="48"/>
        <v>0</v>
      </c>
      <c r="EI22" s="610"/>
      <c r="EJ22" s="611"/>
      <c r="EK22" s="608">
        <f t="shared" si="49"/>
        <v>0</v>
      </c>
      <c r="EL22" s="610"/>
      <c r="EM22" s="611"/>
      <c r="EN22" s="608">
        <f t="shared" si="50"/>
        <v>0</v>
      </c>
      <c r="EO22" s="610"/>
      <c r="EP22" s="611"/>
      <c r="EQ22" s="608">
        <f t="shared" si="51"/>
        <v>0</v>
      </c>
      <c r="ER22" s="610"/>
      <c r="ES22" s="607"/>
      <c r="ET22" s="608">
        <f t="shared" si="54"/>
        <v>0</v>
      </c>
      <c r="EU22" s="610"/>
      <c r="EV22" s="607"/>
      <c r="EW22" s="608">
        <f t="shared" si="55"/>
        <v>0</v>
      </c>
      <c r="EX22" s="610"/>
      <c r="EY22" s="607"/>
      <c r="EZ22" s="608">
        <f t="shared" si="19"/>
        <v>0</v>
      </c>
      <c r="FA22" s="610"/>
      <c r="FB22" s="607"/>
      <c r="FC22" s="608">
        <f t="shared" si="20"/>
        <v>0</v>
      </c>
      <c r="FD22" s="610"/>
      <c r="FE22" s="607"/>
      <c r="FF22" s="608">
        <f t="shared" si="21"/>
        <v>0</v>
      </c>
      <c r="FG22" s="610"/>
      <c r="FH22" s="607"/>
      <c r="FI22" s="608">
        <f t="shared" si="52"/>
        <v>0</v>
      </c>
      <c r="FJ22" s="610"/>
      <c r="FK22" s="607"/>
      <c r="FL22" s="608">
        <f t="shared" si="22"/>
        <v>0</v>
      </c>
      <c r="FM22" s="610"/>
      <c r="FN22" s="607"/>
      <c r="FO22" s="608">
        <f t="shared" si="23"/>
        <v>0</v>
      </c>
      <c r="FP22" s="610"/>
      <c r="FQ22" s="611"/>
      <c r="FR22" s="608">
        <f t="shared" si="24"/>
        <v>0</v>
      </c>
      <c r="FS22" s="610"/>
      <c r="FT22" s="611"/>
      <c r="FU22" s="608">
        <f t="shared" si="53"/>
        <v>0</v>
      </c>
      <c r="FV22" s="610"/>
      <c r="FW22" s="611"/>
      <c r="FX22" s="608">
        <f t="shared" si="25"/>
        <v>0</v>
      </c>
      <c r="FY22" s="610"/>
      <c r="FZ22" s="611"/>
      <c r="GA22" s="608">
        <f t="shared" si="26"/>
        <v>0</v>
      </c>
      <c r="GB22" s="610"/>
      <c r="GC22" s="607"/>
      <c r="GD22" s="608">
        <f t="shared" si="27"/>
        <v>0</v>
      </c>
      <c r="GE22" s="610"/>
      <c r="GF22" s="607"/>
      <c r="GG22" s="608">
        <f t="shared" si="68"/>
        <v>0</v>
      </c>
      <c r="GH22" s="610"/>
      <c r="GI22" s="607"/>
      <c r="GJ22" s="608">
        <f t="shared" si="28"/>
        <v>0</v>
      </c>
      <c r="GK22" s="610"/>
      <c r="GL22" s="612">
        <f t="shared" si="29"/>
        <v>7</v>
      </c>
      <c r="GM22" s="613">
        <f>GL22+'33J'!BK22+'M80(20250122封存)'!CX22+MPS!AY22+TMT!CX22</f>
        <v>14</v>
      </c>
      <c r="GN22" s="614"/>
    </row>
    <row r="23" spans="1:197" s="616" customFormat="1" ht="14.25" customHeight="1">
      <c r="A23" s="606">
        <v>18</v>
      </c>
      <c r="B23" s="607"/>
      <c r="C23" s="608">
        <f t="shared" si="30"/>
        <v>0</v>
      </c>
      <c r="D23" s="618"/>
      <c r="E23" s="607"/>
      <c r="F23" s="608">
        <f t="shared" si="56"/>
        <v>0</v>
      </c>
      <c r="G23" s="618"/>
      <c r="H23" s="607"/>
      <c r="I23" s="608">
        <f t="shared" si="69"/>
        <v>0</v>
      </c>
      <c r="J23" s="618"/>
      <c r="K23" s="607"/>
      <c r="L23" s="608">
        <f t="shared" si="58"/>
        <v>0</v>
      </c>
      <c r="M23" s="618"/>
      <c r="N23" s="607"/>
      <c r="O23" s="608">
        <f t="shared" si="59"/>
        <v>0</v>
      </c>
      <c r="P23" s="618"/>
      <c r="Q23" s="607"/>
      <c r="R23" s="608">
        <f t="shared" si="66"/>
        <v>0</v>
      </c>
      <c r="S23" s="618"/>
      <c r="T23" s="607"/>
      <c r="U23" s="608">
        <f t="shared" si="60"/>
        <v>0</v>
      </c>
      <c r="V23" s="618"/>
      <c r="W23" s="607"/>
      <c r="X23" s="608">
        <f t="shared" si="61"/>
        <v>0</v>
      </c>
      <c r="Y23" s="618"/>
      <c r="Z23" s="607"/>
      <c r="AA23" s="608">
        <f t="shared" si="67"/>
        <v>0</v>
      </c>
      <c r="AB23" s="618"/>
      <c r="AC23" s="611"/>
      <c r="AD23" s="608">
        <f t="shared" si="0"/>
        <v>0</v>
      </c>
      <c r="AE23" s="609"/>
      <c r="AF23" s="611"/>
      <c r="AG23" s="608">
        <f t="shared" si="1"/>
        <v>0</v>
      </c>
      <c r="AH23" s="618"/>
      <c r="AI23" s="611"/>
      <c r="AJ23" s="608">
        <f t="shared" si="2"/>
        <v>0</v>
      </c>
      <c r="AK23" s="618"/>
      <c r="AL23" s="611"/>
      <c r="AM23" s="608">
        <f t="shared" si="3"/>
        <v>0</v>
      </c>
      <c r="AN23" s="609"/>
      <c r="AO23" s="611"/>
      <c r="AP23" s="608">
        <f t="shared" si="4"/>
        <v>0</v>
      </c>
      <c r="AQ23" s="610"/>
      <c r="AR23" s="611"/>
      <c r="AS23" s="608">
        <f t="shared" si="31"/>
        <v>0</v>
      </c>
      <c r="AT23" s="609"/>
      <c r="AU23" s="611"/>
      <c r="AV23" s="608">
        <f t="shared" si="32"/>
        <v>0</v>
      </c>
      <c r="AW23" s="610"/>
      <c r="AX23" s="611"/>
      <c r="AY23" s="608">
        <f t="shared" si="33"/>
        <v>0</v>
      </c>
      <c r="AZ23" s="609"/>
      <c r="BA23" s="611"/>
      <c r="BB23" s="608">
        <f t="shared" si="34"/>
        <v>0</v>
      </c>
      <c r="BC23" s="609"/>
      <c r="BD23" s="611"/>
      <c r="BE23" s="608">
        <f t="shared" si="35"/>
        <v>0</v>
      </c>
      <c r="BF23" s="609"/>
      <c r="BG23" s="607"/>
      <c r="BH23" s="608">
        <f t="shared" si="36"/>
        <v>0</v>
      </c>
      <c r="BI23" s="618"/>
      <c r="BJ23" s="607"/>
      <c r="BK23" s="608">
        <f t="shared" si="62"/>
        <v>0</v>
      </c>
      <c r="BL23" s="610"/>
      <c r="BM23" s="607"/>
      <c r="BN23" s="608">
        <f t="shared" si="63"/>
        <v>0</v>
      </c>
      <c r="BO23" s="610"/>
      <c r="BP23" s="607"/>
      <c r="BQ23" s="608">
        <f t="shared" si="64"/>
        <v>0</v>
      </c>
      <c r="BR23" s="609"/>
      <c r="BS23" s="607"/>
      <c r="BT23" s="608">
        <f t="shared" si="65"/>
        <v>0</v>
      </c>
      <c r="BU23" s="609"/>
      <c r="BV23" s="611"/>
      <c r="BW23" s="608">
        <f t="shared" si="7"/>
        <v>0</v>
      </c>
      <c r="BX23" s="609"/>
      <c r="BY23" s="607"/>
      <c r="BZ23" s="608">
        <f t="shared" si="8"/>
        <v>0</v>
      </c>
      <c r="CA23" s="610"/>
      <c r="CB23" s="607"/>
      <c r="CC23" s="608">
        <f t="shared" si="9"/>
        <v>0</v>
      </c>
      <c r="CD23" s="609"/>
      <c r="CE23" s="607"/>
      <c r="CF23" s="608">
        <f t="shared" si="10"/>
        <v>0</v>
      </c>
      <c r="CG23" s="610"/>
      <c r="CH23" s="607"/>
      <c r="CI23" s="608">
        <f t="shared" si="11"/>
        <v>0</v>
      </c>
      <c r="CJ23" s="610"/>
      <c r="CK23" s="607"/>
      <c r="CL23" s="608">
        <f t="shared" si="12"/>
        <v>0</v>
      </c>
      <c r="CM23" s="610"/>
      <c r="CN23" s="607"/>
      <c r="CO23" s="608">
        <f t="shared" si="13"/>
        <v>0</v>
      </c>
      <c r="CP23" s="610"/>
      <c r="CQ23" s="607"/>
      <c r="CR23" s="608">
        <f t="shared" si="14"/>
        <v>0</v>
      </c>
      <c r="CS23" s="610"/>
      <c r="CT23" s="607"/>
      <c r="CU23" s="608">
        <f t="shared" si="15"/>
        <v>0</v>
      </c>
      <c r="CV23" s="609"/>
      <c r="CW23" s="607"/>
      <c r="CX23" s="608">
        <f t="shared" si="16"/>
        <v>0</v>
      </c>
      <c r="CY23" s="610"/>
      <c r="CZ23" s="607"/>
      <c r="DA23" s="608">
        <f t="shared" si="17"/>
        <v>0</v>
      </c>
      <c r="DB23" s="610"/>
      <c r="DC23" s="607"/>
      <c r="DD23" s="608">
        <f t="shared" si="18"/>
        <v>0</v>
      </c>
      <c r="DE23" s="609"/>
      <c r="DF23" s="611"/>
      <c r="DG23" s="608">
        <f t="shared" si="39"/>
        <v>0</v>
      </c>
      <c r="DH23" s="610"/>
      <c r="DI23" s="607"/>
      <c r="DJ23" s="608">
        <f t="shared" si="40"/>
        <v>0</v>
      </c>
      <c r="DK23" s="610"/>
      <c r="DL23" s="607"/>
      <c r="DM23" s="608">
        <f t="shared" si="41"/>
        <v>0</v>
      </c>
      <c r="DN23" s="610"/>
      <c r="DO23" s="607"/>
      <c r="DP23" s="608">
        <f t="shared" si="42"/>
        <v>0</v>
      </c>
      <c r="DQ23" s="610"/>
      <c r="DR23" s="607"/>
      <c r="DS23" s="608">
        <f t="shared" si="43"/>
        <v>0</v>
      </c>
      <c r="DT23" s="610"/>
      <c r="DU23" s="607"/>
      <c r="DV23" s="608">
        <f t="shared" si="44"/>
        <v>0</v>
      </c>
      <c r="DW23" s="610"/>
      <c r="DX23" s="607"/>
      <c r="DY23" s="608">
        <f t="shared" si="45"/>
        <v>0</v>
      </c>
      <c r="DZ23" s="610"/>
      <c r="EA23" s="607"/>
      <c r="EB23" s="608">
        <f t="shared" si="46"/>
        <v>0</v>
      </c>
      <c r="EC23" s="610"/>
      <c r="ED23" s="607"/>
      <c r="EE23" s="608">
        <f t="shared" si="47"/>
        <v>0</v>
      </c>
      <c r="EF23" s="610"/>
      <c r="EG23" s="611"/>
      <c r="EH23" s="608">
        <f t="shared" si="48"/>
        <v>0</v>
      </c>
      <c r="EI23" s="610"/>
      <c r="EJ23" s="611"/>
      <c r="EK23" s="608">
        <f t="shared" si="49"/>
        <v>0</v>
      </c>
      <c r="EL23" s="610"/>
      <c r="EM23" s="611"/>
      <c r="EN23" s="608">
        <f t="shared" si="50"/>
        <v>0</v>
      </c>
      <c r="EO23" s="610"/>
      <c r="EP23" s="611"/>
      <c r="EQ23" s="608">
        <f t="shared" si="51"/>
        <v>0</v>
      </c>
      <c r="ER23" s="610"/>
      <c r="ES23" s="607"/>
      <c r="ET23" s="608">
        <f t="shared" si="54"/>
        <v>0</v>
      </c>
      <c r="EU23" s="610"/>
      <c r="EV23" s="607"/>
      <c r="EW23" s="608">
        <f t="shared" si="55"/>
        <v>0</v>
      </c>
      <c r="EX23" s="610"/>
      <c r="EY23" s="607"/>
      <c r="EZ23" s="608">
        <f t="shared" si="19"/>
        <v>0</v>
      </c>
      <c r="FA23" s="610"/>
      <c r="FB23" s="607"/>
      <c r="FC23" s="608">
        <f t="shared" si="20"/>
        <v>0</v>
      </c>
      <c r="FD23" s="610"/>
      <c r="FE23" s="607"/>
      <c r="FF23" s="608">
        <f t="shared" si="21"/>
        <v>0</v>
      </c>
      <c r="FG23" s="610"/>
      <c r="FH23" s="607"/>
      <c r="FI23" s="608">
        <f t="shared" si="52"/>
        <v>0</v>
      </c>
      <c r="FJ23" s="610"/>
      <c r="FK23" s="607"/>
      <c r="FL23" s="608">
        <f t="shared" si="22"/>
        <v>0</v>
      </c>
      <c r="FM23" s="610"/>
      <c r="FN23" s="607"/>
      <c r="FO23" s="608">
        <f t="shared" si="23"/>
        <v>0</v>
      </c>
      <c r="FP23" s="610"/>
      <c r="FQ23" s="611"/>
      <c r="FR23" s="608">
        <f t="shared" si="24"/>
        <v>0</v>
      </c>
      <c r="FS23" s="610"/>
      <c r="FT23" s="611"/>
      <c r="FU23" s="608">
        <f t="shared" si="53"/>
        <v>0</v>
      </c>
      <c r="FV23" s="610"/>
      <c r="FW23" s="611"/>
      <c r="FX23" s="608">
        <f t="shared" si="25"/>
        <v>0</v>
      </c>
      <c r="FY23" s="610"/>
      <c r="FZ23" s="611"/>
      <c r="GA23" s="608">
        <f t="shared" si="26"/>
        <v>0</v>
      </c>
      <c r="GB23" s="610"/>
      <c r="GC23" s="607"/>
      <c r="GD23" s="608">
        <f t="shared" si="27"/>
        <v>0</v>
      </c>
      <c r="GE23" s="610"/>
      <c r="GF23" s="607"/>
      <c r="GG23" s="608">
        <f t="shared" si="68"/>
        <v>0</v>
      </c>
      <c r="GH23" s="610"/>
      <c r="GI23" s="607"/>
      <c r="GJ23" s="608">
        <f t="shared" si="28"/>
        <v>0</v>
      </c>
      <c r="GK23" s="610"/>
      <c r="GL23" s="612">
        <f t="shared" si="29"/>
        <v>0</v>
      </c>
      <c r="GM23" s="613">
        <f>GL23+'33J'!BK23+'M80(20250122封存)'!CX23+MPS!AY23+TMT!CX23</f>
        <v>0</v>
      </c>
      <c r="GN23" s="614"/>
    </row>
    <row r="24" spans="1:197" s="616" customFormat="1" ht="14.25" customHeight="1">
      <c r="A24" s="606">
        <v>19</v>
      </c>
      <c r="B24" s="607"/>
      <c r="C24" s="608">
        <f t="shared" si="30"/>
        <v>0</v>
      </c>
      <c r="D24" s="617"/>
      <c r="E24" s="607"/>
      <c r="F24" s="608">
        <f t="shared" si="56"/>
        <v>0</v>
      </c>
      <c r="G24" s="617"/>
      <c r="H24" s="607"/>
      <c r="I24" s="608">
        <f t="shared" si="69"/>
        <v>0</v>
      </c>
      <c r="J24" s="617"/>
      <c r="K24" s="607"/>
      <c r="L24" s="608">
        <f t="shared" si="58"/>
        <v>0</v>
      </c>
      <c r="M24" s="617"/>
      <c r="N24" s="607"/>
      <c r="O24" s="608">
        <f t="shared" si="59"/>
        <v>0</v>
      </c>
      <c r="P24" s="617"/>
      <c r="Q24" s="607"/>
      <c r="R24" s="608">
        <f t="shared" si="66"/>
        <v>0</v>
      </c>
      <c r="S24" s="617"/>
      <c r="T24" s="607"/>
      <c r="U24" s="608">
        <f t="shared" si="60"/>
        <v>0</v>
      </c>
      <c r="V24" s="617"/>
      <c r="W24" s="607"/>
      <c r="X24" s="608">
        <f t="shared" si="61"/>
        <v>0</v>
      </c>
      <c r="Y24" s="617"/>
      <c r="Z24" s="607"/>
      <c r="AA24" s="608">
        <f t="shared" si="67"/>
        <v>0</v>
      </c>
      <c r="AB24" s="617"/>
      <c r="AC24" s="607"/>
      <c r="AD24" s="608">
        <f t="shared" si="0"/>
        <v>0</v>
      </c>
      <c r="AE24" s="609"/>
      <c r="AF24" s="607"/>
      <c r="AG24" s="608">
        <f t="shared" si="1"/>
        <v>0</v>
      </c>
      <c r="AH24" s="617"/>
      <c r="AI24" s="611"/>
      <c r="AJ24" s="608">
        <f t="shared" si="2"/>
        <v>0</v>
      </c>
      <c r="AK24" s="617"/>
      <c r="AL24" s="607"/>
      <c r="AM24" s="608">
        <f t="shared" si="3"/>
        <v>0</v>
      </c>
      <c r="AN24" s="609"/>
      <c r="AO24" s="611"/>
      <c r="AP24" s="608">
        <f t="shared" si="4"/>
        <v>0</v>
      </c>
      <c r="AQ24" s="617"/>
      <c r="AR24" s="607"/>
      <c r="AS24" s="608">
        <f t="shared" si="31"/>
        <v>0</v>
      </c>
      <c r="AT24" s="609"/>
      <c r="AU24" s="611"/>
      <c r="AV24" s="608">
        <f t="shared" si="32"/>
        <v>0</v>
      </c>
      <c r="AW24" s="610"/>
      <c r="AX24" s="611"/>
      <c r="AY24" s="608">
        <f t="shared" si="33"/>
        <v>0</v>
      </c>
      <c r="AZ24" s="609"/>
      <c r="BA24" s="611"/>
      <c r="BB24" s="608">
        <f t="shared" si="34"/>
        <v>0</v>
      </c>
      <c r="BC24" s="609"/>
      <c r="BD24" s="607"/>
      <c r="BE24" s="608">
        <f t="shared" si="35"/>
        <v>0</v>
      </c>
      <c r="BF24" s="609"/>
      <c r="BG24" s="607"/>
      <c r="BH24" s="608">
        <f t="shared" si="36"/>
        <v>0</v>
      </c>
      <c r="BI24" s="617"/>
      <c r="BJ24" s="607"/>
      <c r="BK24" s="608">
        <f t="shared" si="62"/>
        <v>0</v>
      </c>
      <c r="BL24" s="610"/>
      <c r="BM24" s="607"/>
      <c r="BN24" s="608">
        <f t="shared" si="63"/>
        <v>0</v>
      </c>
      <c r="BO24" s="610"/>
      <c r="BP24" s="607"/>
      <c r="BQ24" s="608">
        <f t="shared" si="64"/>
        <v>0</v>
      </c>
      <c r="BR24" s="609"/>
      <c r="BS24" s="607"/>
      <c r="BT24" s="608">
        <f t="shared" si="65"/>
        <v>0</v>
      </c>
      <c r="BU24" s="609"/>
      <c r="BV24" s="607"/>
      <c r="BW24" s="608">
        <f t="shared" si="7"/>
        <v>0</v>
      </c>
      <c r="BX24" s="609"/>
      <c r="BY24" s="607"/>
      <c r="BZ24" s="608">
        <f t="shared" si="8"/>
        <v>0</v>
      </c>
      <c r="CA24" s="610"/>
      <c r="CB24" s="607"/>
      <c r="CC24" s="608">
        <f t="shared" si="9"/>
        <v>0</v>
      </c>
      <c r="CD24" s="609"/>
      <c r="CE24" s="607"/>
      <c r="CF24" s="608">
        <f t="shared" si="10"/>
        <v>0</v>
      </c>
      <c r="CG24" s="610"/>
      <c r="CH24" s="607"/>
      <c r="CI24" s="608">
        <f t="shared" si="11"/>
        <v>0</v>
      </c>
      <c r="CJ24" s="610"/>
      <c r="CK24" s="607"/>
      <c r="CL24" s="608">
        <f t="shared" si="12"/>
        <v>0</v>
      </c>
      <c r="CM24" s="610"/>
      <c r="CN24" s="607"/>
      <c r="CO24" s="608">
        <f t="shared" si="13"/>
        <v>0</v>
      </c>
      <c r="CP24" s="610"/>
      <c r="CQ24" s="607"/>
      <c r="CR24" s="608">
        <f t="shared" si="14"/>
        <v>0</v>
      </c>
      <c r="CS24" s="610"/>
      <c r="CT24" s="607"/>
      <c r="CU24" s="608">
        <f t="shared" si="15"/>
        <v>0</v>
      </c>
      <c r="CV24" s="609"/>
      <c r="CW24" s="607"/>
      <c r="CX24" s="608">
        <f t="shared" si="16"/>
        <v>0</v>
      </c>
      <c r="CY24" s="610"/>
      <c r="CZ24" s="607"/>
      <c r="DA24" s="608">
        <f t="shared" si="17"/>
        <v>0</v>
      </c>
      <c r="DB24" s="610"/>
      <c r="DC24" s="607"/>
      <c r="DD24" s="608">
        <f t="shared" si="18"/>
        <v>0</v>
      </c>
      <c r="DE24" s="609"/>
      <c r="DF24" s="607"/>
      <c r="DG24" s="608">
        <f t="shared" si="39"/>
        <v>0</v>
      </c>
      <c r="DH24" s="610"/>
      <c r="DI24" s="607"/>
      <c r="DJ24" s="608">
        <f t="shared" si="40"/>
        <v>0</v>
      </c>
      <c r="DK24" s="610"/>
      <c r="DL24" s="607"/>
      <c r="DM24" s="608">
        <f t="shared" si="41"/>
        <v>0</v>
      </c>
      <c r="DN24" s="610"/>
      <c r="DO24" s="607"/>
      <c r="DP24" s="608">
        <f t="shared" si="42"/>
        <v>0</v>
      </c>
      <c r="DQ24" s="610"/>
      <c r="DR24" s="607"/>
      <c r="DS24" s="608">
        <f t="shared" si="43"/>
        <v>0</v>
      </c>
      <c r="DT24" s="610"/>
      <c r="DU24" s="607"/>
      <c r="DV24" s="608">
        <f t="shared" si="44"/>
        <v>0</v>
      </c>
      <c r="DW24" s="610"/>
      <c r="DX24" s="607"/>
      <c r="DY24" s="608">
        <f t="shared" si="45"/>
        <v>0</v>
      </c>
      <c r="DZ24" s="610"/>
      <c r="EA24" s="607"/>
      <c r="EB24" s="608">
        <f t="shared" si="46"/>
        <v>0</v>
      </c>
      <c r="EC24" s="610"/>
      <c r="ED24" s="607"/>
      <c r="EE24" s="608">
        <f t="shared" si="47"/>
        <v>0</v>
      </c>
      <c r="EF24" s="610"/>
      <c r="EG24" s="607"/>
      <c r="EH24" s="608">
        <f t="shared" si="48"/>
        <v>0</v>
      </c>
      <c r="EI24" s="610"/>
      <c r="EJ24" s="611"/>
      <c r="EK24" s="608">
        <f t="shared" si="49"/>
        <v>0</v>
      </c>
      <c r="EL24" s="610"/>
      <c r="EM24" s="611"/>
      <c r="EN24" s="608">
        <f t="shared" si="50"/>
        <v>0</v>
      </c>
      <c r="EO24" s="610"/>
      <c r="EP24" s="611"/>
      <c r="EQ24" s="608">
        <f t="shared" si="51"/>
        <v>0</v>
      </c>
      <c r="ER24" s="610"/>
      <c r="ES24" s="607"/>
      <c r="ET24" s="608">
        <f t="shared" si="54"/>
        <v>0</v>
      </c>
      <c r="EU24" s="610"/>
      <c r="EV24" s="607"/>
      <c r="EW24" s="608">
        <f t="shared" si="55"/>
        <v>0</v>
      </c>
      <c r="EX24" s="610"/>
      <c r="EY24" s="607"/>
      <c r="EZ24" s="608">
        <f t="shared" si="19"/>
        <v>0</v>
      </c>
      <c r="FA24" s="610"/>
      <c r="FB24" s="607"/>
      <c r="FC24" s="608">
        <f t="shared" si="20"/>
        <v>0</v>
      </c>
      <c r="FD24" s="610"/>
      <c r="FE24" s="607"/>
      <c r="FF24" s="608">
        <f t="shared" si="21"/>
        <v>0</v>
      </c>
      <c r="FG24" s="610"/>
      <c r="FH24" s="607"/>
      <c r="FI24" s="608">
        <f t="shared" si="52"/>
        <v>0</v>
      </c>
      <c r="FJ24" s="610"/>
      <c r="FK24" s="607"/>
      <c r="FL24" s="608">
        <f t="shared" si="22"/>
        <v>0</v>
      </c>
      <c r="FM24" s="610"/>
      <c r="FN24" s="607"/>
      <c r="FO24" s="608">
        <f t="shared" si="23"/>
        <v>0</v>
      </c>
      <c r="FP24" s="610"/>
      <c r="FQ24" s="611"/>
      <c r="FR24" s="608">
        <f t="shared" si="24"/>
        <v>0</v>
      </c>
      <c r="FS24" s="610"/>
      <c r="FT24" s="611"/>
      <c r="FU24" s="608">
        <f t="shared" si="53"/>
        <v>0</v>
      </c>
      <c r="FV24" s="610"/>
      <c r="FW24" s="611"/>
      <c r="FX24" s="608">
        <f t="shared" si="25"/>
        <v>0</v>
      </c>
      <c r="FY24" s="610"/>
      <c r="FZ24" s="611"/>
      <c r="GA24" s="608">
        <f t="shared" si="26"/>
        <v>0</v>
      </c>
      <c r="GB24" s="610"/>
      <c r="GC24" s="607"/>
      <c r="GD24" s="608">
        <f t="shared" si="27"/>
        <v>0</v>
      </c>
      <c r="GE24" s="610"/>
      <c r="GF24" s="607"/>
      <c r="GG24" s="608">
        <f t="shared" si="68"/>
        <v>0</v>
      </c>
      <c r="GH24" s="610"/>
      <c r="GI24" s="607"/>
      <c r="GJ24" s="608">
        <f t="shared" si="28"/>
        <v>0</v>
      </c>
      <c r="GK24" s="610"/>
      <c r="GL24" s="612">
        <f t="shared" si="29"/>
        <v>0</v>
      </c>
      <c r="GM24" s="613">
        <f>GL24+'33J'!BK24+'M80(20250122封存)'!CX24+MPS!AY24+TMT!CX24</f>
        <v>0</v>
      </c>
      <c r="GN24" s="614"/>
    </row>
    <row r="25" spans="1:197" s="616" customFormat="1" ht="14.25" customHeight="1">
      <c r="A25" s="606">
        <v>20</v>
      </c>
      <c r="B25" s="607"/>
      <c r="C25" s="608">
        <f t="shared" si="30"/>
        <v>0</v>
      </c>
      <c r="D25" s="617"/>
      <c r="E25" s="607"/>
      <c r="F25" s="608">
        <f t="shared" si="56"/>
        <v>0</v>
      </c>
      <c r="G25" s="617"/>
      <c r="H25" s="607"/>
      <c r="I25" s="608">
        <f t="shared" si="69"/>
        <v>0</v>
      </c>
      <c r="J25" s="617"/>
      <c r="K25" s="607"/>
      <c r="L25" s="608">
        <f t="shared" si="58"/>
        <v>0</v>
      </c>
      <c r="M25" s="617"/>
      <c r="N25" s="607"/>
      <c r="O25" s="608">
        <f t="shared" si="59"/>
        <v>0</v>
      </c>
      <c r="P25" s="617"/>
      <c r="Q25" s="607"/>
      <c r="R25" s="608">
        <f t="shared" si="66"/>
        <v>0</v>
      </c>
      <c r="S25" s="617"/>
      <c r="T25" s="607"/>
      <c r="U25" s="608">
        <f t="shared" si="60"/>
        <v>0</v>
      </c>
      <c r="V25" s="617"/>
      <c r="W25" s="607"/>
      <c r="X25" s="608">
        <f t="shared" si="61"/>
        <v>0</v>
      </c>
      <c r="Y25" s="617"/>
      <c r="Z25" s="607"/>
      <c r="AA25" s="608">
        <f t="shared" si="67"/>
        <v>0</v>
      </c>
      <c r="AB25" s="617"/>
      <c r="AC25" s="607"/>
      <c r="AD25" s="608">
        <f t="shared" si="0"/>
        <v>0</v>
      </c>
      <c r="AE25" s="609"/>
      <c r="AF25" s="607"/>
      <c r="AG25" s="608">
        <f t="shared" si="1"/>
        <v>0</v>
      </c>
      <c r="AH25" s="617"/>
      <c r="AI25" s="611"/>
      <c r="AJ25" s="608">
        <f t="shared" si="2"/>
        <v>0</v>
      </c>
      <c r="AK25" s="617"/>
      <c r="AL25" s="607"/>
      <c r="AM25" s="608">
        <f t="shared" si="3"/>
        <v>0</v>
      </c>
      <c r="AN25" s="609"/>
      <c r="AO25" s="611"/>
      <c r="AP25" s="608">
        <f t="shared" si="4"/>
        <v>0</v>
      </c>
      <c r="AQ25" s="617"/>
      <c r="AR25" s="607"/>
      <c r="AS25" s="608">
        <f t="shared" si="31"/>
        <v>0</v>
      </c>
      <c r="AT25" s="609"/>
      <c r="AU25" s="611"/>
      <c r="AV25" s="608">
        <f t="shared" si="32"/>
        <v>0</v>
      </c>
      <c r="AW25" s="610"/>
      <c r="AX25" s="611"/>
      <c r="AY25" s="608">
        <f t="shared" si="33"/>
        <v>0</v>
      </c>
      <c r="AZ25" s="609"/>
      <c r="BA25" s="611"/>
      <c r="BB25" s="608">
        <f t="shared" si="34"/>
        <v>0</v>
      </c>
      <c r="BC25" s="609"/>
      <c r="BD25" s="607"/>
      <c r="BE25" s="608">
        <f t="shared" si="35"/>
        <v>0</v>
      </c>
      <c r="BF25" s="609"/>
      <c r="BG25" s="607"/>
      <c r="BH25" s="608">
        <f t="shared" si="36"/>
        <v>0</v>
      </c>
      <c r="BI25" s="617"/>
      <c r="BJ25" s="607"/>
      <c r="BK25" s="608">
        <f t="shared" si="62"/>
        <v>0</v>
      </c>
      <c r="BL25" s="610"/>
      <c r="BM25" s="607"/>
      <c r="BN25" s="608">
        <f t="shared" si="63"/>
        <v>0</v>
      </c>
      <c r="BO25" s="610"/>
      <c r="BP25" s="607"/>
      <c r="BQ25" s="608">
        <f t="shared" si="64"/>
        <v>0</v>
      </c>
      <c r="BR25" s="609"/>
      <c r="BS25" s="607"/>
      <c r="BT25" s="608">
        <f t="shared" si="65"/>
        <v>0</v>
      </c>
      <c r="BU25" s="609"/>
      <c r="BV25" s="607"/>
      <c r="BW25" s="608">
        <f t="shared" si="7"/>
        <v>0</v>
      </c>
      <c r="BX25" s="609"/>
      <c r="BY25" s="607"/>
      <c r="BZ25" s="608">
        <f t="shared" si="8"/>
        <v>0</v>
      </c>
      <c r="CA25" s="610"/>
      <c r="CB25" s="611"/>
      <c r="CC25" s="608">
        <f t="shared" si="9"/>
        <v>0</v>
      </c>
      <c r="CD25" s="609"/>
      <c r="CE25" s="611"/>
      <c r="CF25" s="608">
        <f t="shared" si="10"/>
        <v>0</v>
      </c>
      <c r="CG25" s="610"/>
      <c r="CH25" s="607"/>
      <c r="CI25" s="608">
        <f t="shared" si="11"/>
        <v>0</v>
      </c>
      <c r="CJ25" s="610"/>
      <c r="CK25" s="607"/>
      <c r="CL25" s="608">
        <f t="shared" si="12"/>
        <v>0</v>
      </c>
      <c r="CM25" s="610"/>
      <c r="CN25" s="607"/>
      <c r="CO25" s="608">
        <f t="shared" si="13"/>
        <v>0</v>
      </c>
      <c r="CP25" s="610"/>
      <c r="CQ25" s="607"/>
      <c r="CR25" s="608">
        <f t="shared" si="14"/>
        <v>0</v>
      </c>
      <c r="CS25" s="610"/>
      <c r="CT25" s="607"/>
      <c r="CU25" s="608">
        <f t="shared" si="15"/>
        <v>0</v>
      </c>
      <c r="CV25" s="609"/>
      <c r="CW25" s="607"/>
      <c r="CX25" s="608">
        <f t="shared" si="16"/>
        <v>0</v>
      </c>
      <c r="CY25" s="610"/>
      <c r="CZ25" s="607"/>
      <c r="DA25" s="608">
        <f t="shared" si="17"/>
        <v>0</v>
      </c>
      <c r="DB25" s="610"/>
      <c r="DC25" s="607"/>
      <c r="DD25" s="608">
        <f t="shared" si="18"/>
        <v>0</v>
      </c>
      <c r="DE25" s="609"/>
      <c r="DF25" s="607"/>
      <c r="DG25" s="608">
        <f t="shared" si="39"/>
        <v>0</v>
      </c>
      <c r="DH25" s="610"/>
      <c r="DI25" s="607"/>
      <c r="DJ25" s="608">
        <f t="shared" si="40"/>
        <v>0</v>
      </c>
      <c r="DK25" s="610"/>
      <c r="DL25" s="607"/>
      <c r="DM25" s="608">
        <f t="shared" si="41"/>
        <v>0</v>
      </c>
      <c r="DN25" s="610"/>
      <c r="DO25" s="607"/>
      <c r="DP25" s="608">
        <f t="shared" si="42"/>
        <v>0</v>
      </c>
      <c r="DQ25" s="610"/>
      <c r="DR25" s="607"/>
      <c r="DS25" s="608">
        <f t="shared" si="43"/>
        <v>0</v>
      </c>
      <c r="DT25" s="610"/>
      <c r="DU25" s="607"/>
      <c r="DV25" s="608">
        <f t="shared" si="44"/>
        <v>0</v>
      </c>
      <c r="DW25" s="610"/>
      <c r="DX25" s="607"/>
      <c r="DY25" s="608">
        <f t="shared" si="45"/>
        <v>0</v>
      </c>
      <c r="DZ25" s="610"/>
      <c r="EA25" s="607"/>
      <c r="EB25" s="608">
        <f t="shared" si="46"/>
        <v>0</v>
      </c>
      <c r="EC25" s="610"/>
      <c r="ED25" s="607"/>
      <c r="EE25" s="608">
        <f t="shared" si="47"/>
        <v>0</v>
      </c>
      <c r="EF25" s="610"/>
      <c r="EG25" s="607"/>
      <c r="EH25" s="608">
        <f t="shared" si="48"/>
        <v>0</v>
      </c>
      <c r="EI25" s="610"/>
      <c r="EJ25" s="611"/>
      <c r="EK25" s="608">
        <f t="shared" si="49"/>
        <v>0</v>
      </c>
      <c r="EL25" s="610"/>
      <c r="EM25" s="611"/>
      <c r="EN25" s="608">
        <f t="shared" si="50"/>
        <v>0</v>
      </c>
      <c r="EO25" s="610"/>
      <c r="EP25" s="611"/>
      <c r="EQ25" s="608">
        <f t="shared" si="51"/>
        <v>0</v>
      </c>
      <c r="ER25" s="610"/>
      <c r="ES25" s="607"/>
      <c r="ET25" s="608">
        <f t="shared" si="54"/>
        <v>0</v>
      </c>
      <c r="EU25" s="610"/>
      <c r="EV25" s="607"/>
      <c r="EW25" s="608">
        <f t="shared" si="55"/>
        <v>0</v>
      </c>
      <c r="EX25" s="610"/>
      <c r="EY25" s="607"/>
      <c r="EZ25" s="608">
        <f t="shared" si="19"/>
        <v>0</v>
      </c>
      <c r="FA25" s="610"/>
      <c r="FB25" s="607"/>
      <c r="FC25" s="608">
        <f t="shared" si="20"/>
        <v>0</v>
      </c>
      <c r="FD25" s="610"/>
      <c r="FE25" s="607"/>
      <c r="FF25" s="608">
        <f t="shared" si="21"/>
        <v>0</v>
      </c>
      <c r="FG25" s="610"/>
      <c r="FH25" s="607"/>
      <c r="FI25" s="608">
        <f t="shared" si="52"/>
        <v>0</v>
      </c>
      <c r="FJ25" s="610"/>
      <c r="FK25" s="607"/>
      <c r="FL25" s="608">
        <f t="shared" si="22"/>
        <v>0</v>
      </c>
      <c r="FM25" s="610"/>
      <c r="FN25" s="607"/>
      <c r="FO25" s="608">
        <f t="shared" si="23"/>
        <v>0</v>
      </c>
      <c r="FP25" s="610"/>
      <c r="FQ25" s="607"/>
      <c r="FR25" s="608">
        <f t="shared" si="24"/>
        <v>0</v>
      </c>
      <c r="FS25" s="610"/>
      <c r="FT25" s="607"/>
      <c r="FU25" s="608">
        <f t="shared" si="53"/>
        <v>0</v>
      </c>
      <c r="FV25" s="610"/>
      <c r="FW25" s="611"/>
      <c r="FX25" s="608">
        <f t="shared" si="25"/>
        <v>0</v>
      </c>
      <c r="FY25" s="610"/>
      <c r="FZ25" s="611"/>
      <c r="GA25" s="608">
        <f t="shared" si="26"/>
        <v>0</v>
      </c>
      <c r="GB25" s="610"/>
      <c r="GC25" s="607"/>
      <c r="GD25" s="608">
        <f t="shared" si="27"/>
        <v>0</v>
      </c>
      <c r="GE25" s="610"/>
      <c r="GF25" s="607"/>
      <c r="GG25" s="608">
        <f t="shared" si="68"/>
        <v>0</v>
      </c>
      <c r="GH25" s="610"/>
      <c r="GI25" s="607"/>
      <c r="GJ25" s="608">
        <f t="shared" si="28"/>
        <v>0</v>
      </c>
      <c r="GK25" s="610"/>
      <c r="GL25" s="612">
        <f t="shared" si="29"/>
        <v>0</v>
      </c>
      <c r="GM25" s="613">
        <f>GL25+'33J'!BK25+'M80(20250122封存)'!CX25+MPS!AY25+TMT!CX25</f>
        <v>0</v>
      </c>
      <c r="GN25" s="614"/>
    </row>
    <row r="26" spans="1:197" s="616" customFormat="1" ht="14.25" customHeight="1">
      <c r="A26" s="606">
        <v>21</v>
      </c>
      <c r="B26" s="607"/>
      <c r="C26" s="608">
        <f t="shared" si="30"/>
        <v>0</v>
      </c>
      <c r="D26" s="617"/>
      <c r="E26" s="607"/>
      <c r="F26" s="608">
        <f t="shared" si="56"/>
        <v>0</v>
      </c>
      <c r="G26" s="617"/>
      <c r="H26" s="607"/>
      <c r="I26" s="608">
        <f t="shared" si="69"/>
        <v>0</v>
      </c>
      <c r="J26" s="617"/>
      <c r="K26" s="607"/>
      <c r="L26" s="608">
        <f t="shared" si="58"/>
        <v>0</v>
      </c>
      <c r="M26" s="617"/>
      <c r="N26" s="607"/>
      <c r="O26" s="608">
        <f t="shared" si="59"/>
        <v>0</v>
      </c>
      <c r="P26" s="617"/>
      <c r="Q26" s="607"/>
      <c r="R26" s="608">
        <f t="shared" si="66"/>
        <v>0</v>
      </c>
      <c r="S26" s="609"/>
      <c r="T26" s="607"/>
      <c r="U26" s="608">
        <f t="shared" si="60"/>
        <v>0</v>
      </c>
      <c r="V26" s="617"/>
      <c r="W26" s="607"/>
      <c r="X26" s="608">
        <f t="shared" si="61"/>
        <v>0</v>
      </c>
      <c r="Y26" s="609"/>
      <c r="Z26" s="607"/>
      <c r="AA26" s="608">
        <f t="shared" si="67"/>
        <v>0</v>
      </c>
      <c r="AB26" s="609"/>
      <c r="AC26" s="607"/>
      <c r="AD26" s="608">
        <f t="shared" si="0"/>
        <v>0</v>
      </c>
      <c r="AE26" s="609"/>
      <c r="AF26" s="607"/>
      <c r="AG26" s="608">
        <f t="shared" si="1"/>
        <v>0</v>
      </c>
      <c r="AH26" s="609"/>
      <c r="AI26" s="611"/>
      <c r="AJ26" s="608">
        <f t="shared" si="2"/>
        <v>0</v>
      </c>
      <c r="AK26" s="609"/>
      <c r="AL26" s="607"/>
      <c r="AM26" s="608">
        <f t="shared" si="3"/>
        <v>0</v>
      </c>
      <c r="AN26" s="609"/>
      <c r="AO26" s="611"/>
      <c r="AP26" s="608">
        <f t="shared" si="4"/>
        <v>0</v>
      </c>
      <c r="AQ26" s="609"/>
      <c r="AR26" s="607"/>
      <c r="AS26" s="608">
        <f t="shared" si="31"/>
        <v>0</v>
      </c>
      <c r="AT26" s="609"/>
      <c r="AU26" s="607"/>
      <c r="AV26" s="608">
        <f t="shared" si="32"/>
        <v>0</v>
      </c>
      <c r="AW26" s="610"/>
      <c r="AX26" s="607"/>
      <c r="AY26" s="608">
        <f t="shared" si="33"/>
        <v>0</v>
      </c>
      <c r="AZ26" s="609"/>
      <c r="BA26" s="607"/>
      <c r="BB26" s="608">
        <f t="shared" si="34"/>
        <v>0</v>
      </c>
      <c r="BC26" s="609"/>
      <c r="BD26" s="607"/>
      <c r="BE26" s="608">
        <f t="shared" si="35"/>
        <v>0</v>
      </c>
      <c r="BF26" s="609"/>
      <c r="BG26" s="607"/>
      <c r="BH26" s="608">
        <f t="shared" si="36"/>
        <v>0</v>
      </c>
      <c r="BI26" s="617"/>
      <c r="BJ26" s="607"/>
      <c r="BK26" s="608">
        <f t="shared" si="62"/>
        <v>0</v>
      </c>
      <c r="BL26" s="610"/>
      <c r="BM26" s="607"/>
      <c r="BN26" s="608">
        <f t="shared" si="63"/>
        <v>0</v>
      </c>
      <c r="BO26" s="610"/>
      <c r="BP26" s="607"/>
      <c r="BQ26" s="608">
        <f t="shared" si="64"/>
        <v>0</v>
      </c>
      <c r="BR26" s="609"/>
      <c r="BS26" s="607"/>
      <c r="BT26" s="608">
        <f t="shared" si="65"/>
        <v>0</v>
      </c>
      <c r="BU26" s="609"/>
      <c r="BV26" s="607"/>
      <c r="BW26" s="608">
        <f t="shared" si="7"/>
        <v>0</v>
      </c>
      <c r="BX26" s="609"/>
      <c r="BY26" s="607"/>
      <c r="BZ26" s="608">
        <f t="shared" si="8"/>
        <v>0</v>
      </c>
      <c r="CA26" s="610"/>
      <c r="CB26" s="611"/>
      <c r="CC26" s="608">
        <f t="shared" si="9"/>
        <v>0</v>
      </c>
      <c r="CD26" s="609"/>
      <c r="CE26" s="611"/>
      <c r="CF26" s="608">
        <f t="shared" si="10"/>
        <v>0</v>
      </c>
      <c r="CG26" s="610"/>
      <c r="CH26" s="607"/>
      <c r="CI26" s="608">
        <f t="shared" si="11"/>
        <v>0</v>
      </c>
      <c r="CJ26" s="610"/>
      <c r="CK26" s="607"/>
      <c r="CL26" s="608">
        <f t="shared" si="12"/>
        <v>0</v>
      </c>
      <c r="CM26" s="610"/>
      <c r="CN26" s="607"/>
      <c r="CO26" s="608">
        <f t="shared" si="13"/>
        <v>0</v>
      </c>
      <c r="CP26" s="610"/>
      <c r="CQ26" s="607"/>
      <c r="CR26" s="608">
        <f t="shared" si="14"/>
        <v>0</v>
      </c>
      <c r="CS26" s="610"/>
      <c r="CT26" s="607"/>
      <c r="CU26" s="608">
        <f t="shared" si="15"/>
        <v>0</v>
      </c>
      <c r="CV26" s="609"/>
      <c r="CW26" s="607"/>
      <c r="CX26" s="608">
        <f t="shared" si="16"/>
        <v>0</v>
      </c>
      <c r="CY26" s="610"/>
      <c r="CZ26" s="607"/>
      <c r="DA26" s="608">
        <f t="shared" si="17"/>
        <v>0</v>
      </c>
      <c r="DB26" s="610"/>
      <c r="DC26" s="607"/>
      <c r="DD26" s="608">
        <f t="shared" si="18"/>
        <v>0</v>
      </c>
      <c r="DE26" s="609"/>
      <c r="DF26" s="607"/>
      <c r="DG26" s="608">
        <f t="shared" si="39"/>
        <v>0</v>
      </c>
      <c r="DH26" s="610"/>
      <c r="DI26" s="607"/>
      <c r="DJ26" s="608">
        <f t="shared" si="40"/>
        <v>0</v>
      </c>
      <c r="DK26" s="610"/>
      <c r="DL26" s="607"/>
      <c r="DM26" s="608">
        <f t="shared" si="41"/>
        <v>0</v>
      </c>
      <c r="DN26" s="610"/>
      <c r="DO26" s="607"/>
      <c r="DP26" s="608">
        <f t="shared" si="42"/>
        <v>0</v>
      </c>
      <c r="DQ26" s="610"/>
      <c r="DR26" s="607"/>
      <c r="DS26" s="608">
        <f t="shared" si="43"/>
        <v>0</v>
      </c>
      <c r="DT26" s="610"/>
      <c r="DU26" s="607"/>
      <c r="DV26" s="608">
        <f t="shared" si="44"/>
        <v>0</v>
      </c>
      <c r="DW26" s="610"/>
      <c r="DX26" s="607"/>
      <c r="DY26" s="608">
        <f t="shared" si="45"/>
        <v>0</v>
      </c>
      <c r="DZ26" s="610"/>
      <c r="EA26" s="607"/>
      <c r="EB26" s="608">
        <f t="shared" si="46"/>
        <v>0</v>
      </c>
      <c r="EC26" s="610"/>
      <c r="ED26" s="607"/>
      <c r="EE26" s="608">
        <f t="shared" si="47"/>
        <v>0</v>
      </c>
      <c r="EF26" s="610"/>
      <c r="EG26" s="607"/>
      <c r="EH26" s="608">
        <f t="shared" si="48"/>
        <v>0</v>
      </c>
      <c r="EI26" s="610"/>
      <c r="EJ26" s="611"/>
      <c r="EK26" s="608">
        <f t="shared" si="49"/>
        <v>0</v>
      </c>
      <c r="EL26" s="610"/>
      <c r="EM26" s="611"/>
      <c r="EN26" s="608">
        <f t="shared" si="50"/>
        <v>0</v>
      </c>
      <c r="EO26" s="610"/>
      <c r="EP26" s="611"/>
      <c r="EQ26" s="608">
        <f t="shared" si="51"/>
        <v>0</v>
      </c>
      <c r="ER26" s="610"/>
      <c r="ES26" s="607"/>
      <c r="ET26" s="608">
        <f t="shared" si="54"/>
        <v>0</v>
      </c>
      <c r="EU26" s="610"/>
      <c r="EV26" s="607"/>
      <c r="EW26" s="608">
        <f t="shared" si="55"/>
        <v>0</v>
      </c>
      <c r="EX26" s="610"/>
      <c r="EY26" s="607"/>
      <c r="EZ26" s="608">
        <f t="shared" si="19"/>
        <v>0</v>
      </c>
      <c r="FA26" s="610"/>
      <c r="FB26" s="607"/>
      <c r="FC26" s="608">
        <f t="shared" si="20"/>
        <v>0</v>
      </c>
      <c r="FD26" s="610"/>
      <c r="FE26" s="607"/>
      <c r="FF26" s="608">
        <f t="shared" si="21"/>
        <v>0</v>
      </c>
      <c r="FG26" s="610"/>
      <c r="FH26" s="607"/>
      <c r="FI26" s="608">
        <f t="shared" si="52"/>
        <v>0</v>
      </c>
      <c r="FJ26" s="610"/>
      <c r="FK26" s="607"/>
      <c r="FL26" s="608">
        <f t="shared" si="22"/>
        <v>0</v>
      </c>
      <c r="FM26" s="610"/>
      <c r="FN26" s="607"/>
      <c r="FO26" s="608">
        <f t="shared" si="23"/>
        <v>0</v>
      </c>
      <c r="FP26" s="610"/>
      <c r="FQ26" s="607"/>
      <c r="FR26" s="608">
        <f t="shared" si="24"/>
        <v>0</v>
      </c>
      <c r="FS26" s="610"/>
      <c r="FT26" s="607"/>
      <c r="FU26" s="608">
        <f t="shared" si="53"/>
        <v>0</v>
      </c>
      <c r="FV26" s="610"/>
      <c r="FW26" s="611"/>
      <c r="FX26" s="608">
        <f t="shared" si="25"/>
        <v>0</v>
      </c>
      <c r="FY26" s="610"/>
      <c r="FZ26" s="611"/>
      <c r="GA26" s="608">
        <f t="shared" si="26"/>
        <v>0</v>
      </c>
      <c r="GB26" s="610"/>
      <c r="GC26" s="607"/>
      <c r="GD26" s="608">
        <f t="shared" si="27"/>
        <v>0</v>
      </c>
      <c r="GE26" s="610"/>
      <c r="GF26" s="607"/>
      <c r="GG26" s="608">
        <f t="shared" si="68"/>
        <v>0</v>
      </c>
      <c r="GH26" s="610"/>
      <c r="GI26" s="607"/>
      <c r="GJ26" s="608">
        <f t="shared" si="28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customHeight="1" thickBot="1">
      <c r="A27" s="606">
        <v>22</v>
      </c>
      <c r="B27" s="607"/>
      <c r="C27" s="608">
        <f t="shared" si="30"/>
        <v>0</v>
      </c>
      <c r="D27" s="617"/>
      <c r="E27" s="611"/>
      <c r="F27" s="608">
        <f t="shared" si="56"/>
        <v>0</v>
      </c>
      <c r="G27" s="617"/>
      <c r="H27" s="607"/>
      <c r="I27" s="608">
        <f t="shared" si="69"/>
        <v>0</v>
      </c>
      <c r="J27" s="617"/>
      <c r="K27" s="607"/>
      <c r="L27" s="608">
        <f t="shared" si="58"/>
        <v>0</v>
      </c>
      <c r="M27" s="617"/>
      <c r="N27" s="607"/>
      <c r="O27" s="608">
        <f t="shared" si="59"/>
        <v>0</v>
      </c>
      <c r="P27" s="617"/>
      <c r="Q27" s="607"/>
      <c r="R27" s="608">
        <f t="shared" si="66"/>
        <v>0</v>
      </c>
      <c r="S27" s="609"/>
      <c r="T27" s="607"/>
      <c r="U27" s="608">
        <f t="shared" si="60"/>
        <v>0</v>
      </c>
      <c r="V27" s="617"/>
      <c r="W27" s="607"/>
      <c r="X27" s="608">
        <f t="shared" si="61"/>
        <v>0</v>
      </c>
      <c r="Y27" s="609"/>
      <c r="Z27" s="607"/>
      <c r="AA27" s="608">
        <f t="shared" si="67"/>
        <v>0</v>
      </c>
      <c r="AB27" s="609"/>
      <c r="AC27" s="611"/>
      <c r="AD27" s="608">
        <f t="shared" si="0"/>
        <v>0</v>
      </c>
      <c r="AE27" s="609"/>
      <c r="AF27" s="611"/>
      <c r="AG27" s="608">
        <f t="shared" si="1"/>
        <v>0</v>
      </c>
      <c r="AH27" s="609"/>
      <c r="AI27" s="611"/>
      <c r="AJ27" s="608">
        <f t="shared" si="2"/>
        <v>0</v>
      </c>
      <c r="AK27" s="609"/>
      <c r="AL27" s="607"/>
      <c r="AM27" s="608">
        <f t="shared" si="3"/>
        <v>0</v>
      </c>
      <c r="AN27" s="609"/>
      <c r="AO27" s="611"/>
      <c r="AP27" s="608">
        <f t="shared" si="4"/>
        <v>0</v>
      </c>
      <c r="AQ27" s="609"/>
      <c r="AR27" s="607"/>
      <c r="AS27" s="608">
        <f t="shared" si="31"/>
        <v>0</v>
      </c>
      <c r="AT27" s="609"/>
      <c r="AU27" s="607"/>
      <c r="AV27" s="608">
        <f t="shared" si="32"/>
        <v>0</v>
      </c>
      <c r="AW27" s="610"/>
      <c r="AX27" s="607"/>
      <c r="AY27" s="608">
        <f t="shared" si="33"/>
        <v>0</v>
      </c>
      <c r="AZ27" s="609"/>
      <c r="BA27" s="607"/>
      <c r="BB27" s="608">
        <f t="shared" si="34"/>
        <v>0</v>
      </c>
      <c r="BC27" s="609"/>
      <c r="BD27" s="607"/>
      <c r="BE27" s="608">
        <f t="shared" si="35"/>
        <v>0</v>
      </c>
      <c r="BF27" s="609"/>
      <c r="BG27" s="607"/>
      <c r="BH27" s="608">
        <f t="shared" si="36"/>
        <v>0</v>
      </c>
      <c r="BI27" s="617"/>
      <c r="BJ27" s="607"/>
      <c r="BK27" s="608">
        <f t="shared" si="62"/>
        <v>0</v>
      </c>
      <c r="BL27" s="610"/>
      <c r="BM27" s="607"/>
      <c r="BN27" s="608">
        <f t="shared" si="63"/>
        <v>0</v>
      </c>
      <c r="BO27" s="610"/>
      <c r="BP27" s="607"/>
      <c r="BQ27" s="608">
        <f t="shared" si="64"/>
        <v>0</v>
      </c>
      <c r="BR27" s="609"/>
      <c r="BS27" s="607"/>
      <c r="BT27" s="608">
        <f t="shared" si="65"/>
        <v>0</v>
      </c>
      <c r="BU27" s="609"/>
      <c r="BV27" s="607"/>
      <c r="BW27" s="608">
        <f t="shared" si="7"/>
        <v>0</v>
      </c>
      <c r="BX27" s="609"/>
      <c r="BY27" s="607"/>
      <c r="BZ27" s="608">
        <f t="shared" si="8"/>
        <v>0</v>
      </c>
      <c r="CA27" s="610"/>
      <c r="CB27" s="611"/>
      <c r="CC27" s="608">
        <f t="shared" si="9"/>
        <v>0</v>
      </c>
      <c r="CD27" s="609"/>
      <c r="CE27" s="611"/>
      <c r="CF27" s="608">
        <f t="shared" si="10"/>
        <v>0</v>
      </c>
      <c r="CG27" s="610"/>
      <c r="CH27" s="607"/>
      <c r="CI27" s="608">
        <f t="shared" si="11"/>
        <v>0</v>
      </c>
      <c r="CJ27" s="610"/>
      <c r="CK27" s="607"/>
      <c r="CL27" s="608">
        <f t="shared" si="12"/>
        <v>0</v>
      </c>
      <c r="CM27" s="610"/>
      <c r="CN27" s="611"/>
      <c r="CO27" s="608">
        <f t="shared" si="13"/>
        <v>0</v>
      </c>
      <c r="CP27" s="610"/>
      <c r="CQ27" s="607"/>
      <c r="CR27" s="608">
        <f t="shared" si="14"/>
        <v>0</v>
      </c>
      <c r="CS27" s="609"/>
      <c r="CT27" s="611"/>
      <c r="CU27" s="608">
        <f t="shared" si="15"/>
        <v>0</v>
      </c>
      <c r="CV27" s="609"/>
      <c r="CW27" s="607"/>
      <c r="CX27" s="608">
        <f t="shared" si="16"/>
        <v>0</v>
      </c>
      <c r="CY27" s="610"/>
      <c r="CZ27" s="611"/>
      <c r="DA27" s="608">
        <f t="shared" si="17"/>
        <v>0</v>
      </c>
      <c r="DB27" s="609"/>
      <c r="DC27" s="611"/>
      <c r="DD27" s="608">
        <f t="shared" si="18"/>
        <v>0</v>
      </c>
      <c r="DE27" s="609"/>
      <c r="DF27" s="611"/>
      <c r="DG27" s="608">
        <f t="shared" si="39"/>
        <v>0</v>
      </c>
      <c r="DH27" s="610"/>
      <c r="DI27" s="611"/>
      <c r="DJ27" s="608">
        <f t="shared" si="40"/>
        <v>0</v>
      </c>
      <c r="DK27" s="610"/>
      <c r="DL27" s="611"/>
      <c r="DM27" s="608">
        <f t="shared" si="41"/>
        <v>0</v>
      </c>
      <c r="DN27" s="610"/>
      <c r="DO27" s="607"/>
      <c r="DP27" s="608">
        <f t="shared" si="42"/>
        <v>0</v>
      </c>
      <c r="DQ27" s="610"/>
      <c r="DR27" s="611"/>
      <c r="DS27" s="608">
        <f t="shared" si="43"/>
        <v>0</v>
      </c>
      <c r="DT27" s="610"/>
      <c r="DU27" s="607"/>
      <c r="DV27" s="608">
        <f t="shared" si="44"/>
        <v>0</v>
      </c>
      <c r="DW27" s="610"/>
      <c r="DX27" s="611"/>
      <c r="DY27" s="608">
        <f t="shared" si="45"/>
        <v>0</v>
      </c>
      <c r="DZ27" s="610"/>
      <c r="EA27" s="611"/>
      <c r="EB27" s="608">
        <f t="shared" si="46"/>
        <v>0</v>
      </c>
      <c r="EC27" s="610"/>
      <c r="ED27" s="611"/>
      <c r="EE27" s="608">
        <f t="shared" si="47"/>
        <v>0</v>
      </c>
      <c r="EF27" s="610"/>
      <c r="EG27" s="611"/>
      <c r="EH27" s="608">
        <f t="shared" si="48"/>
        <v>0</v>
      </c>
      <c r="EI27" s="610"/>
      <c r="EJ27" s="611"/>
      <c r="EK27" s="608">
        <f t="shared" si="49"/>
        <v>0</v>
      </c>
      <c r="EL27" s="610"/>
      <c r="EM27" s="611"/>
      <c r="EN27" s="608">
        <f t="shared" si="50"/>
        <v>0</v>
      </c>
      <c r="EO27" s="610"/>
      <c r="EP27" s="611"/>
      <c r="EQ27" s="608">
        <f t="shared" si="51"/>
        <v>0</v>
      </c>
      <c r="ER27" s="610"/>
      <c r="ES27" s="607"/>
      <c r="ET27" s="608">
        <f t="shared" si="54"/>
        <v>0</v>
      </c>
      <c r="EU27" s="610"/>
      <c r="EV27" s="607"/>
      <c r="EW27" s="608">
        <f t="shared" si="55"/>
        <v>0</v>
      </c>
      <c r="EX27" s="610"/>
      <c r="EY27" s="607"/>
      <c r="EZ27" s="608">
        <f t="shared" si="19"/>
        <v>0</v>
      </c>
      <c r="FA27" s="610"/>
      <c r="FB27" s="607"/>
      <c r="FC27" s="608">
        <f t="shared" si="20"/>
        <v>0</v>
      </c>
      <c r="FD27" s="610"/>
      <c r="FE27" s="607"/>
      <c r="FF27" s="608">
        <f t="shared" si="21"/>
        <v>0</v>
      </c>
      <c r="FG27" s="610"/>
      <c r="FH27" s="607"/>
      <c r="FI27" s="608">
        <f t="shared" si="52"/>
        <v>0</v>
      </c>
      <c r="FJ27" s="610"/>
      <c r="FK27" s="607"/>
      <c r="FL27" s="608">
        <f t="shared" si="22"/>
        <v>0</v>
      </c>
      <c r="FM27" s="610"/>
      <c r="FN27" s="611"/>
      <c r="FO27" s="608">
        <f t="shared" si="23"/>
        <v>0</v>
      </c>
      <c r="FP27" s="610"/>
      <c r="FQ27" s="607"/>
      <c r="FR27" s="608">
        <f t="shared" si="24"/>
        <v>0</v>
      </c>
      <c r="FS27" s="610"/>
      <c r="FT27" s="607"/>
      <c r="FU27" s="608">
        <f t="shared" si="53"/>
        <v>0</v>
      </c>
      <c r="FV27" s="610"/>
      <c r="FW27" s="611"/>
      <c r="FX27" s="608">
        <f t="shared" si="25"/>
        <v>0</v>
      </c>
      <c r="FY27" s="610"/>
      <c r="FZ27" s="611"/>
      <c r="GA27" s="608">
        <f t="shared" si="26"/>
        <v>0</v>
      </c>
      <c r="GB27" s="610"/>
      <c r="GC27" s="607"/>
      <c r="GD27" s="608">
        <f t="shared" si="27"/>
        <v>0</v>
      </c>
      <c r="GE27" s="610"/>
      <c r="GF27" s="607"/>
      <c r="GG27" s="608">
        <f t="shared" si="68"/>
        <v>0</v>
      </c>
      <c r="GH27" s="610"/>
      <c r="GI27" s="607"/>
      <c r="GJ27" s="608">
        <f t="shared" si="28"/>
        <v>0</v>
      </c>
      <c r="GK27" s="610"/>
      <c r="GL27" s="612">
        <f t="shared" ref="GL27:GL36" si="70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0"/>
        <v>0</v>
      </c>
      <c r="D28" s="617"/>
      <c r="E28" s="611"/>
      <c r="F28" s="608">
        <f t="shared" si="56"/>
        <v>0</v>
      </c>
      <c r="G28" s="617"/>
      <c r="H28" s="607"/>
      <c r="I28" s="608">
        <f t="shared" si="69"/>
        <v>0</v>
      </c>
      <c r="J28" s="617"/>
      <c r="K28" s="607"/>
      <c r="L28" s="608">
        <f t="shared" si="58"/>
        <v>0</v>
      </c>
      <c r="M28" s="617"/>
      <c r="N28" s="607"/>
      <c r="O28" s="608">
        <f t="shared" si="59"/>
        <v>0</v>
      </c>
      <c r="P28" s="617"/>
      <c r="Q28" s="607"/>
      <c r="R28" s="608">
        <f t="shared" si="66"/>
        <v>0</v>
      </c>
      <c r="S28" s="609"/>
      <c r="T28" s="607"/>
      <c r="U28" s="608">
        <f t="shared" si="60"/>
        <v>0</v>
      </c>
      <c r="V28" s="617"/>
      <c r="W28" s="607"/>
      <c r="X28" s="608">
        <f t="shared" si="61"/>
        <v>0</v>
      </c>
      <c r="Y28" s="609"/>
      <c r="Z28" s="607"/>
      <c r="AA28" s="608">
        <f t="shared" si="67"/>
        <v>0</v>
      </c>
      <c r="AB28" s="609"/>
      <c r="AC28" s="607"/>
      <c r="AD28" s="608">
        <f t="shared" si="0"/>
        <v>0</v>
      </c>
      <c r="AE28" s="609"/>
      <c r="AF28" s="611"/>
      <c r="AG28" s="608">
        <f t="shared" si="1"/>
        <v>0</v>
      </c>
      <c r="AH28" s="609"/>
      <c r="AI28" s="611"/>
      <c r="AJ28" s="608">
        <f t="shared" si="2"/>
        <v>0</v>
      </c>
      <c r="AK28" s="609"/>
      <c r="AL28" s="607"/>
      <c r="AM28" s="608">
        <f t="shared" si="3"/>
        <v>0</v>
      </c>
      <c r="AN28" s="609"/>
      <c r="AO28" s="611"/>
      <c r="AP28" s="608">
        <f t="shared" si="4"/>
        <v>0</v>
      </c>
      <c r="AQ28" s="609"/>
      <c r="AR28" s="607"/>
      <c r="AS28" s="608">
        <f t="shared" si="31"/>
        <v>0</v>
      </c>
      <c r="AT28" s="609"/>
      <c r="AU28" s="607"/>
      <c r="AV28" s="608">
        <f t="shared" si="32"/>
        <v>0</v>
      </c>
      <c r="AW28" s="610"/>
      <c r="AX28" s="607"/>
      <c r="AY28" s="608">
        <f t="shared" si="33"/>
        <v>0</v>
      </c>
      <c r="AZ28" s="609"/>
      <c r="BA28" s="607"/>
      <c r="BB28" s="608">
        <f t="shared" si="34"/>
        <v>0</v>
      </c>
      <c r="BC28" s="609"/>
      <c r="BD28" s="607"/>
      <c r="BE28" s="608">
        <f t="shared" si="35"/>
        <v>0</v>
      </c>
      <c r="BF28" s="609"/>
      <c r="BG28" s="607"/>
      <c r="BH28" s="608">
        <f t="shared" si="36"/>
        <v>0</v>
      </c>
      <c r="BI28" s="617"/>
      <c r="BJ28" s="607"/>
      <c r="BK28" s="608">
        <f t="shared" si="62"/>
        <v>0</v>
      </c>
      <c r="BL28" s="610"/>
      <c r="BM28" s="607"/>
      <c r="BN28" s="608">
        <f t="shared" si="63"/>
        <v>0</v>
      </c>
      <c r="BO28" s="610"/>
      <c r="BP28" s="607"/>
      <c r="BQ28" s="608">
        <f t="shared" si="64"/>
        <v>0</v>
      </c>
      <c r="BR28" s="609"/>
      <c r="BS28" s="607"/>
      <c r="BT28" s="608">
        <f t="shared" si="65"/>
        <v>0</v>
      </c>
      <c r="BU28" s="609"/>
      <c r="BV28" s="607"/>
      <c r="BW28" s="608">
        <f t="shared" si="7"/>
        <v>0</v>
      </c>
      <c r="BX28" s="609"/>
      <c r="BY28" s="607"/>
      <c r="BZ28" s="608">
        <f t="shared" si="8"/>
        <v>0</v>
      </c>
      <c r="CA28" s="610"/>
      <c r="CB28" s="607"/>
      <c r="CC28" s="608">
        <f t="shared" si="9"/>
        <v>0</v>
      </c>
      <c r="CD28" s="609"/>
      <c r="CE28" s="611"/>
      <c r="CF28" s="608">
        <f t="shared" si="10"/>
        <v>0</v>
      </c>
      <c r="CG28" s="610"/>
      <c r="CH28" s="607"/>
      <c r="CI28" s="608">
        <f t="shared" si="11"/>
        <v>0</v>
      </c>
      <c r="CJ28" s="610"/>
      <c r="CK28" s="607"/>
      <c r="CL28" s="608">
        <f t="shared" si="12"/>
        <v>0</v>
      </c>
      <c r="CM28" s="610"/>
      <c r="CN28" s="611"/>
      <c r="CO28" s="608">
        <f t="shared" si="13"/>
        <v>0</v>
      </c>
      <c r="CP28" s="610"/>
      <c r="CQ28" s="611"/>
      <c r="CR28" s="608">
        <f t="shared" si="14"/>
        <v>0</v>
      </c>
      <c r="CS28" s="609"/>
      <c r="CT28" s="611"/>
      <c r="CU28" s="608">
        <f t="shared" si="15"/>
        <v>0</v>
      </c>
      <c r="CV28" s="609"/>
      <c r="CW28" s="611"/>
      <c r="CX28" s="608">
        <f t="shared" si="16"/>
        <v>0</v>
      </c>
      <c r="CY28" s="610"/>
      <c r="CZ28" s="611"/>
      <c r="DA28" s="608">
        <f t="shared" si="17"/>
        <v>0</v>
      </c>
      <c r="DB28" s="609"/>
      <c r="DC28" s="611"/>
      <c r="DD28" s="608">
        <f t="shared" si="18"/>
        <v>0</v>
      </c>
      <c r="DE28" s="609"/>
      <c r="DF28" s="611"/>
      <c r="DG28" s="608">
        <f t="shared" si="39"/>
        <v>0</v>
      </c>
      <c r="DH28" s="610"/>
      <c r="DI28" s="611"/>
      <c r="DJ28" s="608">
        <f t="shared" si="40"/>
        <v>0</v>
      </c>
      <c r="DK28" s="610"/>
      <c r="DL28" s="611"/>
      <c r="DM28" s="608">
        <f t="shared" si="41"/>
        <v>0</v>
      </c>
      <c r="DN28" s="610"/>
      <c r="DO28" s="607"/>
      <c r="DP28" s="608">
        <f t="shared" si="42"/>
        <v>0</v>
      </c>
      <c r="DQ28" s="610"/>
      <c r="DR28" s="611"/>
      <c r="DS28" s="608">
        <f t="shared" si="43"/>
        <v>0</v>
      </c>
      <c r="DT28" s="610"/>
      <c r="DU28" s="607"/>
      <c r="DV28" s="608">
        <f t="shared" si="44"/>
        <v>0</v>
      </c>
      <c r="DW28" s="610"/>
      <c r="DX28" s="611"/>
      <c r="DY28" s="608">
        <f t="shared" si="45"/>
        <v>0</v>
      </c>
      <c r="DZ28" s="610"/>
      <c r="EA28" s="611"/>
      <c r="EB28" s="608">
        <f t="shared" si="46"/>
        <v>0</v>
      </c>
      <c r="EC28" s="610"/>
      <c r="ED28" s="611"/>
      <c r="EE28" s="608">
        <f t="shared" si="47"/>
        <v>0</v>
      </c>
      <c r="EF28" s="610"/>
      <c r="EG28" s="611"/>
      <c r="EH28" s="608">
        <f t="shared" si="48"/>
        <v>0</v>
      </c>
      <c r="EI28" s="610"/>
      <c r="EJ28" s="611"/>
      <c r="EK28" s="608">
        <f t="shared" si="49"/>
        <v>0</v>
      </c>
      <c r="EL28" s="610"/>
      <c r="EM28" s="611"/>
      <c r="EN28" s="608">
        <f t="shared" si="50"/>
        <v>0</v>
      </c>
      <c r="EO28" s="610"/>
      <c r="EP28" s="611"/>
      <c r="EQ28" s="608">
        <f t="shared" si="51"/>
        <v>0</v>
      </c>
      <c r="ER28" s="610"/>
      <c r="ES28" s="607"/>
      <c r="ET28" s="608">
        <f t="shared" si="54"/>
        <v>0</v>
      </c>
      <c r="EU28" s="610"/>
      <c r="EV28" s="607"/>
      <c r="EW28" s="608">
        <f t="shared" si="55"/>
        <v>0</v>
      </c>
      <c r="EX28" s="610"/>
      <c r="EY28" s="607"/>
      <c r="EZ28" s="608">
        <f t="shared" si="19"/>
        <v>0</v>
      </c>
      <c r="FA28" s="610"/>
      <c r="FB28" s="607"/>
      <c r="FC28" s="608">
        <f t="shared" si="20"/>
        <v>0</v>
      </c>
      <c r="FD28" s="610"/>
      <c r="FE28" s="607"/>
      <c r="FF28" s="608">
        <f t="shared" si="21"/>
        <v>0</v>
      </c>
      <c r="FG28" s="610"/>
      <c r="FH28" s="607"/>
      <c r="FI28" s="608">
        <f t="shared" si="52"/>
        <v>0</v>
      </c>
      <c r="FJ28" s="610"/>
      <c r="FK28" s="607"/>
      <c r="FL28" s="608">
        <f t="shared" si="22"/>
        <v>0</v>
      </c>
      <c r="FM28" s="610"/>
      <c r="FN28" s="611"/>
      <c r="FO28" s="608">
        <f t="shared" si="23"/>
        <v>0</v>
      </c>
      <c r="FP28" s="610"/>
      <c r="FQ28" s="607"/>
      <c r="FR28" s="608">
        <f t="shared" si="24"/>
        <v>0</v>
      </c>
      <c r="FS28" s="610"/>
      <c r="FT28" s="607"/>
      <c r="FU28" s="608">
        <f t="shared" si="53"/>
        <v>0</v>
      </c>
      <c r="FV28" s="610"/>
      <c r="FW28" s="611"/>
      <c r="FX28" s="608">
        <f t="shared" si="25"/>
        <v>0</v>
      </c>
      <c r="FY28" s="610"/>
      <c r="FZ28" s="611"/>
      <c r="GA28" s="608">
        <f t="shared" si="26"/>
        <v>0</v>
      </c>
      <c r="GB28" s="610"/>
      <c r="GC28" s="607"/>
      <c r="GD28" s="608">
        <f t="shared" si="27"/>
        <v>0</v>
      </c>
      <c r="GE28" s="610"/>
      <c r="GF28" s="607"/>
      <c r="GG28" s="608">
        <f t="shared" si="68"/>
        <v>0</v>
      </c>
      <c r="GH28" s="610"/>
      <c r="GI28" s="607"/>
      <c r="GJ28" s="608">
        <f t="shared" si="28"/>
        <v>0</v>
      </c>
      <c r="GK28" s="610"/>
      <c r="GL28" s="612">
        <f t="shared" si="70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0"/>
        <v>0</v>
      </c>
      <c r="D29" s="617"/>
      <c r="E29" s="611"/>
      <c r="F29" s="608">
        <f t="shared" si="56"/>
        <v>0</v>
      </c>
      <c r="G29" s="617"/>
      <c r="H29" s="607"/>
      <c r="I29" s="608">
        <f t="shared" si="69"/>
        <v>0</v>
      </c>
      <c r="J29" s="617"/>
      <c r="K29" s="607"/>
      <c r="L29" s="608">
        <f t="shared" si="58"/>
        <v>0</v>
      </c>
      <c r="M29" s="617"/>
      <c r="N29" s="607"/>
      <c r="O29" s="608">
        <f t="shared" si="59"/>
        <v>0</v>
      </c>
      <c r="P29" s="617"/>
      <c r="Q29" s="607"/>
      <c r="R29" s="608">
        <f t="shared" si="66"/>
        <v>0</v>
      </c>
      <c r="S29" s="609"/>
      <c r="T29" s="607"/>
      <c r="U29" s="608">
        <f t="shared" si="60"/>
        <v>0</v>
      </c>
      <c r="V29" s="617"/>
      <c r="W29" s="607"/>
      <c r="X29" s="608">
        <f t="shared" si="61"/>
        <v>0</v>
      </c>
      <c r="Y29" s="609"/>
      <c r="Z29" s="607"/>
      <c r="AA29" s="608">
        <f t="shared" si="67"/>
        <v>0</v>
      </c>
      <c r="AB29" s="609"/>
      <c r="AC29" s="607"/>
      <c r="AD29" s="608">
        <f t="shared" si="0"/>
        <v>0</v>
      </c>
      <c r="AE29" s="609"/>
      <c r="AF29" s="611"/>
      <c r="AG29" s="608">
        <f t="shared" si="1"/>
        <v>0</v>
      </c>
      <c r="AH29" s="609"/>
      <c r="AI29" s="611"/>
      <c r="AJ29" s="608">
        <f t="shared" si="2"/>
        <v>0</v>
      </c>
      <c r="AK29" s="609"/>
      <c r="AL29" s="607"/>
      <c r="AM29" s="608">
        <f t="shared" si="3"/>
        <v>0</v>
      </c>
      <c r="AN29" s="609"/>
      <c r="AO29" s="611"/>
      <c r="AP29" s="608">
        <f t="shared" si="4"/>
        <v>0</v>
      </c>
      <c r="AQ29" s="609"/>
      <c r="AR29" s="607"/>
      <c r="AS29" s="608">
        <f t="shared" si="31"/>
        <v>0</v>
      </c>
      <c r="AT29" s="609"/>
      <c r="AU29" s="607"/>
      <c r="AV29" s="608">
        <f t="shared" si="32"/>
        <v>0</v>
      </c>
      <c r="AW29" s="610"/>
      <c r="AX29" s="607"/>
      <c r="AY29" s="608">
        <f t="shared" si="33"/>
        <v>0</v>
      </c>
      <c r="AZ29" s="609"/>
      <c r="BA29" s="607"/>
      <c r="BB29" s="608">
        <f t="shared" si="34"/>
        <v>0</v>
      </c>
      <c r="BC29" s="609"/>
      <c r="BD29" s="607"/>
      <c r="BE29" s="608">
        <f t="shared" si="35"/>
        <v>0</v>
      </c>
      <c r="BF29" s="609"/>
      <c r="BG29" s="607"/>
      <c r="BH29" s="608">
        <f t="shared" si="36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4"/>
        <v>0</v>
      </c>
      <c r="BR29" s="609"/>
      <c r="BS29" s="607"/>
      <c r="BT29" s="608">
        <f t="shared" si="65"/>
        <v>0</v>
      </c>
      <c r="BU29" s="609"/>
      <c r="BV29" s="607"/>
      <c r="BW29" s="608">
        <f t="shared" si="7"/>
        <v>0</v>
      </c>
      <c r="BX29" s="609"/>
      <c r="BY29" s="607"/>
      <c r="BZ29" s="608">
        <f t="shared" si="8"/>
        <v>0</v>
      </c>
      <c r="CA29" s="610"/>
      <c r="CB29" s="607"/>
      <c r="CC29" s="608">
        <f t="shared" si="9"/>
        <v>0</v>
      </c>
      <c r="CD29" s="609"/>
      <c r="CE29" s="611"/>
      <c r="CF29" s="608">
        <f t="shared" si="10"/>
        <v>0</v>
      </c>
      <c r="CG29" s="610"/>
      <c r="CH29" s="607"/>
      <c r="CI29" s="608">
        <f t="shared" si="11"/>
        <v>0</v>
      </c>
      <c r="CJ29" s="610"/>
      <c r="CK29" s="607"/>
      <c r="CL29" s="608">
        <f t="shared" si="12"/>
        <v>0</v>
      </c>
      <c r="CM29" s="610"/>
      <c r="CN29" s="611"/>
      <c r="CO29" s="608">
        <f t="shared" si="13"/>
        <v>0</v>
      </c>
      <c r="CP29" s="610"/>
      <c r="CQ29" s="611"/>
      <c r="CR29" s="608">
        <f t="shared" si="14"/>
        <v>0</v>
      </c>
      <c r="CS29" s="609"/>
      <c r="CT29" s="611"/>
      <c r="CU29" s="608">
        <f t="shared" si="15"/>
        <v>0</v>
      </c>
      <c r="CV29" s="609"/>
      <c r="CW29" s="611"/>
      <c r="CX29" s="608">
        <f t="shared" si="16"/>
        <v>0</v>
      </c>
      <c r="CY29" s="610"/>
      <c r="CZ29" s="611"/>
      <c r="DA29" s="608">
        <f t="shared" si="17"/>
        <v>0</v>
      </c>
      <c r="DB29" s="609"/>
      <c r="DC29" s="611"/>
      <c r="DD29" s="608">
        <f t="shared" si="18"/>
        <v>0</v>
      </c>
      <c r="DE29" s="609"/>
      <c r="DF29" s="611"/>
      <c r="DG29" s="608">
        <f t="shared" si="39"/>
        <v>0</v>
      </c>
      <c r="DH29" s="610"/>
      <c r="DI29" s="611"/>
      <c r="DJ29" s="608">
        <f t="shared" si="40"/>
        <v>0</v>
      </c>
      <c r="DK29" s="610"/>
      <c r="DL29" s="611"/>
      <c r="DM29" s="608">
        <f t="shared" si="41"/>
        <v>0</v>
      </c>
      <c r="DN29" s="610"/>
      <c r="DO29" s="607"/>
      <c r="DP29" s="608">
        <f t="shared" si="42"/>
        <v>0</v>
      </c>
      <c r="DQ29" s="610"/>
      <c r="DR29" s="611"/>
      <c r="DS29" s="608">
        <f t="shared" si="43"/>
        <v>0</v>
      </c>
      <c r="DT29" s="610"/>
      <c r="DU29" s="607"/>
      <c r="DV29" s="608">
        <f t="shared" si="44"/>
        <v>0</v>
      </c>
      <c r="DW29" s="610"/>
      <c r="DX29" s="611"/>
      <c r="DY29" s="608">
        <f t="shared" si="45"/>
        <v>0</v>
      </c>
      <c r="DZ29" s="610"/>
      <c r="EA29" s="611"/>
      <c r="EB29" s="608">
        <f t="shared" si="46"/>
        <v>0</v>
      </c>
      <c r="EC29" s="610"/>
      <c r="ED29" s="611"/>
      <c r="EE29" s="608">
        <f t="shared" si="47"/>
        <v>0</v>
      </c>
      <c r="EF29" s="610"/>
      <c r="EG29" s="611"/>
      <c r="EH29" s="608">
        <f t="shared" si="48"/>
        <v>0</v>
      </c>
      <c r="EI29" s="610"/>
      <c r="EJ29" s="611"/>
      <c r="EK29" s="608">
        <f t="shared" si="49"/>
        <v>0</v>
      </c>
      <c r="EL29" s="610"/>
      <c r="EM29" s="611"/>
      <c r="EN29" s="608">
        <f t="shared" si="50"/>
        <v>0</v>
      </c>
      <c r="EO29" s="610"/>
      <c r="EP29" s="611"/>
      <c r="EQ29" s="608">
        <f t="shared" si="51"/>
        <v>0</v>
      </c>
      <c r="ER29" s="610"/>
      <c r="ES29" s="607"/>
      <c r="ET29" s="608">
        <f t="shared" si="54"/>
        <v>0</v>
      </c>
      <c r="EU29" s="610"/>
      <c r="EV29" s="607"/>
      <c r="EW29" s="608">
        <f t="shared" si="55"/>
        <v>0</v>
      </c>
      <c r="EX29" s="610"/>
      <c r="EY29" s="607"/>
      <c r="EZ29" s="608">
        <f t="shared" si="19"/>
        <v>0</v>
      </c>
      <c r="FA29" s="610"/>
      <c r="FB29" s="607"/>
      <c r="FC29" s="608">
        <f t="shared" si="20"/>
        <v>0</v>
      </c>
      <c r="FD29" s="610"/>
      <c r="FE29" s="607"/>
      <c r="FF29" s="608">
        <f t="shared" si="21"/>
        <v>0</v>
      </c>
      <c r="FG29" s="610"/>
      <c r="FH29" s="607"/>
      <c r="FI29" s="608">
        <f t="shared" si="52"/>
        <v>0</v>
      </c>
      <c r="FJ29" s="610"/>
      <c r="FK29" s="607"/>
      <c r="FL29" s="608">
        <f t="shared" si="22"/>
        <v>0</v>
      </c>
      <c r="FM29" s="610"/>
      <c r="FN29" s="611"/>
      <c r="FO29" s="608">
        <f t="shared" si="23"/>
        <v>0</v>
      </c>
      <c r="FP29" s="610"/>
      <c r="FQ29" s="607"/>
      <c r="FR29" s="608">
        <f t="shared" si="24"/>
        <v>0</v>
      </c>
      <c r="FS29" s="610"/>
      <c r="FT29" s="607"/>
      <c r="FU29" s="608">
        <f t="shared" si="53"/>
        <v>0</v>
      </c>
      <c r="FV29" s="610"/>
      <c r="FW29" s="607"/>
      <c r="FX29" s="608">
        <f t="shared" si="25"/>
        <v>0</v>
      </c>
      <c r="FY29" s="610"/>
      <c r="FZ29" s="611"/>
      <c r="GA29" s="608">
        <f t="shared" si="26"/>
        <v>0</v>
      </c>
      <c r="GB29" s="610"/>
      <c r="GC29" s="607"/>
      <c r="GD29" s="608">
        <f t="shared" si="27"/>
        <v>0</v>
      </c>
      <c r="GE29" s="610"/>
      <c r="GF29" s="607"/>
      <c r="GG29" s="608">
        <f t="shared" si="68"/>
        <v>0</v>
      </c>
      <c r="GH29" s="610"/>
      <c r="GI29" s="607"/>
      <c r="GJ29" s="608">
        <f t="shared" si="28"/>
        <v>0</v>
      </c>
      <c r="GK29" s="610"/>
      <c r="GL29" s="612">
        <f t="shared" si="70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0"/>
        <v>0</v>
      </c>
      <c r="D30" s="617"/>
      <c r="E30" s="611"/>
      <c r="F30" s="608">
        <f t="shared" si="56"/>
        <v>0</v>
      </c>
      <c r="G30" s="617"/>
      <c r="H30" s="607"/>
      <c r="I30" s="608">
        <f t="shared" si="69"/>
        <v>0</v>
      </c>
      <c r="J30" s="617"/>
      <c r="K30" s="607"/>
      <c r="L30" s="608">
        <f t="shared" si="58"/>
        <v>0</v>
      </c>
      <c r="M30" s="617"/>
      <c r="N30" s="607"/>
      <c r="O30" s="608">
        <f t="shared" si="59"/>
        <v>0</v>
      </c>
      <c r="P30" s="617"/>
      <c r="Q30" s="611"/>
      <c r="R30" s="608">
        <f t="shared" si="66"/>
        <v>0</v>
      </c>
      <c r="S30" s="609"/>
      <c r="T30" s="607"/>
      <c r="U30" s="608">
        <f t="shared" si="60"/>
        <v>0</v>
      </c>
      <c r="V30" s="617"/>
      <c r="W30" s="611"/>
      <c r="X30" s="608">
        <f t="shared" si="61"/>
        <v>0</v>
      </c>
      <c r="Y30" s="609"/>
      <c r="Z30" s="611"/>
      <c r="AA30" s="608">
        <f t="shared" si="67"/>
        <v>0</v>
      </c>
      <c r="AB30" s="609"/>
      <c r="AC30" s="607"/>
      <c r="AD30" s="608">
        <f t="shared" si="0"/>
        <v>0</v>
      </c>
      <c r="AE30" s="609"/>
      <c r="AF30" s="611"/>
      <c r="AG30" s="608">
        <f t="shared" si="1"/>
        <v>0</v>
      </c>
      <c r="AH30" s="609"/>
      <c r="AI30" s="611"/>
      <c r="AJ30" s="608">
        <f t="shared" si="2"/>
        <v>0</v>
      </c>
      <c r="AK30" s="609"/>
      <c r="AL30" s="611"/>
      <c r="AM30" s="608">
        <f t="shared" si="3"/>
        <v>0</v>
      </c>
      <c r="AN30" s="609"/>
      <c r="AO30" s="611"/>
      <c r="AP30" s="608">
        <f t="shared" si="4"/>
        <v>0</v>
      </c>
      <c r="AQ30" s="609"/>
      <c r="AR30" s="611"/>
      <c r="AS30" s="608">
        <f t="shared" si="31"/>
        <v>0</v>
      </c>
      <c r="AT30" s="609"/>
      <c r="AU30" s="611"/>
      <c r="AV30" s="608">
        <f t="shared" si="32"/>
        <v>0</v>
      </c>
      <c r="AW30" s="610"/>
      <c r="AX30" s="611"/>
      <c r="AY30" s="608">
        <f t="shared" si="33"/>
        <v>0</v>
      </c>
      <c r="AZ30" s="609"/>
      <c r="BA30" s="611"/>
      <c r="BB30" s="608">
        <f t="shared" si="34"/>
        <v>0</v>
      </c>
      <c r="BC30" s="609"/>
      <c r="BD30" s="607"/>
      <c r="BE30" s="608">
        <f t="shared" si="35"/>
        <v>0</v>
      </c>
      <c r="BF30" s="609"/>
      <c r="BG30" s="611"/>
      <c r="BH30" s="608">
        <f t="shared" si="36"/>
        <v>0</v>
      </c>
      <c r="BI30" s="617"/>
      <c r="BJ30" s="611"/>
      <c r="BK30" s="608">
        <f t="shared" ref="BK30:BK36" si="71">BL$3*BL$4*216*24*60*BJ30/9000000</f>
        <v>0</v>
      </c>
      <c r="BL30" s="610"/>
      <c r="BM30" s="611"/>
      <c r="BN30" s="608">
        <f t="shared" ref="BN30:BN36" si="72">BO$3*BO$4*216*24*60*BM30/9000000</f>
        <v>0</v>
      </c>
      <c r="BO30" s="610"/>
      <c r="BP30" s="611"/>
      <c r="BQ30" s="608">
        <f t="shared" si="64"/>
        <v>0</v>
      </c>
      <c r="BR30" s="609"/>
      <c r="BS30" s="607"/>
      <c r="BT30" s="608">
        <f t="shared" si="65"/>
        <v>0</v>
      </c>
      <c r="BU30" s="609"/>
      <c r="BV30" s="607"/>
      <c r="BW30" s="608">
        <f t="shared" si="7"/>
        <v>0</v>
      </c>
      <c r="BX30" s="609"/>
      <c r="BY30" s="607"/>
      <c r="BZ30" s="608">
        <f t="shared" si="8"/>
        <v>0</v>
      </c>
      <c r="CA30" s="610"/>
      <c r="CB30" s="607"/>
      <c r="CC30" s="608">
        <f t="shared" si="9"/>
        <v>0</v>
      </c>
      <c r="CD30" s="609"/>
      <c r="CE30" s="611"/>
      <c r="CF30" s="608">
        <f t="shared" si="10"/>
        <v>0</v>
      </c>
      <c r="CG30" s="610"/>
      <c r="CH30" s="607"/>
      <c r="CI30" s="608">
        <f t="shared" si="11"/>
        <v>0</v>
      </c>
      <c r="CJ30" s="610"/>
      <c r="CK30" s="607"/>
      <c r="CL30" s="608">
        <f t="shared" si="12"/>
        <v>0</v>
      </c>
      <c r="CM30" s="610"/>
      <c r="CN30" s="611"/>
      <c r="CO30" s="608">
        <f t="shared" si="13"/>
        <v>0</v>
      </c>
      <c r="CP30" s="610"/>
      <c r="CQ30" s="611"/>
      <c r="CR30" s="608">
        <f t="shared" si="14"/>
        <v>0</v>
      </c>
      <c r="CS30" s="609"/>
      <c r="CT30" s="611"/>
      <c r="CU30" s="608">
        <f t="shared" si="15"/>
        <v>0</v>
      </c>
      <c r="CV30" s="609"/>
      <c r="CW30" s="611"/>
      <c r="CX30" s="608">
        <f t="shared" si="16"/>
        <v>0</v>
      </c>
      <c r="CY30" s="610"/>
      <c r="CZ30" s="611"/>
      <c r="DA30" s="608">
        <f t="shared" si="17"/>
        <v>0</v>
      </c>
      <c r="DB30" s="609"/>
      <c r="DC30" s="611"/>
      <c r="DD30" s="608">
        <f t="shared" si="18"/>
        <v>0</v>
      </c>
      <c r="DE30" s="609"/>
      <c r="DF30" s="611"/>
      <c r="DG30" s="608">
        <f t="shared" si="39"/>
        <v>0</v>
      </c>
      <c r="DH30" s="610"/>
      <c r="DI30" s="611"/>
      <c r="DJ30" s="608">
        <f t="shared" si="40"/>
        <v>0</v>
      </c>
      <c r="DK30" s="610"/>
      <c r="DL30" s="611"/>
      <c r="DM30" s="608">
        <f t="shared" si="41"/>
        <v>0</v>
      </c>
      <c r="DN30" s="610"/>
      <c r="DO30" s="607"/>
      <c r="DP30" s="608">
        <f t="shared" si="42"/>
        <v>0</v>
      </c>
      <c r="DQ30" s="610"/>
      <c r="DR30" s="611"/>
      <c r="DS30" s="608">
        <f t="shared" si="43"/>
        <v>0</v>
      </c>
      <c r="DT30" s="610"/>
      <c r="DU30" s="607"/>
      <c r="DV30" s="608">
        <f t="shared" si="44"/>
        <v>0</v>
      </c>
      <c r="DW30" s="610"/>
      <c r="DX30" s="611"/>
      <c r="DY30" s="608">
        <f t="shared" si="45"/>
        <v>0</v>
      </c>
      <c r="DZ30" s="610"/>
      <c r="EA30" s="611"/>
      <c r="EB30" s="608">
        <f t="shared" si="46"/>
        <v>0</v>
      </c>
      <c r="EC30" s="610"/>
      <c r="ED30" s="611"/>
      <c r="EE30" s="608">
        <f t="shared" si="47"/>
        <v>0</v>
      </c>
      <c r="EF30" s="610"/>
      <c r="EG30" s="611"/>
      <c r="EH30" s="608">
        <f t="shared" si="48"/>
        <v>0</v>
      </c>
      <c r="EI30" s="610"/>
      <c r="EJ30" s="611"/>
      <c r="EK30" s="608">
        <f t="shared" si="49"/>
        <v>0</v>
      </c>
      <c r="EL30" s="610"/>
      <c r="EM30" s="611"/>
      <c r="EN30" s="608">
        <f t="shared" si="50"/>
        <v>0</v>
      </c>
      <c r="EO30" s="610"/>
      <c r="EP30" s="611"/>
      <c r="EQ30" s="608">
        <f t="shared" si="51"/>
        <v>0</v>
      </c>
      <c r="ER30" s="610"/>
      <c r="ES30" s="607"/>
      <c r="ET30" s="608">
        <f t="shared" si="54"/>
        <v>0</v>
      </c>
      <c r="EU30" s="610"/>
      <c r="EV30" s="607"/>
      <c r="EW30" s="608">
        <f t="shared" si="55"/>
        <v>0</v>
      </c>
      <c r="EX30" s="610"/>
      <c r="EY30" s="607"/>
      <c r="EZ30" s="608">
        <f t="shared" si="19"/>
        <v>0</v>
      </c>
      <c r="FA30" s="610"/>
      <c r="FB30" s="607"/>
      <c r="FC30" s="608">
        <f t="shared" si="20"/>
        <v>0</v>
      </c>
      <c r="FD30" s="610"/>
      <c r="FE30" s="607"/>
      <c r="FF30" s="608">
        <f t="shared" si="21"/>
        <v>0</v>
      </c>
      <c r="FG30" s="610"/>
      <c r="FH30" s="607"/>
      <c r="FI30" s="608">
        <f t="shared" si="52"/>
        <v>0</v>
      </c>
      <c r="FJ30" s="610"/>
      <c r="FK30" s="607"/>
      <c r="FL30" s="608">
        <f t="shared" si="22"/>
        <v>0</v>
      </c>
      <c r="FM30" s="610"/>
      <c r="FN30" s="607"/>
      <c r="FO30" s="608">
        <f t="shared" si="23"/>
        <v>0</v>
      </c>
      <c r="FP30" s="610"/>
      <c r="FQ30" s="607"/>
      <c r="FR30" s="608">
        <f t="shared" si="24"/>
        <v>0</v>
      </c>
      <c r="FS30" s="610"/>
      <c r="FT30" s="607"/>
      <c r="FU30" s="608">
        <f t="shared" si="53"/>
        <v>0</v>
      </c>
      <c r="FV30" s="610"/>
      <c r="FW30" s="607"/>
      <c r="FX30" s="608">
        <f t="shared" si="25"/>
        <v>0</v>
      </c>
      <c r="FY30" s="610"/>
      <c r="FZ30" s="611"/>
      <c r="GA30" s="608">
        <f t="shared" si="26"/>
        <v>0</v>
      </c>
      <c r="GB30" s="610"/>
      <c r="GC30" s="607"/>
      <c r="GD30" s="608">
        <f t="shared" si="27"/>
        <v>0</v>
      </c>
      <c r="GE30" s="610"/>
      <c r="GF30" s="607"/>
      <c r="GG30" s="608">
        <f t="shared" si="68"/>
        <v>0</v>
      </c>
      <c r="GH30" s="610"/>
      <c r="GI30" s="607"/>
      <c r="GJ30" s="608">
        <f t="shared" si="28"/>
        <v>0</v>
      </c>
      <c r="GK30" s="610"/>
      <c r="GL30" s="612">
        <f t="shared" si="70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0"/>
        <v>0</v>
      </c>
      <c r="D31" s="617"/>
      <c r="E31" s="611"/>
      <c r="F31" s="608">
        <f t="shared" si="56"/>
        <v>0</v>
      </c>
      <c r="G31" s="617"/>
      <c r="H31" s="607"/>
      <c r="I31" s="608">
        <f t="shared" si="69"/>
        <v>0</v>
      </c>
      <c r="J31" s="617"/>
      <c r="K31" s="607"/>
      <c r="L31" s="608">
        <f t="shared" si="58"/>
        <v>0</v>
      </c>
      <c r="M31" s="617"/>
      <c r="N31" s="607"/>
      <c r="O31" s="608">
        <f t="shared" si="59"/>
        <v>0</v>
      </c>
      <c r="P31" s="617"/>
      <c r="Q31" s="611"/>
      <c r="R31" s="608">
        <f t="shared" si="66"/>
        <v>0</v>
      </c>
      <c r="S31" s="609"/>
      <c r="T31" s="607"/>
      <c r="U31" s="608">
        <f t="shared" si="60"/>
        <v>0</v>
      </c>
      <c r="V31" s="617"/>
      <c r="W31" s="611"/>
      <c r="X31" s="608">
        <f t="shared" si="61"/>
        <v>0</v>
      </c>
      <c r="Y31" s="609"/>
      <c r="Z31" s="611"/>
      <c r="AA31" s="608">
        <f t="shared" si="67"/>
        <v>0</v>
      </c>
      <c r="AB31" s="609"/>
      <c r="AC31" s="607"/>
      <c r="AD31" s="608">
        <f t="shared" si="0"/>
        <v>0</v>
      </c>
      <c r="AE31" s="609"/>
      <c r="AF31" s="611"/>
      <c r="AG31" s="608">
        <f t="shared" si="1"/>
        <v>0</v>
      </c>
      <c r="AH31" s="609"/>
      <c r="AI31" s="611"/>
      <c r="AJ31" s="608">
        <f t="shared" si="2"/>
        <v>0</v>
      </c>
      <c r="AK31" s="609"/>
      <c r="AL31" s="611"/>
      <c r="AM31" s="608">
        <f t="shared" si="3"/>
        <v>0</v>
      </c>
      <c r="AN31" s="609"/>
      <c r="AO31" s="611"/>
      <c r="AP31" s="608">
        <f t="shared" si="4"/>
        <v>0</v>
      </c>
      <c r="AQ31" s="609"/>
      <c r="AR31" s="611"/>
      <c r="AS31" s="608">
        <f t="shared" si="31"/>
        <v>0</v>
      </c>
      <c r="AT31" s="609"/>
      <c r="AU31" s="611"/>
      <c r="AV31" s="608">
        <f t="shared" si="32"/>
        <v>0</v>
      </c>
      <c r="AW31" s="610"/>
      <c r="AX31" s="611"/>
      <c r="AY31" s="608">
        <f t="shared" si="33"/>
        <v>0</v>
      </c>
      <c r="AZ31" s="609"/>
      <c r="BA31" s="611"/>
      <c r="BB31" s="608">
        <f t="shared" si="34"/>
        <v>0</v>
      </c>
      <c r="BC31" s="609"/>
      <c r="BD31" s="611"/>
      <c r="BE31" s="608">
        <f t="shared" si="35"/>
        <v>0</v>
      </c>
      <c r="BF31" s="609"/>
      <c r="BG31" s="611"/>
      <c r="BH31" s="608">
        <f t="shared" si="36"/>
        <v>0</v>
      </c>
      <c r="BI31" s="617"/>
      <c r="BJ31" s="611"/>
      <c r="BK31" s="608">
        <f t="shared" si="71"/>
        <v>0</v>
      </c>
      <c r="BL31" s="610"/>
      <c r="BM31" s="611"/>
      <c r="BN31" s="608">
        <f t="shared" si="72"/>
        <v>0</v>
      </c>
      <c r="BO31" s="610"/>
      <c r="BP31" s="611"/>
      <c r="BQ31" s="608">
        <f t="shared" si="64"/>
        <v>0</v>
      </c>
      <c r="BR31" s="609"/>
      <c r="BS31" s="607"/>
      <c r="BT31" s="608">
        <f t="shared" si="65"/>
        <v>0</v>
      </c>
      <c r="BU31" s="609"/>
      <c r="BV31" s="611"/>
      <c r="BW31" s="608">
        <f t="shared" si="7"/>
        <v>0</v>
      </c>
      <c r="BX31" s="609"/>
      <c r="BY31" s="607"/>
      <c r="BZ31" s="608">
        <f t="shared" si="8"/>
        <v>0</v>
      </c>
      <c r="CA31" s="610"/>
      <c r="CB31" s="607"/>
      <c r="CC31" s="608">
        <f t="shared" si="9"/>
        <v>0</v>
      </c>
      <c r="CD31" s="609"/>
      <c r="CE31" s="611"/>
      <c r="CF31" s="608">
        <f t="shared" si="10"/>
        <v>0</v>
      </c>
      <c r="CG31" s="610"/>
      <c r="CH31" s="607"/>
      <c r="CI31" s="608">
        <f t="shared" si="11"/>
        <v>0</v>
      </c>
      <c r="CJ31" s="610"/>
      <c r="CK31" s="607"/>
      <c r="CL31" s="608">
        <f t="shared" si="12"/>
        <v>0</v>
      </c>
      <c r="CM31" s="610"/>
      <c r="CN31" s="611"/>
      <c r="CO31" s="608">
        <f t="shared" si="13"/>
        <v>0</v>
      </c>
      <c r="CP31" s="610"/>
      <c r="CQ31" s="611"/>
      <c r="CR31" s="608">
        <f t="shared" si="14"/>
        <v>0</v>
      </c>
      <c r="CS31" s="609"/>
      <c r="CT31" s="611"/>
      <c r="CU31" s="608">
        <f t="shared" si="15"/>
        <v>0</v>
      </c>
      <c r="CV31" s="609"/>
      <c r="CW31" s="611"/>
      <c r="CX31" s="608">
        <f t="shared" si="16"/>
        <v>0</v>
      </c>
      <c r="CY31" s="610"/>
      <c r="CZ31" s="611"/>
      <c r="DA31" s="608">
        <f t="shared" si="17"/>
        <v>0</v>
      </c>
      <c r="DB31" s="609"/>
      <c r="DC31" s="611"/>
      <c r="DD31" s="608">
        <f t="shared" si="18"/>
        <v>0</v>
      </c>
      <c r="DE31" s="609"/>
      <c r="DF31" s="611"/>
      <c r="DG31" s="608">
        <f t="shared" si="39"/>
        <v>0</v>
      </c>
      <c r="DH31" s="610"/>
      <c r="DI31" s="611"/>
      <c r="DJ31" s="608">
        <f t="shared" si="40"/>
        <v>0</v>
      </c>
      <c r="DK31" s="610"/>
      <c r="DL31" s="611"/>
      <c r="DM31" s="608">
        <f t="shared" si="41"/>
        <v>0</v>
      </c>
      <c r="DN31" s="610"/>
      <c r="DO31" s="607"/>
      <c r="DP31" s="608">
        <f t="shared" si="42"/>
        <v>0</v>
      </c>
      <c r="DQ31" s="610"/>
      <c r="DR31" s="611"/>
      <c r="DS31" s="608">
        <f t="shared" si="43"/>
        <v>0</v>
      </c>
      <c r="DT31" s="610"/>
      <c r="DU31" s="607"/>
      <c r="DV31" s="608">
        <f t="shared" si="44"/>
        <v>0</v>
      </c>
      <c r="DW31" s="610"/>
      <c r="DX31" s="611"/>
      <c r="DY31" s="608">
        <f t="shared" si="45"/>
        <v>0</v>
      </c>
      <c r="DZ31" s="610"/>
      <c r="EA31" s="611"/>
      <c r="EB31" s="608">
        <f t="shared" si="46"/>
        <v>0</v>
      </c>
      <c r="EC31" s="610"/>
      <c r="ED31" s="611"/>
      <c r="EE31" s="608">
        <f t="shared" si="47"/>
        <v>0</v>
      </c>
      <c r="EF31" s="610"/>
      <c r="EG31" s="611"/>
      <c r="EH31" s="608">
        <f t="shared" si="48"/>
        <v>0</v>
      </c>
      <c r="EI31" s="610"/>
      <c r="EJ31" s="611"/>
      <c r="EK31" s="608">
        <f t="shared" si="49"/>
        <v>0</v>
      </c>
      <c r="EL31" s="610"/>
      <c r="EM31" s="611"/>
      <c r="EN31" s="608">
        <f t="shared" si="50"/>
        <v>0</v>
      </c>
      <c r="EO31" s="610"/>
      <c r="EP31" s="611"/>
      <c r="EQ31" s="608">
        <f t="shared" si="51"/>
        <v>0</v>
      </c>
      <c r="ER31" s="610"/>
      <c r="ES31" s="607"/>
      <c r="ET31" s="608">
        <f t="shared" si="54"/>
        <v>0</v>
      </c>
      <c r="EU31" s="610"/>
      <c r="EV31" s="607"/>
      <c r="EW31" s="608">
        <f t="shared" si="55"/>
        <v>0</v>
      </c>
      <c r="EX31" s="610"/>
      <c r="EY31" s="607"/>
      <c r="EZ31" s="608">
        <f t="shared" si="19"/>
        <v>0</v>
      </c>
      <c r="FA31" s="610"/>
      <c r="FB31" s="607"/>
      <c r="FC31" s="608">
        <f t="shared" si="20"/>
        <v>0</v>
      </c>
      <c r="FD31" s="610"/>
      <c r="FE31" s="607"/>
      <c r="FF31" s="608">
        <f t="shared" si="21"/>
        <v>0</v>
      </c>
      <c r="FG31" s="610"/>
      <c r="FH31" s="607"/>
      <c r="FI31" s="608">
        <f t="shared" si="52"/>
        <v>0</v>
      </c>
      <c r="FJ31" s="610"/>
      <c r="FK31" s="607"/>
      <c r="FL31" s="608">
        <f t="shared" si="22"/>
        <v>0</v>
      </c>
      <c r="FM31" s="610"/>
      <c r="FN31" s="607"/>
      <c r="FO31" s="608">
        <f t="shared" si="23"/>
        <v>0</v>
      </c>
      <c r="FP31" s="610"/>
      <c r="FQ31" s="607"/>
      <c r="FR31" s="608">
        <f t="shared" si="24"/>
        <v>0</v>
      </c>
      <c r="FS31" s="610"/>
      <c r="FT31" s="607"/>
      <c r="FU31" s="608">
        <f t="shared" si="53"/>
        <v>0</v>
      </c>
      <c r="FV31" s="610"/>
      <c r="FW31" s="611"/>
      <c r="FX31" s="608">
        <f t="shared" si="25"/>
        <v>0</v>
      </c>
      <c r="FY31" s="610"/>
      <c r="FZ31" s="611"/>
      <c r="GA31" s="608">
        <f t="shared" si="26"/>
        <v>0</v>
      </c>
      <c r="GB31" s="610"/>
      <c r="GC31" s="607"/>
      <c r="GD31" s="608">
        <f t="shared" si="27"/>
        <v>0</v>
      </c>
      <c r="GE31" s="610"/>
      <c r="GF31" s="607"/>
      <c r="GG31" s="608">
        <f t="shared" si="68"/>
        <v>0</v>
      </c>
      <c r="GH31" s="610"/>
      <c r="GI31" s="607"/>
      <c r="GJ31" s="608">
        <f t="shared" si="28"/>
        <v>0</v>
      </c>
      <c r="GK31" s="610"/>
      <c r="GL31" s="612">
        <f t="shared" si="70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0"/>
        <v>0</v>
      </c>
      <c r="D32" s="617"/>
      <c r="E32" s="611"/>
      <c r="F32" s="608">
        <f t="shared" si="56"/>
        <v>0</v>
      </c>
      <c r="G32" s="617"/>
      <c r="H32" s="607"/>
      <c r="I32" s="608">
        <f t="shared" si="69"/>
        <v>0</v>
      </c>
      <c r="J32" s="617"/>
      <c r="K32" s="607"/>
      <c r="L32" s="608">
        <f t="shared" si="58"/>
        <v>0</v>
      </c>
      <c r="M32" s="617"/>
      <c r="N32" s="611"/>
      <c r="O32" s="608">
        <f t="shared" si="59"/>
        <v>0</v>
      </c>
      <c r="P32" s="617"/>
      <c r="Q32" s="611"/>
      <c r="R32" s="608">
        <f t="shared" si="66"/>
        <v>0</v>
      </c>
      <c r="S32" s="609"/>
      <c r="T32" s="611"/>
      <c r="U32" s="608">
        <f t="shared" si="60"/>
        <v>0</v>
      </c>
      <c r="V32" s="617"/>
      <c r="W32" s="611"/>
      <c r="X32" s="608">
        <f t="shared" si="61"/>
        <v>0</v>
      </c>
      <c r="Y32" s="609"/>
      <c r="Z32" s="611"/>
      <c r="AA32" s="608">
        <f t="shared" si="67"/>
        <v>0</v>
      </c>
      <c r="AB32" s="609"/>
      <c r="AC32" s="611"/>
      <c r="AD32" s="608">
        <f t="shared" si="0"/>
        <v>0</v>
      </c>
      <c r="AE32" s="609"/>
      <c r="AF32" s="611"/>
      <c r="AG32" s="608">
        <f t="shared" si="1"/>
        <v>0</v>
      </c>
      <c r="AH32" s="609"/>
      <c r="AI32" s="611"/>
      <c r="AJ32" s="608">
        <f t="shared" si="2"/>
        <v>0</v>
      </c>
      <c r="AK32" s="609"/>
      <c r="AL32" s="611"/>
      <c r="AM32" s="608">
        <f t="shared" si="3"/>
        <v>0</v>
      </c>
      <c r="AN32" s="609"/>
      <c r="AO32" s="611"/>
      <c r="AP32" s="608">
        <f t="shared" si="4"/>
        <v>0</v>
      </c>
      <c r="AQ32" s="609"/>
      <c r="AR32" s="611"/>
      <c r="AS32" s="608">
        <f t="shared" si="31"/>
        <v>0</v>
      </c>
      <c r="AT32" s="609"/>
      <c r="AU32" s="611"/>
      <c r="AV32" s="608">
        <f t="shared" si="32"/>
        <v>0</v>
      </c>
      <c r="AW32" s="610"/>
      <c r="AX32" s="611"/>
      <c r="AY32" s="608">
        <f t="shared" si="33"/>
        <v>0</v>
      </c>
      <c r="AZ32" s="609"/>
      <c r="BA32" s="611"/>
      <c r="BB32" s="608">
        <f t="shared" si="34"/>
        <v>0</v>
      </c>
      <c r="BC32" s="609"/>
      <c r="BD32" s="611"/>
      <c r="BE32" s="608">
        <f t="shared" si="35"/>
        <v>0</v>
      </c>
      <c r="BF32" s="609"/>
      <c r="BG32" s="611"/>
      <c r="BH32" s="608">
        <f t="shared" si="36"/>
        <v>0</v>
      </c>
      <c r="BI32" s="617"/>
      <c r="BJ32" s="611"/>
      <c r="BK32" s="608">
        <f t="shared" si="71"/>
        <v>0</v>
      </c>
      <c r="BL32" s="610"/>
      <c r="BM32" s="611"/>
      <c r="BN32" s="608">
        <f t="shared" si="72"/>
        <v>0</v>
      </c>
      <c r="BO32" s="610"/>
      <c r="BP32" s="611"/>
      <c r="BQ32" s="608">
        <f t="shared" si="64"/>
        <v>0</v>
      </c>
      <c r="BR32" s="609"/>
      <c r="BS32" s="611"/>
      <c r="BT32" s="608">
        <f t="shared" si="65"/>
        <v>0</v>
      </c>
      <c r="BU32" s="609"/>
      <c r="BV32" s="611"/>
      <c r="BW32" s="608">
        <f t="shared" si="7"/>
        <v>0</v>
      </c>
      <c r="BX32" s="609"/>
      <c r="BY32" s="611"/>
      <c r="BZ32" s="608">
        <f t="shared" si="8"/>
        <v>0</v>
      </c>
      <c r="CA32" s="610"/>
      <c r="CB32" s="611"/>
      <c r="CC32" s="608">
        <f t="shared" si="9"/>
        <v>0</v>
      </c>
      <c r="CD32" s="609"/>
      <c r="CE32" s="611"/>
      <c r="CF32" s="608">
        <f t="shared" si="10"/>
        <v>0</v>
      </c>
      <c r="CG32" s="610"/>
      <c r="CH32" s="611"/>
      <c r="CI32" s="608">
        <f t="shared" si="11"/>
        <v>0</v>
      </c>
      <c r="CJ32" s="610"/>
      <c r="CK32" s="611"/>
      <c r="CL32" s="608">
        <f t="shared" si="12"/>
        <v>0</v>
      </c>
      <c r="CM32" s="610"/>
      <c r="CN32" s="611"/>
      <c r="CO32" s="608">
        <f t="shared" si="13"/>
        <v>0</v>
      </c>
      <c r="CP32" s="610"/>
      <c r="CQ32" s="611"/>
      <c r="CR32" s="608">
        <f t="shared" si="14"/>
        <v>0</v>
      </c>
      <c r="CS32" s="609"/>
      <c r="CT32" s="611"/>
      <c r="CU32" s="608">
        <f t="shared" si="15"/>
        <v>0</v>
      </c>
      <c r="CV32" s="609"/>
      <c r="CW32" s="611"/>
      <c r="CX32" s="608">
        <f t="shared" si="16"/>
        <v>0</v>
      </c>
      <c r="CY32" s="610"/>
      <c r="CZ32" s="611"/>
      <c r="DA32" s="608">
        <f t="shared" si="17"/>
        <v>0</v>
      </c>
      <c r="DB32" s="609"/>
      <c r="DC32" s="611"/>
      <c r="DD32" s="608">
        <f t="shared" si="18"/>
        <v>0</v>
      </c>
      <c r="DE32" s="609"/>
      <c r="DF32" s="611"/>
      <c r="DG32" s="608">
        <f t="shared" si="39"/>
        <v>0</v>
      </c>
      <c r="DH32" s="610"/>
      <c r="DI32" s="611"/>
      <c r="DJ32" s="608">
        <f t="shared" si="40"/>
        <v>0</v>
      </c>
      <c r="DK32" s="610"/>
      <c r="DL32" s="611"/>
      <c r="DM32" s="608">
        <f t="shared" si="41"/>
        <v>0</v>
      </c>
      <c r="DN32" s="610"/>
      <c r="DO32" s="607"/>
      <c r="DP32" s="608">
        <f t="shared" si="42"/>
        <v>0</v>
      </c>
      <c r="DQ32" s="610"/>
      <c r="DR32" s="611"/>
      <c r="DS32" s="608">
        <f t="shared" si="43"/>
        <v>0</v>
      </c>
      <c r="DT32" s="610"/>
      <c r="DU32" s="607"/>
      <c r="DV32" s="608">
        <f t="shared" si="44"/>
        <v>0</v>
      </c>
      <c r="DW32" s="610"/>
      <c r="DX32" s="611"/>
      <c r="DY32" s="608">
        <f t="shared" si="45"/>
        <v>0</v>
      </c>
      <c r="DZ32" s="610"/>
      <c r="EA32" s="611"/>
      <c r="EB32" s="608">
        <f t="shared" si="46"/>
        <v>0</v>
      </c>
      <c r="EC32" s="610"/>
      <c r="ED32" s="611"/>
      <c r="EE32" s="608">
        <f t="shared" si="47"/>
        <v>0</v>
      </c>
      <c r="EF32" s="610"/>
      <c r="EG32" s="611"/>
      <c r="EH32" s="608">
        <f t="shared" si="48"/>
        <v>0</v>
      </c>
      <c r="EI32" s="610"/>
      <c r="EJ32" s="611"/>
      <c r="EK32" s="608">
        <f t="shared" si="49"/>
        <v>0</v>
      </c>
      <c r="EL32" s="610"/>
      <c r="EM32" s="611"/>
      <c r="EN32" s="608">
        <f t="shared" si="50"/>
        <v>0</v>
      </c>
      <c r="EO32" s="610"/>
      <c r="EP32" s="611"/>
      <c r="EQ32" s="608">
        <f t="shared" si="51"/>
        <v>0</v>
      </c>
      <c r="ER32" s="610"/>
      <c r="ES32" s="607"/>
      <c r="ET32" s="608">
        <f t="shared" si="54"/>
        <v>0</v>
      </c>
      <c r="EU32" s="610"/>
      <c r="EV32" s="607"/>
      <c r="EW32" s="608">
        <f t="shared" si="55"/>
        <v>0</v>
      </c>
      <c r="EX32" s="610"/>
      <c r="EY32" s="607"/>
      <c r="EZ32" s="608">
        <f t="shared" si="19"/>
        <v>0</v>
      </c>
      <c r="FA32" s="610"/>
      <c r="FB32" s="607"/>
      <c r="FC32" s="608">
        <f t="shared" si="20"/>
        <v>0</v>
      </c>
      <c r="FD32" s="610"/>
      <c r="FE32" s="607"/>
      <c r="FF32" s="608">
        <f t="shared" si="21"/>
        <v>0</v>
      </c>
      <c r="FG32" s="610"/>
      <c r="FH32" s="607"/>
      <c r="FI32" s="608">
        <f t="shared" si="52"/>
        <v>0</v>
      </c>
      <c r="FJ32" s="610"/>
      <c r="FK32" s="607"/>
      <c r="FL32" s="608">
        <f t="shared" si="22"/>
        <v>0</v>
      </c>
      <c r="FM32" s="610"/>
      <c r="FN32" s="607"/>
      <c r="FO32" s="608">
        <f t="shared" si="23"/>
        <v>0</v>
      </c>
      <c r="FP32" s="610"/>
      <c r="FQ32" s="607"/>
      <c r="FR32" s="608">
        <f t="shared" si="24"/>
        <v>0</v>
      </c>
      <c r="FS32" s="610"/>
      <c r="FT32" s="607"/>
      <c r="FU32" s="608">
        <f t="shared" si="53"/>
        <v>0</v>
      </c>
      <c r="FV32" s="610"/>
      <c r="FW32" s="607"/>
      <c r="FX32" s="608">
        <f t="shared" si="25"/>
        <v>0</v>
      </c>
      <c r="FY32" s="610"/>
      <c r="FZ32" s="607"/>
      <c r="GA32" s="608">
        <f t="shared" si="26"/>
        <v>0</v>
      </c>
      <c r="GB32" s="610"/>
      <c r="GC32" s="607"/>
      <c r="GD32" s="608">
        <f t="shared" si="27"/>
        <v>0</v>
      </c>
      <c r="GE32" s="610"/>
      <c r="GF32" s="607"/>
      <c r="GG32" s="608">
        <f t="shared" si="68"/>
        <v>0</v>
      </c>
      <c r="GH32" s="610"/>
      <c r="GI32" s="611"/>
      <c r="GJ32" s="608">
        <f t="shared" si="28"/>
        <v>0</v>
      </c>
      <c r="GK32" s="610"/>
      <c r="GL32" s="612">
        <f t="shared" si="70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0"/>
        <v>0</v>
      </c>
      <c r="D33" s="618"/>
      <c r="E33" s="611"/>
      <c r="F33" s="608">
        <f t="shared" si="56"/>
        <v>0</v>
      </c>
      <c r="G33" s="618"/>
      <c r="H33" s="607"/>
      <c r="I33" s="608">
        <f t="shared" si="69"/>
        <v>0</v>
      </c>
      <c r="J33" s="618"/>
      <c r="K33" s="607"/>
      <c r="L33" s="608">
        <f t="shared" si="58"/>
        <v>0</v>
      </c>
      <c r="M33" s="618"/>
      <c r="N33" s="611"/>
      <c r="O33" s="608">
        <f t="shared" si="59"/>
        <v>0</v>
      </c>
      <c r="P33" s="618"/>
      <c r="Q33" s="611"/>
      <c r="R33" s="608">
        <f t="shared" si="66"/>
        <v>0</v>
      </c>
      <c r="S33" s="609"/>
      <c r="T33" s="611"/>
      <c r="U33" s="608">
        <f t="shared" si="60"/>
        <v>0</v>
      </c>
      <c r="V33" s="618"/>
      <c r="W33" s="611"/>
      <c r="X33" s="608">
        <f t="shared" si="61"/>
        <v>0</v>
      </c>
      <c r="Y33" s="609"/>
      <c r="Z33" s="611"/>
      <c r="AA33" s="608">
        <f t="shared" si="67"/>
        <v>0</v>
      </c>
      <c r="AB33" s="609"/>
      <c r="AC33" s="611"/>
      <c r="AD33" s="608">
        <f t="shared" si="0"/>
        <v>0</v>
      </c>
      <c r="AE33" s="609"/>
      <c r="AF33" s="611"/>
      <c r="AG33" s="608">
        <f t="shared" si="1"/>
        <v>0</v>
      </c>
      <c r="AH33" s="609"/>
      <c r="AI33" s="611"/>
      <c r="AJ33" s="608">
        <f t="shared" si="2"/>
        <v>0</v>
      </c>
      <c r="AK33" s="609"/>
      <c r="AL33" s="611"/>
      <c r="AM33" s="608">
        <f t="shared" si="3"/>
        <v>0</v>
      </c>
      <c r="AN33" s="609"/>
      <c r="AO33" s="611"/>
      <c r="AP33" s="608">
        <f t="shared" si="4"/>
        <v>0</v>
      </c>
      <c r="AQ33" s="609"/>
      <c r="AR33" s="611"/>
      <c r="AS33" s="608">
        <f t="shared" si="31"/>
        <v>0</v>
      </c>
      <c r="AT33" s="609"/>
      <c r="AU33" s="611"/>
      <c r="AV33" s="608">
        <f t="shared" si="32"/>
        <v>0</v>
      </c>
      <c r="AW33" s="610"/>
      <c r="AX33" s="611"/>
      <c r="AY33" s="608">
        <f t="shared" si="33"/>
        <v>0</v>
      </c>
      <c r="AZ33" s="609"/>
      <c r="BA33" s="611"/>
      <c r="BB33" s="608">
        <f t="shared" si="34"/>
        <v>0</v>
      </c>
      <c r="BC33" s="609"/>
      <c r="BD33" s="611"/>
      <c r="BE33" s="608">
        <f t="shared" si="35"/>
        <v>0</v>
      </c>
      <c r="BF33" s="609"/>
      <c r="BG33" s="611"/>
      <c r="BH33" s="608">
        <f t="shared" si="36"/>
        <v>0</v>
      </c>
      <c r="BI33" s="618"/>
      <c r="BJ33" s="611"/>
      <c r="BK33" s="608">
        <f t="shared" si="71"/>
        <v>0</v>
      </c>
      <c r="BL33" s="610"/>
      <c r="BM33" s="611"/>
      <c r="BN33" s="608">
        <f t="shared" si="72"/>
        <v>0</v>
      </c>
      <c r="BO33" s="610"/>
      <c r="BP33" s="611"/>
      <c r="BQ33" s="608">
        <f t="shared" si="64"/>
        <v>0</v>
      </c>
      <c r="BR33" s="609"/>
      <c r="BS33" s="611"/>
      <c r="BT33" s="608">
        <f t="shared" si="65"/>
        <v>0</v>
      </c>
      <c r="BU33" s="609"/>
      <c r="BV33" s="611"/>
      <c r="BW33" s="608">
        <f t="shared" si="7"/>
        <v>0</v>
      </c>
      <c r="BX33" s="609"/>
      <c r="BY33" s="611"/>
      <c r="BZ33" s="608">
        <f t="shared" si="8"/>
        <v>0</v>
      </c>
      <c r="CA33" s="610"/>
      <c r="CB33" s="611"/>
      <c r="CC33" s="608">
        <f t="shared" si="9"/>
        <v>0</v>
      </c>
      <c r="CD33" s="609"/>
      <c r="CE33" s="611"/>
      <c r="CF33" s="608">
        <f t="shared" si="10"/>
        <v>0</v>
      </c>
      <c r="CG33" s="610"/>
      <c r="CH33" s="611"/>
      <c r="CI33" s="608">
        <f t="shared" si="11"/>
        <v>0</v>
      </c>
      <c r="CJ33" s="610"/>
      <c r="CK33" s="611"/>
      <c r="CL33" s="608">
        <f t="shared" si="12"/>
        <v>0</v>
      </c>
      <c r="CM33" s="610"/>
      <c r="CN33" s="611"/>
      <c r="CO33" s="608">
        <f t="shared" si="13"/>
        <v>0</v>
      </c>
      <c r="CP33" s="610"/>
      <c r="CQ33" s="611"/>
      <c r="CR33" s="608">
        <f t="shared" si="14"/>
        <v>0</v>
      </c>
      <c r="CS33" s="609"/>
      <c r="CT33" s="611"/>
      <c r="CU33" s="608">
        <f t="shared" si="15"/>
        <v>0</v>
      </c>
      <c r="CV33" s="609"/>
      <c r="CW33" s="611"/>
      <c r="CX33" s="608">
        <f t="shared" si="16"/>
        <v>0</v>
      </c>
      <c r="CY33" s="610"/>
      <c r="CZ33" s="611"/>
      <c r="DA33" s="608">
        <f t="shared" si="17"/>
        <v>0</v>
      </c>
      <c r="DB33" s="609"/>
      <c r="DC33" s="611"/>
      <c r="DD33" s="608">
        <f t="shared" si="18"/>
        <v>0</v>
      </c>
      <c r="DE33" s="609"/>
      <c r="DF33" s="611"/>
      <c r="DG33" s="608">
        <f t="shared" si="39"/>
        <v>0</v>
      </c>
      <c r="DH33" s="610"/>
      <c r="DI33" s="611"/>
      <c r="DJ33" s="608">
        <f t="shared" si="40"/>
        <v>0</v>
      </c>
      <c r="DK33" s="610"/>
      <c r="DL33" s="611"/>
      <c r="DM33" s="608">
        <f t="shared" si="41"/>
        <v>0</v>
      </c>
      <c r="DN33" s="610"/>
      <c r="DO33" s="607"/>
      <c r="DP33" s="608">
        <f t="shared" si="42"/>
        <v>0</v>
      </c>
      <c r="DQ33" s="610"/>
      <c r="DR33" s="611"/>
      <c r="DS33" s="608">
        <f t="shared" si="43"/>
        <v>0</v>
      </c>
      <c r="DT33" s="610"/>
      <c r="DU33" s="607"/>
      <c r="DV33" s="608">
        <f t="shared" si="44"/>
        <v>0</v>
      </c>
      <c r="DW33" s="610"/>
      <c r="DX33" s="611"/>
      <c r="DY33" s="608">
        <f t="shared" si="45"/>
        <v>0</v>
      </c>
      <c r="DZ33" s="610"/>
      <c r="EA33" s="611"/>
      <c r="EB33" s="608">
        <f t="shared" si="46"/>
        <v>0</v>
      </c>
      <c r="EC33" s="610"/>
      <c r="ED33" s="611"/>
      <c r="EE33" s="608">
        <f t="shared" si="47"/>
        <v>0</v>
      </c>
      <c r="EF33" s="610"/>
      <c r="EG33" s="611"/>
      <c r="EH33" s="608">
        <f t="shared" si="48"/>
        <v>0</v>
      </c>
      <c r="EI33" s="610"/>
      <c r="EJ33" s="611"/>
      <c r="EK33" s="608">
        <f t="shared" si="49"/>
        <v>0</v>
      </c>
      <c r="EL33" s="610"/>
      <c r="EM33" s="611"/>
      <c r="EN33" s="608">
        <f t="shared" si="50"/>
        <v>0</v>
      </c>
      <c r="EO33" s="610"/>
      <c r="EP33" s="611"/>
      <c r="EQ33" s="608">
        <f t="shared" si="51"/>
        <v>0</v>
      </c>
      <c r="ER33" s="610"/>
      <c r="ES33" s="607"/>
      <c r="ET33" s="608">
        <f t="shared" si="54"/>
        <v>0</v>
      </c>
      <c r="EU33" s="610"/>
      <c r="EV33" s="607"/>
      <c r="EW33" s="608">
        <f t="shared" si="55"/>
        <v>0</v>
      </c>
      <c r="EX33" s="610"/>
      <c r="EY33" s="607"/>
      <c r="EZ33" s="608">
        <f t="shared" si="19"/>
        <v>0</v>
      </c>
      <c r="FA33" s="610"/>
      <c r="FB33" s="607"/>
      <c r="FC33" s="608">
        <f t="shared" si="20"/>
        <v>0</v>
      </c>
      <c r="FD33" s="610"/>
      <c r="FE33" s="607"/>
      <c r="FF33" s="608">
        <f t="shared" si="21"/>
        <v>0</v>
      </c>
      <c r="FG33" s="610"/>
      <c r="FH33" s="607"/>
      <c r="FI33" s="608">
        <f t="shared" si="52"/>
        <v>0</v>
      </c>
      <c r="FJ33" s="610"/>
      <c r="FK33" s="607"/>
      <c r="FL33" s="608">
        <f t="shared" si="22"/>
        <v>0</v>
      </c>
      <c r="FM33" s="610"/>
      <c r="FN33" s="607"/>
      <c r="FO33" s="608">
        <f t="shared" si="23"/>
        <v>0</v>
      </c>
      <c r="FP33" s="610"/>
      <c r="FQ33" s="607"/>
      <c r="FR33" s="608">
        <f t="shared" si="24"/>
        <v>0</v>
      </c>
      <c r="FS33" s="610"/>
      <c r="FT33" s="607"/>
      <c r="FU33" s="608">
        <f t="shared" si="53"/>
        <v>0</v>
      </c>
      <c r="FV33" s="610"/>
      <c r="FW33" s="607"/>
      <c r="FX33" s="608">
        <f t="shared" si="25"/>
        <v>0</v>
      </c>
      <c r="FY33" s="610"/>
      <c r="FZ33" s="607"/>
      <c r="GA33" s="608">
        <f t="shared" si="26"/>
        <v>0</v>
      </c>
      <c r="GB33" s="610"/>
      <c r="GC33" s="607"/>
      <c r="GD33" s="608">
        <f t="shared" si="27"/>
        <v>0</v>
      </c>
      <c r="GE33" s="610"/>
      <c r="GF33" s="607"/>
      <c r="GG33" s="608">
        <f t="shared" si="68"/>
        <v>0</v>
      </c>
      <c r="GH33" s="610"/>
      <c r="GI33" s="611"/>
      <c r="GJ33" s="608">
        <f t="shared" si="28"/>
        <v>0</v>
      </c>
      <c r="GK33" s="610"/>
      <c r="GL33" s="612">
        <f t="shared" si="70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0"/>
        <v>0</v>
      </c>
      <c r="D34" s="617"/>
      <c r="E34" s="611"/>
      <c r="F34" s="608">
        <f t="shared" si="56"/>
        <v>0</v>
      </c>
      <c r="G34" s="617"/>
      <c r="H34" s="607"/>
      <c r="I34" s="608">
        <f t="shared" si="69"/>
        <v>0</v>
      </c>
      <c r="J34" s="617"/>
      <c r="K34" s="607"/>
      <c r="L34" s="608">
        <f t="shared" si="58"/>
        <v>0</v>
      </c>
      <c r="M34" s="617"/>
      <c r="N34" s="611"/>
      <c r="O34" s="608">
        <f t="shared" si="59"/>
        <v>0</v>
      </c>
      <c r="P34" s="617"/>
      <c r="Q34" s="611"/>
      <c r="R34" s="608">
        <f t="shared" si="66"/>
        <v>0</v>
      </c>
      <c r="S34" s="609"/>
      <c r="T34" s="611"/>
      <c r="U34" s="608">
        <f t="shared" si="60"/>
        <v>0</v>
      </c>
      <c r="V34" s="617"/>
      <c r="W34" s="611"/>
      <c r="X34" s="608">
        <f t="shared" si="61"/>
        <v>0</v>
      </c>
      <c r="Y34" s="609"/>
      <c r="Z34" s="611"/>
      <c r="AA34" s="608">
        <f t="shared" si="67"/>
        <v>0</v>
      </c>
      <c r="AB34" s="609"/>
      <c r="AC34" s="611"/>
      <c r="AD34" s="608">
        <f t="shared" si="0"/>
        <v>0</v>
      </c>
      <c r="AE34" s="609"/>
      <c r="AF34" s="611"/>
      <c r="AG34" s="608">
        <f t="shared" si="1"/>
        <v>0</v>
      </c>
      <c r="AH34" s="609"/>
      <c r="AI34" s="611"/>
      <c r="AJ34" s="608">
        <f t="shared" si="2"/>
        <v>0</v>
      </c>
      <c r="AK34" s="609"/>
      <c r="AL34" s="611"/>
      <c r="AM34" s="608">
        <f t="shared" si="3"/>
        <v>0</v>
      </c>
      <c r="AN34" s="609"/>
      <c r="AO34" s="611"/>
      <c r="AP34" s="608">
        <f t="shared" si="4"/>
        <v>0</v>
      </c>
      <c r="AQ34" s="609"/>
      <c r="AR34" s="611"/>
      <c r="AS34" s="608">
        <f t="shared" si="31"/>
        <v>0</v>
      </c>
      <c r="AT34" s="609"/>
      <c r="AU34" s="611"/>
      <c r="AV34" s="608">
        <f t="shared" si="32"/>
        <v>0</v>
      </c>
      <c r="AW34" s="610"/>
      <c r="AX34" s="611"/>
      <c r="AY34" s="608">
        <f t="shared" si="33"/>
        <v>0</v>
      </c>
      <c r="AZ34" s="609"/>
      <c r="BA34" s="611"/>
      <c r="BB34" s="608">
        <f t="shared" si="34"/>
        <v>0</v>
      </c>
      <c r="BC34" s="609"/>
      <c r="BD34" s="611"/>
      <c r="BE34" s="608">
        <f t="shared" si="35"/>
        <v>0</v>
      </c>
      <c r="BF34" s="609"/>
      <c r="BG34" s="611"/>
      <c r="BH34" s="608">
        <f t="shared" si="36"/>
        <v>0</v>
      </c>
      <c r="BI34" s="617"/>
      <c r="BJ34" s="611"/>
      <c r="BK34" s="608">
        <f t="shared" si="71"/>
        <v>0</v>
      </c>
      <c r="BL34" s="610"/>
      <c r="BM34" s="611"/>
      <c r="BN34" s="608">
        <f t="shared" si="72"/>
        <v>0</v>
      </c>
      <c r="BO34" s="610"/>
      <c r="BP34" s="611"/>
      <c r="BQ34" s="608">
        <f t="shared" si="64"/>
        <v>0</v>
      </c>
      <c r="BR34" s="609"/>
      <c r="BS34" s="611"/>
      <c r="BT34" s="608">
        <f t="shared" si="65"/>
        <v>0</v>
      </c>
      <c r="BU34" s="609"/>
      <c r="BV34" s="611"/>
      <c r="BW34" s="608">
        <f t="shared" si="7"/>
        <v>0</v>
      </c>
      <c r="BX34" s="609"/>
      <c r="BY34" s="611"/>
      <c r="BZ34" s="608">
        <f t="shared" si="8"/>
        <v>0</v>
      </c>
      <c r="CA34" s="610"/>
      <c r="CB34" s="611"/>
      <c r="CC34" s="608">
        <f t="shared" si="9"/>
        <v>0</v>
      </c>
      <c r="CD34" s="609"/>
      <c r="CE34" s="611"/>
      <c r="CF34" s="608">
        <f t="shared" si="10"/>
        <v>0</v>
      </c>
      <c r="CG34" s="610"/>
      <c r="CH34" s="611"/>
      <c r="CI34" s="608">
        <f t="shared" si="11"/>
        <v>0</v>
      </c>
      <c r="CJ34" s="610"/>
      <c r="CK34" s="611"/>
      <c r="CL34" s="608">
        <f t="shared" si="12"/>
        <v>0</v>
      </c>
      <c r="CM34" s="610"/>
      <c r="CN34" s="611"/>
      <c r="CO34" s="608">
        <f t="shared" si="13"/>
        <v>0</v>
      </c>
      <c r="CP34" s="610"/>
      <c r="CQ34" s="611"/>
      <c r="CR34" s="608">
        <f t="shared" si="14"/>
        <v>0</v>
      </c>
      <c r="CS34" s="609"/>
      <c r="CT34" s="611"/>
      <c r="CU34" s="608">
        <f t="shared" si="15"/>
        <v>0</v>
      </c>
      <c r="CV34" s="609"/>
      <c r="CW34" s="611"/>
      <c r="CX34" s="608">
        <f t="shared" si="16"/>
        <v>0</v>
      </c>
      <c r="CY34" s="610"/>
      <c r="CZ34" s="611"/>
      <c r="DA34" s="608">
        <f t="shared" si="17"/>
        <v>0</v>
      </c>
      <c r="DB34" s="609"/>
      <c r="DC34" s="611"/>
      <c r="DD34" s="608">
        <f t="shared" si="18"/>
        <v>0</v>
      </c>
      <c r="DE34" s="609"/>
      <c r="DF34" s="611"/>
      <c r="DG34" s="608">
        <f t="shared" si="39"/>
        <v>0</v>
      </c>
      <c r="DH34" s="610"/>
      <c r="DI34" s="611"/>
      <c r="DJ34" s="608">
        <f t="shared" si="40"/>
        <v>0</v>
      </c>
      <c r="DK34" s="610"/>
      <c r="DL34" s="611"/>
      <c r="DM34" s="608">
        <f t="shared" si="41"/>
        <v>0</v>
      </c>
      <c r="DN34" s="610"/>
      <c r="DO34" s="607"/>
      <c r="DP34" s="608">
        <f t="shared" si="42"/>
        <v>0</v>
      </c>
      <c r="DQ34" s="610"/>
      <c r="DR34" s="611"/>
      <c r="DS34" s="608">
        <f t="shared" si="43"/>
        <v>0</v>
      </c>
      <c r="DT34" s="610"/>
      <c r="DU34" s="607"/>
      <c r="DV34" s="608">
        <f t="shared" si="44"/>
        <v>0</v>
      </c>
      <c r="DW34" s="610"/>
      <c r="DX34" s="611"/>
      <c r="DY34" s="608">
        <f t="shared" si="45"/>
        <v>0</v>
      </c>
      <c r="DZ34" s="610"/>
      <c r="EA34" s="611"/>
      <c r="EB34" s="608">
        <f t="shared" si="46"/>
        <v>0</v>
      </c>
      <c r="EC34" s="610"/>
      <c r="ED34" s="611"/>
      <c r="EE34" s="608">
        <f t="shared" si="47"/>
        <v>0</v>
      </c>
      <c r="EF34" s="610"/>
      <c r="EG34" s="611"/>
      <c r="EH34" s="608">
        <f t="shared" si="48"/>
        <v>0</v>
      </c>
      <c r="EI34" s="610"/>
      <c r="EJ34" s="611"/>
      <c r="EK34" s="608">
        <f t="shared" si="49"/>
        <v>0</v>
      </c>
      <c r="EL34" s="610"/>
      <c r="EM34" s="611"/>
      <c r="EN34" s="608">
        <f t="shared" si="50"/>
        <v>0</v>
      </c>
      <c r="EO34" s="610"/>
      <c r="EP34" s="611"/>
      <c r="EQ34" s="608">
        <f t="shared" si="51"/>
        <v>0</v>
      </c>
      <c r="ER34" s="610"/>
      <c r="ES34" s="607"/>
      <c r="ET34" s="608">
        <f t="shared" si="54"/>
        <v>0</v>
      </c>
      <c r="EU34" s="610"/>
      <c r="EV34" s="607"/>
      <c r="EW34" s="608">
        <f t="shared" si="55"/>
        <v>0</v>
      </c>
      <c r="EX34" s="610"/>
      <c r="EY34" s="607"/>
      <c r="EZ34" s="608">
        <f t="shared" si="19"/>
        <v>0</v>
      </c>
      <c r="FA34" s="610"/>
      <c r="FB34" s="607"/>
      <c r="FC34" s="608">
        <f t="shared" si="20"/>
        <v>0</v>
      </c>
      <c r="FD34" s="610"/>
      <c r="FE34" s="607"/>
      <c r="FF34" s="608">
        <f t="shared" si="21"/>
        <v>0</v>
      </c>
      <c r="FG34" s="610"/>
      <c r="FH34" s="607"/>
      <c r="FI34" s="608">
        <f t="shared" si="52"/>
        <v>0</v>
      </c>
      <c r="FJ34" s="610"/>
      <c r="FK34" s="607"/>
      <c r="FL34" s="608">
        <f t="shared" si="22"/>
        <v>0</v>
      </c>
      <c r="FM34" s="610"/>
      <c r="FN34" s="607"/>
      <c r="FO34" s="608">
        <f t="shared" si="23"/>
        <v>0</v>
      </c>
      <c r="FP34" s="610"/>
      <c r="FQ34" s="607"/>
      <c r="FR34" s="608">
        <f t="shared" si="24"/>
        <v>0</v>
      </c>
      <c r="FS34" s="610"/>
      <c r="FT34" s="607"/>
      <c r="FU34" s="608">
        <f t="shared" si="53"/>
        <v>0</v>
      </c>
      <c r="FV34" s="610"/>
      <c r="FW34" s="607"/>
      <c r="FX34" s="608">
        <f t="shared" si="25"/>
        <v>0</v>
      </c>
      <c r="FY34" s="610"/>
      <c r="FZ34" s="611"/>
      <c r="GA34" s="608">
        <f t="shared" si="26"/>
        <v>0</v>
      </c>
      <c r="GB34" s="610"/>
      <c r="GC34" s="607"/>
      <c r="GD34" s="608">
        <f t="shared" si="27"/>
        <v>0</v>
      </c>
      <c r="GE34" s="610"/>
      <c r="GF34" s="607"/>
      <c r="GG34" s="608">
        <f t="shared" si="68"/>
        <v>0</v>
      </c>
      <c r="GH34" s="610"/>
      <c r="GI34" s="611"/>
      <c r="GJ34" s="608">
        <f t="shared" si="28"/>
        <v>0</v>
      </c>
      <c r="GK34" s="610"/>
      <c r="GL34" s="612">
        <f t="shared" si="70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0"/>
        <v>0</v>
      </c>
      <c r="D35" s="609"/>
      <c r="E35" s="607"/>
      <c r="F35" s="608">
        <f t="shared" si="56"/>
        <v>0</v>
      </c>
      <c r="G35" s="609"/>
      <c r="H35" s="611"/>
      <c r="I35" s="608">
        <f t="shared" si="69"/>
        <v>0</v>
      </c>
      <c r="J35" s="609"/>
      <c r="K35" s="611"/>
      <c r="L35" s="608">
        <f t="shared" si="58"/>
        <v>0</v>
      </c>
      <c r="M35" s="609"/>
      <c r="N35" s="611"/>
      <c r="O35" s="608">
        <f t="shared" si="59"/>
        <v>0</v>
      </c>
      <c r="P35" s="609"/>
      <c r="Q35" s="611"/>
      <c r="R35" s="608">
        <f t="shared" si="66"/>
        <v>0</v>
      </c>
      <c r="S35" s="609"/>
      <c r="T35" s="611"/>
      <c r="U35" s="608">
        <f t="shared" si="60"/>
        <v>0</v>
      </c>
      <c r="V35" s="609"/>
      <c r="W35" s="611"/>
      <c r="X35" s="608">
        <f t="shared" si="61"/>
        <v>0</v>
      </c>
      <c r="Y35" s="609"/>
      <c r="Z35" s="611"/>
      <c r="AA35" s="608">
        <f t="shared" si="67"/>
        <v>0</v>
      </c>
      <c r="AB35" s="609"/>
      <c r="AC35" s="611"/>
      <c r="AD35" s="608">
        <f t="shared" si="0"/>
        <v>0</v>
      </c>
      <c r="AE35" s="609"/>
      <c r="AF35" s="611"/>
      <c r="AG35" s="608">
        <f t="shared" si="1"/>
        <v>0</v>
      </c>
      <c r="AH35" s="609"/>
      <c r="AI35" s="611"/>
      <c r="AJ35" s="608">
        <f t="shared" si="2"/>
        <v>0</v>
      </c>
      <c r="AK35" s="609"/>
      <c r="AL35" s="611"/>
      <c r="AM35" s="608">
        <f t="shared" si="3"/>
        <v>0</v>
      </c>
      <c r="AN35" s="609"/>
      <c r="AO35" s="611"/>
      <c r="AP35" s="608">
        <f t="shared" si="4"/>
        <v>0</v>
      </c>
      <c r="AQ35" s="609"/>
      <c r="AR35" s="611"/>
      <c r="AS35" s="608">
        <f t="shared" si="31"/>
        <v>0</v>
      </c>
      <c r="AT35" s="609"/>
      <c r="AU35" s="611"/>
      <c r="AV35" s="608">
        <f t="shared" si="32"/>
        <v>0</v>
      </c>
      <c r="AW35" s="610"/>
      <c r="AX35" s="611"/>
      <c r="AY35" s="608">
        <f t="shared" si="33"/>
        <v>0</v>
      </c>
      <c r="AZ35" s="609"/>
      <c r="BA35" s="611"/>
      <c r="BB35" s="608">
        <f t="shared" si="34"/>
        <v>0</v>
      </c>
      <c r="BC35" s="609"/>
      <c r="BD35" s="611"/>
      <c r="BE35" s="608">
        <f t="shared" si="35"/>
        <v>0</v>
      </c>
      <c r="BF35" s="609"/>
      <c r="BG35" s="611"/>
      <c r="BH35" s="608">
        <f t="shared" si="36"/>
        <v>0</v>
      </c>
      <c r="BI35" s="609"/>
      <c r="BJ35" s="611"/>
      <c r="BK35" s="608">
        <f t="shared" si="71"/>
        <v>0</v>
      </c>
      <c r="BL35" s="610"/>
      <c r="BM35" s="611"/>
      <c r="BN35" s="608">
        <f t="shared" si="72"/>
        <v>0</v>
      </c>
      <c r="BO35" s="610"/>
      <c r="BP35" s="611"/>
      <c r="BQ35" s="608">
        <f t="shared" si="64"/>
        <v>0</v>
      </c>
      <c r="BR35" s="609"/>
      <c r="BS35" s="611"/>
      <c r="BT35" s="608">
        <f t="shared" si="65"/>
        <v>0</v>
      </c>
      <c r="BU35" s="609"/>
      <c r="BV35" s="611"/>
      <c r="BW35" s="608">
        <f t="shared" si="7"/>
        <v>0</v>
      </c>
      <c r="BX35" s="609"/>
      <c r="BY35" s="611"/>
      <c r="BZ35" s="608">
        <f t="shared" si="8"/>
        <v>0</v>
      </c>
      <c r="CA35" s="610"/>
      <c r="CB35" s="611"/>
      <c r="CC35" s="608">
        <f t="shared" si="9"/>
        <v>0</v>
      </c>
      <c r="CD35" s="609"/>
      <c r="CE35" s="607"/>
      <c r="CF35" s="608">
        <f t="shared" si="10"/>
        <v>0</v>
      </c>
      <c r="CG35" s="610"/>
      <c r="CH35" s="607"/>
      <c r="CI35" s="608">
        <f t="shared" si="11"/>
        <v>0</v>
      </c>
      <c r="CJ35" s="610"/>
      <c r="CK35" s="611"/>
      <c r="CL35" s="608">
        <f t="shared" si="12"/>
        <v>0</v>
      </c>
      <c r="CM35" s="610"/>
      <c r="CN35" s="611"/>
      <c r="CO35" s="608">
        <f t="shared" si="13"/>
        <v>0</v>
      </c>
      <c r="CP35" s="610"/>
      <c r="CQ35" s="611"/>
      <c r="CR35" s="608">
        <f t="shared" si="14"/>
        <v>0</v>
      </c>
      <c r="CS35" s="609"/>
      <c r="CT35" s="611"/>
      <c r="CU35" s="608">
        <f t="shared" si="15"/>
        <v>0</v>
      </c>
      <c r="CV35" s="609"/>
      <c r="CW35" s="611"/>
      <c r="CX35" s="608">
        <f t="shared" si="16"/>
        <v>0</v>
      </c>
      <c r="CY35" s="610"/>
      <c r="CZ35" s="607"/>
      <c r="DA35" s="608">
        <f t="shared" si="17"/>
        <v>0</v>
      </c>
      <c r="DB35" s="609"/>
      <c r="DC35" s="611"/>
      <c r="DD35" s="608">
        <f t="shared" si="18"/>
        <v>0</v>
      </c>
      <c r="DE35" s="609"/>
      <c r="DF35" s="611"/>
      <c r="DG35" s="608">
        <f t="shared" si="39"/>
        <v>0</v>
      </c>
      <c r="DH35" s="610"/>
      <c r="DI35" s="611"/>
      <c r="DJ35" s="608">
        <f t="shared" si="40"/>
        <v>0</v>
      </c>
      <c r="DK35" s="610"/>
      <c r="DL35" s="611"/>
      <c r="DM35" s="608">
        <f t="shared" si="41"/>
        <v>0</v>
      </c>
      <c r="DN35" s="610"/>
      <c r="DO35" s="611"/>
      <c r="DP35" s="608">
        <f t="shared" si="42"/>
        <v>0</v>
      </c>
      <c r="DQ35" s="610"/>
      <c r="DR35" s="611"/>
      <c r="DS35" s="608">
        <f t="shared" si="43"/>
        <v>0</v>
      </c>
      <c r="DT35" s="610"/>
      <c r="DU35" s="607"/>
      <c r="DV35" s="608">
        <f t="shared" si="44"/>
        <v>0</v>
      </c>
      <c r="DW35" s="610"/>
      <c r="DX35" s="611"/>
      <c r="DY35" s="608">
        <f t="shared" si="45"/>
        <v>0</v>
      </c>
      <c r="DZ35" s="610"/>
      <c r="EA35" s="611"/>
      <c r="EB35" s="608">
        <f t="shared" si="46"/>
        <v>0</v>
      </c>
      <c r="EC35" s="610"/>
      <c r="ED35" s="611"/>
      <c r="EE35" s="608">
        <f t="shared" si="47"/>
        <v>0</v>
      </c>
      <c r="EF35" s="610"/>
      <c r="EG35" s="611"/>
      <c r="EH35" s="608">
        <f t="shared" si="48"/>
        <v>0</v>
      </c>
      <c r="EI35" s="610"/>
      <c r="EJ35" s="611"/>
      <c r="EK35" s="608">
        <f t="shared" si="49"/>
        <v>0</v>
      </c>
      <c r="EL35" s="610"/>
      <c r="EM35" s="611"/>
      <c r="EN35" s="608">
        <f t="shared" si="50"/>
        <v>0</v>
      </c>
      <c r="EO35" s="610"/>
      <c r="EP35" s="611"/>
      <c r="EQ35" s="608">
        <f t="shared" si="51"/>
        <v>0</v>
      </c>
      <c r="ER35" s="610"/>
      <c r="ES35" s="607"/>
      <c r="ET35" s="608">
        <f t="shared" si="54"/>
        <v>0</v>
      </c>
      <c r="EU35" s="610"/>
      <c r="EV35" s="607"/>
      <c r="EW35" s="608">
        <f t="shared" si="55"/>
        <v>0</v>
      </c>
      <c r="EX35" s="610"/>
      <c r="EY35" s="607"/>
      <c r="EZ35" s="608">
        <f t="shared" si="19"/>
        <v>0</v>
      </c>
      <c r="FA35" s="610"/>
      <c r="FB35" s="607"/>
      <c r="FC35" s="608">
        <f t="shared" si="20"/>
        <v>0</v>
      </c>
      <c r="FD35" s="610"/>
      <c r="FE35" s="607"/>
      <c r="FF35" s="608">
        <f t="shared" si="21"/>
        <v>0</v>
      </c>
      <c r="FG35" s="610"/>
      <c r="FH35" s="607"/>
      <c r="FI35" s="608">
        <f t="shared" si="52"/>
        <v>0</v>
      </c>
      <c r="FJ35" s="610"/>
      <c r="FK35" s="607"/>
      <c r="FL35" s="608">
        <f t="shared" si="22"/>
        <v>0</v>
      </c>
      <c r="FM35" s="610"/>
      <c r="FN35" s="607"/>
      <c r="FO35" s="608">
        <f t="shared" si="23"/>
        <v>0</v>
      </c>
      <c r="FP35" s="610"/>
      <c r="FQ35" s="607"/>
      <c r="FR35" s="608">
        <f t="shared" si="24"/>
        <v>0</v>
      </c>
      <c r="FS35" s="610"/>
      <c r="FT35" s="607"/>
      <c r="FU35" s="608">
        <f t="shared" si="53"/>
        <v>0</v>
      </c>
      <c r="FV35" s="610"/>
      <c r="FW35" s="611"/>
      <c r="FX35" s="608">
        <f t="shared" si="25"/>
        <v>0</v>
      </c>
      <c r="FY35" s="610"/>
      <c r="FZ35" s="611"/>
      <c r="GA35" s="608">
        <f t="shared" si="26"/>
        <v>0</v>
      </c>
      <c r="GB35" s="610"/>
      <c r="GC35" s="607"/>
      <c r="GD35" s="608">
        <f t="shared" si="27"/>
        <v>0</v>
      </c>
      <c r="GE35" s="610"/>
      <c r="GF35" s="607"/>
      <c r="GG35" s="608">
        <f t="shared" si="68"/>
        <v>0</v>
      </c>
      <c r="GH35" s="610"/>
      <c r="GI35" s="611"/>
      <c r="GJ35" s="608">
        <f t="shared" si="28"/>
        <v>0</v>
      </c>
      <c r="GK35" s="610"/>
      <c r="GL35" s="612">
        <f t="shared" si="70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30"/>
        <v>0</v>
      </c>
      <c r="D36" s="609"/>
      <c r="E36" s="607"/>
      <c r="F36" s="608">
        <f t="shared" si="56"/>
        <v>0</v>
      </c>
      <c r="G36" s="609"/>
      <c r="H36" s="607"/>
      <c r="I36" s="608">
        <f t="shared" si="69"/>
        <v>0</v>
      </c>
      <c r="J36" s="609"/>
      <c r="K36" s="607"/>
      <c r="L36" s="608">
        <f t="shared" si="58"/>
        <v>0</v>
      </c>
      <c r="M36" s="609"/>
      <c r="N36" s="611"/>
      <c r="O36" s="608">
        <f t="shared" si="59"/>
        <v>0</v>
      </c>
      <c r="P36" s="609"/>
      <c r="Q36" s="611"/>
      <c r="R36" s="608">
        <f t="shared" si="66"/>
        <v>0</v>
      </c>
      <c r="S36" s="609"/>
      <c r="T36" s="611"/>
      <c r="U36" s="608">
        <f t="shared" si="60"/>
        <v>0</v>
      </c>
      <c r="V36" s="609"/>
      <c r="W36" s="611"/>
      <c r="X36" s="608">
        <f t="shared" si="61"/>
        <v>0</v>
      </c>
      <c r="Y36" s="609"/>
      <c r="Z36" s="611"/>
      <c r="AA36" s="608">
        <f t="shared" si="67"/>
        <v>0</v>
      </c>
      <c r="AB36" s="609"/>
      <c r="AC36" s="611"/>
      <c r="AD36" s="608">
        <f t="shared" si="0"/>
        <v>0</v>
      </c>
      <c r="AE36" s="609"/>
      <c r="AF36" s="611"/>
      <c r="AG36" s="608">
        <f t="shared" si="1"/>
        <v>0</v>
      </c>
      <c r="AH36" s="609"/>
      <c r="AI36" s="611"/>
      <c r="AJ36" s="608">
        <f t="shared" si="2"/>
        <v>0</v>
      </c>
      <c r="AK36" s="609"/>
      <c r="AL36" s="611"/>
      <c r="AM36" s="608">
        <f t="shared" si="3"/>
        <v>0</v>
      </c>
      <c r="AN36" s="609"/>
      <c r="AO36" s="611"/>
      <c r="AP36" s="608">
        <f t="shared" si="4"/>
        <v>0</v>
      </c>
      <c r="AQ36" s="609"/>
      <c r="AR36" s="611"/>
      <c r="AS36" s="608">
        <f t="shared" si="31"/>
        <v>0</v>
      </c>
      <c r="AT36" s="609"/>
      <c r="AU36" s="611"/>
      <c r="AV36" s="608">
        <f t="shared" si="32"/>
        <v>0</v>
      </c>
      <c r="AW36" s="610"/>
      <c r="AX36" s="611"/>
      <c r="AY36" s="608">
        <f t="shared" si="33"/>
        <v>0</v>
      </c>
      <c r="AZ36" s="609"/>
      <c r="BA36" s="611"/>
      <c r="BB36" s="608">
        <f t="shared" ref="BB36" si="73">BC$3*BC$4*216*24*60*BA36/9000000</f>
        <v>0</v>
      </c>
      <c r="BC36" s="609"/>
      <c r="BD36" s="611"/>
      <c r="BE36" s="608">
        <f t="shared" ref="BE36" si="74">BF$3*BF$4*216*24*60*BD36/9000000</f>
        <v>0</v>
      </c>
      <c r="BF36" s="609"/>
      <c r="BG36" s="611"/>
      <c r="BH36" s="608">
        <f t="shared" ref="BH36" si="75">BI$3*BI$4*216*24*60*BG36/9000000</f>
        <v>0</v>
      </c>
      <c r="BI36" s="609"/>
      <c r="BJ36" s="611"/>
      <c r="BK36" s="608">
        <f t="shared" si="71"/>
        <v>0</v>
      </c>
      <c r="BL36" s="610"/>
      <c r="BM36" s="611"/>
      <c r="BN36" s="608">
        <f t="shared" si="72"/>
        <v>0</v>
      </c>
      <c r="BO36" s="610"/>
      <c r="BP36" s="611"/>
      <c r="BQ36" s="608">
        <f t="shared" si="64"/>
        <v>0</v>
      </c>
      <c r="BR36" s="609"/>
      <c r="BS36" s="611"/>
      <c r="BT36" s="608">
        <f t="shared" si="65"/>
        <v>0</v>
      </c>
      <c r="BU36" s="609"/>
      <c r="BV36" s="611"/>
      <c r="BW36" s="608">
        <f t="shared" si="7"/>
        <v>0</v>
      </c>
      <c r="BX36" s="609"/>
      <c r="BY36" s="611"/>
      <c r="BZ36" s="608">
        <f t="shared" si="8"/>
        <v>0</v>
      </c>
      <c r="CA36" s="610"/>
      <c r="CB36" s="611"/>
      <c r="CC36" s="608">
        <f t="shared" si="9"/>
        <v>0</v>
      </c>
      <c r="CD36" s="609"/>
      <c r="CE36" s="607"/>
      <c r="CF36" s="608">
        <f t="shared" si="10"/>
        <v>0</v>
      </c>
      <c r="CG36" s="610"/>
      <c r="CH36" s="607"/>
      <c r="CI36" s="608">
        <f t="shared" si="11"/>
        <v>0</v>
      </c>
      <c r="CJ36" s="610"/>
      <c r="CK36" s="611"/>
      <c r="CL36" s="608">
        <f t="shared" si="12"/>
        <v>0</v>
      </c>
      <c r="CM36" s="610"/>
      <c r="CN36" s="611"/>
      <c r="CO36" s="608">
        <f t="shared" si="13"/>
        <v>0</v>
      </c>
      <c r="CP36" s="610"/>
      <c r="CQ36" s="611"/>
      <c r="CR36" s="608">
        <f t="shared" si="14"/>
        <v>0</v>
      </c>
      <c r="CS36" s="609"/>
      <c r="CT36" s="611"/>
      <c r="CU36" s="608">
        <f t="shared" si="15"/>
        <v>0</v>
      </c>
      <c r="CV36" s="609"/>
      <c r="CW36" s="611"/>
      <c r="CX36" s="608">
        <f t="shared" si="16"/>
        <v>0</v>
      </c>
      <c r="CY36" s="610"/>
      <c r="CZ36" s="607"/>
      <c r="DA36" s="608">
        <f t="shared" si="17"/>
        <v>0</v>
      </c>
      <c r="DB36" s="609"/>
      <c r="DC36" s="611"/>
      <c r="DD36" s="608">
        <f t="shared" si="18"/>
        <v>0</v>
      </c>
      <c r="DE36" s="609"/>
      <c r="DF36" s="611"/>
      <c r="DG36" s="608">
        <f t="shared" si="39"/>
        <v>0</v>
      </c>
      <c r="DH36" s="610"/>
      <c r="DI36" s="611"/>
      <c r="DJ36" s="608">
        <f t="shared" si="40"/>
        <v>0</v>
      </c>
      <c r="DK36" s="610"/>
      <c r="DL36" s="611"/>
      <c r="DM36" s="608">
        <f t="shared" si="41"/>
        <v>0</v>
      </c>
      <c r="DN36" s="610"/>
      <c r="DO36" s="611"/>
      <c r="DP36" s="608">
        <f t="shared" si="42"/>
        <v>0</v>
      </c>
      <c r="DQ36" s="610"/>
      <c r="DR36" s="611"/>
      <c r="DS36" s="608">
        <f t="shared" si="43"/>
        <v>0</v>
      </c>
      <c r="DT36" s="610"/>
      <c r="DU36" s="611"/>
      <c r="DV36" s="608">
        <f t="shared" si="44"/>
        <v>0</v>
      </c>
      <c r="DW36" s="610"/>
      <c r="DX36" s="611"/>
      <c r="DY36" s="608">
        <f t="shared" si="45"/>
        <v>0</v>
      </c>
      <c r="DZ36" s="610"/>
      <c r="EA36" s="611"/>
      <c r="EB36" s="608">
        <f t="shared" si="46"/>
        <v>0</v>
      </c>
      <c r="EC36" s="610"/>
      <c r="ED36" s="611"/>
      <c r="EE36" s="608">
        <f t="shared" si="47"/>
        <v>0</v>
      </c>
      <c r="EF36" s="610"/>
      <c r="EG36" s="611"/>
      <c r="EH36" s="608">
        <f t="shared" si="48"/>
        <v>0</v>
      </c>
      <c r="EI36" s="610"/>
      <c r="EJ36" s="611"/>
      <c r="EK36" s="608">
        <f t="shared" si="49"/>
        <v>0</v>
      </c>
      <c r="EL36" s="610"/>
      <c r="EM36" s="611"/>
      <c r="EN36" s="608">
        <f t="shared" si="50"/>
        <v>0</v>
      </c>
      <c r="EO36" s="610"/>
      <c r="EP36" s="611"/>
      <c r="EQ36" s="608">
        <f t="shared" si="51"/>
        <v>0</v>
      </c>
      <c r="ER36" s="610"/>
      <c r="ES36" s="607"/>
      <c r="ET36" s="608">
        <f t="shared" si="54"/>
        <v>0</v>
      </c>
      <c r="EU36" s="610"/>
      <c r="EV36" s="607"/>
      <c r="EW36" s="608">
        <f t="shared" si="55"/>
        <v>0</v>
      </c>
      <c r="EX36" s="610"/>
      <c r="EY36" s="607"/>
      <c r="EZ36" s="608">
        <f t="shared" si="19"/>
        <v>0</v>
      </c>
      <c r="FA36" s="610"/>
      <c r="FB36" s="607"/>
      <c r="FC36" s="608">
        <f t="shared" si="20"/>
        <v>0</v>
      </c>
      <c r="FD36" s="610"/>
      <c r="FE36" s="607"/>
      <c r="FF36" s="608">
        <f t="shared" si="21"/>
        <v>0</v>
      </c>
      <c r="FG36" s="610"/>
      <c r="FH36" s="607"/>
      <c r="FI36" s="608">
        <f t="shared" si="52"/>
        <v>0</v>
      </c>
      <c r="FJ36" s="610"/>
      <c r="FK36" s="607"/>
      <c r="FL36" s="608">
        <f t="shared" si="22"/>
        <v>0</v>
      </c>
      <c r="FM36" s="610"/>
      <c r="FN36" s="607"/>
      <c r="FO36" s="608">
        <f t="shared" si="23"/>
        <v>0</v>
      </c>
      <c r="FP36" s="610"/>
      <c r="FQ36" s="607"/>
      <c r="FR36" s="608">
        <f t="shared" si="24"/>
        <v>0</v>
      </c>
      <c r="FS36" s="610"/>
      <c r="FT36" s="607"/>
      <c r="FU36" s="608">
        <f t="shared" si="53"/>
        <v>0</v>
      </c>
      <c r="FV36" s="610"/>
      <c r="FW36" s="611"/>
      <c r="FX36" s="608">
        <f t="shared" si="25"/>
        <v>0</v>
      </c>
      <c r="FY36" s="610"/>
      <c r="FZ36" s="611"/>
      <c r="GA36" s="608">
        <f t="shared" si="26"/>
        <v>0</v>
      </c>
      <c r="GB36" s="610"/>
      <c r="GC36" s="607"/>
      <c r="GD36" s="608">
        <f t="shared" si="27"/>
        <v>0</v>
      </c>
      <c r="GE36" s="610"/>
      <c r="GF36" s="607"/>
      <c r="GG36" s="608">
        <f t="shared" si="68"/>
        <v>0</v>
      </c>
      <c r="GH36" s="610"/>
      <c r="GI36" s="611"/>
      <c r="GJ36" s="608">
        <f t="shared" si="28"/>
        <v>0</v>
      </c>
      <c r="GK36" s="610"/>
      <c r="GL36" s="612">
        <f t="shared" si="70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17766.604800000001</v>
      </c>
      <c r="D37" s="408">
        <f>SUM(D6:D36)</f>
        <v>19024</v>
      </c>
      <c r="E37" s="620">
        <f>IF(E6="",0,AVERAGE(E6:E36))</f>
        <v>0.70588235294117652</v>
      </c>
      <c r="F37" s="407">
        <f>SUM(F6:F36)</f>
        <v>10969.343999999999</v>
      </c>
      <c r="G37" s="408">
        <f>SUM(G6:G36)</f>
        <v>8785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0.47058823529411764</v>
      </c>
      <c r="L37" s="407">
        <f>SUM(L6:L36)</f>
        <v>11612.160000000002</v>
      </c>
      <c r="M37" s="408">
        <f>SUM(M6:M36)</f>
        <v>15357</v>
      </c>
      <c r="N37" s="620">
        <f>IF(N6="",0,AVERAGE(N6:N36))</f>
        <v>0.52941176470588236</v>
      </c>
      <c r="O37" s="407">
        <f>SUM(O6:O36)</f>
        <v>13063.680000000002</v>
      </c>
      <c r="P37" s="408">
        <f>SUM(P6:P36)</f>
        <v>9249</v>
      </c>
      <c r="Q37" s="620">
        <f>IF(Q6="",0,AVERAGE(Q6:Q36))</f>
        <v>0</v>
      </c>
      <c r="R37" s="407">
        <f>SUM(R6:R36)</f>
        <v>0</v>
      </c>
      <c r="S37" s="408">
        <f>SUM(S6:S36)</f>
        <v>0</v>
      </c>
      <c r="T37" s="620">
        <f>IF(T6="",0,AVERAGE(T6:T36))</f>
        <v>1</v>
      </c>
      <c r="U37" s="407">
        <f>SUM(U6:U36)</f>
        <v>50409.216</v>
      </c>
      <c r="V37" s="408">
        <f>SUM(V6:V36)</f>
        <v>47758</v>
      </c>
      <c r="W37" s="620">
        <f>IF(W6="",0,AVERAGE(W6:W36))</f>
        <v>0.94117647058823528</v>
      </c>
      <c r="X37" s="407">
        <f>SUM(X6:X36)</f>
        <v>23556.096000000001</v>
      </c>
      <c r="Y37" s="409">
        <f>SUM(Y6:Y36)</f>
        <v>18408</v>
      </c>
      <c r="Z37" s="620">
        <f>IF(Z6="",0,AVERAGE(Z6:Z36))</f>
        <v>0.88235294117647056</v>
      </c>
      <c r="AA37" s="407">
        <f>SUM(AA6:AA36)</f>
        <v>47848.319999999992</v>
      </c>
      <c r="AB37" s="408">
        <f>SUM(AB6:AB36)</f>
        <v>37231</v>
      </c>
      <c r="AC37" s="620">
        <f>IF(AC6="",0,AVERAGE(AC6:AC36))</f>
        <v>0.52941176470588236</v>
      </c>
      <c r="AD37" s="407">
        <f>SUM(AD6:AD36)</f>
        <v>24292.223999999998</v>
      </c>
      <c r="AE37" s="409">
        <f>SUM(AE6:AE36)</f>
        <v>19320</v>
      </c>
      <c r="AF37" s="620">
        <f>IF(AF6="",0,AVERAGE(AF6:AF36))</f>
        <v>0.11764705882352941</v>
      </c>
      <c r="AG37" s="407">
        <f>SUM(AG6:AG36)</f>
        <v>6428.16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6.1764705882352935</v>
      </c>
      <c r="GM37" s="613">
        <f>GL37+'33J'!BK37+'M80(20250122封存)'!CX37+MPS!AY37+TMT!CX37</f>
        <v>12.147058823529411</v>
      </c>
    </row>
    <row r="38" spans="1:196" s="38" customFormat="1" ht="24.75" customHeight="1" thickTop="1">
      <c r="A38" s="60"/>
      <c r="B38" s="1563">
        <v>17862</v>
      </c>
      <c r="C38" s="1563"/>
      <c r="D38" s="1564"/>
      <c r="E38" s="1563">
        <v>8785</v>
      </c>
      <c r="F38" s="1563"/>
      <c r="G38" s="1564"/>
      <c r="H38" s="1563"/>
      <c r="I38" s="1563"/>
      <c r="J38" s="1564"/>
      <c r="K38" s="1563">
        <v>14619</v>
      </c>
      <c r="L38" s="1563"/>
      <c r="M38" s="1564"/>
      <c r="N38" s="1563">
        <v>9249</v>
      </c>
      <c r="O38" s="1563"/>
      <c r="P38" s="1564"/>
      <c r="Q38" s="1562"/>
      <c r="R38" s="1563"/>
      <c r="S38" s="1564"/>
      <c r="T38" s="1562">
        <v>46287</v>
      </c>
      <c r="U38" s="1563"/>
      <c r="V38" s="1564"/>
      <c r="W38" s="1562">
        <v>18408</v>
      </c>
      <c r="X38" s="1563"/>
      <c r="Y38" s="1564"/>
      <c r="Z38" s="1562">
        <v>34292</v>
      </c>
      <c r="AA38" s="1563"/>
      <c r="AB38" s="1564"/>
      <c r="AC38" s="1562">
        <v>19320</v>
      </c>
      <c r="AD38" s="1563"/>
      <c r="AE38" s="1564"/>
      <c r="AF38" s="1562"/>
      <c r="AG38" s="1563"/>
      <c r="AH38" s="1564"/>
      <c r="AI38" s="1562"/>
      <c r="AJ38" s="1563"/>
      <c r="AK38" s="1564"/>
      <c r="AL38" s="1562"/>
      <c r="AM38" s="1563"/>
      <c r="AN38" s="1564"/>
      <c r="AO38" s="1562"/>
      <c r="AP38" s="1563"/>
      <c r="AQ38" s="1564"/>
      <c r="AR38" s="1562"/>
      <c r="AS38" s="1563"/>
      <c r="AT38" s="1564"/>
      <c r="AU38" s="1562"/>
      <c r="AV38" s="1563"/>
      <c r="AW38" s="1564"/>
      <c r="AX38" s="1563"/>
      <c r="AY38" s="1563"/>
      <c r="AZ38" s="1564"/>
      <c r="BA38" s="1563"/>
      <c r="BB38" s="1563"/>
      <c r="BC38" s="1564"/>
      <c r="BD38" s="1563"/>
      <c r="BE38" s="1563"/>
      <c r="BF38" s="1564"/>
      <c r="BG38" s="1563"/>
      <c r="BH38" s="1563"/>
      <c r="BI38" s="1564"/>
      <c r="BJ38" s="1562"/>
      <c r="BK38" s="1563"/>
      <c r="BL38" s="1564"/>
      <c r="BM38" s="1562"/>
      <c r="BN38" s="1563"/>
      <c r="BO38" s="1564"/>
      <c r="BP38" s="1563"/>
      <c r="BQ38" s="1563"/>
      <c r="BR38" s="1564"/>
      <c r="BS38" s="1563"/>
      <c r="BT38" s="1563"/>
      <c r="BU38" s="1564"/>
      <c r="BV38" s="1563"/>
      <c r="BW38" s="1563"/>
      <c r="BX38" s="1564"/>
      <c r="BY38" s="1563"/>
      <c r="BZ38" s="1563"/>
      <c r="CA38" s="1564"/>
      <c r="CB38" s="1563"/>
      <c r="CC38" s="1563"/>
      <c r="CD38" s="1564"/>
      <c r="CE38" s="1563"/>
      <c r="CF38" s="1563"/>
      <c r="CG38" s="1564"/>
      <c r="CH38" s="1563"/>
      <c r="CI38" s="1563"/>
      <c r="CJ38" s="1564"/>
      <c r="CK38" s="1563"/>
      <c r="CL38" s="1563"/>
      <c r="CM38" s="1564"/>
      <c r="CN38" s="1563"/>
      <c r="CO38" s="1563"/>
      <c r="CP38" s="1564"/>
      <c r="CQ38" s="1563"/>
      <c r="CR38" s="1563"/>
      <c r="CS38" s="1564"/>
      <c r="CT38" s="1563"/>
      <c r="CU38" s="1563"/>
      <c r="CV38" s="1564"/>
      <c r="CW38" s="1563"/>
      <c r="CX38" s="1563"/>
      <c r="CY38" s="1564"/>
      <c r="CZ38" s="1563"/>
      <c r="DA38" s="1563"/>
      <c r="DB38" s="1564"/>
      <c r="DC38" s="1563"/>
      <c r="DD38" s="1563"/>
      <c r="DE38" s="1564"/>
      <c r="DF38" s="1563"/>
      <c r="DG38" s="1563"/>
      <c r="DH38" s="1564"/>
      <c r="DI38" s="1563"/>
      <c r="DJ38" s="1563"/>
      <c r="DK38" s="1564"/>
      <c r="DL38" s="1563"/>
      <c r="DM38" s="1563"/>
      <c r="DN38" s="1564"/>
      <c r="DO38" s="1563"/>
      <c r="DP38" s="1563"/>
      <c r="DQ38" s="1564"/>
      <c r="DR38" s="1563"/>
      <c r="DS38" s="1563"/>
      <c r="DT38" s="1564"/>
      <c r="DU38" s="1563"/>
      <c r="DV38" s="1563"/>
      <c r="DW38" s="1564"/>
      <c r="DX38" s="1563"/>
      <c r="DY38" s="1563"/>
      <c r="DZ38" s="1564"/>
      <c r="EA38" s="1563"/>
      <c r="EB38" s="1563"/>
      <c r="EC38" s="1564"/>
      <c r="ED38" s="1563"/>
      <c r="EE38" s="1563"/>
      <c r="EF38" s="1564"/>
      <c r="EG38" s="1563"/>
      <c r="EH38" s="1563"/>
      <c r="EI38" s="1564"/>
      <c r="EJ38" s="1563"/>
      <c r="EK38" s="1563"/>
      <c r="EL38" s="1564"/>
      <c r="EM38" s="1563"/>
      <c r="EN38" s="1563"/>
      <c r="EO38" s="1564"/>
      <c r="EP38" s="1563"/>
      <c r="EQ38" s="1563"/>
      <c r="ER38" s="1564"/>
      <c r="ES38" s="1562"/>
      <c r="ET38" s="1563"/>
      <c r="EU38" s="1564"/>
      <c r="EV38" s="1562"/>
      <c r="EW38" s="1563"/>
      <c r="EX38" s="1564"/>
      <c r="EY38" s="1562"/>
      <c r="EZ38" s="1563"/>
      <c r="FA38" s="1564"/>
      <c r="FB38" s="1562"/>
      <c r="FC38" s="1563"/>
      <c r="FD38" s="1564"/>
      <c r="FE38" s="1562"/>
      <c r="FF38" s="1563"/>
      <c r="FG38" s="1564"/>
      <c r="FH38" s="1562"/>
      <c r="FI38" s="1563"/>
      <c r="FJ38" s="1564"/>
      <c r="FK38" s="1562"/>
      <c r="FL38" s="1563"/>
      <c r="FM38" s="1564"/>
      <c r="FN38" s="1562"/>
      <c r="FO38" s="1563"/>
      <c r="FP38" s="1564"/>
      <c r="FQ38" s="1562"/>
      <c r="FR38" s="1563"/>
      <c r="FS38" s="1564"/>
      <c r="FT38" s="1562"/>
      <c r="FU38" s="1563"/>
      <c r="FV38" s="1564"/>
      <c r="FW38" s="1562"/>
      <c r="FX38" s="1563"/>
      <c r="FY38" s="1564"/>
      <c r="FZ38" s="1562"/>
      <c r="GA38" s="1563"/>
      <c r="GB38" s="1564"/>
      <c r="GC38" s="1562"/>
      <c r="GD38" s="1563"/>
      <c r="GE38" s="1564"/>
      <c r="GF38" s="1562"/>
      <c r="GG38" s="1563"/>
      <c r="GH38" s="1564"/>
      <c r="GI38" s="1562"/>
      <c r="GJ38" s="1563"/>
      <c r="GK38" s="1564"/>
    </row>
    <row r="39" spans="1:196" s="38" customFormat="1" ht="23.25" customHeight="1" thickBot="1">
      <c r="A39" s="61"/>
      <c r="B39" s="1571">
        <v>1758</v>
      </c>
      <c r="C39" s="1571"/>
      <c r="D39" s="1572"/>
      <c r="E39" s="1575">
        <v>625</v>
      </c>
      <c r="F39" s="1575"/>
      <c r="G39" s="1576"/>
      <c r="H39" s="1575"/>
      <c r="I39" s="1575"/>
      <c r="J39" s="1576"/>
      <c r="K39" s="1575">
        <f>290+2409</f>
        <v>2699</v>
      </c>
      <c r="L39" s="1575"/>
      <c r="M39" s="1576"/>
      <c r="N39" s="1575">
        <v>699</v>
      </c>
      <c r="O39" s="1575"/>
      <c r="P39" s="1576"/>
      <c r="Q39" s="1570"/>
      <c r="R39" s="1571"/>
      <c r="S39" s="1572"/>
      <c r="T39" s="1570">
        <v>1437</v>
      </c>
      <c r="U39" s="1571"/>
      <c r="V39" s="1572"/>
      <c r="W39" s="1570">
        <v>708</v>
      </c>
      <c r="X39" s="1571"/>
      <c r="Y39" s="1572"/>
      <c r="Z39" s="1570">
        <v>1442</v>
      </c>
      <c r="AA39" s="1571"/>
      <c r="AB39" s="1572"/>
      <c r="AC39" s="1570">
        <v>720</v>
      </c>
      <c r="AD39" s="1571"/>
      <c r="AE39" s="1572"/>
      <c r="AF39" s="1570"/>
      <c r="AG39" s="1571"/>
      <c r="AH39" s="1572"/>
      <c r="AI39" s="1570"/>
      <c r="AJ39" s="1571"/>
      <c r="AK39" s="1572"/>
      <c r="AL39" s="1570"/>
      <c r="AM39" s="1571"/>
      <c r="AN39" s="1572"/>
      <c r="AO39" s="1570"/>
      <c r="AP39" s="1571"/>
      <c r="AQ39" s="1572"/>
      <c r="AR39" s="1570"/>
      <c r="AS39" s="1571"/>
      <c r="AT39" s="1572"/>
      <c r="AU39" s="1570"/>
      <c r="AV39" s="1571"/>
      <c r="AW39" s="1572"/>
      <c r="AX39" s="1575"/>
      <c r="AY39" s="1575"/>
      <c r="AZ39" s="1576"/>
      <c r="BA39" s="1575"/>
      <c r="BB39" s="1575"/>
      <c r="BC39" s="1576"/>
      <c r="BD39" s="1575"/>
      <c r="BE39" s="1575"/>
      <c r="BF39" s="1576"/>
      <c r="BG39" s="1575"/>
      <c r="BH39" s="1575"/>
      <c r="BI39" s="1576"/>
      <c r="BJ39" s="1570"/>
      <c r="BK39" s="1571"/>
      <c r="BL39" s="1572"/>
      <c r="BM39" s="1570"/>
      <c r="BN39" s="1571"/>
      <c r="BO39" s="1572"/>
      <c r="BP39" s="1575"/>
      <c r="BQ39" s="1575"/>
      <c r="BR39" s="1576"/>
      <c r="BS39" s="1575"/>
      <c r="BT39" s="1575"/>
      <c r="BU39" s="1576"/>
      <c r="BV39" s="1575"/>
      <c r="BW39" s="1575"/>
      <c r="BX39" s="1576"/>
      <c r="BY39" s="1575"/>
      <c r="BZ39" s="1575"/>
      <c r="CA39" s="1576"/>
      <c r="CB39" s="1575"/>
      <c r="CC39" s="1575"/>
      <c r="CD39" s="1576"/>
      <c r="CE39" s="1575"/>
      <c r="CF39" s="1575"/>
      <c r="CG39" s="1576"/>
      <c r="CH39" s="1575"/>
      <c r="CI39" s="1575"/>
      <c r="CJ39" s="1576"/>
      <c r="CK39" s="1575"/>
      <c r="CL39" s="1575"/>
      <c r="CM39" s="1576"/>
      <c r="CN39" s="1575"/>
      <c r="CO39" s="1575"/>
      <c r="CP39" s="1576"/>
      <c r="CQ39" s="1575"/>
      <c r="CR39" s="1575"/>
      <c r="CS39" s="1576"/>
      <c r="CT39" s="1575"/>
      <c r="CU39" s="1575"/>
      <c r="CV39" s="1576"/>
      <c r="CW39" s="1575"/>
      <c r="CX39" s="1575"/>
      <c r="CY39" s="1576"/>
      <c r="CZ39" s="1575"/>
      <c r="DA39" s="1575"/>
      <c r="DB39" s="1576"/>
      <c r="DC39" s="1575"/>
      <c r="DD39" s="1575"/>
      <c r="DE39" s="1576"/>
      <c r="DF39" s="1575"/>
      <c r="DG39" s="1575"/>
      <c r="DH39" s="1576"/>
      <c r="DI39" s="1575"/>
      <c r="DJ39" s="1575"/>
      <c r="DK39" s="1576"/>
      <c r="DL39" s="1575"/>
      <c r="DM39" s="1575"/>
      <c r="DN39" s="1576"/>
      <c r="DO39" s="1575"/>
      <c r="DP39" s="1575"/>
      <c r="DQ39" s="1576"/>
      <c r="DR39" s="1575"/>
      <c r="DS39" s="1575"/>
      <c r="DT39" s="1576"/>
      <c r="DU39" s="1575"/>
      <c r="DV39" s="1575"/>
      <c r="DW39" s="1576"/>
      <c r="DX39" s="1575"/>
      <c r="DY39" s="1575"/>
      <c r="DZ39" s="1576"/>
      <c r="EA39" s="1575"/>
      <c r="EB39" s="1575"/>
      <c r="EC39" s="1576"/>
      <c r="ED39" s="1575"/>
      <c r="EE39" s="1575"/>
      <c r="EF39" s="1576"/>
      <c r="EG39" s="1575"/>
      <c r="EH39" s="1575"/>
      <c r="EI39" s="1576"/>
      <c r="EJ39" s="1575"/>
      <c r="EK39" s="1575"/>
      <c r="EL39" s="1576"/>
      <c r="EM39" s="1575"/>
      <c r="EN39" s="1575"/>
      <c r="EO39" s="1576"/>
      <c r="EP39" s="1575"/>
      <c r="EQ39" s="1575"/>
      <c r="ER39" s="1576"/>
      <c r="ES39" s="1570"/>
      <c r="ET39" s="1571"/>
      <c r="EU39" s="1572"/>
      <c r="EV39" s="1570"/>
      <c r="EW39" s="1571"/>
      <c r="EX39" s="1572"/>
      <c r="EY39" s="1570"/>
      <c r="EZ39" s="1571"/>
      <c r="FA39" s="1572"/>
      <c r="FB39" s="1570"/>
      <c r="FC39" s="1571"/>
      <c r="FD39" s="1572"/>
      <c r="FE39" s="1570"/>
      <c r="FF39" s="1571"/>
      <c r="FG39" s="1572"/>
      <c r="FH39" s="1570"/>
      <c r="FI39" s="1571"/>
      <c r="FJ39" s="1572"/>
      <c r="FK39" s="1570"/>
      <c r="FL39" s="1571"/>
      <c r="FM39" s="1572"/>
      <c r="FN39" s="1570"/>
      <c r="FO39" s="1571"/>
      <c r="FP39" s="1572"/>
      <c r="FQ39" s="1570"/>
      <c r="FR39" s="1571"/>
      <c r="FS39" s="1572"/>
      <c r="FT39" s="1570"/>
      <c r="FU39" s="1571"/>
      <c r="FV39" s="1572"/>
      <c r="FW39" s="1570"/>
      <c r="FX39" s="1571"/>
      <c r="FY39" s="1572"/>
      <c r="FZ39" s="1570"/>
      <c r="GA39" s="1571"/>
      <c r="GB39" s="1572"/>
      <c r="GC39" s="1570"/>
      <c r="GD39" s="1571"/>
      <c r="GE39" s="1572"/>
      <c r="GF39" s="1587"/>
      <c r="GG39" s="1575"/>
      <c r="GH39" s="1576"/>
      <c r="GI39" s="1587"/>
      <c r="GJ39" s="1575"/>
      <c r="GK39" s="1576"/>
    </row>
    <row r="40" spans="1:196" s="38" customFormat="1" ht="27" customHeight="1" thickBot="1">
      <c r="A40" s="62"/>
      <c r="B40" s="1582">
        <v>100</v>
      </c>
      <c r="C40" s="1583"/>
      <c r="D40" s="1584"/>
      <c r="E40" s="1573"/>
      <c r="F40" s="1573"/>
      <c r="G40" s="1573"/>
      <c r="H40" s="1573"/>
      <c r="I40" s="1573"/>
      <c r="J40" s="1573"/>
      <c r="K40" s="1573"/>
      <c r="L40" s="1573"/>
      <c r="M40" s="1573"/>
      <c r="N40" s="1573">
        <v>100</v>
      </c>
      <c r="O40" s="1573"/>
      <c r="P40" s="1573"/>
      <c r="Q40" s="1573"/>
      <c r="R40" s="1573"/>
      <c r="S40" s="1573"/>
      <c r="T40" s="1573">
        <v>100</v>
      </c>
      <c r="U40" s="1573"/>
      <c r="V40" s="1573"/>
      <c r="W40" s="1573">
        <v>100</v>
      </c>
      <c r="X40" s="1573"/>
      <c r="Y40" s="1573"/>
      <c r="Z40" s="1573">
        <v>100</v>
      </c>
      <c r="AA40" s="1573"/>
      <c r="AB40" s="1573"/>
      <c r="AC40" s="1573">
        <v>100</v>
      </c>
      <c r="AD40" s="1573"/>
      <c r="AE40" s="1573"/>
      <c r="AF40" s="1573"/>
      <c r="AG40" s="1573"/>
      <c r="AH40" s="1573"/>
      <c r="AI40" s="1573"/>
      <c r="AJ40" s="1573"/>
      <c r="AK40" s="1573"/>
      <c r="AL40" s="1573"/>
      <c r="AM40" s="1573"/>
      <c r="AN40" s="1573"/>
      <c r="AO40" s="1573"/>
      <c r="AP40" s="1573"/>
      <c r="AQ40" s="1573"/>
      <c r="AR40" s="1573"/>
      <c r="AS40" s="1573"/>
      <c r="AT40" s="1573"/>
      <c r="AU40" s="1573"/>
      <c r="AV40" s="1573"/>
      <c r="AW40" s="1573"/>
      <c r="AX40" s="1573"/>
      <c r="AY40" s="1573"/>
      <c r="AZ40" s="1573"/>
      <c r="BA40" s="1573"/>
      <c r="BB40" s="1573"/>
      <c r="BC40" s="1573"/>
      <c r="BD40" s="1573"/>
      <c r="BE40" s="1573"/>
      <c r="BF40" s="1573"/>
      <c r="BG40" s="1573"/>
      <c r="BH40" s="1573"/>
      <c r="BI40" s="1573"/>
      <c r="BJ40" s="1573"/>
      <c r="BK40" s="1573"/>
      <c r="BL40" s="1573"/>
      <c r="BM40" s="1573"/>
      <c r="BN40" s="1573"/>
      <c r="BO40" s="1573"/>
      <c r="BP40" s="1573"/>
      <c r="BQ40" s="1573"/>
      <c r="BR40" s="1573"/>
      <c r="BS40" s="1573"/>
      <c r="BT40" s="1573"/>
      <c r="BU40" s="1573"/>
      <c r="BV40" s="1573"/>
      <c r="BW40" s="1573"/>
      <c r="BX40" s="1573"/>
      <c r="BY40" s="1573"/>
      <c r="BZ40" s="1573"/>
      <c r="CA40" s="1573"/>
      <c r="CB40" s="1573"/>
      <c r="CC40" s="1573"/>
      <c r="CD40" s="1573"/>
      <c r="CE40" s="1573"/>
      <c r="CF40" s="1573"/>
      <c r="CG40" s="1573"/>
      <c r="CH40" s="1573"/>
      <c r="CI40" s="1573"/>
      <c r="CJ40" s="1573"/>
      <c r="CK40" s="1573"/>
      <c r="CL40" s="1573"/>
      <c r="CM40" s="1573"/>
      <c r="CN40" s="1573"/>
      <c r="CO40" s="1573"/>
      <c r="CP40" s="1573"/>
      <c r="CQ40" s="1573"/>
      <c r="CR40" s="1573"/>
      <c r="CS40" s="1573"/>
      <c r="CT40" s="1573"/>
      <c r="CU40" s="1573"/>
      <c r="CV40" s="1573"/>
      <c r="CW40" s="1573"/>
      <c r="CX40" s="1573"/>
      <c r="CY40" s="1573"/>
      <c r="CZ40" s="1573"/>
      <c r="DA40" s="1573"/>
      <c r="DB40" s="1573"/>
      <c r="DC40" s="1573"/>
      <c r="DD40" s="1573"/>
      <c r="DE40" s="1573"/>
      <c r="DF40" s="1573"/>
      <c r="DG40" s="1573"/>
      <c r="DH40" s="1573"/>
      <c r="DI40" s="1573"/>
      <c r="DJ40" s="1573"/>
      <c r="DK40" s="1573"/>
      <c r="DL40" s="1573"/>
      <c r="DM40" s="1573"/>
      <c r="DN40" s="1573"/>
      <c r="DO40" s="1573"/>
      <c r="DP40" s="1573"/>
      <c r="DQ40" s="1573"/>
      <c r="DR40" s="1573"/>
      <c r="DS40" s="1573"/>
      <c r="DT40" s="1573"/>
      <c r="DU40" s="1573"/>
      <c r="DV40" s="1573"/>
      <c r="DW40" s="1573"/>
      <c r="DX40" s="1573"/>
      <c r="DY40" s="1573"/>
      <c r="DZ40" s="1573"/>
      <c r="EA40" s="1573"/>
      <c r="EB40" s="1573"/>
      <c r="EC40" s="1573"/>
      <c r="ED40" s="1573"/>
      <c r="EE40" s="1573"/>
      <c r="EF40" s="1573"/>
      <c r="EG40" s="1573"/>
      <c r="EH40" s="1573"/>
      <c r="EI40" s="1573"/>
      <c r="EJ40" s="1573"/>
      <c r="EK40" s="1573"/>
      <c r="EL40" s="1573"/>
      <c r="EM40" s="1573"/>
      <c r="EN40" s="1573"/>
      <c r="EO40" s="1573"/>
      <c r="EP40" s="1573"/>
      <c r="EQ40" s="1573"/>
      <c r="ER40" s="1573"/>
      <c r="ES40" s="1573"/>
      <c r="ET40" s="1573"/>
      <c r="EU40" s="1573"/>
      <c r="EV40" s="1573"/>
      <c r="EW40" s="1573"/>
      <c r="EX40" s="1573"/>
      <c r="EY40" s="1573"/>
      <c r="EZ40" s="1573"/>
      <c r="FA40" s="1573"/>
      <c r="FB40" s="1573"/>
      <c r="FC40" s="1573"/>
      <c r="FD40" s="1573"/>
      <c r="FE40" s="1573"/>
      <c r="FF40" s="1573"/>
      <c r="FG40" s="1573"/>
      <c r="FH40" s="1573"/>
      <c r="FI40" s="1573"/>
      <c r="FJ40" s="1573"/>
      <c r="FK40" s="1573"/>
      <c r="FL40" s="1573"/>
      <c r="FM40" s="1573"/>
      <c r="FN40" s="1573"/>
      <c r="FO40" s="1573"/>
      <c r="FP40" s="1573"/>
      <c r="FQ40" s="1573"/>
      <c r="FR40" s="1573"/>
      <c r="FS40" s="1573"/>
      <c r="FT40" s="1573"/>
      <c r="FU40" s="1573"/>
      <c r="FV40" s="1573"/>
      <c r="FW40" s="1573"/>
      <c r="FX40" s="1573"/>
      <c r="FY40" s="1573"/>
      <c r="FZ40" s="1573"/>
      <c r="GA40" s="1573"/>
      <c r="GB40" s="1573"/>
      <c r="GC40" s="1573"/>
      <c r="GD40" s="1573"/>
      <c r="GE40" s="1573"/>
      <c r="GF40" s="1573"/>
      <c r="GG40" s="1573"/>
      <c r="GH40" s="1573"/>
      <c r="GI40" s="1573"/>
      <c r="GJ40" s="1573"/>
      <c r="GK40" s="1573"/>
      <c r="GM40" s="65"/>
    </row>
    <row r="41" spans="1:196" s="23" customFormat="1" ht="17.25" hidden="1" customHeight="1" thickTop="1" thickBot="1">
      <c r="A41" s="413"/>
      <c r="B41" s="1585">
        <f>B38-B39-B60</f>
        <v>16104</v>
      </c>
      <c r="C41" s="1568"/>
      <c r="D41" s="1586"/>
      <c r="E41" s="1568">
        <f>E38-E39-E60</f>
        <v>8160</v>
      </c>
      <c r="F41" s="1568"/>
      <c r="G41" s="1568"/>
      <c r="H41" s="1568">
        <f>H38-H39-H60</f>
        <v>0</v>
      </c>
      <c r="I41" s="1568"/>
      <c r="J41" s="1568"/>
      <c r="K41" s="480">
        <f>K38-K39-K60</f>
        <v>11920</v>
      </c>
      <c r="L41" s="480"/>
      <c r="M41" s="480"/>
      <c r="N41" s="480">
        <f>N38-N39-N60</f>
        <v>8550</v>
      </c>
      <c r="O41" s="480"/>
      <c r="P41" s="480"/>
      <c r="Q41" s="480">
        <f>Q38-Q39-Q60</f>
        <v>0</v>
      </c>
      <c r="R41" s="480"/>
      <c r="S41" s="480"/>
      <c r="T41" s="480">
        <f>T38-T39-T60</f>
        <v>44850</v>
      </c>
      <c r="U41" s="480"/>
      <c r="V41" s="480"/>
      <c r="W41" s="480">
        <f>W38-W39-W60</f>
        <v>17700</v>
      </c>
      <c r="X41" s="480"/>
      <c r="Y41" s="480"/>
      <c r="Z41" s="480">
        <f>Z38-Z39-Z60</f>
        <v>32100</v>
      </c>
      <c r="AA41" s="480"/>
      <c r="AB41" s="480"/>
      <c r="AC41" s="480">
        <f>AC38-AC39-AC60</f>
        <v>17850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68">
        <f>FN38-FN39-FN60</f>
        <v>0</v>
      </c>
      <c r="FO41" s="1568"/>
      <c r="FP41" s="1568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68">
        <f>FZ38-FZ39-FZ60</f>
        <v>0</v>
      </c>
      <c r="GA41" s="1568"/>
      <c r="GB41" s="1568"/>
      <c r="GC41" s="1568">
        <f>GC38-GC39-GC60</f>
        <v>0</v>
      </c>
      <c r="GD41" s="1568"/>
      <c r="GE41" s="1568"/>
      <c r="GF41" s="1568">
        <f>GF38-GF39-GF60</f>
        <v>0</v>
      </c>
      <c r="GG41" s="1568"/>
      <c r="GH41" s="1568"/>
      <c r="GI41" s="1568">
        <f>GI38-GI39-GI60</f>
        <v>0</v>
      </c>
      <c r="GJ41" s="1568"/>
      <c r="GK41" s="1568"/>
    </row>
    <row r="42" spans="1:196" ht="15.75" hidden="1" customHeight="1" thickTop="1">
      <c r="B42" s="1569">
        <f>B41-C60</f>
        <v>16104</v>
      </c>
      <c r="C42" s="1569"/>
      <c r="D42" s="1569"/>
      <c r="E42" s="1569">
        <f>E41-F60</f>
        <v>8160</v>
      </c>
      <c r="F42" s="1569"/>
      <c r="G42" s="1569"/>
      <c r="H42" s="1569">
        <f>H41-I60</f>
        <v>0</v>
      </c>
      <c r="I42" s="1569"/>
      <c r="J42" s="1569"/>
      <c r="K42" s="481">
        <f>K41-L60</f>
        <v>11920</v>
      </c>
      <c r="L42" s="481"/>
      <c r="M42" s="481"/>
      <c r="N42" s="481">
        <f>N41-O60</f>
        <v>8550</v>
      </c>
      <c r="O42" s="481"/>
      <c r="P42" s="481"/>
      <c r="Q42" s="481">
        <f>Q41-R60</f>
        <v>0</v>
      </c>
      <c r="R42" s="481"/>
      <c r="S42" s="481"/>
      <c r="T42" s="481">
        <f>T41-U60</f>
        <v>44850</v>
      </c>
      <c r="U42" s="481"/>
      <c r="V42" s="481"/>
      <c r="W42" s="481">
        <f>W41-X60</f>
        <v>17700</v>
      </c>
      <c r="X42" s="481"/>
      <c r="Y42" s="481"/>
      <c r="Z42" s="481">
        <f>Z41-AA60</f>
        <v>32100</v>
      </c>
      <c r="AA42" s="481"/>
      <c r="AB42" s="481"/>
      <c r="AC42" s="481">
        <f>AC41-AD60</f>
        <v>17850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69">
        <f>FN41-FO60</f>
        <v>0</v>
      </c>
      <c r="FO42" s="1569"/>
      <c r="FP42" s="1569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69">
        <f>FZ41-GA60</f>
        <v>0</v>
      </c>
      <c r="GA42" s="1569"/>
      <c r="GB42" s="1569"/>
      <c r="GC42" s="1569">
        <f>GC41-GD60</f>
        <v>0</v>
      </c>
      <c r="GD42" s="1569"/>
      <c r="GE42" s="1569"/>
      <c r="GF42" s="1569">
        <f>GF41-GG60</f>
        <v>0</v>
      </c>
      <c r="GG42" s="1569"/>
      <c r="GH42" s="1569"/>
      <c r="GI42" s="1569">
        <f>GI41-GJ60</f>
        <v>0</v>
      </c>
      <c r="GJ42" s="1569"/>
      <c r="GK42" s="1569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>
        <v>750</v>
      </c>
      <c r="AA46" s="1424"/>
      <c r="AB46" s="1425"/>
      <c r="AC46" s="1426">
        <v>750</v>
      </c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6">SUM(B46:B59)</f>
        <v>0</v>
      </c>
      <c r="C60" s="439">
        <f t="shared" si="76"/>
        <v>0</v>
      </c>
      <c r="D60" s="440">
        <f t="shared" si="76"/>
        <v>0</v>
      </c>
      <c r="E60" s="441">
        <f t="shared" si="76"/>
        <v>0</v>
      </c>
      <c r="F60" s="439">
        <f t="shared" si="76"/>
        <v>0</v>
      </c>
      <c r="G60" s="440">
        <f t="shared" si="76"/>
        <v>0</v>
      </c>
      <c r="H60" s="441">
        <f t="shared" si="76"/>
        <v>0</v>
      </c>
      <c r="I60" s="439">
        <f t="shared" si="76"/>
        <v>0</v>
      </c>
      <c r="J60" s="440">
        <f t="shared" si="76"/>
        <v>0</v>
      </c>
      <c r="K60" s="441">
        <f t="shared" si="76"/>
        <v>0</v>
      </c>
      <c r="L60" s="439">
        <f t="shared" si="76"/>
        <v>0</v>
      </c>
      <c r="M60" s="440">
        <f t="shared" si="76"/>
        <v>0</v>
      </c>
      <c r="N60" s="441">
        <f t="shared" si="76"/>
        <v>0</v>
      </c>
      <c r="O60" s="439">
        <f t="shared" si="76"/>
        <v>0</v>
      </c>
      <c r="P60" s="440">
        <f t="shared" si="76"/>
        <v>0</v>
      </c>
      <c r="Q60" s="441">
        <f t="shared" si="76"/>
        <v>0</v>
      </c>
      <c r="R60" s="439">
        <f t="shared" si="76"/>
        <v>0</v>
      </c>
      <c r="S60" s="440">
        <f t="shared" si="76"/>
        <v>0</v>
      </c>
      <c r="T60" s="441">
        <f t="shared" si="76"/>
        <v>0</v>
      </c>
      <c r="U60" s="439">
        <f t="shared" si="76"/>
        <v>0</v>
      </c>
      <c r="V60" s="440">
        <f t="shared" si="76"/>
        <v>0</v>
      </c>
      <c r="W60" s="441">
        <f t="shared" si="76"/>
        <v>0</v>
      </c>
      <c r="X60" s="439">
        <f t="shared" si="76"/>
        <v>0</v>
      </c>
      <c r="Y60" s="440">
        <f t="shared" si="76"/>
        <v>0</v>
      </c>
      <c r="Z60" s="441">
        <f t="shared" si="76"/>
        <v>750</v>
      </c>
      <c r="AA60" s="439">
        <f t="shared" si="76"/>
        <v>0</v>
      </c>
      <c r="AB60" s="440">
        <f t="shared" si="76"/>
        <v>0</v>
      </c>
      <c r="AC60" s="441">
        <f t="shared" si="76"/>
        <v>750</v>
      </c>
      <c r="AD60" s="439">
        <f t="shared" si="76"/>
        <v>0</v>
      </c>
      <c r="AE60" s="440">
        <f t="shared" si="76"/>
        <v>0</v>
      </c>
      <c r="AF60" s="441">
        <f t="shared" si="76"/>
        <v>0</v>
      </c>
      <c r="AG60" s="439">
        <f t="shared" si="76"/>
        <v>0</v>
      </c>
      <c r="AH60" s="440">
        <f t="shared" ref="AH60:BM60" si="77">SUM(AH46:AH59)</f>
        <v>0</v>
      </c>
      <c r="AI60" s="441">
        <f t="shared" si="77"/>
        <v>0</v>
      </c>
      <c r="AJ60" s="439">
        <f t="shared" si="77"/>
        <v>0</v>
      </c>
      <c r="AK60" s="440">
        <f t="shared" si="77"/>
        <v>0</v>
      </c>
      <c r="AL60" s="441">
        <f t="shared" si="77"/>
        <v>0</v>
      </c>
      <c r="AM60" s="439">
        <f t="shared" si="77"/>
        <v>0</v>
      </c>
      <c r="AN60" s="440">
        <f t="shared" si="77"/>
        <v>0</v>
      </c>
      <c r="AO60" s="441">
        <f t="shared" si="77"/>
        <v>0</v>
      </c>
      <c r="AP60" s="439">
        <f t="shared" si="77"/>
        <v>0</v>
      </c>
      <c r="AQ60" s="440">
        <f t="shared" si="77"/>
        <v>0</v>
      </c>
      <c r="AR60" s="441">
        <f t="shared" si="77"/>
        <v>0</v>
      </c>
      <c r="AS60" s="439">
        <f t="shared" si="77"/>
        <v>0</v>
      </c>
      <c r="AT60" s="440">
        <f t="shared" si="77"/>
        <v>0</v>
      </c>
      <c r="AU60" s="441">
        <f t="shared" si="77"/>
        <v>0</v>
      </c>
      <c r="AV60" s="439">
        <f t="shared" si="77"/>
        <v>0</v>
      </c>
      <c r="AW60" s="440">
        <f t="shared" si="77"/>
        <v>0</v>
      </c>
      <c r="AX60" s="441">
        <f t="shared" si="77"/>
        <v>0</v>
      </c>
      <c r="AY60" s="439">
        <f t="shared" si="77"/>
        <v>0</v>
      </c>
      <c r="AZ60" s="440">
        <f t="shared" si="77"/>
        <v>0</v>
      </c>
      <c r="BA60" s="441">
        <f t="shared" si="77"/>
        <v>0</v>
      </c>
      <c r="BB60" s="439">
        <f t="shared" si="77"/>
        <v>0</v>
      </c>
      <c r="BC60" s="440">
        <f t="shared" si="77"/>
        <v>0</v>
      </c>
      <c r="BD60" s="441">
        <f t="shared" si="77"/>
        <v>0</v>
      </c>
      <c r="BE60" s="439">
        <f t="shared" si="77"/>
        <v>0</v>
      </c>
      <c r="BF60" s="440">
        <f t="shared" si="77"/>
        <v>0</v>
      </c>
      <c r="BG60" s="441">
        <f t="shared" si="77"/>
        <v>0</v>
      </c>
      <c r="BH60" s="439">
        <f t="shared" si="77"/>
        <v>0</v>
      </c>
      <c r="BI60" s="440">
        <f t="shared" si="77"/>
        <v>0</v>
      </c>
      <c r="BJ60" s="441">
        <f t="shared" si="77"/>
        <v>0</v>
      </c>
      <c r="BK60" s="439">
        <f t="shared" si="77"/>
        <v>0</v>
      </c>
      <c r="BL60" s="440">
        <f t="shared" si="77"/>
        <v>0</v>
      </c>
      <c r="BM60" s="442">
        <f t="shared" si="77"/>
        <v>0</v>
      </c>
      <c r="BN60" s="443">
        <f t="shared" ref="BN60:BX60" si="78">SUM(BN46:BN59)</f>
        <v>0</v>
      </c>
      <c r="BO60" s="444">
        <f t="shared" si="78"/>
        <v>0</v>
      </c>
      <c r="BP60" s="442">
        <f t="shared" si="78"/>
        <v>0</v>
      </c>
      <c r="BQ60" s="443">
        <f t="shared" si="78"/>
        <v>0</v>
      </c>
      <c r="BR60" s="444">
        <f t="shared" si="78"/>
        <v>0</v>
      </c>
      <c r="BS60" s="442">
        <f>SUM(BS46:BS59)</f>
        <v>0</v>
      </c>
      <c r="BT60" s="443">
        <f t="shared" si="78"/>
        <v>0</v>
      </c>
      <c r="BU60" s="444">
        <f t="shared" si="78"/>
        <v>0</v>
      </c>
      <c r="BV60" s="442">
        <f t="shared" si="78"/>
        <v>0</v>
      </c>
      <c r="BW60" s="443">
        <f t="shared" si="78"/>
        <v>0</v>
      </c>
      <c r="BX60" s="444">
        <f t="shared" si="78"/>
        <v>0</v>
      </c>
      <c r="BY60" s="442">
        <f t="shared" ref="BY60:CV60" si="79">SUM(BY46:BY59)</f>
        <v>0</v>
      </c>
      <c r="BZ60" s="443">
        <f t="shared" si="79"/>
        <v>0</v>
      </c>
      <c r="CA60" s="444">
        <f t="shared" si="79"/>
        <v>0</v>
      </c>
      <c r="CB60" s="442">
        <f t="shared" si="79"/>
        <v>0</v>
      </c>
      <c r="CC60" s="443">
        <f t="shared" si="79"/>
        <v>0</v>
      </c>
      <c r="CD60" s="444">
        <f t="shared" si="79"/>
        <v>0</v>
      </c>
      <c r="CE60" s="442">
        <f t="shared" si="79"/>
        <v>0</v>
      </c>
      <c r="CF60" s="443">
        <f t="shared" si="79"/>
        <v>0</v>
      </c>
      <c r="CG60" s="444">
        <f t="shared" si="79"/>
        <v>0</v>
      </c>
      <c r="CH60" s="442">
        <f t="shared" si="79"/>
        <v>0</v>
      </c>
      <c r="CI60" s="443">
        <f t="shared" si="79"/>
        <v>0</v>
      </c>
      <c r="CJ60" s="444">
        <f t="shared" si="79"/>
        <v>0</v>
      </c>
      <c r="CK60" s="442">
        <f t="shared" si="79"/>
        <v>0</v>
      </c>
      <c r="CL60" s="443">
        <f t="shared" si="79"/>
        <v>0</v>
      </c>
      <c r="CM60" s="444">
        <f t="shared" si="79"/>
        <v>0</v>
      </c>
      <c r="CN60" s="442">
        <f t="shared" si="79"/>
        <v>0</v>
      </c>
      <c r="CO60" s="443">
        <f t="shared" si="79"/>
        <v>0</v>
      </c>
      <c r="CP60" s="444">
        <f t="shared" si="79"/>
        <v>0</v>
      </c>
      <c r="CQ60" s="442">
        <f t="shared" si="79"/>
        <v>0</v>
      </c>
      <c r="CR60" s="443">
        <f t="shared" si="79"/>
        <v>0</v>
      </c>
      <c r="CS60" s="444">
        <f t="shared" si="79"/>
        <v>0</v>
      </c>
      <c r="CT60" s="442">
        <f t="shared" si="79"/>
        <v>0</v>
      </c>
      <c r="CU60" s="443">
        <f t="shared" si="79"/>
        <v>0</v>
      </c>
      <c r="CV60" s="444">
        <f t="shared" si="79"/>
        <v>0</v>
      </c>
      <c r="CW60" s="442">
        <f t="shared" ref="CW60:DB60" si="80">SUM(CW46:CW59)</f>
        <v>0</v>
      </c>
      <c r="CX60" s="443">
        <f t="shared" si="80"/>
        <v>0</v>
      </c>
      <c r="CY60" s="444">
        <f t="shared" si="80"/>
        <v>0</v>
      </c>
      <c r="CZ60" s="442">
        <f t="shared" si="80"/>
        <v>0</v>
      </c>
      <c r="DA60" s="443">
        <f t="shared" si="80"/>
        <v>0</v>
      </c>
      <c r="DB60" s="444">
        <f t="shared" si="80"/>
        <v>0</v>
      </c>
      <c r="DC60" s="442">
        <f t="shared" ref="DC60:DN60" si="81">SUM(DC46:DC59)</f>
        <v>0</v>
      </c>
      <c r="DD60" s="443">
        <f t="shared" si="81"/>
        <v>0</v>
      </c>
      <c r="DE60" s="444">
        <f t="shared" si="81"/>
        <v>0</v>
      </c>
      <c r="DF60" s="442">
        <f t="shared" ref="DF60:DK60" si="82">SUM(DF46:DF59)</f>
        <v>0</v>
      </c>
      <c r="DG60" s="443">
        <f t="shared" si="82"/>
        <v>0</v>
      </c>
      <c r="DH60" s="444">
        <f t="shared" si="82"/>
        <v>0</v>
      </c>
      <c r="DI60" s="442">
        <f t="shared" si="82"/>
        <v>0</v>
      </c>
      <c r="DJ60" s="443">
        <f t="shared" si="82"/>
        <v>0</v>
      </c>
      <c r="DK60" s="444">
        <f t="shared" si="82"/>
        <v>0</v>
      </c>
      <c r="DL60" s="442">
        <f t="shared" si="81"/>
        <v>0</v>
      </c>
      <c r="DM60" s="443">
        <f t="shared" si="81"/>
        <v>0</v>
      </c>
      <c r="DN60" s="444">
        <f t="shared" si="81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3">SUM(DR46:DR59)</f>
        <v>0</v>
      </c>
      <c r="DS60" s="443">
        <f t="shared" si="83"/>
        <v>0</v>
      </c>
      <c r="DT60" s="444">
        <f t="shared" si="83"/>
        <v>0</v>
      </c>
      <c r="DU60" s="442">
        <f t="shared" si="83"/>
        <v>0</v>
      </c>
      <c r="DV60" s="443">
        <f t="shared" si="83"/>
        <v>0</v>
      </c>
      <c r="DW60" s="444">
        <f t="shared" si="83"/>
        <v>0</v>
      </c>
      <c r="DX60" s="442">
        <f t="shared" ref="DX60:EI60" si="84">SUM(DX46:DX59)</f>
        <v>0</v>
      </c>
      <c r="DY60" s="443">
        <f t="shared" si="84"/>
        <v>0</v>
      </c>
      <c r="DZ60" s="444">
        <f t="shared" si="84"/>
        <v>0</v>
      </c>
      <c r="EA60" s="442">
        <f t="shared" si="84"/>
        <v>0</v>
      </c>
      <c r="EB60" s="443">
        <f t="shared" si="84"/>
        <v>0</v>
      </c>
      <c r="EC60" s="444">
        <f t="shared" si="84"/>
        <v>0</v>
      </c>
      <c r="ED60" s="442">
        <f t="shared" si="84"/>
        <v>0</v>
      </c>
      <c r="EE60" s="443">
        <f t="shared" si="84"/>
        <v>0</v>
      </c>
      <c r="EF60" s="444">
        <f t="shared" si="84"/>
        <v>0</v>
      </c>
      <c r="EG60" s="442">
        <f t="shared" si="84"/>
        <v>0</v>
      </c>
      <c r="EH60" s="443">
        <f t="shared" si="84"/>
        <v>0</v>
      </c>
      <c r="EI60" s="444">
        <f t="shared" si="84"/>
        <v>0</v>
      </c>
      <c r="EJ60" s="442">
        <f t="shared" ref="EJ60:FG60" si="85">SUM(EJ46:EJ59)</f>
        <v>0</v>
      </c>
      <c r="EK60" s="443">
        <f t="shared" si="85"/>
        <v>0</v>
      </c>
      <c r="EL60" s="444">
        <f t="shared" si="85"/>
        <v>0</v>
      </c>
      <c r="EM60" s="442">
        <f t="shared" si="85"/>
        <v>0</v>
      </c>
      <c r="EN60" s="443">
        <f t="shared" si="85"/>
        <v>0</v>
      </c>
      <c r="EO60" s="444">
        <f t="shared" si="85"/>
        <v>0</v>
      </c>
      <c r="EP60" s="442">
        <f t="shared" si="85"/>
        <v>0</v>
      </c>
      <c r="EQ60" s="443">
        <f t="shared" si="85"/>
        <v>0</v>
      </c>
      <c r="ER60" s="444">
        <f t="shared" si="85"/>
        <v>0</v>
      </c>
      <c r="ES60" s="442">
        <f t="shared" si="85"/>
        <v>0</v>
      </c>
      <c r="ET60" s="443">
        <f t="shared" si="85"/>
        <v>0</v>
      </c>
      <c r="EU60" s="444">
        <f t="shared" si="85"/>
        <v>0</v>
      </c>
      <c r="EV60" s="442">
        <f t="shared" si="85"/>
        <v>0</v>
      </c>
      <c r="EW60" s="443">
        <f t="shared" si="85"/>
        <v>0</v>
      </c>
      <c r="EX60" s="444">
        <f t="shared" si="85"/>
        <v>0</v>
      </c>
      <c r="EY60" s="442">
        <f t="shared" si="85"/>
        <v>0</v>
      </c>
      <c r="EZ60" s="443">
        <f t="shared" si="85"/>
        <v>0</v>
      </c>
      <c r="FA60" s="444">
        <f t="shared" si="85"/>
        <v>0</v>
      </c>
      <c r="FB60" s="442">
        <f t="shared" si="85"/>
        <v>0</v>
      </c>
      <c r="FC60" s="443">
        <f t="shared" si="85"/>
        <v>0</v>
      </c>
      <c r="FD60" s="444">
        <f t="shared" si="85"/>
        <v>0</v>
      </c>
      <c r="FE60" s="442">
        <f t="shared" si="85"/>
        <v>0</v>
      </c>
      <c r="FF60" s="443">
        <f t="shared" si="85"/>
        <v>0</v>
      </c>
      <c r="FG60" s="444">
        <f t="shared" si="85"/>
        <v>0</v>
      </c>
      <c r="FH60" s="442">
        <f t="shared" ref="FH60:FS60" si="86">SUM(FH46:FH59)</f>
        <v>0</v>
      </c>
      <c r="FI60" s="443">
        <f t="shared" si="86"/>
        <v>0</v>
      </c>
      <c r="FJ60" s="444">
        <f t="shared" si="86"/>
        <v>0</v>
      </c>
      <c r="FK60" s="442">
        <f t="shared" si="86"/>
        <v>0</v>
      </c>
      <c r="FL60" s="443">
        <f t="shared" si="86"/>
        <v>0</v>
      </c>
      <c r="FM60" s="444">
        <f t="shared" si="86"/>
        <v>0</v>
      </c>
      <c r="FN60" s="442">
        <f t="shared" si="86"/>
        <v>0</v>
      </c>
      <c r="FO60" s="443">
        <f t="shared" si="86"/>
        <v>0</v>
      </c>
      <c r="FP60" s="444">
        <f t="shared" si="86"/>
        <v>0</v>
      </c>
      <c r="FQ60" s="442">
        <f t="shared" si="86"/>
        <v>0</v>
      </c>
      <c r="FR60" s="443">
        <f t="shared" si="86"/>
        <v>0</v>
      </c>
      <c r="FS60" s="444">
        <f t="shared" si="86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7">SUM(FW46:FW59)</f>
        <v>0</v>
      </c>
      <c r="FX60" s="443">
        <f t="shared" si="87"/>
        <v>0</v>
      </c>
      <c r="FY60" s="444">
        <f t="shared" si="87"/>
        <v>0</v>
      </c>
      <c r="FZ60" s="442">
        <f t="shared" si="87"/>
        <v>0</v>
      </c>
      <c r="GA60" s="443">
        <f t="shared" si="87"/>
        <v>0</v>
      </c>
      <c r="GB60" s="444">
        <f t="shared" si="87"/>
        <v>0</v>
      </c>
      <c r="GC60" s="442">
        <f t="shared" si="87"/>
        <v>0</v>
      </c>
      <c r="GD60" s="443">
        <f t="shared" si="87"/>
        <v>0</v>
      </c>
      <c r="GE60" s="444">
        <f t="shared" si="87"/>
        <v>0</v>
      </c>
      <c r="GF60" s="442">
        <f t="shared" si="87"/>
        <v>0</v>
      </c>
      <c r="GG60" s="443">
        <f t="shared" si="87"/>
        <v>0</v>
      </c>
      <c r="GH60" s="444">
        <f t="shared" si="87"/>
        <v>0</v>
      </c>
      <c r="GI60" s="442">
        <f t="shared" si="87"/>
        <v>0</v>
      </c>
      <c r="GJ60" s="443">
        <f t="shared" si="87"/>
        <v>0</v>
      </c>
      <c r="GK60" s="444">
        <f t="shared" si="87"/>
        <v>0</v>
      </c>
    </row>
    <row r="61" spans="1:193" s="5" customFormat="1" ht="26.25" customHeight="1" thickTop="1" thickBot="1">
      <c r="A61" s="417"/>
      <c r="B61" s="1578">
        <f>SUM(B60:D60)</f>
        <v>0</v>
      </c>
      <c r="C61" s="1578"/>
      <c r="D61" s="1579"/>
      <c r="E61" s="1577">
        <f>SUM(E60:G60)</f>
        <v>0</v>
      </c>
      <c r="F61" s="1578"/>
      <c r="G61" s="1579"/>
      <c r="H61" s="1577">
        <f>SUM(H60:J60)</f>
        <v>0</v>
      </c>
      <c r="I61" s="1578"/>
      <c r="J61" s="1579"/>
      <c r="K61" s="1577">
        <f>SUM(K60:M60)</f>
        <v>0</v>
      </c>
      <c r="L61" s="1578"/>
      <c r="M61" s="1579"/>
      <c r="N61" s="1577">
        <f>SUM(N60:P60)</f>
        <v>0</v>
      </c>
      <c r="O61" s="1578"/>
      <c r="P61" s="1579"/>
      <c r="Q61" s="1577">
        <f>SUM(Q60:S60)</f>
        <v>0</v>
      </c>
      <c r="R61" s="1578"/>
      <c r="S61" s="1579"/>
      <c r="T61" s="1577">
        <f>SUM(T60:V60)</f>
        <v>0</v>
      </c>
      <c r="U61" s="1578"/>
      <c r="V61" s="1579"/>
      <c r="W61" s="1577">
        <f>SUM(W60:Y60)</f>
        <v>0</v>
      </c>
      <c r="X61" s="1578"/>
      <c r="Y61" s="1579"/>
      <c r="Z61" s="1577">
        <f>SUM(Z60:AB60)</f>
        <v>750</v>
      </c>
      <c r="AA61" s="1578"/>
      <c r="AB61" s="1579"/>
      <c r="AC61" s="1577">
        <f>SUM(AC60:AE60)</f>
        <v>750</v>
      </c>
      <c r="AD61" s="1578"/>
      <c r="AE61" s="1579"/>
      <c r="AF61" s="1577">
        <f>SUM(AF60:AH60)</f>
        <v>0</v>
      </c>
      <c r="AG61" s="1578"/>
      <c r="AH61" s="1579"/>
      <c r="AI61" s="1577">
        <f>SUM(AI60:AK60)</f>
        <v>0</v>
      </c>
      <c r="AJ61" s="1578"/>
      <c r="AK61" s="1579"/>
      <c r="AL61" s="1577">
        <f>SUM(AL60:AN60)</f>
        <v>0</v>
      </c>
      <c r="AM61" s="1578"/>
      <c r="AN61" s="1579"/>
      <c r="AO61" s="1577">
        <f>SUM(AO60:AQ60)</f>
        <v>0</v>
      </c>
      <c r="AP61" s="1578"/>
      <c r="AQ61" s="1579"/>
      <c r="AR61" s="1577">
        <f>SUM(AR60:AT60)</f>
        <v>0</v>
      </c>
      <c r="AS61" s="1578"/>
      <c r="AT61" s="1579"/>
      <c r="AU61" s="1577">
        <f>SUM(AU60:AW60)</f>
        <v>0</v>
      </c>
      <c r="AV61" s="1578"/>
      <c r="AW61" s="1579"/>
      <c r="AX61" s="1577">
        <f>SUM(AX60:AZ60)</f>
        <v>0</v>
      </c>
      <c r="AY61" s="1578"/>
      <c r="AZ61" s="1579"/>
      <c r="BA61" s="1577">
        <f>SUM(BA60:BC60)</f>
        <v>0</v>
      </c>
      <c r="BB61" s="1578"/>
      <c r="BC61" s="1579"/>
      <c r="BD61" s="1577">
        <f>SUM(BD60:BF60)</f>
        <v>0</v>
      </c>
      <c r="BE61" s="1578"/>
      <c r="BF61" s="1579"/>
      <c r="BG61" s="1577">
        <f>SUM(BG60:BI60)</f>
        <v>0</v>
      </c>
      <c r="BH61" s="1578"/>
      <c r="BI61" s="1579"/>
      <c r="BJ61" s="1577">
        <f>SUM(BJ60:BL60)</f>
        <v>0</v>
      </c>
      <c r="BK61" s="1578"/>
      <c r="BL61" s="1579"/>
      <c r="BM61" s="1565">
        <f>SUM(BM60:BO60)</f>
        <v>0</v>
      </c>
      <c r="BN61" s="1566"/>
      <c r="BO61" s="1567"/>
      <c r="BP61" s="1565">
        <f>SUM(BP60:BR60)</f>
        <v>0</v>
      </c>
      <c r="BQ61" s="1566"/>
      <c r="BR61" s="1567"/>
      <c r="BS61" s="1565">
        <f>SUM(BS60:BU60)</f>
        <v>0</v>
      </c>
      <c r="BT61" s="1566"/>
      <c r="BU61" s="1567"/>
      <c r="BV61" s="1565">
        <f>SUM(BV60:BX60)</f>
        <v>0</v>
      </c>
      <c r="BW61" s="1566"/>
      <c r="BX61" s="1567"/>
      <c r="BY61" s="1565">
        <f>SUM(BY60:CA60)</f>
        <v>0</v>
      </c>
      <c r="BZ61" s="1566"/>
      <c r="CA61" s="1567"/>
      <c r="CB61" s="1565">
        <f>SUM(CB60:CD60)</f>
        <v>0</v>
      </c>
      <c r="CC61" s="1566"/>
      <c r="CD61" s="1567"/>
      <c r="CE61" s="1565">
        <f>SUM(CE60:CG60)</f>
        <v>0</v>
      </c>
      <c r="CF61" s="1566"/>
      <c r="CG61" s="1567"/>
      <c r="CH61" s="1565">
        <f>SUM(CH60:CJ60)</f>
        <v>0</v>
      </c>
      <c r="CI61" s="1566"/>
      <c r="CJ61" s="1567"/>
      <c r="CK61" s="1565">
        <f>SUM(CK60:CM60)</f>
        <v>0</v>
      </c>
      <c r="CL61" s="1566"/>
      <c r="CM61" s="1567"/>
      <c r="CN61" s="1565">
        <f>SUM(CN60:CP60)</f>
        <v>0</v>
      </c>
      <c r="CO61" s="1566"/>
      <c r="CP61" s="1567"/>
      <c r="CQ61" s="1565">
        <f>SUM(CQ60:CS60)</f>
        <v>0</v>
      </c>
      <c r="CR61" s="1566"/>
      <c r="CS61" s="1567"/>
      <c r="CT61" s="1565">
        <f>SUM(CT60:CV60)</f>
        <v>0</v>
      </c>
      <c r="CU61" s="1566"/>
      <c r="CV61" s="1567"/>
      <c r="CW61" s="1565">
        <f>SUM(CW60:CY60)</f>
        <v>0</v>
      </c>
      <c r="CX61" s="1566"/>
      <c r="CY61" s="1567"/>
      <c r="CZ61" s="1565">
        <f>SUM(CZ60:DB60)</f>
        <v>0</v>
      </c>
      <c r="DA61" s="1566"/>
      <c r="DB61" s="1567"/>
      <c r="DC61" s="1565">
        <f>SUM(DC60:DE60)</f>
        <v>0</v>
      </c>
      <c r="DD61" s="1566"/>
      <c r="DE61" s="1567"/>
      <c r="DF61" s="1565">
        <f>SUM(DF60:DH60)</f>
        <v>0</v>
      </c>
      <c r="DG61" s="1566"/>
      <c r="DH61" s="1567"/>
      <c r="DI61" s="1565">
        <f>SUM(DI60:DK60)</f>
        <v>0</v>
      </c>
      <c r="DJ61" s="1566"/>
      <c r="DK61" s="1567"/>
      <c r="DL61" s="1565">
        <f>SUM(DL60:DN60)</f>
        <v>0</v>
      </c>
      <c r="DM61" s="1566"/>
      <c r="DN61" s="1567"/>
      <c r="DO61" s="1565">
        <f>SUM(DO60:DQ60)</f>
        <v>0</v>
      </c>
      <c r="DP61" s="1566"/>
      <c r="DQ61" s="1567"/>
      <c r="DR61" s="1565">
        <f>SUM(DR60:DT60)</f>
        <v>0</v>
      </c>
      <c r="DS61" s="1566"/>
      <c r="DT61" s="1567"/>
      <c r="DU61" s="1565">
        <f>SUM(DU60:DW60)</f>
        <v>0</v>
      </c>
      <c r="DV61" s="1566"/>
      <c r="DW61" s="1567"/>
      <c r="DX61" s="1565">
        <f>SUM(DX60:DZ60)</f>
        <v>0</v>
      </c>
      <c r="DY61" s="1566"/>
      <c r="DZ61" s="1567"/>
      <c r="EA61" s="1565">
        <f>SUM(EA60:EC60)</f>
        <v>0</v>
      </c>
      <c r="EB61" s="1566"/>
      <c r="EC61" s="1567"/>
      <c r="ED61" s="1565">
        <f>SUM(ED60:EF60)</f>
        <v>0</v>
      </c>
      <c r="EE61" s="1566"/>
      <c r="EF61" s="1567"/>
      <c r="EG61" s="1565">
        <f>SUM(EG60:EI60)</f>
        <v>0</v>
      </c>
      <c r="EH61" s="1566"/>
      <c r="EI61" s="1567"/>
      <c r="EJ61" s="1565">
        <f>SUM(EJ60:EL60)</f>
        <v>0</v>
      </c>
      <c r="EK61" s="1566"/>
      <c r="EL61" s="1567"/>
      <c r="EM61" s="1565">
        <f>SUM(EM60:EO60)</f>
        <v>0</v>
      </c>
      <c r="EN61" s="1566"/>
      <c r="EO61" s="1567"/>
      <c r="EP61" s="1565">
        <f>SUM(EP60:ER60)</f>
        <v>0</v>
      </c>
      <c r="EQ61" s="1566"/>
      <c r="ER61" s="1567"/>
      <c r="ES61" s="1565">
        <f>SUM(ES60:EU60)</f>
        <v>0</v>
      </c>
      <c r="ET61" s="1566"/>
      <c r="EU61" s="1567"/>
      <c r="EV61" s="1565">
        <f>SUM(EV60:EX60)</f>
        <v>0</v>
      </c>
      <c r="EW61" s="1566"/>
      <c r="EX61" s="1567"/>
      <c r="EY61" s="1565">
        <f>SUM(EY60:FA60)</f>
        <v>0</v>
      </c>
      <c r="EZ61" s="1566"/>
      <c r="FA61" s="1567"/>
      <c r="FB61" s="1565">
        <f>SUM(FB60:FD60)</f>
        <v>0</v>
      </c>
      <c r="FC61" s="1566"/>
      <c r="FD61" s="1567"/>
      <c r="FE61" s="1565">
        <f>SUM(FE60:FG60)</f>
        <v>0</v>
      </c>
      <c r="FF61" s="1566"/>
      <c r="FG61" s="1567"/>
      <c r="FH61" s="1565">
        <f>SUM(FH60:FJ60)</f>
        <v>0</v>
      </c>
      <c r="FI61" s="1566"/>
      <c r="FJ61" s="1567"/>
      <c r="FK61" s="1565">
        <f>SUM(FK60:FM60)</f>
        <v>0</v>
      </c>
      <c r="FL61" s="1566"/>
      <c r="FM61" s="1567"/>
      <c r="FN61" s="1565">
        <f>SUM(FN60:FP60)</f>
        <v>0</v>
      </c>
      <c r="FO61" s="1566"/>
      <c r="FP61" s="1567"/>
      <c r="FQ61" s="1565">
        <f>SUM(FQ60:FS60)</f>
        <v>0</v>
      </c>
      <c r="FR61" s="1566"/>
      <c r="FS61" s="1567"/>
      <c r="FT61" s="1565">
        <f>SUM(FT60:FV60)</f>
        <v>0</v>
      </c>
      <c r="FU61" s="1566"/>
      <c r="FV61" s="1567"/>
      <c r="FW61" s="1565">
        <f>SUM(FW60:FY60)</f>
        <v>0</v>
      </c>
      <c r="FX61" s="1566"/>
      <c r="FY61" s="1567"/>
      <c r="FZ61" s="1565">
        <f>SUM(FZ60:GB60)</f>
        <v>0</v>
      </c>
      <c r="GA61" s="1566"/>
      <c r="GB61" s="1567"/>
      <c r="GC61" s="1565">
        <f>SUM(GC60:GE60)</f>
        <v>0</v>
      </c>
      <c r="GD61" s="1566"/>
      <c r="GE61" s="1567"/>
      <c r="GF61" s="1565">
        <f>SUM(GF60:GH60)</f>
        <v>0</v>
      </c>
      <c r="GG61" s="1566"/>
      <c r="GH61" s="1567"/>
      <c r="GI61" s="1565">
        <f>SUM(GI60:GK60)</f>
        <v>0</v>
      </c>
      <c r="GJ61" s="1566"/>
      <c r="GK61" s="1567"/>
    </row>
    <row r="62" spans="1:193" ht="15.75" thickTop="1">
      <c r="B62" s="1580">
        <f>SUM(B61:GK61)</f>
        <v>1500</v>
      </c>
      <c r="C62" s="1581"/>
      <c r="D62" s="1581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659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8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886641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886641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17336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7150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>
        <v>792</v>
      </c>
      <c r="E22" s="36">
        <v>1</v>
      </c>
      <c r="F22" s="11">
        <f t="shared" si="14"/>
        <v>5847.5519999999997</v>
      </c>
      <c r="G22" s="63">
        <v>3089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5.8823529411764705E-2</v>
      </c>
      <c r="C37" s="18">
        <f>SUM(C6:C36)</f>
        <v>5847.5519999999997</v>
      </c>
      <c r="D37" s="19">
        <f>SUM(D6:D36)</f>
        <v>9067</v>
      </c>
      <c r="E37" s="17">
        <f>IF(E6="",0,AVERAGE(E6:E36))</f>
        <v>0.82352941176470584</v>
      </c>
      <c r="F37" s="18">
        <f>SUM(F6:F36)</f>
        <v>81865.727999999974</v>
      </c>
      <c r="G37" s="19">
        <f>SUM(G6:G36)</f>
        <v>53296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0.88235294117647056</v>
      </c>
      <c r="BL37" s="158"/>
      <c r="BM37" s="158"/>
    </row>
    <row r="38" spans="1:70" s="40" customFormat="1" ht="22.5" customHeight="1" thickTop="1">
      <c r="A38" s="57"/>
      <c r="B38" s="1588">
        <v>8152</v>
      </c>
      <c r="C38" s="1589"/>
      <c r="D38" s="1590"/>
      <c r="E38" s="1588">
        <v>52541</v>
      </c>
      <c r="F38" s="1589"/>
      <c r="G38" s="1590"/>
      <c r="H38" s="1588"/>
      <c r="I38" s="1589"/>
      <c r="J38" s="1590"/>
      <c r="K38" s="1588"/>
      <c r="L38" s="1589"/>
      <c r="M38" s="1590"/>
      <c r="N38" s="1588"/>
      <c r="O38" s="1589"/>
      <c r="P38" s="1590"/>
      <c r="Q38" s="1588"/>
      <c r="R38" s="1589"/>
      <c r="S38" s="1590"/>
      <c r="T38" s="1588"/>
      <c r="U38" s="1589"/>
      <c r="V38" s="1590"/>
      <c r="W38" s="1588"/>
      <c r="X38" s="1589"/>
      <c r="Y38" s="1590"/>
      <c r="Z38" s="1588"/>
      <c r="AA38" s="1589"/>
      <c r="AB38" s="1590"/>
      <c r="AC38" s="1588"/>
      <c r="AD38" s="1589"/>
      <c r="AE38" s="1590"/>
      <c r="AF38" s="1588"/>
      <c r="AG38" s="1589"/>
      <c r="AH38" s="1590"/>
      <c r="AI38" s="1588"/>
      <c r="AJ38" s="1589"/>
      <c r="AK38" s="1590"/>
      <c r="AL38" s="1588"/>
      <c r="AM38" s="1589"/>
      <c r="AN38" s="1590"/>
      <c r="AO38" s="1588"/>
      <c r="AP38" s="1589"/>
      <c r="AQ38" s="1590"/>
      <c r="AR38" s="1588"/>
      <c r="AS38" s="1589"/>
      <c r="AT38" s="1590"/>
      <c r="AU38" s="1588"/>
      <c r="AV38" s="1589"/>
      <c r="AW38" s="1590"/>
      <c r="AX38" s="1588"/>
      <c r="AY38" s="1589"/>
      <c r="AZ38" s="1590"/>
      <c r="BA38" s="1588"/>
      <c r="BB38" s="1589"/>
      <c r="BC38" s="1590"/>
      <c r="BD38" s="1588"/>
      <c r="BE38" s="1589"/>
      <c r="BF38" s="1590"/>
      <c r="BG38" s="1588"/>
      <c r="BH38" s="1589"/>
      <c r="BI38" s="1590"/>
      <c r="BJ38" s="461"/>
      <c r="BK38" s="39"/>
    </row>
    <row r="39" spans="1:70" s="40" customFormat="1" ht="22.5" customHeight="1" thickBot="1">
      <c r="A39" s="58"/>
      <c r="B39" s="1549">
        <v>1987</v>
      </c>
      <c r="C39" s="1550"/>
      <c r="D39" s="1551"/>
      <c r="E39" s="1549">
        <f>889+3087</f>
        <v>3976</v>
      </c>
      <c r="F39" s="1550"/>
      <c r="G39" s="1551"/>
      <c r="H39" s="1549"/>
      <c r="I39" s="1550"/>
      <c r="J39" s="1551"/>
      <c r="K39" s="1549"/>
      <c r="L39" s="1550"/>
      <c r="M39" s="1551"/>
      <c r="N39" s="1549"/>
      <c r="O39" s="1550"/>
      <c r="P39" s="1551"/>
      <c r="Q39" s="1549"/>
      <c r="R39" s="1550"/>
      <c r="S39" s="1551"/>
      <c r="T39" s="1549"/>
      <c r="U39" s="1550"/>
      <c r="V39" s="1551"/>
      <c r="W39" s="1549"/>
      <c r="X39" s="1550"/>
      <c r="Y39" s="1551"/>
      <c r="Z39" s="1549"/>
      <c r="AA39" s="1550"/>
      <c r="AB39" s="1551"/>
      <c r="AC39" s="1549"/>
      <c r="AD39" s="1550"/>
      <c r="AE39" s="1551"/>
      <c r="AF39" s="1549"/>
      <c r="AG39" s="1550"/>
      <c r="AH39" s="1551"/>
      <c r="AI39" s="1549"/>
      <c r="AJ39" s="1550"/>
      <c r="AK39" s="1551"/>
      <c r="AL39" s="1549"/>
      <c r="AM39" s="1550"/>
      <c r="AN39" s="1551"/>
      <c r="AO39" s="1549"/>
      <c r="AP39" s="1550"/>
      <c r="AQ39" s="1551"/>
      <c r="AR39" s="1549"/>
      <c r="AS39" s="1550"/>
      <c r="AT39" s="1551"/>
      <c r="AU39" s="1549"/>
      <c r="AV39" s="1550"/>
      <c r="AW39" s="1551"/>
      <c r="AX39" s="1549"/>
      <c r="AY39" s="1550"/>
      <c r="AZ39" s="1551"/>
      <c r="BA39" s="1549"/>
      <c r="BB39" s="1550"/>
      <c r="BC39" s="1551"/>
      <c r="BD39" s="1549"/>
      <c r="BE39" s="1550"/>
      <c r="BF39" s="1551"/>
      <c r="BG39" s="1549"/>
      <c r="BH39" s="1550"/>
      <c r="BI39" s="1551"/>
      <c r="BJ39" s="461"/>
      <c r="BK39" s="39"/>
    </row>
    <row r="40" spans="1:70" s="40" customFormat="1" ht="26.25" customHeight="1" thickBot="1">
      <c r="A40" s="59"/>
      <c r="B40" s="1557"/>
      <c r="C40" s="1558"/>
      <c r="D40" s="1559"/>
      <c r="E40" s="1557">
        <v>100</v>
      </c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40"/>
      <c r="AD40" s="1541"/>
      <c r="AE40" s="1542"/>
      <c r="AF40" s="1540"/>
      <c r="AG40" s="1541"/>
      <c r="AH40" s="1542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57"/>
      <c r="BE40" s="1558"/>
      <c r="BF40" s="1559"/>
      <c r="BG40" s="1557"/>
      <c r="BH40" s="1558"/>
      <c r="BI40" s="1559"/>
      <c r="BJ40" s="462"/>
      <c r="BK40" s="41"/>
    </row>
    <row r="41" spans="1:70" s="27" customFormat="1" ht="26.25" hidden="1" customHeight="1" thickTop="1" thickBot="1">
      <c r="A41" s="26"/>
      <c r="B41" s="1543">
        <f>B38-B39-B60</f>
        <v>4620</v>
      </c>
      <c r="C41" s="1544"/>
      <c r="D41" s="1545"/>
      <c r="E41" s="1543">
        <f>E38-E39-E60</f>
        <v>46365</v>
      </c>
      <c r="F41" s="1544"/>
      <c r="G41" s="1545"/>
      <c r="H41" s="498">
        <f>H38-H39-H60</f>
        <v>0</v>
      </c>
      <c r="I41" s="499"/>
      <c r="J41" s="500"/>
      <c r="K41" s="1543">
        <f>K38-K39-K60</f>
        <v>0</v>
      </c>
      <c r="L41" s="1544"/>
      <c r="M41" s="1545"/>
      <c r="N41" s="498">
        <f>N38-N39-N60</f>
        <v>0</v>
      </c>
      <c r="O41" s="499"/>
      <c r="P41" s="500"/>
      <c r="Q41" s="1543">
        <f>Q38-Q39-Q60</f>
        <v>0</v>
      </c>
      <c r="R41" s="1544"/>
      <c r="S41" s="1545"/>
      <c r="T41" s="1543">
        <f>T38-T39-T60</f>
        <v>0</v>
      </c>
      <c r="U41" s="1544"/>
      <c r="V41" s="1545"/>
      <c r="W41" s="1543">
        <f>W38-W39-W60</f>
        <v>0</v>
      </c>
      <c r="X41" s="1544"/>
      <c r="Y41" s="1545"/>
      <c r="Z41" s="1543">
        <f>Z38-Z39-Z60</f>
        <v>0</v>
      </c>
      <c r="AA41" s="1544"/>
      <c r="AB41" s="1545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43">
        <f>AX38-AX39-AX60</f>
        <v>0</v>
      </c>
      <c r="AY41" s="1544"/>
      <c r="AZ41" s="1545"/>
      <c r="BA41" s="1543">
        <f>BA38-BA39-BA60</f>
        <v>0</v>
      </c>
      <c r="BB41" s="1544"/>
      <c r="BC41" s="1545"/>
      <c r="BD41" s="1543">
        <f>BD38-BD39-BD60</f>
        <v>0</v>
      </c>
      <c r="BE41" s="1544"/>
      <c r="BF41" s="1545"/>
      <c r="BG41" s="1543">
        <f>BG38-BG39-BG60</f>
        <v>0</v>
      </c>
      <c r="BH41" s="1544"/>
      <c r="BI41" s="1545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>
        <v>825</v>
      </c>
      <c r="C46" s="1413"/>
      <c r="D46" s="1414"/>
      <c r="E46" s="1412">
        <v>2200</v>
      </c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>
        <v>720</v>
      </c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1545</v>
      </c>
      <c r="C60" s="431">
        <f t="shared" si="23"/>
        <v>0</v>
      </c>
      <c r="D60" s="432">
        <f t="shared" si="23"/>
        <v>0</v>
      </c>
      <c r="E60" s="433">
        <f t="shared" si="23"/>
        <v>2200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35">
        <f>SUM(B60:D60)</f>
        <v>1545</v>
      </c>
      <c r="C61" s="1535"/>
      <c r="D61" s="1536"/>
      <c r="E61" s="1534">
        <f>SUM(E60:G60)</f>
        <v>2200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463"/>
      <c r="BK61" s="28"/>
      <c r="BL61" s="28"/>
      <c r="BM61" s="159"/>
      <c r="BN61" s="159"/>
      <c r="BO61" s="159"/>
      <c r="BP61" s="1560"/>
      <c r="BQ61" s="1560"/>
      <c r="BR61" s="1560"/>
    </row>
    <row r="62" spans="1:70" ht="50.25" customHeight="1" thickTop="1">
      <c r="A62" s="255"/>
      <c r="B62" s="1561">
        <f>SUM(B61:BJ61)</f>
        <v>3745</v>
      </c>
      <c r="C62" s="1561"/>
      <c r="D62" s="1561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658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B23" sqref="B23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0</v>
      </c>
      <c r="C17" s="11">
        <f t="shared" si="17"/>
        <v>0</v>
      </c>
      <c r="D17" s="64">
        <v>1150</v>
      </c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>
        <v>0</v>
      </c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>
        <v>0</v>
      </c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>
        <v>0</v>
      </c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>
        <v>0</v>
      </c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>
        <v>0</v>
      </c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8.8235294117647065E-2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47">
        <v>1318</v>
      </c>
      <c r="C38" s="1547"/>
      <c r="D38" s="1548"/>
      <c r="E38" s="1547"/>
      <c r="F38" s="1547"/>
      <c r="G38" s="1548"/>
      <c r="H38" s="1547"/>
      <c r="I38" s="1547"/>
      <c r="J38" s="1548"/>
      <c r="K38" s="1547"/>
      <c r="L38" s="1547"/>
      <c r="M38" s="1548"/>
      <c r="N38" s="1546"/>
      <c r="O38" s="1547"/>
      <c r="P38" s="1548"/>
      <c r="Q38" s="1546"/>
      <c r="R38" s="1547"/>
      <c r="S38" s="1548"/>
      <c r="T38" s="1547"/>
      <c r="U38" s="1547"/>
      <c r="V38" s="1548"/>
      <c r="W38" s="1547"/>
      <c r="X38" s="1547"/>
      <c r="Y38" s="1548"/>
      <c r="Z38" s="1547"/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/>
      <c r="AM38" s="1547"/>
      <c r="AN38" s="1548"/>
      <c r="AO38" s="1546"/>
      <c r="AP38" s="1547"/>
      <c r="AQ38" s="1548"/>
      <c r="AR38" s="1546"/>
      <c r="AS38" s="1547"/>
      <c r="AT38" s="1548"/>
      <c r="AU38" s="1546"/>
      <c r="AV38" s="1547"/>
      <c r="AW38" s="1548"/>
      <c r="AX38" s="24"/>
      <c r="AY38" s="39"/>
    </row>
    <row r="39" spans="1:58" s="40" customFormat="1" ht="26.25" customHeight="1" thickBot="1">
      <c r="A39" s="58"/>
      <c r="B39" s="1595">
        <v>508</v>
      </c>
      <c r="C39" s="1595"/>
      <c r="D39" s="1596"/>
      <c r="E39" s="1595"/>
      <c r="F39" s="1595"/>
      <c r="G39" s="1596"/>
      <c r="H39" s="1595"/>
      <c r="I39" s="1595"/>
      <c r="J39" s="1596"/>
      <c r="K39" s="1595"/>
      <c r="L39" s="1595"/>
      <c r="M39" s="1596"/>
      <c r="N39" s="1591"/>
      <c r="O39" s="1592"/>
      <c r="P39" s="1593"/>
      <c r="Q39" s="1591"/>
      <c r="R39" s="1592"/>
      <c r="S39" s="1593"/>
      <c r="T39" s="1595"/>
      <c r="U39" s="1595"/>
      <c r="V39" s="1596"/>
      <c r="W39" s="1595"/>
      <c r="X39" s="1595"/>
      <c r="Y39" s="1596"/>
      <c r="Z39" s="1595"/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/>
      <c r="AM39" s="1595"/>
      <c r="AN39" s="1596"/>
      <c r="AO39" s="1552"/>
      <c r="AP39" s="1553"/>
      <c r="AQ39" s="1554"/>
      <c r="AR39" s="1552"/>
      <c r="AS39" s="1553"/>
      <c r="AT39" s="1554"/>
      <c r="AU39" s="1552"/>
      <c r="AV39" s="1553"/>
      <c r="AW39" s="1554"/>
      <c r="AX39" s="25"/>
      <c r="AY39" s="39"/>
    </row>
    <row r="40" spans="1:58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Y40" s="41"/>
    </row>
    <row r="41" spans="1:58" s="27" customFormat="1" ht="26.25" hidden="1" customHeight="1" thickTop="1" thickBot="1">
      <c r="A41" s="26"/>
      <c r="B41" s="1543">
        <f>B38-B39-B60</f>
        <v>810</v>
      </c>
      <c r="C41" s="1544"/>
      <c r="D41" s="1545"/>
      <c r="E41" s="1597">
        <f>E38-E39-E60</f>
        <v>0</v>
      </c>
      <c r="F41" s="1544"/>
      <c r="G41" s="1545"/>
      <c r="H41" s="1597">
        <f>H38-H39-H60</f>
        <v>0</v>
      </c>
      <c r="I41" s="1544"/>
      <c r="J41" s="1545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43">
        <f>AL38-AL39-AL60</f>
        <v>0</v>
      </c>
      <c r="AM41" s="1544"/>
      <c r="AN41" s="1545"/>
      <c r="AO41" s="1543">
        <f>AO38-AO39-AO60</f>
        <v>0</v>
      </c>
      <c r="AP41" s="1544"/>
      <c r="AQ41" s="1545"/>
      <c r="AR41" s="1543">
        <f>AR38-AR39-AR60</f>
        <v>0</v>
      </c>
      <c r="AS41" s="1544"/>
      <c r="AT41" s="1545"/>
      <c r="AU41" s="1543">
        <f>AU38-AU39-AU60</f>
        <v>0</v>
      </c>
      <c r="AV41" s="1544"/>
      <c r="AW41" s="154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35">
        <f>SUM(B60:D60)</f>
        <v>0</v>
      </c>
      <c r="C61" s="1535"/>
      <c r="D61" s="1536"/>
      <c r="E61" s="1535">
        <f>SUM(E60:G60)</f>
        <v>0</v>
      </c>
      <c r="F61" s="1535"/>
      <c r="G61" s="1536"/>
      <c r="H61" s="1535">
        <f>SUM(H60:J60)</f>
        <v>0</v>
      </c>
      <c r="I61" s="1535"/>
      <c r="J61" s="1536"/>
      <c r="K61" s="1535">
        <f>SUM(K60:M60)</f>
        <v>0</v>
      </c>
      <c r="L61" s="1535"/>
      <c r="M61" s="1536"/>
      <c r="N61" s="1535">
        <f>SUM(N60:P60)</f>
        <v>0</v>
      </c>
      <c r="O61" s="1535"/>
      <c r="P61" s="1536"/>
      <c r="Q61" s="1535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28"/>
      <c r="AY61" s="28"/>
      <c r="AZ61" s="28"/>
      <c r="BA61" s="159"/>
      <c r="BB61" s="159"/>
      <c r="BC61" s="159"/>
      <c r="BD61" s="1560"/>
      <c r="BE61" s="1560"/>
      <c r="BF61" s="1560"/>
    </row>
    <row r="62" spans="1:58" ht="50.25" customHeight="1" thickTop="1">
      <c r="B62" s="1561">
        <f>SUM(B61:AW61)</f>
        <v>0</v>
      </c>
      <c r="C62" s="1561"/>
      <c r="D62" s="1561"/>
      <c r="E62" s="1594"/>
      <c r="F62" s="1594"/>
      <c r="G62" s="1594"/>
      <c r="H62" s="1594"/>
      <c r="I62" s="1594"/>
      <c r="J62" s="1594"/>
      <c r="K62" s="1594"/>
      <c r="L62" s="1594"/>
      <c r="M62" s="1594"/>
      <c r="N62" s="1594"/>
      <c r="O62" s="1594"/>
      <c r="P62" s="1594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657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AQ23" sqref="AQ23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34" width="6.375" style="7" customWidth="1"/>
    <col min="35" max="37" width="6.375" style="7" hidden="1" customWidth="1"/>
    <col min="38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886641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17403</v>
      </c>
      <c r="AA3" s="400"/>
      <c r="AB3" s="401">
        <v>279</v>
      </c>
      <c r="AC3" s="399" t="s">
        <v>17499</v>
      </c>
      <c r="AD3" s="400"/>
      <c r="AE3" s="401">
        <v>278</v>
      </c>
      <c r="AF3" s="399" t="s">
        <v>17502</v>
      </c>
      <c r="AG3" s="400"/>
      <c r="AH3" s="401">
        <v>279</v>
      </c>
      <c r="AI3" s="399"/>
      <c r="AJ3" s="400"/>
      <c r="AK3" s="401"/>
      <c r="AL3" s="399" t="s">
        <v>16751</v>
      </c>
      <c r="AM3" s="400"/>
      <c r="AN3" s="401">
        <v>397</v>
      </c>
      <c r="AO3" s="399" t="s">
        <v>17412</v>
      </c>
      <c r="AP3" s="400"/>
      <c r="AQ3" s="401">
        <v>397</v>
      </c>
      <c r="AR3" s="399" t="s">
        <v>17490</v>
      </c>
      <c r="AS3" s="400"/>
      <c r="AT3" s="401">
        <v>70</v>
      </c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 t="s">
        <v>16740</v>
      </c>
      <c r="AD4" s="404"/>
      <c r="AE4" s="405">
        <v>670</v>
      </c>
      <c r="AF4" s="403" t="s">
        <v>16740</v>
      </c>
      <c r="AG4" s="404"/>
      <c r="AH4" s="405">
        <v>700</v>
      </c>
      <c r="AI4" s="403"/>
      <c r="AJ4" s="404"/>
      <c r="AK4" s="405"/>
      <c r="AL4" s="403" t="s">
        <v>16744</v>
      </c>
      <c r="AM4" s="404"/>
      <c r="AN4" s="405">
        <v>550</v>
      </c>
      <c r="AO4" s="403" t="s">
        <v>16744</v>
      </c>
      <c r="AP4" s="404"/>
      <c r="AQ4" s="405">
        <v>550</v>
      </c>
      <c r="AR4" s="403" t="s">
        <v>17491</v>
      </c>
      <c r="AS4" s="404"/>
      <c r="AT4" s="405">
        <v>650</v>
      </c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>
        <v>0</v>
      </c>
      <c r="AD6" s="11">
        <f>AE$3*AE$4*216*24*60*AC6/9000000</f>
        <v>0</v>
      </c>
      <c r="AE6" s="64"/>
      <c r="AF6" s="36">
        <v>0</v>
      </c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>
        <v>0</v>
      </c>
      <c r="AD7" s="11">
        <f>AE$3*AE$4*216*24*60*AC7/9000000</f>
        <v>0</v>
      </c>
      <c r="AE7" s="64"/>
      <c r="AF7" s="36">
        <v>0</v>
      </c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>
        <v>0</v>
      </c>
      <c r="AD8" s="11">
        <f>AE$3*AE$4*216*24*60*AC8/9000000</f>
        <v>0</v>
      </c>
      <c r="AE8" s="64"/>
      <c r="AF8" s="36">
        <v>0</v>
      </c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>
        <v>0</v>
      </c>
      <c r="AD9" s="11">
        <f t="shared" ref="AD9:AD36" si="20">AE$3*AE$4*216*24*60*AC9/9000000</f>
        <v>0</v>
      </c>
      <c r="AE9" s="64"/>
      <c r="AF9" s="36">
        <v>0</v>
      </c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>
        <v>0</v>
      </c>
      <c r="AD10" s="11">
        <f t="shared" si="20"/>
        <v>0</v>
      </c>
      <c r="AE10" s="64"/>
      <c r="AF10" s="36">
        <v>0</v>
      </c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>
        <v>0</v>
      </c>
      <c r="AD11" s="11">
        <f t="shared" si="20"/>
        <v>0</v>
      </c>
      <c r="AE11" s="64"/>
      <c r="AF11" s="36">
        <v>0</v>
      </c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>
        <v>0</v>
      </c>
      <c r="AD12" s="11">
        <f t="shared" si="20"/>
        <v>0</v>
      </c>
      <c r="AE12" s="64"/>
      <c r="AF12" s="36">
        <v>0</v>
      </c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>
        <v>0.5</v>
      </c>
      <c r="C13" s="11">
        <f t="shared" si="11"/>
        <v>3288.0383999999999</v>
      </c>
      <c r="D13" s="64">
        <v>2255</v>
      </c>
      <c r="E13" s="36">
        <v>0.5</v>
      </c>
      <c r="F13" s="11">
        <f t="shared" si="12"/>
        <v>3253.3056000000001</v>
      </c>
      <c r="G13" s="64">
        <v>1350</v>
      </c>
      <c r="H13" s="36">
        <v>0</v>
      </c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/>
      <c r="Q13" s="36">
        <v>1</v>
      </c>
      <c r="R13" s="11">
        <f t="shared" si="37"/>
        <v>6773.76</v>
      </c>
      <c r="S13" s="64">
        <v>5775</v>
      </c>
      <c r="T13" s="36">
        <v>1</v>
      </c>
      <c r="U13" s="11">
        <f t="shared" si="38"/>
        <v>6749.5680000000002</v>
      </c>
      <c r="V13" s="64">
        <v>4125</v>
      </c>
      <c r="W13" s="36">
        <v>1</v>
      </c>
      <c r="X13" s="11">
        <f t="shared" si="18"/>
        <v>6749.5680000000002</v>
      </c>
      <c r="Y13" s="64">
        <v>5610</v>
      </c>
      <c r="Z13" s="36">
        <v>1</v>
      </c>
      <c r="AA13" s="11">
        <f t="shared" si="19"/>
        <v>6749.5680000000002</v>
      </c>
      <c r="AB13" s="64">
        <v>6600</v>
      </c>
      <c r="AC13" s="36">
        <v>0</v>
      </c>
      <c r="AD13" s="11">
        <f t="shared" si="20"/>
        <v>0</v>
      </c>
      <c r="AE13" s="64"/>
      <c r="AF13" s="36">
        <v>0</v>
      </c>
      <c r="AG13" s="11">
        <f t="shared" si="21"/>
        <v>0</v>
      </c>
      <c r="AH13" s="64"/>
      <c r="AI13" s="36"/>
      <c r="AJ13" s="11">
        <f t="shared" si="34"/>
        <v>0</v>
      </c>
      <c r="AK13" s="64"/>
      <c r="AL13" s="36">
        <v>0.5</v>
      </c>
      <c r="AM13" s="11">
        <f t="shared" si="35"/>
        <v>3773.0880000000002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>
        <v>0.5</v>
      </c>
      <c r="C14" s="11">
        <f t="shared" si="11"/>
        <v>3288.0383999999999</v>
      </c>
      <c r="D14" s="64"/>
      <c r="E14" s="36">
        <v>0.5</v>
      </c>
      <c r="F14" s="11">
        <f t="shared" si="12"/>
        <v>3253.3056000000001</v>
      </c>
      <c r="G14" s="64"/>
      <c r="H14" s="36">
        <v>0</v>
      </c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1</v>
      </c>
      <c r="R14" s="11">
        <f t="shared" si="37"/>
        <v>6773.76</v>
      </c>
      <c r="S14" s="64"/>
      <c r="T14" s="36">
        <v>1</v>
      </c>
      <c r="U14" s="11">
        <f t="shared" si="38"/>
        <v>6749.5680000000002</v>
      </c>
      <c r="V14" s="64">
        <v>825</v>
      </c>
      <c r="W14" s="36">
        <v>1</v>
      </c>
      <c r="X14" s="11">
        <f t="shared" si="18"/>
        <v>6749.5680000000002</v>
      </c>
      <c r="Y14" s="64">
        <v>1074</v>
      </c>
      <c r="Z14" s="36">
        <v>1</v>
      </c>
      <c r="AA14" s="11">
        <f t="shared" si="19"/>
        <v>6749.5680000000002</v>
      </c>
      <c r="AB14" s="64"/>
      <c r="AC14" s="36">
        <v>0</v>
      </c>
      <c r="AD14" s="11">
        <f t="shared" si="20"/>
        <v>0</v>
      </c>
      <c r="AE14" s="64"/>
      <c r="AF14" s="36">
        <v>0</v>
      </c>
      <c r="AG14" s="11">
        <f t="shared" si="21"/>
        <v>0</v>
      </c>
      <c r="AH14" s="64"/>
      <c r="AI14" s="36"/>
      <c r="AJ14" s="11">
        <f t="shared" si="34"/>
        <v>0</v>
      </c>
      <c r="AK14" s="64"/>
      <c r="AL14" s="36">
        <v>0</v>
      </c>
      <c r="AM14" s="11">
        <f t="shared" si="35"/>
        <v>0</v>
      </c>
      <c r="AN14" s="64"/>
      <c r="AO14" s="36">
        <v>0.5</v>
      </c>
      <c r="AP14" s="11">
        <f t="shared" si="24"/>
        <v>3773.0880000000002</v>
      </c>
      <c r="AQ14" s="64"/>
      <c r="AR14" s="36">
        <v>0</v>
      </c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>
        <v>0.5</v>
      </c>
      <c r="C15" s="11">
        <f t="shared" si="11"/>
        <v>3288.0383999999999</v>
      </c>
      <c r="D15" s="64"/>
      <c r="E15" s="36">
        <v>0.5</v>
      </c>
      <c r="F15" s="11">
        <f t="shared" si="12"/>
        <v>3253.3056000000001</v>
      </c>
      <c r="G15" s="64"/>
      <c r="H15" s="36">
        <v>0</v>
      </c>
      <c r="I15" s="11">
        <f t="shared" si="13"/>
        <v>0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36"/>
        <v>0</v>
      </c>
      <c r="P15" s="64"/>
      <c r="Q15" s="36">
        <v>1</v>
      </c>
      <c r="R15" s="11">
        <f t="shared" si="37"/>
        <v>6773.76</v>
      </c>
      <c r="S15" s="64"/>
      <c r="T15" s="36">
        <v>1</v>
      </c>
      <c r="U15" s="11">
        <f t="shared" si="38"/>
        <v>6749.5680000000002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>
        <v>0</v>
      </c>
      <c r="AD15" s="11">
        <f t="shared" si="20"/>
        <v>0</v>
      </c>
      <c r="AE15" s="64"/>
      <c r="AF15" s="36">
        <v>0</v>
      </c>
      <c r="AG15" s="11">
        <f t="shared" si="21"/>
        <v>0</v>
      </c>
      <c r="AH15" s="64"/>
      <c r="AI15" s="36"/>
      <c r="AJ15" s="11">
        <f t="shared" si="34"/>
        <v>0</v>
      </c>
      <c r="AK15" s="64"/>
      <c r="AL15" s="36">
        <v>0</v>
      </c>
      <c r="AM15" s="11">
        <f t="shared" si="35"/>
        <v>0</v>
      </c>
      <c r="AN15" s="64"/>
      <c r="AO15" s="36">
        <v>0.5</v>
      </c>
      <c r="AP15" s="11">
        <f t="shared" si="24"/>
        <v>3773.0880000000002</v>
      </c>
      <c r="AQ15" s="64"/>
      <c r="AR15" s="36">
        <v>0</v>
      </c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5.5</v>
      </c>
      <c r="CY15" s="158"/>
      <c r="CZ15" s="158"/>
    </row>
    <row r="16" spans="1:104" ht="14.25" customHeight="1">
      <c r="A16" s="10">
        <v>11</v>
      </c>
      <c r="B16" s="36">
        <v>0.5</v>
      </c>
      <c r="C16" s="11">
        <f t="shared" si="11"/>
        <v>3288.0383999999999</v>
      </c>
      <c r="D16" s="64">
        <v>750</v>
      </c>
      <c r="E16" s="36">
        <v>0.5</v>
      </c>
      <c r="F16" s="11">
        <f t="shared" si="12"/>
        <v>3253.3056000000001</v>
      </c>
      <c r="G16" s="64">
        <v>5195</v>
      </c>
      <c r="H16" s="36">
        <v>0</v>
      </c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1</v>
      </c>
      <c r="R16" s="11">
        <f t="shared" si="37"/>
        <v>6773.76</v>
      </c>
      <c r="S16" s="64">
        <v>11496</v>
      </c>
      <c r="T16" s="36">
        <v>1</v>
      </c>
      <c r="U16" s="11">
        <f t="shared" si="38"/>
        <v>6749.5680000000002</v>
      </c>
      <c r="V16" s="64">
        <v>15642</v>
      </c>
      <c r="W16" s="36">
        <v>1</v>
      </c>
      <c r="X16" s="11">
        <f t="shared" si="18"/>
        <v>6749.5680000000002</v>
      </c>
      <c r="Y16" s="64">
        <v>10560</v>
      </c>
      <c r="Z16" s="36">
        <v>1</v>
      </c>
      <c r="AA16" s="11">
        <f t="shared" si="19"/>
        <v>6749.5680000000002</v>
      </c>
      <c r="AB16" s="64">
        <v>11342</v>
      </c>
      <c r="AC16" s="36">
        <v>0</v>
      </c>
      <c r="AD16" s="11">
        <f t="shared" si="20"/>
        <v>0</v>
      </c>
      <c r="AE16" s="64"/>
      <c r="AF16" s="36">
        <v>0</v>
      </c>
      <c r="AG16" s="11">
        <f t="shared" si="21"/>
        <v>0</v>
      </c>
      <c r="AH16" s="64"/>
      <c r="AI16" s="36"/>
      <c r="AJ16" s="11">
        <f t="shared" si="34"/>
        <v>0</v>
      </c>
      <c r="AK16" s="64"/>
      <c r="AL16" s="36">
        <v>0</v>
      </c>
      <c r="AM16" s="11">
        <f t="shared" si="35"/>
        <v>0</v>
      </c>
      <c r="AN16" s="64"/>
      <c r="AO16" s="36">
        <v>0.5</v>
      </c>
      <c r="AP16" s="11">
        <f t="shared" si="24"/>
        <v>3773.0880000000002</v>
      </c>
      <c r="AQ16" s="64">
        <v>3960</v>
      </c>
      <c r="AR16" s="36">
        <v>0</v>
      </c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5.5</v>
      </c>
      <c r="CY16" s="158"/>
      <c r="CZ16" s="158"/>
    </row>
    <row r="17" spans="1:104" ht="14.25" customHeight="1">
      <c r="A17" s="10">
        <v>12</v>
      </c>
      <c r="B17" s="36">
        <v>0.5</v>
      </c>
      <c r="C17" s="11">
        <f t="shared" si="11"/>
        <v>3288.0383999999999</v>
      </c>
      <c r="D17" s="64">
        <v>2250</v>
      </c>
      <c r="E17" s="36">
        <v>0.5</v>
      </c>
      <c r="F17" s="11">
        <f t="shared" si="12"/>
        <v>3253.3056000000001</v>
      </c>
      <c r="G17" s="64">
        <v>2961</v>
      </c>
      <c r="H17" s="36">
        <v>0</v>
      </c>
      <c r="I17" s="11">
        <f t="shared" si="13"/>
        <v>0</v>
      </c>
      <c r="J17" s="64"/>
      <c r="K17" s="36">
        <v>0</v>
      </c>
      <c r="L17" s="11">
        <f t="shared" si="14"/>
        <v>0</v>
      </c>
      <c r="M17" s="64">
        <v>1727</v>
      </c>
      <c r="N17" s="36">
        <v>0</v>
      </c>
      <c r="O17" s="11">
        <f t="shared" si="36"/>
        <v>0</v>
      </c>
      <c r="P17" s="64"/>
      <c r="Q17" s="36">
        <v>1</v>
      </c>
      <c r="R17" s="11">
        <f t="shared" si="37"/>
        <v>6773.76</v>
      </c>
      <c r="S17" s="64">
        <v>10560</v>
      </c>
      <c r="T17" s="36">
        <v>1</v>
      </c>
      <c r="U17" s="11">
        <f t="shared" si="38"/>
        <v>6749.5680000000002</v>
      </c>
      <c r="V17" s="64">
        <v>8250</v>
      </c>
      <c r="W17" s="36">
        <v>1</v>
      </c>
      <c r="X17" s="11">
        <f t="shared" si="18"/>
        <v>6749.5680000000002</v>
      </c>
      <c r="Y17" s="64">
        <v>9240</v>
      </c>
      <c r="Z17" s="36">
        <v>1</v>
      </c>
      <c r="AA17" s="11">
        <f t="shared" si="19"/>
        <v>6749.5680000000002</v>
      </c>
      <c r="AB17" s="64">
        <v>9075</v>
      </c>
      <c r="AC17" s="36">
        <v>0</v>
      </c>
      <c r="AD17" s="11">
        <f t="shared" si="20"/>
        <v>0</v>
      </c>
      <c r="AE17" s="64"/>
      <c r="AF17" s="36">
        <v>0</v>
      </c>
      <c r="AG17" s="11">
        <f t="shared" si="21"/>
        <v>0</v>
      </c>
      <c r="AH17" s="64"/>
      <c r="AI17" s="36"/>
      <c r="AJ17" s="11">
        <f t="shared" si="34"/>
        <v>0</v>
      </c>
      <c r="AK17" s="64"/>
      <c r="AL17" s="36">
        <v>0</v>
      </c>
      <c r="AM17" s="11">
        <f t="shared" si="35"/>
        <v>0</v>
      </c>
      <c r="AN17" s="64"/>
      <c r="AO17" s="36">
        <v>0.5</v>
      </c>
      <c r="AP17" s="11">
        <f t="shared" si="24"/>
        <v>3773.0880000000002</v>
      </c>
      <c r="AQ17" s="64">
        <v>6600</v>
      </c>
      <c r="AR17" s="36">
        <v>0</v>
      </c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5.5</v>
      </c>
      <c r="CY17" s="158"/>
      <c r="CZ17" s="158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0.5</v>
      </c>
      <c r="F18" s="11">
        <f t="shared" si="12"/>
        <v>3253.3056000000001</v>
      </c>
      <c r="G18" s="64"/>
      <c r="H18" s="36">
        <v>0</v>
      </c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1</v>
      </c>
      <c r="R18" s="11">
        <f t="shared" si="37"/>
        <v>6773.76</v>
      </c>
      <c r="S18" s="64">
        <v>5775</v>
      </c>
      <c r="T18" s="36">
        <v>1</v>
      </c>
      <c r="U18" s="11">
        <f t="shared" si="38"/>
        <v>6749.5680000000002</v>
      </c>
      <c r="V18" s="64">
        <v>8825</v>
      </c>
      <c r="W18" s="36">
        <v>1</v>
      </c>
      <c r="X18" s="11">
        <f t="shared" si="18"/>
        <v>6749.5680000000002</v>
      </c>
      <c r="Y18" s="64">
        <v>6698</v>
      </c>
      <c r="Z18" s="36">
        <v>1</v>
      </c>
      <c r="AA18" s="11">
        <f t="shared" si="19"/>
        <v>6749.5680000000002</v>
      </c>
      <c r="AB18" s="64">
        <v>7413</v>
      </c>
      <c r="AC18" s="36">
        <v>0</v>
      </c>
      <c r="AD18" s="11">
        <f t="shared" si="20"/>
        <v>0</v>
      </c>
      <c r="AE18" s="64"/>
      <c r="AF18" s="36">
        <v>0</v>
      </c>
      <c r="AG18" s="11">
        <f t="shared" si="21"/>
        <v>0</v>
      </c>
      <c r="AH18" s="64"/>
      <c r="AI18" s="36"/>
      <c r="AJ18" s="11">
        <f t="shared" si="34"/>
        <v>0</v>
      </c>
      <c r="AK18" s="64"/>
      <c r="AL18" s="36">
        <v>0</v>
      </c>
      <c r="AM18" s="11">
        <f t="shared" si="35"/>
        <v>0</v>
      </c>
      <c r="AN18" s="64">
        <v>1849</v>
      </c>
      <c r="AO18" s="36">
        <v>0.5</v>
      </c>
      <c r="AP18" s="11">
        <f t="shared" si="24"/>
        <v>3773.0880000000002</v>
      </c>
      <c r="AQ18" s="64">
        <v>3300</v>
      </c>
      <c r="AR18" s="36">
        <v>0</v>
      </c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1</v>
      </c>
      <c r="R19" s="11">
        <f t="shared" si="37"/>
        <v>6773.76</v>
      </c>
      <c r="S19" s="64">
        <v>9815</v>
      </c>
      <c r="T19" s="36">
        <v>1</v>
      </c>
      <c r="U19" s="11">
        <f t="shared" si="38"/>
        <v>6749.5680000000002</v>
      </c>
      <c r="V19" s="64">
        <v>3300</v>
      </c>
      <c r="W19" s="36">
        <v>1</v>
      </c>
      <c r="X19" s="11">
        <f t="shared" si="18"/>
        <v>6749.5680000000002</v>
      </c>
      <c r="Y19" s="64">
        <v>6695</v>
      </c>
      <c r="Z19" s="36">
        <v>1</v>
      </c>
      <c r="AA19" s="11">
        <f t="shared" si="19"/>
        <v>6749.5680000000002</v>
      </c>
      <c r="AB19" s="64">
        <v>5775</v>
      </c>
      <c r="AC19" s="36">
        <v>0</v>
      </c>
      <c r="AD19" s="11">
        <f t="shared" si="20"/>
        <v>0</v>
      </c>
      <c r="AE19" s="64"/>
      <c r="AF19" s="36">
        <v>0</v>
      </c>
      <c r="AG19" s="11">
        <f t="shared" si="21"/>
        <v>0</v>
      </c>
      <c r="AH19" s="64"/>
      <c r="AI19" s="36"/>
      <c r="AJ19" s="11">
        <f t="shared" si="34"/>
        <v>0</v>
      </c>
      <c r="AK19" s="64"/>
      <c r="AL19" s="36">
        <v>0</v>
      </c>
      <c r="AM19" s="11">
        <f t="shared" si="35"/>
        <v>0</v>
      </c>
      <c r="AN19" s="64"/>
      <c r="AO19" s="36">
        <v>0.5</v>
      </c>
      <c r="AP19" s="11">
        <f t="shared" si="24"/>
        <v>3773.0880000000002</v>
      </c>
      <c r="AQ19" s="64">
        <v>3300</v>
      </c>
      <c r="AR19" s="36">
        <v>0</v>
      </c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4.5</v>
      </c>
      <c r="CY19" s="158"/>
      <c r="CZ19" s="158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>
        <v>2333</v>
      </c>
      <c r="E20" s="36">
        <v>0</v>
      </c>
      <c r="F20" s="11">
        <f t="shared" si="12"/>
        <v>0</v>
      </c>
      <c r="G20" s="64"/>
      <c r="H20" s="36">
        <v>0</v>
      </c>
      <c r="I20" s="11">
        <f t="shared" si="13"/>
        <v>0</v>
      </c>
      <c r="J20" s="64">
        <v>231</v>
      </c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1</v>
      </c>
      <c r="R20" s="11">
        <f t="shared" si="37"/>
        <v>6773.76</v>
      </c>
      <c r="S20" s="64">
        <v>5775</v>
      </c>
      <c r="T20" s="36">
        <v>1</v>
      </c>
      <c r="U20" s="11">
        <f t="shared" si="38"/>
        <v>6749.5680000000002</v>
      </c>
      <c r="V20" s="64">
        <v>6600</v>
      </c>
      <c r="W20" s="36">
        <v>1</v>
      </c>
      <c r="X20" s="11">
        <f t="shared" si="18"/>
        <v>6749.5680000000002</v>
      </c>
      <c r="Y20" s="64">
        <v>6386</v>
      </c>
      <c r="Z20" s="36">
        <v>1</v>
      </c>
      <c r="AA20" s="11">
        <f t="shared" si="19"/>
        <v>6749.5680000000002</v>
      </c>
      <c r="AB20" s="64">
        <v>7208</v>
      </c>
      <c r="AC20" s="36">
        <v>0</v>
      </c>
      <c r="AD20" s="11">
        <f t="shared" si="20"/>
        <v>0</v>
      </c>
      <c r="AE20" s="64"/>
      <c r="AF20" s="36">
        <v>0</v>
      </c>
      <c r="AG20" s="11">
        <f t="shared" si="21"/>
        <v>0</v>
      </c>
      <c r="AH20" s="64"/>
      <c r="AI20" s="36"/>
      <c r="AJ20" s="11">
        <f t="shared" si="34"/>
        <v>0</v>
      </c>
      <c r="AK20" s="64"/>
      <c r="AL20" s="36">
        <v>0</v>
      </c>
      <c r="AM20" s="11">
        <f t="shared" si="35"/>
        <v>0</v>
      </c>
      <c r="AN20" s="64"/>
      <c r="AO20" s="36">
        <v>0.5</v>
      </c>
      <c r="AP20" s="11">
        <f t="shared" si="24"/>
        <v>3773.0880000000002</v>
      </c>
      <c r="AQ20" s="64">
        <v>2310</v>
      </c>
      <c r="AR20" s="36">
        <v>0</v>
      </c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4.5</v>
      </c>
      <c r="CY20" s="158"/>
      <c r="CZ20" s="158"/>
    </row>
    <row r="21" spans="1:104" ht="14.25" customHeight="1">
      <c r="A21" s="10">
        <v>16</v>
      </c>
      <c r="B21" s="36">
        <v>0</v>
      </c>
      <c r="C21" s="11">
        <f t="shared" si="11"/>
        <v>0</v>
      </c>
      <c r="D21" s="64"/>
      <c r="E21" s="36">
        <v>0</v>
      </c>
      <c r="F21" s="11">
        <f t="shared" si="12"/>
        <v>0</v>
      </c>
      <c r="G21" s="64"/>
      <c r="H21" s="36">
        <v>0</v>
      </c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1</v>
      </c>
      <c r="R21" s="11">
        <f t="shared" si="37"/>
        <v>6773.76</v>
      </c>
      <c r="S21" s="64">
        <v>5720</v>
      </c>
      <c r="T21" s="36">
        <v>1</v>
      </c>
      <c r="U21" s="11">
        <f t="shared" si="38"/>
        <v>6749.5680000000002</v>
      </c>
      <c r="V21" s="64">
        <v>5775</v>
      </c>
      <c r="W21" s="36">
        <v>1</v>
      </c>
      <c r="X21" s="11">
        <f t="shared" si="18"/>
        <v>6749.5680000000002</v>
      </c>
      <c r="Y21" s="64">
        <v>6270</v>
      </c>
      <c r="Z21" s="36">
        <v>1</v>
      </c>
      <c r="AA21" s="11">
        <f t="shared" si="19"/>
        <v>6749.5680000000002</v>
      </c>
      <c r="AB21" s="64">
        <v>4950</v>
      </c>
      <c r="AC21" s="36">
        <v>0</v>
      </c>
      <c r="AD21" s="11">
        <f t="shared" si="20"/>
        <v>0</v>
      </c>
      <c r="AE21" s="64"/>
      <c r="AF21" s="36">
        <v>0</v>
      </c>
      <c r="AG21" s="11">
        <f t="shared" si="21"/>
        <v>0</v>
      </c>
      <c r="AH21" s="64"/>
      <c r="AI21" s="36"/>
      <c r="AJ21" s="11">
        <f t="shared" si="34"/>
        <v>0</v>
      </c>
      <c r="AK21" s="64"/>
      <c r="AL21" s="36">
        <v>0</v>
      </c>
      <c r="AM21" s="11">
        <f t="shared" si="35"/>
        <v>0</v>
      </c>
      <c r="AN21" s="64"/>
      <c r="AO21" s="36">
        <v>0.5</v>
      </c>
      <c r="AP21" s="11">
        <f t="shared" si="24"/>
        <v>3773.0880000000002</v>
      </c>
      <c r="AQ21" s="64">
        <v>4125</v>
      </c>
      <c r="AR21" s="36">
        <v>0.5</v>
      </c>
      <c r="AS21" s="11">
        <f t="shared" si="25"/>
        <v>786.24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>
        <v>0</v>
      </c>
      <c r="C22" s="11">
        <f t="shared" si="11"/>
        <v>0</v>
      </c>
      <c r="D22" s="64"/>
      <c r="E22" s="36">
        <v>0</v>
      </c>
      <c r="F22" s="11">
        <f t="shared" si="12"/>
        <v>0</v>
      </c>
      <c r="G22" s="64">
        <v>750</v>
      </c>
      <c r="H22" s="36">
        <v>0</v>
      </c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1</v>
      </c>
      <c r="R22" s="11">
        <f t="shared" si="37"/>
        <v>6773.76</v>
      </c>
      <c r="S22" s="64">
        <v>5775</v>
      </c>
      <c r="T22" s="36">
        <v>1</v>
      </c>
      <c r="U22" s="11">
        <f t="shared" si="38"/>
        <v>6749.5680000000002</v>
      </c>
      <c r="V22" s="64">
        <v>3200</v>
      </c>
      <c r="W22" s="36">
        <v>1</v>
      </c>
      <c r="X22" s="11">
        <f t="shared" si="18"/>
        <v>6749.5680000000002</v>
      </c>
      <c r="Y22" s="64">
        <v>6734</v>
      </c>
      <c r="Z22" s="36">
        <v>1</v>
      </c>
      <c r="AA22" s="11">
        <f t="shared" si="19"/>
        <v>6749.5680000000002</v>
      </c>
      <c r="AB22" s="64">
        <v>5722</v>
      </c>
      <c r="AC22" s="36">
        <v>1</v>
      </c>
      <c r="AD22" s="11">
        <f t="shared" si="20"/>
        <v>6437.1455999999998</v>
      </c>
      <c r="AE22" s="64">
        <v>4125</v>
      </c>
      <c r="AF22" s="36">
        <v>0</v>
      </c>
      <c r="AG22" s="11">
        <f t="shared" si="21"/>
        <v>0</v>
      </c>
      <c r="AH22" s="64"/>
      <c r="AI22" s="36"/>
      <c r="AJ22" s="11">
        <f t="shared" si="34"/>
        <v>0</v>
      </c>
      <c r="AK22" s="64"/>
      <c r="AL22" s="36">
        <v>0</v>
      </c>
      <c r="AM22" s="11">
        <f t="shared" si="35"/>
        <v>0</v>
      </c>
      <c r="AN22" s="64"/>
      <c r="AO22" s="36">
        <v>0.5</v>
      </c>
      <c r="AP22" s="11">
        <f t="shared" si="24"/>
        <v>3773.0880000000002</v>
      </c>
      <c r="AQ22" s="64">
        <v>2871</v>
      </c>
      <c r="AR22" s="36">
        <v>0.5</v>
      </c>
      <c r="AS22" s="11">
        <f t="shared" si="25"/>
        <v>786.24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6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0.35294117647058826</v>
      </c>
      <c r="C37" s="177">
        <f>SUM(C6:C36)</f>
        <v>39456.460800000001</v>
      </c>
      <c r="D37" s="20">
        <f>SUM(D6:D36)</f>
        <v>29667</v>
      </c>
      <c r="E37" s="17">
        <f>IF(E6="",0,AVERAGE(E6:E36))</f>
        <v>0.38235294117647056</v>
      </c>
      <c r="F37" s="177">
        <f>SUM(F6:F36)</f>
        <v>42292.972800000003</v>
      </c>
      <c r="G37" s="20">
        <f>SUM(G6:G36)</f>
        <v>33054</v>
      </c>
      <c r="H37" s="17">
        <f>IF(H6="",0,AVERAGE(H6:H36))</f>
        <v>2.9411764705882353E-2</v>
      </c>
      <c r="I37" s="177">
        <f>SUM(I6:I36)</f>
        <v>3374.7840000000001</v>
      </c>
      <c r="J37" s="20">
        <f>SUM(J6:J36)</f>
        <v>4183</v>
      </c>
      <c r="K37" s="17">
        <f>IF(K6="",0,AVERAGE(K6:K36))</f>
        <v>0.29411764705882354</v>
      </c>
      <c r="L37" s="177">
        <f>SUM(L6:L36)</f>
        <v>33747.840000000004</v>
      </c>
      <c r="M37" s="20">
        <f>SUM(M6:M36)</f>
        <v>18606</v>
      </c>
      <c r="N37" s="17">
        <f>IF(N6="",0,AVERAGE(N6:N36))</f>
        <v>2.9411764705882353E-2</v>
      </c>
      <c r="O37" s="177">
        <f>SUM(O6:O36)</f>
        <v>3201.12</v>
      </c>
      <c r="P37" s="20">
        <f>SUM(P6:P36)</f>
        <v>5134</v>
      </c>
      <c r="Q37" s="17">
        <f>IF(Q6="",0,AVERAGE(Q6:Q36))</f>
        <v>0.88235294117647056</v>
      </c>
      <c r="R37" s="177">
        <f>SUM(R6:R36)</f>
        <v>101606.39999999998</v>
      </c>
      <c r="S37" s="20">
        <f>SUM(S6:S36)</f>
        <v>85840</v>
      </c>
      <c r="T37" s="17">
        <f>IF(T6="",0,AVERAGE(T6:T36))</f>
        <v>0.88235294117647056</v>
      </c>
      <c r="U37" s="177">
        <f>SUM(U6:U36)</f>
        <v>101243.52</v>
      </c>
      <c r="V37" s="20">
        <f>SUM(V6:V36)</f>
        <v>83207</v>
      </c>
      <c r="W37" s="17">
        <f>IF(W6="",0,AVERAGE(W6:W36))</f>
        <v>0.94117647058823528</v>
      </c>
      <c r="X37" s="177">
        <f>SUM(X6:X36)</f>
        <v>107993.088</v>
      </c>
      <c r="Y37" s="20">
        <f>SUM(Y6:Y36)</f>
        <v>89826</v>
      </c>
      <c r="Z37" s="17">
        <f>IF(Z6="",0,AVERAGE(Z6:Z36))</f>
        <v>0.70588235294117652</v>
      </c>
      <c r="AA37" s="177">
        <f>SUM(AA6:AA36)</f>
        <v>80994.816000000006</v>
      </c>
      <c r="AB37" s="20">
        <f>SUM(AB6:AB36)</f>
        <v>65510</v>
      </c>
      <c r="AC37" s="17">
        <f>IF(AC6="",0,AVERAGE(AC6:AC36))</f>
        <v>5.8823529411764705E-2</v>
      </c>
      <c r="AD37" s="177">
        <f>SUM(AD6:AD36)</f>
        <v>6437.1455999999998</v>
      </c>
      <c r="AE37" s="20">
        <f>SUM(AE6:AE36)</f>
        <v>4125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0.20588235294117646</v>
      </c>
      <c r="AM37" s="177">
        <f>SUM(AM6:AM36)</f>
        <v>26411.616000000002</v>
      </c>
      <c r="AN37" s="20">
        <f>SUM(AN6:AN36)</f>
        <v>17689</v>
      </c>
      <c r="AO37" s="17">
        <f>IF(AO6="",0,AVERAGE(AO6:AO36))</f>
        <v>0.26470588235294118</v>
      </c>
      <c r="AP37" s="177">
        <f>SUM(AP6:AP36)</f>
        <v>33957.792000000001</v>
      </c>
      <c r="AQ37" s="20">
        <f>SUM(AQ6:AQ36)</f>
        <v>26466</v>
      </c>
      <c r="AR37" s="17">
        <f>IF(AR6="",0,AVERAGE(AR6:AR36))</f>
        <v>5.8823529411764705E-2</v>
      </c>
      <c r="AS37" s="177">
        <f>SUM(AS6:AS36)</f>
        <v>1572.48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5.0882352941176467</v>
      </c>
      <c r="CY37" s="158"/>
      <c r="CZ37" s="158"/>
    </row>
    <row r="38" spans="1:109" s="40" customFormat="1" ht="25.5" customHeight="1" thickTop="1">
      <c r="A38" s="57"/>
      <c r="B38" s="1547">
        <v>28177</v>
      </c>
      <c r="C38" s="1547"/>
      <c r="D38" s="1548"/>
      <c r="E38" s="1547">
        <v>31637</v>
      </c>
      <c r="F38" s="1547"/>
      <c r="G38" s="1548"/>
      <c r="H38" s="1547">
        <v>3400</v>
      </c>
      <c r="I38" s="1547"/>
      <c r="J38" s="1548"/>
      <c r="K38" s="1547">
        <v>16315</v>
      </c>
      <c r="L38" s="1547"/>
      <c r="M38" s="1548"/>
      <c r="N38" s="1547">
        <v>4680</v>
      </c>
      <c r="O38" s="1547"/>
      <c r="P38" s="1548"/>
      <c r="Q38" s="1547">
        <v>84237</v>
      </c>
      <c r="R38" s="1547"/>
      <c r="S38" s="1548"/>
      <c r="T38" s="1547">
        <v>81612</v>
      </c>
      <c r="U38" s="1547"/>
      <c r="V38" s="1548"/>
      <c r="W38" s="1547">
        <v>88256</v>
      </c>
      <c r="X38" s="1547"/>
      <c r="Y38" s="1548"/>
      <c r="Z38" s="1547">
        <v>64697</v>
      </c>
      <c r="AA38" s="1547"/>
      <c r="AB38" s="1548"/>
      <c r="AC38" s="1547">
        <v>4125</v>
      </c>
      <c r="AD38" s="1547"/>
      <c r="AE38" s="1548"/>
      <c r="AF38" s="1547"/>
      <c r="AG38" s="1547"/>
      <c r="AH38" s="1548"/>
      <c r="AI38" s="1547"/>
      <c r="AJ38" s="1547"/>
      <c r="AK38" s="1548"/>
      <c r="AL38" s="1547">
        <v>17241</v>
      </c>
      <c r="AM38" s="1547"/>
      <c r="AN38" s="1548"/>
      <c r="AO38" s="1547">
        <v>26466</v>
      </c>
      <c r="AP38" s="1547"/>
      <c r="AQ38" s="1548"/>
      <c r="AR38" s="1547"/>
      <c r="AS38" s="1547"/>
      <c r="AT38" s="1548"/>
      <c r="AU38" s="1547"/>
      <c r="AV38" s="1547"/>
      <c r="AW38" s="1548"/>
      <c r="AX38" s="1547"/>
      <c r="AY38" s="1547"/>
      <c r="AZ38" s="1548"/>
      <c r="BA38" s="1547"/>
      <c r="BB38" s="1547"/>
      <c r="BC38" s="1548"/>
      <c r="BD38" s="1547"/>
      <c r="BE38" s="1547"/>
      <c r="BF38" s="1548"/>
      <c r="BG38" s="1547"/>
      <c r="BH38" s="1547"/>
      <c r="BI38" s="1548"/>
      <c r="BJ38" s="1547"/>
      <c r="BK38" s="1547"/>
      <c r="BL38" s="1548"/>
      <c r="BM38" s="1547"/>
      <c r="BN38" s="1547"/>
      <c r="BO38" s="1548"/>
      <c r="BP38" s="1547"/>
      <c r="BQ38" s="1547"/>
      <c r="BR38" s="1548"/>
      <c r="BS38" s="1532"/>
      <c r="BT38" s="1532"/>
      <c r="BU38" s="1533"/>
      <c r="BV38" s="1532"/>
      <c r="BW38" s="1532"/>
      <c r="BX38" s="1533"/>
      <c r="BY38" s="1532"/>
      <c r="BZ38" s="1532"/>
      <c r="CA38" s="1533"/>
      <c r="CB38" s="1532"/>
      <c r="CC38" s="1532"/>
      <c r="CD38" s="1533"/>
      <c r="CE38" s="1532"/>
      <c r="CF38" s="1532"/>
      <c r="CG38" s="1533"/>
      <c r="CH38" s="1532"/>
      <c r="CI38" s="1532"/>
      <c r="CJ38" s="1533"/>
      <c r="CK38" s="1532"/>
      <c r="CL38" s="1532"/>
      <c r="CM38" s="1533"/>
      <c r="CN38" s="1532"/>
      <c r="CO38" s="1532"/>
      <c r="CP38" s="1533"/>
      <c r="CQ38" s="1532"/>
      <c r="CR38" s="1532"/>
      <c r="CS38" s="1533"/>
      <c r="CT38" s="1532"/>
      <c r="CU38" s="1532"/>
      <c r="CV38" s="1533"/>
      <c r="CW38" s="24"/>
      <c r="CX38" s="39"/>
    </row>
    <row r="39" spans="1:109" s="40" customFormat="1" ht="26.25" customHeight="1" thickBot="1">
      <c r="A39" s="58"/>
      <c r="B39" s="1595">
        <v>1682</v>
      </c>
      <c r="C39" s="1595"/>
      <c r="D39" s="1596"/>
      <c r="E39" s="1595">
        <v>2087</v>
      </c>
      <c r="F39" s="1595"/>
      <c r="G39" s="1596"/>
      <c r="H39" s="1595">
        <v>925</v>
      </c>
      <c r="I39" s="1595"/>
      <c r="J39" s="1596"/>
      <c r="K39" s="1595">
        <v>2620</v>
      </c>
      <c r="L39" s="1595"/>
      <c r="M39" s="1596"/>
      <c r="N39" s="1595">
        <v>900</v>
      </c>
      <c r="O39" s="1595"/>
      <c r="P39" s="1596"/>
      <c r="Q39" s="1595">
        <v>3882</v>
      </c>
      <c r="R39" s="1595"/>
      <c r="S39" s="1596"/>
      <c r="T39" s="1595">
        <v>3072</v>
      </c>
      <c r="U39" s="1595"/>
      <c r="V39" s="1596"/>
      <c r="W39" s="1595">
        <v>3017</v>
      </c>
      <c r="X39" s="1595"/>
      <c r="Y39" s="1596"/>
      <c r="Z39" s="1595">
        <v>2327</v>
      </c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>
        <v>774</v>
      </c>
      <c r="AM39" s="1595"/>
      <c r="AN39" s="1596"/>
      <c r="AO39" s="1595"/>
      <c r="AP39" s="1595"/>
      <c r="AQ39" s="1596"/>
      <c r="AR39" s="1595"/>
      <c r="AS39" s="1595"/>
      <c r="AT39" s="1596"/>
      <c r="AU39" s="1595"/>
      <c r="AV39" s="1595"/>
      <c r="AW39" s="1596"/>
      <c r="AX39" s="1595"/>
      <c r="AY39" s="1595"/>
      <c r="AZ39" s="1596"/>
      <c r="BA39" s="1595"/>
      <c r="BB39" s="1595"/>
      <c r="BC39" s="1596"/>
      <c r="BD39" s="1595"/>
      <c r="BE39" s="1595"/>
      <c r="BF39" s="1596"/>
      <c r="BG39" s="1595"/>
      <c r="BH39" s="1595"/>
      <c r="BI39" s="1596"/>
      <c r="BJ39" s="1595"/>
      <c r="BK39" s="1595"/>
      <c r="BL39" s="1596"/>
      <c r="BM39" s="1595"/>
      <c r="BN39" s="1595"/>
      <c r="BO39" s="1596"/>
      <c r="BP39" s="1595"/>
      <c r="BQ39" s="1595"/>
      <c r="BR39" s="159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25"/>
      <c r="CX39" s="39"/>
    </row>
    <row r="40" spans="1:109" s="40" customFormat="1" ht="26.25" customHeight="1" thickBot="1">
      <c r="A40" s="59"/>
      <c r="B40" s="1540"/>
      <c r="C40" s="1541"/>
      <c r="D40" s="1542"/>
      <c r="E40" s="1540"/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>
        <v>100</v>
      </c>
      <c r="R40" s="1541"/>
      <c r="S40" s="1542"/>
      <c r="T40" s="1540">
        <v>100</v>
      </c>
      <c r="U40" s="1541"/>
      <c r="V40" s="1542"/>
      <c r="W40" s="1540">
        <v>88.2</v>
      </c>
      <c r="X40" s="1541"/>
      <c r="Y40" s="1542"/>
      <c r="Z40" s="1540">
        <v>100</v>
      </c>
      <c r="AA40" s="1541"/>
      <c r="AB40" s="1542"/>
      <c r="AC40" s="1540">
        <v>100</v>
      </c>
      <c r="AD40" s="1541"/>
      <c r="AE40" s="1542"/>
      <c r="AF40" s="1540"/>
      <c r="AG40" s="1541"/>
      <c r="AH40" s="1542"/>
      <c r="AI40" s="1540"/>
      <c r="AJ40" s="1541"/>
      <c r="AK40" s="1542"/>
      <c r="AL40" s="1540"/>
      <c r="AM40" s="1541"/>
      <c r="AN40" s="1542"/>
      <c r="AO40" s="1540">
        <v>100</v>
      </c>
      <c r="AP40" s="1541"/>
      <c r="AQ40" s="1542"/>
      <c r="AR40" s="1540"/>
      <c r="AS40" s="1541"/>
      <c r="AT40" s="1542"/>
      <c r="AU40" s="1540"/>
      <c r="AV40" s="1541"/>
      <c r="AW40" s="1542"/>
      <c r="AX40" s="1540"/>
      <c r="AY40" s="1541"/>
      <c r="AZ40" s="1542"/>
      <c r="BA40" s="1540"/>
      <c r="BB40" s="1541"/>
      <c r="BC40" s="1542"/>
      <c r="BD40" s="1540"/>
      <c r="BE40" s="1541"/>
      <c r="BF40" s="1542"/>
      <c r="BG40" s="1540"/>
      <c r="BH40" s="1541"/>
      <c r="BI40" s="1542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26465</v>
      </c>
      <c r="C41" s="1544"/>
      <c r="D41" s="1545"/>
      <c r="E41" s="1543">
        <f>E38-E39-E60</f>
        <v>29550</v>
      </c>
      <c r="F41" s="1544"/>
      <c r="G41" s="1545"/>
      <c r="H41" s="1543">
        <f>H38-H39-H60</f>
        <v>2145</v>
      </c>
      <c r="I41" s="1544"/>
      <c r="J41" s="1545"/>
      <c r="K41" s="1543">
        <f>K38-K39-K60</f>
        <v>13695</v>
      </c>
      <c r="L41" s="1544"/>
      <c r="M41" s="1545"/>
      <c r="N41" s="498">
        <f>N38-N39-N60</f>
        <v>3780</v>
      </c>
      <c r="O41" s="499"/>
      <c r="P41" s="500"/>
      <c r="Q41" s="1543">
        <f>Q38-Q39-Q60</f>
        <v>80355</v>
      </c>
      <c r="R41" s="1544"/>
      <c r="S41" s="1545"/>
      <c r="T41" s="498">
        <f>T38-T39-T60</f>
        <v>77715</v>
      </c>
      <c r="U41" s="499"/>
      <c r="V41" s="500"/>
      <c r="W41" s="498">
        <f>W38-W39-W60</f>
        <v>85239</v>
      </c>
      <c r="X41" s="499"/>
      <c r="Y41" s="500"/>
      <c r="Z41" s="498">
        <f>Z38-Z39-Z60</f>
        <v>62370</v>
      </c>
      <c r="AA41" s="499"/>
      <c r="AB41" s="500"/>
      <c r="AC41" s="498">
        <f>AC38-AC39-AC60</f>
        <v>4125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16467</v>
      </c>
      <c r="AM41" s="499"/>
      <c r="AN41" s="500"/>
      <c r="AO41" s="498">
        <f>AO38-AO39-AO60</f>
        <v>26466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>
        <v>30</v>
      </c>
      <c r="C46" s="1433"/>
      <c r="D46" s="1434"/>
      <c r="E46" s="1432"/>
      <c r="F46" s="1433">
        <v>692</v>
      </c>
      <c r="G46" s="1434"/>
      <c r="H46" s="1432">
        <v>330</v>
      </c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>
        <v>825</v>
      </c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30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692</v>
      </c>
      <c r="G60" s="432">
        <f t="shared" si="39"/>
        <v>0</v>
      </c>
      <c r="H60" s="433">
        <f t="shared" si="39"/>
        <v>330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825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30</v>
      </c>
      <c r="C61" s="1535"/>
      <c r="D61" s="1536"/>
      <c r="E61" s="1534">
        <f>SUM(E60:G60)</f>
        <v>692</v>
      </c>
      <c r="F61" s="1535"/>
      <c r="G61" s="1536"/>
      <c r="H61" s="1534">
        <f>SUM(H60:J60)</f>
        <v>330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825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33" customHeight="1" thickTop="1">
      <c r="B62" s="1561">
        <f>SUM(B61:CV61)</f>
        <v>1877</v>
      </c>
      <c r="C62" s="1561"/>
      <c r="D62" s="1561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656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K4" activePane="bottomRight" state="frozen"/>
      <selection activeCell="G1" sqref="G1"/>
      <selection pane="topRight" activeCell="G1" sqref="G1"/>
      <selection pane="bottomLeft" activeCell="G1" sqref="G1"/>
      <selection pane="bottomRight" activeCell="P10" sqref="P10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46190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154.84571790224678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17766.604800000001</v>
      </c>
      <c r="G4" s="386">
        <f>AFK!D37-AFK!B61</f>
        <v>19024</v>
      </c>
      <c r="H4" s="86">
        <f>IF(R4="","",(G4*(150/R4)*(900/E4)))</f>
        <v>84928.571428571435</v>
      </c>
      <c r="I4" s="87">
        <f>IF(F4=0,0,G4/F4)</f>
        <v>1.070772959389517</v>
      </c>
      <c r="J4" s="88">
        <f>AFK!B40/100</f>
        <v>1</v>
      </c>
      <c r="K4" s="89">
        <f>IF(G4=0,0,(AFK!$B$38-AFK!$B$60-AFK!$C$60)/G4)</f>
        <v>0.938919259882254</v>
      </c>
      <c r="L4" s="90" t="s">
        <v>127</v>
      </c>
      <c r="M4" s="90">
        <f t="array" ref="M4">IF(ISERROR(AVERAGEA(IF(A4=斷絲!$B$4:$U$4,斷絲!$B$39:$U$39))),"",AVERAGEA(IF(A4=斷絲!$B$4:$U$4,斷絲!$B$39:$U$39)))</f>
        <v>2.078125</v>
      </c>
      <c r="N4" s="91">
        <f>IF(G4=0,0,AFK!$B$41/G$4)</f>
        <v>0.84650967199327165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0.70588235294117652</v>
      </c>
      <c r="E5" s="85">
        <f>AFK!G4</f>
        <v>575</v>
      </c>
      <c r="F5" s="86">
        <f>AFK!F37</f>
        <v>10969.343999999999</v>
      </c>
      <c r="G5" s="386">
        <f>AFK!G37-AFK!E61</f>
        <v>8785</v>
      </c>
      <c r="H5" s="86">
        <f t="shared" ref="H5:H40" si="0">IF(R5="","",(G5*(150/R5)*(900/E5)))</f>
        <v>44838.374291115309</v>
      </c>
      <c r="I5" s="87">
        <f t="shared" ref="I5:I25" si="1">IF(F5=0,0,G5/F5)</f>
        <v>0.80086831081238774</v>
      </c>
      <c r="J5" s="88">
        <f>AFK!E40/100</f>
        <v>0</v>
      </c>
      <c r="K5" s="89">
        <f>IF(G5=0,0,(AFK!$E$38-AFK!$E$60-AFK!$F$60)/G5)</f>
        <v>1</v>
      </c>
      <c r="L5" s="1349"/>
      <c r="M5" s="90">
        <f t="array" ref="M5">IF(ISERROR(AVERAGEA(IF(A5=斷絲!$B$4:$U$4,斷絲!$B$39:$U$39))),"",AVERAGEA(IF(A5=斷絲!$B$4:$U$4,斷絲!$B$39:$U$39)))</f>
        <v>1.875</v>
      </c>
      <c r="N5" s="91">
        <f>IF(G5=0,0,AFK!$E$41/G$5)</f>
        <v>0.92885600455321571</v>
      </c>
      <c r="O5" s="169">
        <v>4</v>
      </c>
      <c r="P5" s="1172" t="s">
        <v>17294</v>
      </c>
      <c r="Q5" s="82"/>
      <c r="R5" s="115">
        <f>AFK!G$3</f>
        <v>46</v>
      </c>
      <c r="S5" s="245" t="s">
        <v>158</v>
      </c>
      <c r="T5" s="244" t="s">
        <v>17292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2F08T2</v>
      </c>
      <c r="B6" s="83" t="str">
        <f>AFK!H4</f>
        <v>50/72F2FC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>
        <f t="array" ref="M6">IF(ISERROR(AVERAGEA(IF(A6=斷絲!$B$4:$U$4,斷絲!$B$39:$U$39))),"",AVERAGEA(IF(A6=斷絲!$B$4:$U$4,斷絲!$B$39:$U$39)))</f>
        <v>0</v>
      </c>
      <c r="N6" s="91">
        <f>IF(G6=0,0,AFK!$H$41/G$6)</f>
        <v>0</v>
      </c>
      <c r="O6" s="169"/>
      <c r="P6" s="1172" t="s">
        <v>17294</v>
      </c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2FA062</v>
      </c>
      <c r="B7" s="83" t="str">
        <f>AFK!K4</f>
        <v>75/72SRR5</v>
      </c>
      <c r="C7" s="145" t="s">
        <v>16817</v>
      </c>
      <c r="D7" s="84">
        <f>AFK!K37</f>
        <v>0.47058823529411764</v>
      </c>
      <c r="E7" s="85">
        <f>AFK!M4</f>
        <v>600</v>
      </c>
      <c r="F7" s="86">
        <f>AFK!L37</f>
        <v>11612.160000000002</v>
      </c>
      <c r="G7" s="386">
        <f>AFK!M37-AFK!K61</f>
        <v>15357</v>
      </c>
      <c r="H7" s="86">
        <f t="shared" si="0"/>
        <v>49361.785714285717</v>
      </c>
      <c r="I7" s="87">
        <f>IF(F7=0,0,G7/F7)</f>
        <v>1.3224929728835977</v>
      </c>
      <c r="J7" s="88">
        <f>AFK!K40/100</f>
        <v>0</v>
      </c>
      <c r="K7" s="89">
        <f>IF(G7=0,0,(AFK!$K$38-AFK!$K$60-AFK!$L$60)/G7)</f>
        <v>0.95194373901152574</v>
      </c>
      <c r="L7" s="1349"/>
      <c r="M7" s="90">
        <f t="array" ref="M7">IF(ISERROR(AVERAGEA(IF(A7=斷絲!$B$4:$U$4,斷絲!$B$39:$U$39))),"",AVERAGEA(IF(A7=斷絲!$B$4:$U$4,斷絲!$B$39:$U$39)))</f>
        <v>3.6726190476190474</v>
      </c>
      <c r="N7" s="91">
        <f>IF(G7=0,0,AFK!$K$41/G$7)</f>
        <v>0.77619326691411084</v>
      </c>
      <c r="O7" s="169">
        <v>4</v>
      </c>
      <c r="P7" s="1172" t="s">
        <v>459</v>
      </c>
      <c r="Q7" s="82"/>
      <c r="R7" s="115">
        <f>AFK!M$3</f>
        <v>70</v>
      </c>
      <c r="S7" s="245" t="s">
        <v>158</v>
      </c>
      <c r="T7" s="244" t="s">
        <v>16097</v>
      </c>
      <c r="U7" s="469" t="str">
        <f>IF(ISNA(HLOOKUP(A7,IAD!$6:$10,5,0)),"",(HLOOKUP(A7,IAD!$6:$10,5,0)))</f>
        <v>白藍條</v>
      </c>
      <c r="Z7" s="695"/>
    </row>
    <row r="8" spans="1:26" ht="19.5" customHeight="1">
      <c r="A8" s="72" t="str">
        <f>AFK!N3</f>
        <v>2FA072</v>
      </c>
      <c r="B8" s="83" t="str">
        <f>AFK!N4</f>
        <v>75/72SRR5</v>
      </c>
      <c r="C8" s="145" t="s">
        <v>16817</v>
      </c>
      <c r="D8" s="84">
        <f>AFK!N37</f>
        <v>0.52941176470588236</v>
      </c>
      <c r="E8" s="85">
        <f>AFK!P4</f>
        <v>600</v>
      </c>
      <c r="F8" s="86">
        <f>AFK!O37</f>
        <v>13063.680000000002</v>
      </c>
      <c r="G8" s="386">
        <f>AFK!P37-AFK!N61</f>
        <v>9249</v>
      </c>
      <c r="H8" s="86">
        <f t="shared" si="0"/>
        <v>29728.928571428572</v>
      </c>
      <c r="I8" s="87">
        <f>IF(F8=0,0,G8/F8)</f>
        <v>0.70799345972957073</v>
      </c>
      <c r="J8" s="88">
        <f>AFK!N40/100</f>
        <v>1</v>
      </c>
      <c r="K8" s="89">
        <f>IF(G8=0,0,(AFK!$N$38-AFK!$N$60-AFK!$O$60)/G8)</f>
        <v>1</v>
      </c>
      <c r="L8" s="1349"/>
      <c r="M8" s="90">
        <f t="array" ref="M8">IF(ISERROR(AVERAGEA(IF(A8=斷絲!$B$4:$U$4,斷絲!$B$39:$U$39))),"",AVERAGEA(IF(A8=斷絲!$B$4:$U$4,斷絲!$B$39:$U$39)))</f>
        <v>2.7552083333333335</v>
      </c>
      <c r="N8" s="91">
        <f>IF(G8=0,0,AFK!$N$41/G$8)</f>
        <v>0.92442426208238726</v>
      </c>
      <c r="O8" s="169">
        <v>5</v>
      </c>
      <c r="P8" s="1172" t="s">
        <v>459</v>
      </c>
      <c r="Q8" s="82"/>
      <c r="R8" s="115">
        <f>AFK!P$3</f>
        <v>70</v>
      </c>
      <c r="S8" s="245" t="s">
        <v>158</v>
      </c>
      <c r="T8" s="244" t="s">
        <v>17452</v>
      </c>
      <c r="U8" s="469" t="str">
        <f>IF(ISNA(HLOOKUP(A8,IAD!$6:$10,5,0)),"",(HLOOKUP(A8,IAD!$6:$10,5,0)))</f>
        <v>橘底黑三角</v>
      </c>
      <c r="Z8" s="695"/>
    </row>
    <row r="9" spans="1:26" ht="19.5" customHeight="1">
      <c r="A9" s="72" t="str">
        <f>AFK!Q3</f>
        <v>2FA092</v>
      </c>
      <c r="B9" s="83" t="str">
        <f>AFK!Q4</f>
        <v>75/72F2FC</v>
      </c>
      <c r="C9" s="145"/>
      <c r="D9" s="84">
        <f>AFK!Q37</f>
        <v>0</v>
      </c>
      <c r="E9" s="85">
        <f>AFK!S4</f>
        <v>0</v>
      </c>
      <c r="F9" s="86">
        <f>AFK!R37</f>
        <v>0</v>
      </c>
      <c r="G9" s="386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>
        <f t="array" ref="M9">IF(ISERROR(AVERAGEA(IF(A9=斷絲!$B$4:$U$4,斷絲!$B$39:$U$39))),"",AVERAGEA(IF(A9=斷絲!$B$4:$U$4,斷絲!$B$39:$U$39)))</f>
        <v>0</v>
      </c>
      <c r="N9" s="91">
        <f>IF(G9=0,0,AFK!$Q$41/G$9)</f>
        <v>0</v>
      </c>
      <c r="O9" s="169"/>
      <c r="P9" s="1172" t="s">
        <v>17534</v>
      </c>
      <c r="Q9" s="82"/>
      <c r="R9" s="115">
        <f>AFK!S$3</f>
        <v>0</v>
      </c>
      <c r="S9" s="245"/>
      <c r="U9" s="469" t="str">
        <f>IF(ISNA(HLOOKUP(A9,IAD!$6:$10,5,0)),"",(HLOOKUP(A9,IAD!$6:$10,5,0)))</f>
        <v/>
      </c>
      <c r="Z9" s="695"/>
    </row>
    <row r="10" spans="1:26" ht="19.5" customHeight="1">
      <c r="A10" s="72" t="str">
        <f>AFK!T3</f>
        <v>2F43P2</v>
      </c>
      <c r="B10" s="83" t="str">
        <f>AFK!T4</f>
        <v>150/48CDR</v>
      </c>
      <c r="C10" s="145" t="s">
        <v>16747</v>
      </c>
      <c r="D10" s="84">
        <f>AFK!T37</f>
        <v>1</v>
      </c>
      <c r="E10" s="85">
        <f>AFK!V4</f>
        <v>600</v>
      </c>
      <c r="F10" s="86">
        <f>AFK!U37</f>
        <v>50409.216</v>
      </c>
      <c r="G10" s="386">
        <f>AFK!V37-AFK!T61</f>
        <v>47758</v>
      </c>
      <c r="H10" s="86">
        <f t="shared" si="0"/>
        <v>75143.706293706287</v>
      </c>
      <c r="I10" s="87">
        <f>IF(F10=0,0,G10/F10)</f>
        <v>0.94740612510220357</v>
      </c>
      <c r="J10" s="88">
        <f>AFK!T40/100</f>
        <v>1</v>
      </c>
      <c r="K10" s="89">
        <f>IF(G10=0,0,(AFK!$T$38-AFK!$T$60-AFK!$U$60)/G10)</f>
        <v>0.9691988776749445</v>
      </c>
      <c r="L10" s="90" t="s">
        <v>127</v>
      </c>
      <c r="M10" s="90">
        <f t="array" ref="M10">IF(ISERROR(AVERAGEA(IF(A10=斷絲!$B$4:$U$4,斷絲!$B$39:$U$39))),"",AVERAGEA(IF(A10=斷絲!$B$4:$U$4,斷絲!$B$39:$U$39)))</f>
        <v>1.9047619047619049</v>
      </c>
      <c r="N10" s="89">
        <f>IF(G10=0,0,AFK!$T$41/G$10)</f>
        <v>0.93910967795971356</v>
      </c>
      <c r="O10" s="169">
        <v>5</v>
      </c>
      <c r="P10" s="1172" t="s">
        <v>16775</v>
      </c>
      <c r="Q10" s="82"/>
      <c r="R10" s="115">
        <f>AFK!V$3</f>
        <v>143</v>
      </c>
      <c r="S10" s="245" t="s">
        <v>158</v>
      </c>
      <c r="T10" s="244" t="s">
        <v>16143</v>
      </c>
      <c r="U10" s="469" t="str">
        <f>IF(ISNA(HLOOKUP(A10,IAD!$6:$10,5,0)),"",(HLOOKUP(A10,IAD!$6:$10,5,0)))</f>
        <v>綠藍雙色</v>
      </c>
      <c r="Z10" s="695"/>
    </row>
    <row r="11" spans="1:26" ht="19.5" customHeight="1">
      <c r="A11" s="72" t="str">
        <f>AFK!W3</f>
        <v>2F43R2</v>
      </c>
      <c r="B11" s="94" t="str">
        <f>AFK!W4</f>
        <v>75/72/2SDr</v>
      </c>
      <c r="C11" s="145" t="s">
        <v>17276</v>
      </c>
      <c r="D11" s="95">
        <f>AFK!W37</f>
        <v>0.94117647058823528</v>
      </c>
      <c r="E11" s="96">
        <f>AFK!Y4</f>
        <v>600</v>
      </c>
      <c r="F11" s="97">
        <f>AFK!X37</f>
        <v>23556.096000000001</v>
      </c>
      <c r="G11" s="387">
        <f>AFK!Y37-AFK!W61</f>
        <v>18408</v>
      </c>
      <c r="H11" s="86">
        <f t="shared" si="0"/>
        <v>58335.211267605628</v>
      </c>
      <c r="I11" s="87">
        <f>IF(F11=0,0,G11/F11)</f>
        <v>0.78145376890975482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IF(ISERROR(AVERAGEA(IF(A11=斷絲!$4:$4,斷絲!$24:$24))),"",AVERAGEA(IF(A11=斷絲!$4:$4,斷絲!$24:$24)))</f>
        <v>1.375</v>
      </c>
      <c r="M11" s="90">
        <f t="array" ref="M11">IF(ISERROR(AVERAGEA(IF(A11=斷絲!$B$4:$U$4,斷絲!$B$39:$U$39))),"",AVERAGEA(IF(A11=斷絲!$B$4:$U$4,斷絲!$B$39:$U$39)))</f>
        <v>1.5608974358974359</v>
      </c>
      <c r="N11" s="89">
        <f>IF(G11=0,0,AFK!$W$41/G$11)</f>
        <v>0.96153846153846156</v>
      </c>
      <c r="O11" s="169">
        <v>5</v>
      </c>
      <c r="P11" s="1172" t="s">
        <v>17279</v>
      </c>
      <c r="Q11" s="82"/>
      <c r="R11" s="115">
        <f>AFK!Y$3</f>
        <v>71</v>
      </c>
      <c r="S11" s="245" t="s">
        <v>158</v>
      </c>
      <c r="T11" s="244" t="s">
        <v>16160</v>
      </c>
      <c r="U11" s="469" t="str">
        <f>IF(ISNA(HLOOKUP(A11,IAD!$6:$10,5,0)),"",(HLOOKUP(A11,IAD!$6:$10,5,0)))</f>
        <v>白底藍三角</v>
      </c>
      <c r="Z11" s="695"/>
    </row>
    <row r="12" spans="1:26" ht="19.5" customHeight="1">
      <c r="A12" s="72" t="str">
        <f>AFK!Z3</f>
        <v>2F43S2</v>
      </c>
      <c r="B12" s="94" t="str">
        <f>AFK!Z4</f>
        <v>150/48SDr</v>
      </c>
      <c r="C12" s="145" t="s">
        <v>17286</v>
      </c>
      <c r="D12" s="95">
        <f>AFK!Z37</f>
        <v>0.88235294117647056</v>
      </c>
      <c r="E12" s="96">
        <f>AFK!AB4</f>
        <v>650</v>
      </c>
      <c r="F12" s="97">
        <f>AFK!AA37</f>
        <v>47848.319999999992</v>
      </c>
      <c r="G12" s="387">
        <f>AFK!AB37-AFK!Z61</f>
        <v>36481</v>
      </c>
      <c r="H12" s="86">
        <f t="shared" si="0"/>
        <v>53357.908992416036</v>
      </c>
      <c r="I12" s="87">
        <f t="shared" si="1"/>
        <v>0.76243011248879811</v>
      </c>
      <c r="J12" s="88">
        <f>AFK!Z40/100</f>
        <v>1</v>
      </c>
      <c r="K12" s="98">
        <f>IF(G12=0,0,(AFK!$Z$38-AFK!$Z$60-AFK!$AA$60)/G12)</f>
        <v>0.91943751541898522</v>
      </c>
      <c r="L12" s="90">
        <f t="array" ref="L12">IF(ISERROR(AVERAGEA(IF(A12=斷絲!$4:$4,斷絲!$24:$24))),"",AVERAGEA(IF(A12=斷絲!$4:$4,斷絲!$24:$24)))</f>
        <v>1.75</v>
      </c>
      <c r="M12" s="90">
        <f t="array" ref="M12">IF(ISERROR(AVERAGEA(IF(A12=斷絲!$B$4:$U$4,斷絲!$B$39:$U$39))),"",AVERAGEA(IF(A12=斷絲!$B$4:$U$4,斷絲!$B$39:$U$39)))</f>
        <v>3.0243055555555558</v>
      </c>
      <c r="N12" s="89">
        <f>IF(G12=0,0,AFK!$Z$41/G$12)</f>
        <v>0.8799100901839314</v>
      </c>
      <c r="O12" s="169">
        <v>5</v>
      </c>
      <c r="P12" s="1172" t="s">
        <v>17293</v>
      </c>
      <c r="Q12" s="82"/>
      <c r="R12" s="115">
        <f>AFK!AB$3</f>
        <v>142</v>
      </c>
      <c r="S12" s="245" t="s">
        <v>158</v>
      </c>
      <c r="T12" s="244" t="s">
        <v>16143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2F6IQ2</v>
      </c>
      <c r="B13" s="83" t="str">
        <f>AFK!AC4</f>
        <v>150/48/2CE</v>
      </c>
      <c r="C13" s="145" t="s">
        <v>17514</v>
      </c>
      <c r="D13" s="84">
        <f>AFK!AC37</f>
        <v>0.52941176470588236</v>
      </c>
      <c r="E13" s="85">
        <f>AFK!AE4</f>
        <v>550</v>
      </c>
      <c r="F13" s="86">
        <f>AFK!AD37</f>
        <v>24292.223999999998</v>
      </c>
      <c r="G13" s="386">
        <f>AFK!AE37-AFK!AC61</f>
        <v>18570</v>
      </c>
      <c r="H13" s="86">
        <f t="shared" si="0"/>
        <v>32099.23175416133</v>
      </c>
      <c r="I13" s="87">
        <f>IF(F13=0,0,G13/F13)</f>
        <v>0.76444215235295054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IF(ISERROR(AVERAGEA(IF(A13=斷絲!$4:$4,斷絲!$24:$24))),"",AVERAGEA(IF(A13=斷絲!$4:$4,斷絲!$24:$24)))</f>
        <v>1.38</v>
      </c>
      <c r="M13" s="90">
        <f t="array" ref="M13">IF(ISERROR(AVERAGEA(IF(A13=斷絲!$B$4:$U$4,斷絲!$B$39:$U$39))),"",AVERAGEA(IF(A13=斷絲!$B$4:$U$4,斷絲!$B$39:$U$39)))</f>
        <v>1.5885185185185184</v>
      </c>
      <c r="N13" s="89">
        <f>IF(G13=0,0,AFK!$AC$41/G$13)</f>
        <v>0.96122778675282716</v>
      </c>
      <c r="O13" s="169">
        <v>5</v>
      </c>
      <c r="P13" s="1172" t="s">
        <v>17451</v>
      </c>
      <c r="Q13" s="82"/>
      <c r="R13" s="115">
        <f>AFK!AE$3</f>
        <v>142</v>
      </c>
      <c r="S13" s="245" t="s">
        <v>630</v>
      </c>
      <c r="T13" s="244" t="s">
        <v>15643</v>
      </c>
      <c r="U13" s="469" t="str">
        <f>IF(ISNA(HLOOKUP(A13,IAD!$6:$10,5,0)),"",(HLOOKUP(A13,IAD!$6:$10,5,0)))</f>
        <v>白底紅三角</v>
      </c>
      <c r="Z13" s="695"/>
    </row>
    <row r="14" spans="1:26" ht="19.5" customHeight="1">
      <c r="A14" s="73" t="str">
        <f>AFK!AF3</f>
        <v>2F7E22</v>
      </c>
      <c r="B14" s="94" t="str">
        <f>AFK!AF4</f>
        <v>165/48SR6</v>
      </c>
      <c r="C14" s="145" t="s">
        <v>17498</v>
      </c>
      <c r="D14" s="95">
        <f>AFK!AF37</f>
        <v>0.11764705882352941</v>
      </c>
      <c r="E14" s="96">
        <f>AFK!AH4</f>
        <v>600</v>
      </c>
      <c r="F14" s="97">
        <f>AFK!AG37</f>
        <v>6428.16</v>
      </c>
      <c r="G14" s="387">
        <f>AFK!AH37-AFK!AF61</f>
        <v>0</v>
      </c>
      <c r="H14" s="86">
        <f t="shared" si="0"/>
        <v>0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 t="s">
        <v>653</v>
      </c>
      <c r="M14" s="90">
        <f t="array" ref="M14">IF(ISERROR(AVERAGEA(IF(A14=斷絲!$B$4:$U$4,斷絲!$B$39:$U$39))),"",AVERAGEA(IF(A14=斷絲!$B$4:$U$4,斷絲!$B$39:$U$39)))</f>
        <v>0</v>
      </c>
      <c r="N14" s="89">
        <f>IF(G14=0,0,AFK!$AF$41/G$14)</f>
        <v>0</v>
      </c>
      <c r="O14" s="169">
        <v>5</v>
      </c>
      <c r="P14" s="1172" t="s">
        <v>17511</v>
      </c>
      <c r="Q14" s="82"/>
      <c r="R14" s="115">
        <f>AFK!AH$3</f>
        <v>155</v>
      </c>
      <c r="S14" s="245" t="s">
        <v>279</v>
      </c>
      <c r="T14" s="244" t="s">
        <v>17512</v>
      </c>
      <c r="U14" s="469" t="str">
        <f>IF(ISNA(HLOOKUP(A14,IAD!$6:$10,5,0)),"",(HLOOKUP(A14,IAD!$6:$10,5,0)))</f>
        <v>綠藍三角</v>
      </c>
      <c r="Z14" s="695"/>
    </row>
    <row r="15" spans="1:26" ht="19.5" customHeight="1" thickBot="1">
      <c r="A15" s="72" t="str">
        <f>AFK!AI3</f>
        <v>2F7E31</v>
      </c>
      <c r="B15" s="83" t="str">
        <f>AFK!AI4</f>
        <v>165/48/2SR6</v>
      </c>
      <c r="C15" s="145" t="s">
        <v>17515</v>
      </c>
      <c r="D15" s="84">
        <f>AFK!AI37</f>
        <v>0</v>
      </c>
      <c r="E15" s="85">
        <f>AFK!AK4</f>
        <v>550</v>
      </c>
      <c r="F15" s="86">
        <f>AFK!AJ37</f>
        <v>0</v>
      </c>
      <c r="G15" s="386">
        <f>AFK!AK37-AFK!AI61</f>
        <v>0</v>
      </c>
      <c r="H15" s="86">
        <f t="shared" si="0"/>
        <v>0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>
        <f t="array" ref="M15">IF(ISERROR(AVERAGEA(IF(A15=斷絲!$B$4:$U$4,斷絲!$B$39:$U$39))),"",AVERAGEA(IF(A15=斷絲!$B$4:$U$4,斷絲!$B$39:$U$39)))</f>
        <v>0</v>
      </c>
      <c r="N15" s="89">
        <f>IF(G15=0,0,AFK!$AI$41/$G$15)</f>
        <v>0</v>
      </c>
      <c r="O15" s="169">
        <v>5</v>
      </c>
      <c r="P15" s="1172" t="s">
        <v>17513</v>
      </c>
      <c r="Q15" s="82"/>
      <c r="R15" s="115">
        <f>AFK!AK$3</f>
        <v>305</v>
      </c>
      <c r="S15" s="245" t="s">
        <v>158</v>
      </c>
      <c r="T15" s="244" t="s">
        <v>16798</v>
      </c>
      <c r="U15" s="469" t="str">
        <f>IF(ISNA(HLOOKUP(A15,IAD!$6:$10,5,0)),"",(HLOOKUP(A15,IAD!$6:$10,5,0)))</f>
        <v>黃色</v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IF(ISERROR(AVERAGEA(IF(A16=斷絲!$B$4:$U$4,斷絲!$B$39:$U$39))),"",AVERAGEA(IF(A16=斷絲!$B$4:$U$4,斷絲!$B$39:$U$39)))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IF(ISERROR(AVERAGEA(IF(A17=斷絲!$B$4:$U$4,斷絲!$B$39:$U$39))),"",AVERAGEA(IF(A17=斷絲!$B$4:$U$4,斷絲!$B$39:$U$39)))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IF(ISERROR(AVERAGEA(IF(A18=斷絲!$B$4:$U$4,斷絲!$B$39:$U$39))),"",AVERAGEA(IF(A18=斷絲!$B$4:$U$4,斷絲!$B$39:$U$39)))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IF(ISERROR(AVERAGEA(IF(A19=斷絲!$B$4:$U$4,斷絲!$B$39:$U$39))),"",AVERAGEA(IF(A19=斷絲!$B$4:$U$4,斷絲!$B$39:$U$39)))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IF(ISERROR(AVERAGEA(IF(A20=斷絲!$B$4:$U$4,斷絲!$B$39:$U$39))),"",AVERAGEA(IF(A20=斷絲!$B$4:$U$4,斷絲!$B$39:$U$39)))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IF(ISERROR(AVERAGEA(IF(A21=斷絲!$B$4:$U$4,斷絲!$B$39:$U$39))),"",AVERAGEA(IF(A21=斷絲!$B$4:$U$4,斷絲!$B$39:$U$39)))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IF(ISERROR(AVERAGEA(IF(A22=斷絲!$B$4:$U$4,斷絲!$B$39:$U$39))),"",AVERAGEA(IF(A22=斷絲!$B$4:$U$4,斷絲!$B$39:$U$39)))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IF(ISERROR(AVERAGEA(IF(A23=斷絲!$B$4:$U$4,斷絲!$B$39:$U$39))),"",AVERAGEA(IF(A23=斷絲!$B$4:$U$4,斷絲!$B$39:$U$39)))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IF(ISERROR(AVERAGEA(IF(A24=斷絲!$B$4:$U$4,斷絲!$B$39:$U$39))),"",AVERAGEA(IF(A24=斷絲!$B$4:$U$4,斷絲!$B$39:$U$39)))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IF(ISERROR(AVERAGEA(IF(A25=斷絲!$B$4:$U$4,斷絲!$B$39:$U$39))),"",AVERAGEA(IF(A25=斷絲!$B$4:$U$4,斷絲!$B$39:$U$39)))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IF(ISERROR(AVERAGEA(IF(A26=斷絲!$B$4:$U$4,斷絲!$B$39:$U$39))),"",AVERAGEA(IF(A26=斷絲!$B$4:$U$4,斷絲!$B$39:$U$39)))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IF(ISERROR(AVERAGEA(IF(A27=斷絲!$B$4:$U$4,斷絲!$B$39:$U$39))),"",AVERAGEA(IF(A27=斷絲!$B$4:$U$4,斷絲!$B$39:$U$39)))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IF(ISERROR(AVERAGEA(IF(A28=斷絲!$B$4:$U$4,斷絲!$B$39:$U$39))),"",AVERAGEA(IF(A28=斷絲!$B$4:$U$4,斷絲!$B$39:$U$39)))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IF(ISERROR(AVERAGEA(IF(A29=斷絲!$B$4:$U$4,斷絲!$B$39:$U$39))),"",AVERAGEA(IF(A29=斷絲!$B$4:$U$4,斷絲!$B$39:$U$39)))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IF(ISERROR(AVERAGEA(IF(A30=斷絲!$B$4:$U$4,斷絲!$B$39:$U$39))),"",AVERAGEA(IF(A30=斷絲!$B$4:$U$4,斷絲!$B$39:$U$39)))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IF(ISERROR(AVERAGEA(IF(A31=斷絲!$B$4:$U$4,斷絲!$B$39:$U$39))),"",AVERAGEA(IF(A31=斷絲!$B$4:$U$4,斷絲!$B$39:$U$39)))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IF(ISERROR(AVERAGEA(IF(A32=斷絲!$B$4:$U$4,斷絲!$B$39:$U$39))),"",AVERAGEA(IF(A32=斷絲!$B$4:$U$4,斷絲!$B$39:$U$39)))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IF(ISERROR(AVERAGEA(IF(A33=斷絲!$B$4:$U$4,斷絲!$B$39:$U$39))),"",AVERAGEA(IF(A33=斷絲!$B$4:$U$4,斷絲!$B$39:$U$39)))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IF(ISERROR(AVERAGEA(IF(A34=斷絲!$B$4:$U$4,斷絲!$B$39:$U$39))),"",AVERAGEA(IF(A34=斷絲!$B$4:$U$4,斷絲!$B$39:$U$39)))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IF(ISERROR(AVERAGEA(IF(A35=斷絲!$B$4:$U$4,斷絲!$B$39:$U$39))),"",AVERAGEA(IF(A35=斷絲!$B$4:$U$4,斷絲!$B$39:$U$39)))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IF(ISERROR(AVERAGEA(IF(A36=斷絲!$B$4:$U$4,斷絲!$B$39:$U$39))),"",AVERAGEA(IF(A36=斷絲!$B$4:$U$4,斷絲!$B$39:$U$39)))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IF(ISERROR(AVERAGEA(IF(A37=斷絲!$B$4:$U$4,斷絲!$B$39:$U$39))),"",AVERAGEA(IF(A37=斷絲!$B$4:$U$4,斷絲!$B$39:$U$39)))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IF(ISERROR(AVERAGEA(IF(A38=斷絲!$B$4:$U$4,斷絲!$B$39:$U$39))),"",AVERAGEA(IF(A38=斷絲!$B$4:$U$4,斷絲!$B$39:$U$39)))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IF(ISERROR(AVERAGEA(IF(A39=斷絲!$B$4:$U$4,斷絲!$B$39:$U$39))),"",AVERAGEA(IF(A39=斷絲!$B$4:$U$4,斷絲!$B$39:$U$39)))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IF(ISERROR(AVERAGEA(IF(A40=斷絲!$B$4:$U$4,斷絲!$B$39:$U$39))),"",AVERAGEA(IF(A40=斷絲!$B$4:$U$4,斷絲!$B$39:$U$39)))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IF(ISERROR(AVERAGEA(IF(A41=斷絲!$B$4:$U$4,斷絲!$B$39:$U$39))),"",AVERAGEA(IF(A41=斷絲!$B$4:$U$4,斷絲!$B$39:$U$39)))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IF(ISERROR(AVERAGEA(IF(A42=斷絲!$B$4:$U$4,斷絲!$B$39:$U$39))),"",AVERAGEA(IF(A42=斷絲!$B$4:$U$4,斷絲!$B$39:$U$39)))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IF(ISERROR(AVERAGEA(IF(A43=斷絲!$B$4:$U$4,斷絲!$B$39:$U$39))),"",AVERAGEA(IF(A43=斷絲!$B$4:$U$4,斷絲!$B$39:$U$39)))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IF(ISERROR(AVERAGEA(IF(A44=斷絲!$B$4:$U$4,斷絲!$B$39:$U$39))),"",AVERAGEA(IF(A44=斷絲!$B$4:$U$4,斷絲!$B$39:$U$39)))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IF(ISERROR(AVERAGEA(IF(A45=斷絲!$B$4:$U$4,斷絲!$B$39:$U$39))),"",AVERAGEA(IF(A45=斷絲!$B$4:$U$4,斷絲!$B$39:$U$39)))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IF(ISERROR(AVERAGEA(IF(A46=斷絲!$B$4:$U$4,斷絲!$B$39:$U$39))),"",AVERAGEA(IF(A46=斷絲!$B$4:$U$4,斷絲!$B$39:$U$39)))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IF(ISERROR(AVERAGEA(IF(A47=斷絲!$B$4:$U$4,斷絲!$B$39:$U$39))),"",AVERAGEA(IF(A47=斷絲!$B$4:$U$4,斷絲!$B$39:$U$39)))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IF(ISERROR(AVERAGEA(IF(A48=斷絲!$B$4:$U$4,斷絲!$B$39:$U$39))),"",AVERAGEA(IF(A48=斷絲!$B$4:$U$4,斷絲!$B$39:$U$39)))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IF(ISERROR(AVERAGEA(IF(A49=斷絲!$B$4:$U$4,斷絲!$B$39:$U$39))),"",AVERAGEA(IF(A49=斷絲!$B$4:$U$4,斷絲!$B$39:$U$39)))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IF(ISERROR(AVERAGEA(IF(A50=斷絲!$B$4:$U$4,斷絲!$B$39:$U$39))),"",AVERAGEA(IF(A50=斷絲!$B$4:$U$4,斷絲!$B$39:$U$39)))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IF(ISERROR(AVERAGEA(IF(A51=斷絲!$B$4:$U$4,斷絲!$B$39:$U$39))),"",AVERAGEA(IF(A51=斷絲!$B$4:$U$4,斷絲!$B$39:$U$39)))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IF(ISERROR(AVERAGEA(IF(A52=斷絲!$B$4:$U$4,斷絲!$B$39:$U$39))),"",AVERAGEA(IF(A52=斷絲!$B$4:$U$4,斷絲!$B$39:$U$39)))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IF(ISERROR(AVERAGEA(IF(A53=斷絲!$B$4:$U$4,斷絲!$B$39:$U$39))),"",AVERAGEA(IF(A53=斷絲!$B$4:$U$4,斷絲!$B$39:$U$39)))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IF(ISERROR(AVERAGEA(IF(A54=斷絲!$B$4:$U$4,斷絲!$B$39:$U$39))),"",AVERAGEA(IF(A54=斷絲!$B$4:$U$4,斷絲!$B$39:$U$39)))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IF(ISERROR(AVERAGEA(IF(A55=斷絲!$B$4:$U$4,斷絲!$B$39:$U$39))),"",AVERAGEA(IF(A55=斷絲!$B$4:$U$4,斷絲!$B$39:$U$39)))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IF(ISERROR(AVERAGEA(IF(A56=斷絲!$B$4:$U$4,斷絲!$B$39:$U$39))),"",AVERAGEA(IF(A56=斷絲!$B$4:$U$4,斷絲!$B$39:$U$39)))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IF(ISERROR(AVERAGEA(IF(A57=斷絲!$B$4:$U$4,斷絲!$B$39:$U$39))),"",AVERAGEA(IF(A57=斷絲!$B$4:$U$4,斷絲!$B$39:$U$39)))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IF(ISERROR(AVERAGEA(IF(A58=斷絲!$B$4:$U$4,斷絲!$B$39:$U$39))),"",AVERAGEA(IF(A58=斷絲!$B$4:$U$4,斷絲!$B$39:$U$39)))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IF(ISERROR(AVERAGEA(IF(A59=斷絲!$B$4:$U$4,斷絲!$B$39:$U$39))),"",AVERAGEA(IF(A59=斷絲!$B$4:$U$4,斷絲!$B$39:$U$39)))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IF(ISERROR(AVERAGEA(IF(A60=斷絲!$B$4:$U$4,斷絲!$B$39:$U$39))),"",AVERAGEA(IF(A60=斷絲!$B$4:$U$4,斷絲!$B$39:$U$39)))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IF(ISERROR(AVERAGEA(IF(A61=斷絲!$B$4:$U$4,斷絲!$B$39:$U$39))),"",AVERAGEA(IF(A61=斷絲!$B$4:$U$4,斷絲!$B$39:$U$39)))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IF(ISERROR(AVERAGEA(IF(A62=斷絲!$B$4:$U$4,斷絲!$B$39:$U$39))),"",AVERAGEA(IF(A62=斷絲!$B$4:$U$4,斷絲!$B$39:$U$39)))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IF(ISERROR(AVERAGEA(IF(A63=斷絲!$B$4:$U$4,斷絲!$B$39:$U$39))),"",AVERAGEA(IF(A63=斷絲!$B$4:$U$4,斷絲!$B$39:$U$39)))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IF(ISERROR(AVERAGEA(IF(A64=斷絲!$B$4:$U$4,斷絲!$B$39:$U$39))),"",AVERAGEA(IF(A64=斷絲!$B$4:$U$4,斷絲!$B$39:$U$39)))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IF(ISERROR(AVERAGEA(IF(A65=斷絲!$B$4:$U$4,斷絲!$B$39:$U$39))),"",AVERAGEA(IF(A65=斷絲!$B$4:$U$4,斷絲!$B$39:$U$39)))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IF(ISERROR(AVERAGEA(IF(A66=斷絲!$B$4:$U$4,斷絲!$B$39:$U$39))),"",AVERAGEA(IF(A66=斷絲!$B$4:$U$4,斷絲!$B$39:$U$39)))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IF(ISERROR(AVERAGEA(IF(A67=斷絲!$B$4:$U$4,斷絲!$B$39:$U$39))),"",AVERAGEA(IF(A67=斷絲!$B$4:$U$4,斷絲!$B$39:$U$39)))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93.742857142857147</v>
      </c>
      <c r="C68" s="248">
        <f t="array" ref="C68">SUM(D4:D67*E4:E67)/D68</f>
        <v>604.85714285714289</v>
      </c>
      <c r="D68" s="163">
        <f>SUM(D4:D67)</f>
        <v>6.1764705882352935</v>
      </c>
      <c r="E68" s="113" t="s">
        <v>23</v>
      </c>
      <c r="F68" s="143">
        <f>SUM(F4:F67)</f>
        <v>205945.80479999998</v>
      </c>
      <c r="G68" s="388">
        <f>SUM(G4:G67)</f>
        <v>173632</v>
      </c>
      <c r="H68" s="164" t="e">
        <f>SUM(H4:H28)</f>
        <v>#DIV/0!</v>
      </c>
      <c r="I68" s="68">
        <f>G68/F68</f>
        <v>0.84309559094257414</v>
      </c>
      <c r="J68" s="165"/>
      <c r="K68" s="71">
        <f t="array" ref="K68">(SUM(G4:G67*K4:K67))/(G68+G2)</f>
        <v>0.96280014352526866</v>
      </c>
      <c r="L68" s="217">
        <f>AVERAGE(L4:L67)</f>
        <v>1.5016666666666667</v>
      </c>
      <c r="M68" s="166">
        <f>斷絲!W38</f>
        <v>2.2287403100775185</v>
      </c>
      <c r="N68" s="167">
        <f t="array" ref="N68">SUM(G4:G67*N4:N67)/(G68+G2)</f>
        <v>0.90475202165317226</v>
      </c>
      <c r="O68" s="692">
        <f t="array" ref="O68">SUM(G4:G67*O4:O67)/$G$68</f>
        <v>4.5322636380390708</v>
      </c>
      <c r="P68" s="1184" t="s">
        <v>17520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52.275768821380282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5.8823529411764705E-2</v>
      </c>
      <c r="E71" s="85">
        <f>'33J'!D4</f>
        <v>600</v>
      </c>
      <c r="F71" s="86">
        <f>'33J'!C37</f>
        <v>5847.5519999999997</v>
      </c>
      <c r="G71" s="386">
        <f>'33J'!D37-'33J'!B61</f>
        <v>7522</v>
      </c>
      <c r="H71" s="86">
        <f>IF(R71="","",(G71*(150/R71)*(900/E71)))</f>
        <v>6001.5957446808507</v>
      </c>
      <c r="I71" s="87">
        <f>IF(F71=0,0,G71/F71)</f>
        <v>1.286350253918221</v>
      </c>
      <c r="J71" s="88">
        <f>'33J'!B40/100</f>
        <v>0</v>
      </c>
      <c r="K71" s="91">
        <f>IF(G71=0,0,('33J'!$B$38-'33J'!$B$60-'33J'!$C$60)/日報表!$G$71)</f>
        <v>0.87835681999468229</v>
      </c>
      <c r="L71" s="1349"/>
      <c r="M71" s="90">
        <f t="array" ref="M71">IF(ISERROR(AVERAGEA(IF(A71=斷絲!$X$4:$AA$4,斷絲!$X$39:$AA$39))),"",AVERAGEA(IF(A71=斷絲!$X$4:$AA$4,斷絲!$X$39:$AA$39)))</f>
        <v>0</v>
      </c>
      <c r="N71" s="91">
        <f>IF(G71=0,0,'33J'!$B$41/G71)</f>
        <v>0.61419835150225999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0.82352941176470584</v>
      </c>
      <c r="E72" s="85">
        <f>'33J'!G4</f>
        <v>600</v>
      </c>
      <c r="F72" s="86">
        <f>'33J'!F37</f>
        <v>81865.727999999974</v>
      </c>
      <c r="G72" s="386">
        <f>'33J'!G37-'33J'!E61</f>
        <v>51096</v>
      </c>
      <c r="H72" s="86">
        <f t="shared" ref="H72:H85" si="6">IF(R72="","",(G72*(150/R72)*(900/E72)))</f>
        <v>40768.085106382976</v>
      </c>
      <c r="I72" s="87">
        <f>IF(F72=0,0,G72/F72)</f>
        <v>0.62414396412623385</v>
      </c>
      <c r="J72" s="88">
        <f>'33J'!E40/100</f>
        <v>1</v>
      </c>
      <c r="K72" s="91">
        <f>IF(G72=0,0,('33J'!$E$38-'33J'!$E$60-'33J'!$F$60)/日報表!$G$72)</f>
        <v>0.98522389228119622</v>
      </c>
      <c r="L72" s="90" t="s">
        <v>127</v>
      </c>
      <c r="M72" s="90">
        <f t="array" ref="M72">IF(ISERROR(AVERAGEA(IF(A72=斷絲!$X$4:$AA$4,斷絲!$X$39:$AA$39))),"",AVERAGEA(IF(A72=斷絲!$X$4:$AA$4,斷絲!$X$39:$AA$39)))</f>
        <v>4.7632051282051284</v>
      </c>
      <c r="N72" s="91">
        <f>IF(G72=0,0,'33J'!$E$41/G72)</f>
        <v>0.90740958196336308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17337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IF(ISERROR(AVERAGEA(IF(A73=斷絲!$X$4:$AA$4,斷絲!$X$39:$AA$39))),"",AVERAGEA(IF(A73=斷絲!$X$4:$AA$4,斷絲!$X$39:$AA$39)))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IF(ISERROR(AVERAGEA(IF(A74=斷絲!$X$4:$AA$4,斷絲!$X$39:$AA$39))),"",AVERAGEA(IF(A74=斷絲!$X$4:$AA$4,斷絲!$X$39:$AA$39)))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IF(ISERROR(AVERAGEA(IF(A75=斷絲!$X$4:$AA$4,斷絲!$X$39:$AA$39))),"",AVERAGEA(IF(A75=斷絲!$X$4:$AA$4,斷絲!$X$39:$AA$39)))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IF(ISERROR(AVERAGEA(IF(A76=斷絲!$X$4:$AA$4,斷絲!$X$39:$AA$39))),"",AVERAGEA(IF(A76=斷絲!$X$4:$AA$4,斷絲!$X$39:$AA$39)))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IF(ISERROR(AVERAGEA(IF(A77=斷絲!$X$4:$AA$4,斷絲!$X$39:$AA$39))),"",AVERAGEA(IF(A77=斷絲!$X$4:$AA$4,斷絲!$X$39:$AA$39)))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IF(ISERROR(AVERAGEA(IF(A78=斷絲!$X$4:$AA$4,斷絲!$X$39:$AA$39))),"",AVERAGEA(IF(A78=斷絲!$X$4:$AA$4,斷絲!$X$39:$AA$39)))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IF(ISERROR(AVERAGEA(IF(A79=斷絲!$X$4:$AA$4,斷絲!$X$39:$AA$39))),"",AVERAGEA(IF(A79=斷絲!$X$4:$AA$4,斷絲!$X$39:$AA$39)))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IF(ISERROR(AVERAGEA(IF(A80=斷絲!$X$4:$AA$4,斷絲!$X$39:$AA$39))),"",AVERAGEA(IF(A80=斷絲!$X$4:$AA$4,斷絲!$X$39:$AA$39)))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IF(ISERROR(AVERAGEA(IF(A81=斷絲!$X$4:$AA$4,斷絲!$X$39:$AA$39))),"",AVERAGEA(IF(A81=斷絲!$X$4:$AA$4,斷絲!$X$39:$AA$39)))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IF(ISERROR(AVERAGEA(IF(A82=斷絲!$X$4:$AA$4,斷絲!$X$39:$AA$39))),"",AVERAGEA(IF(A82=斷絲!$X$4:$AA$4,斷絲!$X$39:$AA$39)))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IF(ISERROR(AVERAGEA(IF(A83=斷絲!$X$4:$AA$4,斷絲!$X$39:$AA$39))),"",AVERAGEA(IF(A83=斷絲!$X$4:$AA$4,斷絲!$X$39:$AA$39)))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IF(ISERROR(AVERAGEA(IF(A84=斷絲!$X$4:$AA$4,斷絲!$X$39:$AA$39))),"",AVERAGEA(IF(A84=斷絲!$X$4:$AA$4,斷絲!$X$39:$AA$39)))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IF(ISERROR(AVERAGEA(IF(A85=斷絲!$X$4:$AA$4,斷絲!$X$39:$AA$39))),"",AVERAGEA(IF(A85=斷絲!$X$4:$AA$4,斷絲!$X$39:$AA$39)))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IF(ISERROR(AVERAGEA(IF(A86=斷絲!$X$4:$AA$4,斷絲!$X$39:$AA$39))),"",AVERAGEA(IF(A86=斷絲!$X$4:$AA$4,斷絲!$X$39:$AA$39)))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IF(ISERROR(AVERAGEA(IF(A87=斷絲!$X$4:$AA$4,斷絲!$X$39:$AA$39))),"",AVERAGEA(IF(A87=斷絲!$X$4:$AA$4,斷絲!$X$39:$AA$39)))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IF(ISERROR(AVERAGEA(IF(A88=斷絲!$X$4:$AA$4,斷絲!$X$39:$AA$39))),"",AVERAGEA(IF(A88=斷絲!$X$4:$AA$4,斷絲!$X$39:$AA$39)))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IF(ISERROR(AVERAGEA(IF(A89=斷絲!$X$4:$AA$4,斷絲!$X$39:$AA$39))),"",AVERAGEA(IF(A89=斷絲!$X$4:$AA$4,斷絲!$X$39:$AA$39)))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IF(ISERROR(AVERAGEA(IF(A90=斷絲!$X$4:$AA$4,斷絲!$X$39:$AA$39))),"",AVERAGEA(IF(A90=斷絲!$X$4:$AA$4,斷絲!$X$39:$AA$39)))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0.88235294117647056</v>
      </c>
      <c r="E91" s="113" t="s">
        <v>24</v>
      </c>
      <c r="F91" s="143">
        <f>SUM(F71:F90)</f>
        <v>87713.27999999997</v>
      </c>
      <c r="G91" s="388">
        <f>SUM(G71:G90)</f>
        <v>58618</v>
      </c>
      <c r="H91" s="136" t="e">
        <f>SUM(H61:H80)</f>
        <v>#DIV/0!</v>
      </c>
      <c r="I91" s="68">
        <f>G91/F91</f>
        <v>0.66829105011236634</v>
      </c>
      <c r="J91" s="114"/>
      <c r="K91" s="69">
        <f t="array" ref="K91">IF(ISERROR((SUM(G71:G90*K71:K90))/(G91+G69)),0,((SUM(G71:G90*K71:K90))/(G91+G69)))</f>
        <v>0.97064483256210232</v>
      </c>
      <c r="L91" s="157" t="str">
        <f t="array" ref="L91">IF(ISERROR(AVERAGE(L71:L90)),"",(AVERAGE(L71:L90)))</f>
        <v/>
      </c>
      <c r="M91" s="191">
        <f>IF((斷絲!AC38)="","",(斷絲!AC38))</f>
        <v>4.7632051282051284</v>
      </c>
      <c r="N91" s="71">
        <f t="array" ref="N91">IF(ISERROR(SUM(G71:G90*N71:N90)/(G91+G69)),0,(SUM(G71:G90*N71:N90)/(G91+G69)))</f>
        <v>0.86900903961822695</v>
      </c>
      <c r="O91" s="171">
        <f t="array" ref="O91">IF(ISERROR(SUM(G71:G90*O71:O90)/$G$91),0,(SUM(G71:G90*O71:O90)/$G$91))</f>
        <v>5.5</v>
      </c>
      <c r="P91" s="1181" t="s">
        <v>17408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1.3733782112137165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8.8235294117647065E-2</v>
      </c>
      <c r="E94" s="96">
        <f>MPS!D4</f>
        <v>600</v>
      </c>
      <c r="F94" s="97">
        <f>MPS!C37</f>
        <v>1389.3119999999999</v>
      </c>
      <c r="G94" s="387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5">
        <f>IF(G94=0,0,(MPS!B$38-MPS!B$60-MPS!C$60)/$G94)</f>
        <v>0.85584415584415585</v>
      </c>
      <c r="L94" s="1349"/>
      <c r="M94" s="90" t="str">
        <f t="array" ref="M94">IF(ISERROR(AVERAGEA(IF(A94=斷絲!$X$4:$AA$4,斷絲!$X$39:$AA$39))),"",AVERAGEA(IF(A94=斷絲!$X$4:$AA$4,斷絲!$X$39:$AA$39)))</f>
        <v/>
      </c>
      <c r="N94" s="109">
        <f>IF(G94=0,0,MPS!B$41/G94)</f>
        <v>0.52597402597402598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IF(ISERROR(AVERAGE(IF(A95=斷絲!$AR$4:$AT$4,斷絲!$AR$39:$AT$39))),"",AVERAGE(IF(A95=斷絲!$AR$4:$AT$4,斷絲!$AR$39:$AT$39)))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IF(ISERROR(AVERAGE(IF(A96=斷絲!$AR$4:$AT$4,斷絲!$AR$39:$AT$39))),"",AVERAGE(IF(A96=斷絲!$AR$4:$AT$4,斷絲!$AR$39:$AT$39)))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IF(ISERROR(AVERAGE(IF(A97=斷絲!$AR$4:$AT$4,斷絲!$AR$39:$AT$39))),"",AVERAGE(IF(A97=斷絲!$AR$4:$AT$4,斷絲!$AR$39:$AT$39)))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IF(ISERROR(AVERAGE(IF(A98=斷絲!$AR$4:$AT$4,斷絲!$AR$39:$AT$39))),"",AVERAGE(IF(A98=斷絲!$AR$4:$AT$4,斷絲!$AR$39:$AT$39)))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IF(ISERROR(AVERAGE(IF(A99=斷絲!$AR$4:$AT$4,斷絲!$AR$39:$AT$39))),"",AVERAGE(IF(A99=斷絲!$AR$4:$AT$4,斷絲!$AR$39:$AT$39)))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IF(ISERROR(AVERAGE(IF(A100=斷絲!$AR$4:$AT$4,斷絲!$AR$39:$AT$39))),"",AVERAGE(IF(A100=斷絲!$AR$4:$AT$4,斷絲!$AR$39:$AT$39)))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IF(ISERROR(AVERAGE(IF(A101=斷絲!$AR$4:$AT$4,斷絲!$AR$39:$AT$39))),"",AVERAGE(IF(A101=斷絲!$AR$4:$AT$4,斷絲!$AR$39:$AT$39)))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IF(ISERROR(AVERAGE(IF(A102=斷絲!$AR$4:$AT$4,斷絲!$AR$39:$AT$39))),"",AVERAGE(IF(A102=斷絲!$AR$4:$AT$4,斷絲!$AR$39:$AT$39)))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IF(ISERROR(AVERAGE(IF(A103=斷絲!$AR$4:$AT$4,斷絲!$AR$39:$AT$39))),"",AVERAGE(IF(A103=斷絲!$AR$4:$AT$4,斷絲!$AR$39:$AT$39)))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IF(ISERROR(AVERAGE(IF(A104=斷絲!$AR$4:$AT$4,斷絲!$AR$39:$AT$39))),"",AVERAGE(IF(A104=斷絲!$AR$4:$AT$4,斷絲!$AR$39:$AT$39)))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IF(ISERROR(AVERAGE(IF(A105=斷絲!$AR$4:$AT$4,斷絲!$AR$39:$AT$39))),"",AVERAGE(IF(A105=斷絲!$AR$4:$AT$4,斷絲!$AR$39:$AT$39)))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IF(ISERROR(AVERAGE(IF(A106=斷絲!$AR$4:$AT$4,斷絲!$AR$39:$AT$39))),"",AVERAGE(IF(A106=斷絲!$AR$4:$AT$4,斷絲!$AR$39:$AT$39)))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IF(ISERROR(AVERAGE(IF(A107=斷絲!$AR$4:$AT$4,斷絲!$AR$39:$AT$39))),"",AVERAGE(IF(A107=斷絲!$AR$4:$AT$4,斷絲!$AR$39:$AT$39)))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IF(ISERROR(AVERAGE(IF(A108=斷絲!$AR$4:$AT$4,斷絲!$AR$39:$AT$39))),"",AVERAGE(IF(A108=斷絲!$AR$4:$AT$4,斷絲!$AR$39:$AT$39)))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IF(ISERROR(AVERAGE(IF(A109=斷絲!$AR$4:$AT$4,斷絲!$AR$39:$AT$39))),"",AVERAGE(IF(A109=斷絲!$AR$4:$AT$4,斷絲!$AR$39:$AT$39)))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8.8235294117647065E-2</v>
      </c>
      <c r="E110" s="113" t="s">
        <v>25</v>
      </c>
      <c r="F110" s="143">
        <f>SUM(F94:F109)</f>
        <v>1389.3119999999999</v>
      </c>
      <c r="G110" s="388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0.85508159063286671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0.52550537815828691</v>
      </c>
      <c r="O110" s="171">
        <f t="array" ref="O110">IF(G110=0,"0",(SUM(G94:G109*O94:O109)/G110))</f>
        <v>5</v>
      </c>
      <c r="P110" s="1184" t="s">
        <v>17409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IF(ISERROR(AVERAGE(IF(A113=斷絲!$AW$4:$BD$4,斷絲!$AW$39:$BD$39))),"",AVERAGE(IF(A113=斷絲!$AW$4:$BD$4,斷絲!$AW$39:$BD$39)))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IF(ISERROR(AVERAGE(IF(A114=斷絲!$AW$4:$BD$4,斷絲!$AW$39:$BD$39))),"",AVERAGE(IF(A114=斷絲!$AW$4:$BD$4,斷絲!$AW$39:$BD$39)))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IF(ISERROR(AVERAGE(IF(A115=斷絲!$AW$4:$BD$4,斷絲!$AW$39:$BD$39))),"",AVERAGE(IF(A115=斷絲!$AW$4:$BD$4,斷絲!$AW$39:$BD$39)))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IF(ISERROR(AVERAGE(IF(A116=斷絲!$AW$4:$BD$4,斷絲!$AW$39:$BD$39))),"",AVERAGE(IF(A116=斷絲!$AW$4:$BD$4,斷絲!$AW$39:$BD$39)))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IF(ISERROR(AVERAGE(IF(A117=斷絲!$AW$4:$BD$4,斷絲!$AW$39:$BD$39))),"",AVERAGE(IF(A117=斷絲!$AW$4:$BD$4,斷絲!$AW$39:$BD$39)))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IF(ISERROR(AVERAGE(IF(A118=斷絲!$AW$4:$BD$4,斷絲!$AW$39:$BD$39))),"",AVERAGE(IF(A118=斷絲!$AW$4:$BD$4,斷絲!$AW$39:$BD$39)))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IF(ISERROR(AVERAGE(IF(A119=斷絲!$AW$4:$BD$4,斷絲!$AW$39:$BD$39))),"",AVERAGE(IF(A119=斷絲!$AW$4:$BD$4,斷絲!$AW$39:$BD$39)))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IF(ISERROR(AVERAGE(IF(A120=斷絲!$AW$4:$BD$4,斷絲!$AW$39:$BD$39))),"",AVERAGE(IF(A120=斷絲!$AW$4:$BD$4,斷絲!$AW$39:$BD$39)))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IF(ISERROR(AVERAGE(IF(A121=斷絲!$AW$4:$BD$4,斷絲!$AW$39:$BD$39))),"",AVERAGE(IF(A121=斷絲!$AW$4:$BD$4,斷絲!$AW$39:$BD$39)))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IF(ISERROR(AVERAGE(IF(A122=斷絲!$AW$4:$BD$4,斷絲!$AW$39:$BD$39))),"",AVERAGE(IF(A122=斷絲!$AW$4:$BD$4,斷絲!$AW$39:$BD$39)))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IF(ISERROR(AVERAGE(IF(A123=斷絲!$AW$4:$BD$4,斷絲!$AW$39:$BD$39))),"",AVERAGE(IF(A123=斷絲!$AW$4:$BD$4,斷絲!$AW$39:$BD$39)))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IF(ISERROR(AVERAGE(IF(A124=斷絲!$AW$4:$BD$4,斷絲!$AW$39:$BD$39))),"",AVERAGE(IF(A124=斷絲!$AW$4:$BD$4,斷絲!$AW$39:$BD$39)))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IF(ISERROR(AVERAGE(IF(A125=斷絲!$AW$4:$BD$4,斷絲!$AW$39:$BD$39))),"",AVERAGE(IF(A125=斷絲!$AW$4:$BD$4,斷絲!$AW$39:$BD$39)))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IF(ISERROR(AVERAGE(IF(A126=斷絲!$AW$4:$BD$4,斷絲!$AW$39:$BD$39))),"",AVERAGE(IF(A126=斷絲!$AW$4:$BD$4,斷絲!$AW$39:$BD$39)))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IF(ISERROR(AVERAGE(IF(A127=斷絲!$AW$4:$BD$4,斷絲!$AW$39:$BD$39))),"",AVERAGE(IF(A127=斷絲!$AW$4:$BD$4,斷絲!$AW$39:$BD$39)))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IF(ISERROR(AVERAGE(IF(A128=斷絲!$AW$4:$BD$4,斷絲!$AW$39:$BD$39))),"",AVERAGE(IF(A128=斷絲!$AW$4:$BD$4,斷絲!$AW$39:$BD$39)))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IF(ISERROR(AVERAGE(IF(A129=斷絲!$AW$4:$BD$4,斷絲!$AW$39:$BD$39))),"",AVERAGE(IF(A129=斷絲!$AW$4:$BD$4,斷絲!$AW$39:$BD$39)))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IF(ISERROR(AVERAGE(IF(A130=斷絲!$AW$4:$BD$4,斷絲!$AW$39:$BD$39))),"",AVERAGE(IF(A130=斷絲!$AW$4:$BD$4,斷絲!$AW$39:$BD$39)))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IF(ISERROR(AVERAGE(IF(A131=斷絲!$AW$4:$BD$4,斷絲!$AW$39:$BD$39))),"",AVERAGE(IF(A131=斷絲!$AW$4:$BD$4,斷絲!$AW$39:$BD$39)))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IF(ISERROR(AVERAGE(IF(A132=斷絲!$AW$4:$BD$4,斷絲!$AW$39:$BD$39))),"",AVERAGE(IF(A132=斷絲!$AW$4:$BD$4,斷絲!$AW$39:$BD$39)))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IF(ISERROR(AVERAGE(IF(A133=斷絲!$AW$4:$BD$4,斷絲!$AW$39:$BD$39))),"",AVERAGE(IF(A133=斷絲!$AW$4:$BD$4,斷絲!$AW$39:$BD$39)))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IF(ISERROR(AVERAGE(IF(A134=斷絲!$AW$4:$BD$4,斷絲!$AW$39:$BD$39))),"",AVERAGE(IF(A134=斷絲!$AW$4:$BD$4,斷絲!$AW$39:$BD$39)))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IF(ISERROR(AVERAGE(IF(A135=斷絲!$AW$4:$BD$4,斷絲!$AW$39:$BD$39))),"",AVERAGE(IF(A135=斷絲!$AW$4:$BD$4,斷絲!$AW$39:$BD$39)))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IF(ISERROR(AVERAGE(IF(A136=斷絲!$AW$4:$BD$4,斷絲!$AW$39:$BD$39))),"",AVERAGE(IF(A136=斷絲!$AW$4:$BD$4,斷絲!$AW$39:$BD$39)))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IF(ISERROR(AVERAGE(IF(A137=斷絲!$AW$4:$BD$4,斷絲!$AW$39:$BD$39))),"",AVERAGE(IF(A137=斷絲!$AW$4:$BD$4,斷絲!$AW$39:$BD$39)))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IF(ISERROR(AVERAGE(IF(A138=斷絲!$AW$4:$BD$4,斷絲!$AW$39:$BD$39))),"",AVERAGE(IF(A138=斷絲!$AW$4:$BD$4,斷絲!$AW$39:$BD$39)))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IF(ISERROR(AVERAGE(IF(A139=斷絲!$AW$4:$BD$4,斷絲!$AW$39:$BD$39))),"",AVERAGE(IF(A139=斷絲!$AW$4:$BD$4,斷絲!$AW$39:$BD$39)))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IF(ISERROR(AVERAGE(IF(A140=斷絲!$AW$4:$BD$4,斷絲!$AW$39:$BD$39))),"",AVERAGE(IF(A140=斷絲!$AW$4:$BD$4,斷絲!$AW$39:$BD$39)))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IF(ISERROR(AVERAGE(IF(A141=斷絲!$AW$4:$BD$4,斷絲!$AW$39:$BD$39))),"",AVERAGE(IF(A141=斷絲!$AW$4:$BD$4,斷絲!$AW$39:$BD$39)))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IF(ISERROR(AVERAGE(IF(A142=斷絲!$AW$4:$BD$4,斷絲!$AW$39:$BD$39))),"",AVERAGE(IF(A142=斷絲!$AW$4:$BD$4,斷絲!$AW$39:$BD$39)))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IF(ISERROR(AVERAGE(IF(A143=斷絲!$AW$4:$BD$4,斷絲!$AW$39:$BD$39))),"",AVERAGE(IF(A143=斷絲!$AW$4:$BD$4,斷絲!$AW$39:$BD$39)))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IF(ISERROR(AVERAGE(IF(A144=斷絲!$AW$4:$BD$4,斷絲!$AW$39:$BD$39))),"",AVERAGE(IF(A144=斷絲!$AW$4:$BD$4,斷絲!$AW$39:$BD$39)))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IF(ISERROR(AVERAGE(IF(A145=斷絲!$AW$4:$BD$4,斷絲!$AW$39:$BD$39))),"",AVERAGE(IF(A145=斷絲!$AW$4:$BD$4,斷絲!$AW$39:$BD$39)))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411.50513506515927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0.35294117647058826</v>
      </c>
      <c r="E149" s="85">
        <f>TMT!D$4</f>
        <v>670</v>
      </c>
      <c r="F149" s="274">
        <f>TMT!C37</f>
        <v>39456.460800000001</v>
      </c>
      <c r="G149" s="392">
        <f>TMT!D$37-TMT!B$61</f>
        <v>29637</v>
      </c>
      <c r="H149" s="86">
        <f>IF(R149="","",(G149*(150/R149)*(900/E149)))</f>
        <v>21026.881437881017</v>
      </c>
      <c r="I149" s="87">
        <f t="shared" ref="I149:I154" si="18">IF(F149=0,0,G149/F149)</f>
        <v>0.75113173860743232</v>
      </c>
      <c r="J149" s="88">
        <f>TMT!B$40/100</f>
        <v>0</v>
      </c>
      <c r="K149" s="89">
        <f>IF(G149=0,0,(TMT!B$38-TMT!B$60-TMT!C$60)/日報表!G149)</f>
        <v>0.94972500590478115</v>
      </c>
      <c r="L149" s="1349"/>
      <c r="M149" s="90">
        <f t="array" ref="M149">IF(ISERROR(AVERAGE(IF(A149=斷絲!$AD$4:$AO$4,斷絲!$AD$39:$AO$39))),"",AVERAGE(IF(A149=斷絲!$AD$4:$AO$4,斷絲!$AD$39:$AO$39)))</f>
        <v>5.3888888888888893</v>
      </c>
      <c r="N149" s="144">
        <f>IF(G149=0,0,TMT!B$41/日報表!G149)</f>
        <v>0.89297162330870195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0.38235294117647056</v>
      </c>
      <c r="E150" s="85">
        <f>TMT!G$4</f>
        <v>670</v>
      </c>
      <c r="F150" s="274">
        <f>TMT!F37</f>
        <v>42292.972800000003</v>
      </c>
      <c r="G150" s="392">
        <f>TMT!G$37-TMT!E$61</f>
        <v>32362</v>
      </c>
      <c r="H150" s="86">
        <f t="shared" ref="H150:H156" si="19">IF(R150="","",(G150*(150/R150)*(900/E150)))</f>
        <v>23205.343389812504</v>
      </c>
      <c r="I150" s="87">
        <f t="shared" si="18"/>
        <v>0.76518622025075522</v>
      </c>
      <c r="J150" s="88">
        <f>TMT!E$40/100</f>
        <v>0</v>
      </c>
      <c r="K150" s="89">
        <f>IF(G150=0,0,(TMT!E$38-TMT!E$60-TMT!F$60)/日報表!G150)</f>
        <v>0.956214078239911</v>
      </c>
      <c r="L150" s="1349"/>
      <c r="M150" s="90">
        <f t="array" ref="M150">IF(ISERROR(AVERAGE(IF(A150=斷絲!$AD$4:$AO$4,斷絲!$AD$39:$AO$39))),"",AVERAGE(IF(A150=斷絲!$AD$4:$AO$4,斷絲!$AD$39:$AO$39)))</f>
        <v>5.8981481481481479</v>
      </c>
      <c r="N150" s="144">
        <f>IF(G150=0,0,TMT!E$41/日報表!G150)</f>
        <v>0.91310796613311906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2.9411764705882353E-2</v>
      </c>
      <c r="E151" s="85">
        <f>TMT!J$4</f>
        <v>700</v>
      </c>
      <c r="F151" s="274">
        <f>TMT!I37</f>
        <v>3374.7840000000001</v>
      </c>
      <c r="G151" s="392">
        <f>TMT!J$37-TMT!H$61</f>
        <v>3853</v>
      </c>
      <c r="H151" s="86">
        <f t="shared" si="19"/>
        <v>2663.3640552995394</v>
      </c>
      <c r="I151" s="87">
        <f t="shared" si="18"/>
        <v>1.1417026986023402</v>
      </c>
      <c r="J151" s="88">
        <f>TMT!H$40/100</f>
        <v>0</v>
      </c>
      <c r="K151" s="89">
        <f>IF(G151=0,0,(TMT!H$38-TMT!H$60-TMT!I$60)/日報表!G151)</f>
        <v>0.79678172852322871</v>
      </c>
      <c r="L151" s="1349"/>
      <c r="M151" s="90" t="str">
        <f t="array" ref="M151">IF(ISERROR(AVERAGE(IF(A151=斷絲!$AD$4:$AO$4,斷絲!$AD$39:$AO$39))),"",AVERAGE(IF(A151=斷絲!$AD$4:$AO$4,斷絲!$AD$39:$AO$39)))</f>
        <v/>
      </c>
      <c r="N151" s="144">
        <f>IF(G151=0,0,TMT!H$41/日報表!G151)</f>
        <v>0.556709057876979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0.29411764705882354</v>
      </c>
      <c r="E152" s="85">
        <f>TMT!M$4</f>
        <v>700</v>
      </c>
      <c r="F152" s="274">
        <f>TMT!L37</f>
        <v>33747.840000000004</v>
      </c>
      <c r="G152" s="392">
        <f>TMT!M$37-TMT!K$61</f>
        <v>18606</v>
      </c>
      <c r="H152" s="86">
        <f t="shared" si="19"/>
        <v>12861.290322580644</v>
      </c>
      <c r="I152" s="87">
        <f t="shared" si="18"/>
        <v>0.5513241736360015</v>
      </c>
      <c r="J152" s="88">
        <f>TMT!K$40/100</f>
        <v>0</v>
      </c>
      <c r="K152" s="89">
        <f>IF(G152=0,0,(TMT!K$38-TMT!K$60-TMT!L$60)/日報表!G152)</f>
        <v>0.87686767709341074</v>
      </c>
      <c r="L152" s="1349"/>
      <c r="M152" s="90" t="str">
        <f t="array" ref="M152">IF(ISERROR(AVERAGE(IF(A152=斷絲!$AD$4:$AO$4,斷絲!$AD$39:$AO$39))),"",AVERAGE(IF(A152=斷絲!$AD$4:$AO$4,斷絲!$AD$39:$AO$39)))</f>
        <v/>
      </c>
      <c r="N152" s="144">
        <f>IF(G152=0,0,TMT!K$41/日報表!G152)</f>
        <v>0.73605288616575293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2.9411764705882353E-2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IF(ISERROR(AVERAGE(IF(A153=斷絲!$AD$4:$AO$4,斷絲!$AD$39:$AO$39))),"",AVERAGE(IF(A153=斷絲!$AD$4:$AO$4,斷絲!$AD$39:$AO$39)))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0.88235294117647056</v>
      </c>
      <c r="E154" s="85">
        <f>TMT!S$4</f>
        <v>700</v>
      </c>
      <c r="F154" s="274">
        <f>TMT!R37</f>
        <v>101606.39999999998</v>
      </c>
      <c r="G154" s="392">
        <f>TMT!S$37-TMT!Q$61</f>
        <v>85840</v>
      </c>
      <c r="H154" s="86">
        <f t="shared" si="19"/>
        <v>59124.489795918365</v>
      </c>
      <c r="I154" s="87">
        <f t="shared" si="18"/>
        <v>0.84482867220962476</v>
      </c>
      <c r="J154" s="88">
        <f>TMT!Q$40/100</f>
        <v>1</v>
      </c>
      <c r="K154" s="89">
        <f>IF(G154=0,0,(TMT!Q$38-TMT!Q$60-TMT!R$60)/日報表!G154)</f>
        <v>0.98132572227399817</v>
      </c>
      <c r="L154" s="90">
        <f t="array" ref="L154">IF(ISERROR(AVERAGEA(IF(A154=斷絲!$4:$4,斷絲!$24:$24))),"",AVERAGEA(IF(A154=斷絲!$4:$4,斷絲!$24:$24)))</f>
        <v>3.9583333333333335</v>
      </c>
      <c r="M154" s="90">
        <f t="array" ref="M154">IF(ISERROR(AVERAGE(IF(A154=斷絲!$AD$4:$AO$4,斷絲!$AD$39:$AO$39))),"",AVERAGE(IF(A154=斷絲!$AD$4:$AO$4,斷絲!$AD$39:$AO$39)))</f>
        <v>4.5751111111111111</v>
      </c>
      <c r="N154" s="144">
        <f>IF(G154=0,0,TMT!Q$41/日報表!G154)</f>
        <v>0.93610205032618821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0.88235294117647056</v>
      </c>
      <c r="E155" s="85">
        <f>TMT!V$4</f>
        <v>700</v>
      </c>
      <c r="F155" s="274">
        <f>TMT!U$37</f>
        <v>101243.52</v>
      </c>
      <c r="G155" s="392">
        <f>TMT!V$37-TMT!T$61</f>
        <v>82382</v>
      </c>
      <c r="H155" s="86">
        <f t="shared" si="19"/>
        <v>56946.082949308759</v>
      </c>
      <c r="I155" s="87">
        <f t="shared" ref="I155:I181" si="20">IF(F155=0,0,G155/F155)</f>
        <v>0.81370145960946438</v>
      </c>
      <c r="J155" s="88">
        <f>TMT!T$40/100</f>
        <v>1</v>
      </c>
      <c r="K155" s="89">
        <f>IF(G155=0,0,(TMT!T$38-TMT!T$60-TMT!U$60)/日報表!G155)</f>
        <v>0.98063897453327187</v>
      </c>
      <c r="L155" s="1349"/>
      <c r="M155" s="90">
        <f t="array" ref="M155">IF(ISERROR(AVERAGE(IF(A155=斷絲!$AD$4:$AO$4,斷絲!$AD$39:$AO$39))),"",AVERAGE(IF(A155=斷絲!$AD$4:$AO$4,斷絲!$AD$39:$AO$39)))</f>
        <v>5.2256944444444438</v>
      </c>
      <c r="N155" s="144">
        <f>IF(G155=0,0,TMT!T$41/日報表!G155)</f>
        <v>0.94334927532713453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17291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0.94117647058823528</v>
      </c>
      <c r="E156" s="85">
        <f>TMT!Y$4</f>
        <v>700</v>
      </c>
      <c r="F156" s="274">
        <f>TMT!X$37</f>
        <v>107993.088</v>
      </c>
      <c r="G156" s="392">
        <f>TMT!Y$37-TMT!W$61</f>
        <v>89826</v>
      </c>
      <c r="H156" s="86">
        <f t="shared" si="19"/>
        <v>62091.705069124429</v>
      </c>
      <c r="I156" s="87">
        <f t="shared" si="20"/>
        <v>0.83177545585139667</v>
      </c>
      <c r="J156" s="88">
        <f>TMT!W$40/100</f>
        <v>0.88200000000000001</v>
      </c>
      <c r="K156" s="89">
        <f>IF(G156=0,0,(TMT!W$38-TMT!W$60-TMT!X$60)/日報表!G156)</f>
        <v>0.98252176429986859</v>
      </c>
      <c r="L156" s="90">
        <f t="array" ref="L156">IF(ISERROR(AVERAGEA(IF(A156=斷絲!$4:$4,斷絲!$24:$24))),"",AVERAGEA(IF(A156=斷絲!$4:$4,斷絲!$24:$24)))</f>
        <v>4</v>
      </c>
      <c r="M156" s="90">
        <f t="array" ref="M156">IF(ISERROR(AVERAGE(IF(A156=斷絲!$AD$4:$AO$4,斷絲!$AD$39:$AO$39))),"",AVERAGE(IF(A156=斷絲!$AD$4:$AO$4,斷絲!$AD$39:$AO$39)))</f>
        <v>4.6013541666666669</v>
      </c>
      <c r="N156" s="144">
        <f>IF(G156=0,0,TMT!W$41/日報表!G156)</f>
        <v>0.9489346069066863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customHeight="1">
      <c r="A157" s="72" t="str">
        <f>TMT!Z3</f>
        <v>2F6IR2</v>
      </c>
      <c r="B157" s="94" t="str">
        <f>TMT!Z4</f>
        <v>150/48/2SDr</v>
      </c>
      <c r="C157" s="108" t="s">
        <v>17269</v>
      </c>
      <c r="D157" s="84">
        <f>TMT!Z$37</f>
        <v>0.70588235294117652</v>
      </c>
      <c r="E157" s="85">
        <f>TMT!AB$4</f>
        <v>700</v>
      </c>
      <c r="F157" s="274">
        <f>TMT!AA$37</f>
        <v>80994.816000000006</v>
      </c>
      <c r="G157" s="392">
        <f>TMT!AB$37-TMT!Z$61</f>
        <v>65510</v>
      </c>
      <c r="H157" s="86">
        <f>IF(R157="","",(G157*(150/R157)*(900/E157)))</f>
        <v>45283.410138248852</v>
      </c>
      <c r="I157" s="87">
        <f t="shared" si="20"/>
        <v>0.80881719639933491</v>
      </c>
      <c r="J157" s="88">
        <f>TMT!Z$40/100</f>
        <v>1</v>
      </c>
      <c r="K157" s="89">
        <f>IF(G157=0,0,(TMT!Z$38-TMT!Z$60-TMT!AA$60)/日報表!G157)</f>
        <v>0.9875896809647382</v>
      </c>
      <c r="L157" s="90">
        <f t="array" ref="L157">IF(ISERROR(AVERAGEA(IF(A157=斷絲!$4:$4,斷絲!$24:$24))),"",AVERAGEA(IF(A157=斷絲!$4:$4,斷絲!$24:$24)))</f>
        <v>2.4583333333333335</v>
      </c>
      <c r="M157" s="90">
        <f t="array" ref="M157">IF(ISERROR(AVERAGE(IF(A157=斷絲!$AD$4:$AO$4,斷絲!$AD$39:$AO$39))),"",AVERAGE(IF(A157=斷絲!$AD$4:$AO$4,斷絲!$AD$39:$AO$39)))</f>
        <v>3.0763888888888893</v>
      </c>
      <c r="N157" s="144">
        <f>IF(G157=0,0,TMT!Z$41/日報表!G157)</f>
        <v>0.952068386505877</v>
      </c>
      <c r="O157" s="173">
        <v>5.5</v>
      </c>
      <c r="P157" s="1173" t="s">
        <v>16810</v>
      </c>
      <c r="Q157" s="82"/>
      <c r="R157" s="115">
        <f>TMT!AB3</f>
        <v>279</v>
      </c>
      <c r="S157" s="245" t="s">
        <v>462</v>
      </c>
      <c r="T157" s="244">
        <v>2.8</v>
      </c>
      <c r="U157" s="469" t="str">
        <f>IF(ISNA(HLOOKUP(A157,IAD!$6:$10,5,0)),"",(HLOOKUP(A157,IAD!$6:$10,5,0)))</f>
        <v>白底黑點</v>
      </c>
      <c r="Z157" s="695"/>
    </row>
    <row r="158" spans="1:26" ht="19.5" customHeight="1">
      <c r="A158" s="72" t="str">
        <f>TMT!AC3</f>
        <v>2F6IT2</v>
      </c>
      <c r="B158" s="94" t="str">
        <f>TMT!AC4</f>
        <v>150/48/2SDr</v>
      </c>
      <c r="C158" s="108" t="s">
        <v>17503</v>
      </c>
      <c r="D158" s="84">
        <f>TMT!AC$37</f>
        <v>5.8823529411764705E-2</v>
      </c>
      <c r="E158" s="85">
        <f>TMT!AE$4</f>
        <v>670</v>
      </c>
      <c r="F158" s="274">
        <f>TMT!AD$37</f>
        <v>6437.1455999999998</v>
      </c>
      <c r="G158" s="392">
        <f>TMT!AE$37-TMT!AC$61</f>
        <v>4125</v>
      </c>
      <c r="H158" s="86">
        <f t="shared" ref="H158:H163" si="21">IF(R158="","",(G158*(150/R158)*(900/E158)))</f>
        <v>2989.7723612155055</v>
      </c>
      <c r="I158" s="87">
        <f t="shared" si="20"/>
        <v>0.64081197728384454</v>
      </c>
      <c r="J158" s="88">
        <f>TMT!AC$40/100</f>
        <v>1</v>
      </c>
      <c r="K158" s="89">
        <f>IF(G158=0,0,(TMT!AC$38-TMT!AC$60-TMT!AD$60)/日報表!G158)</f>
        <v>1</v>
      </c>
      <c r="L158" s="90">
        <f t="array" ref="L158">IF(ISERROR(AVERAGEA(IF(A158=斷絲!$4:$4,斷絲!$24:$24))),"",AVERAGEA(IF(A158=斷絲!$4:$4,斷絲!$24:$24)))</f>
        <v>6.791666666666667</v>
      </c>
      <c r="M158" s="90">
        <f t="array" ref="M158">IF(ISERROR(AVERAGE(IF(A158=斷絲!$AD$4:$AO$4,斷絲!$AD$39:$AO$39))),"",AVERAGE(IF(A158=斷絲!$AD$4:$AO$4,斷絲!$AD$39:$AO$39)))</f>
        <v>6.791666666666667</v>
      </c>
      <c r="N158" s="144">
        <f>IF(G158=0,0,TMT!AC$41/日報表!G158)</f>
        <v>1</v>
      </c>
      <c r="O158" s="173">
        <v>5.5</v>
      </c>
      <c r="P158" s="1173" t="s">
        <v>17506</v>
      </c>
      <c r="Q158" s="82"/>
      <c r="R158" s="115">
        <f>TMT!AE3</f>
        <v>278</v>
      </c>
      <c r="S158" s="245" t="s">
        <v>462</v>
      </c>
      <c r="T158" s="244" t="s">
        <v>16143</v>
      </c>
      <c r="U158" s="469" t="str">
        <f>IF(ISNA(HLOOKUP(A158,IAD!$6:$10,5,0)),"",(HLOOKUP(A158,IAD!$6:$10,5,0)))</f>
        <v>棕色</v>
      </c>
      <c r="Z158" s="695"/>
    </row>
    <row r="159" spans="1:26" ht="19.5" customHeight="1">
      <c r="A159" s="72" t="str">
        <f>TMT!AF3</f>
        <v>2F6IU2</v>
      </c>
      <c r="B159" s="94" t="str">
        <f>TMT!AF4</f>
        <v>150/48/2SDr</v>
      </c>
      <c r="C159" s="108" t="s">
        <v>17505</v>
      </c>
      <c r="D159" s="84">
        <f>TMT!AF$37</f>
        <v>0</v>
      </c>
      <c r="E159" s="85">
        <f>TMT!AH$4</f>
        <v>700</v>
      </c>
      <c r="F159" s="274">
        <f>TMT!AG$37</f>
        <v>0</v>
      </c>
      <c r="G159" s="392">
        <f>TMT!AH$37-TMT!AF$61</f>
        <v>0</v>
      </c>
      <c r="H159" s="86">
        <f t="shared" si="21"/>
        <v>0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IF(ISERROR(AVERAGE(IF(A159=斷絲!$AD$4:$AO$4,斷絲!$AD$39:$AO$39))),"",AVERAGE(IF(A159=斷絲!$AD$4:$AO$4,斷絲!$AD$39:$AO$39)))</f>
        <v/>
      </c>
      <c r="N159" s="144">
        <f>IF(G159=0,0,TMT!AF$41/日報表!G159)</f>
        <v>0</v>
      </c>
      <c r="O159" s="173">
        <v>5.5</v>
      </c>
      <c r="P159" s="1172" t="s">
        <v>17290</v>
      </c>
      <c r="Q159" s="82"/>
      <c r="R159" s="115">
        <f>TMT!AH3</f>
        <v>279</v>
      </c>
      <c r="S159" s="245" t="s">
        <v>462</v>
      </c>
      <c r="T159" s="244" t="s">
        <v>17291</v>
      </c>
      <c r="U159" s="469" t="str">
        <f>IF(ISNA(HLOOKUP(A159,IAD!$6:$10,5,0)),"",(HLOOKUP(A159,IAD!$6:$10,5,0)))</f>
        <v>白桔方塊</v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1.3432051124994897E-2</v>
      </c>
      <c r="M160" s="90" t="str">
        <f t="array" ref="M160">IF(ISERROR(AVERAGE(IF(A160=斷絲!$AD$4:$AO$4,斷絲!$AD$39:$AO$39))),"",AVERAGE(IF(A160=斷絲!$AD$4:$AO$4,斷絲!$AD$39:$AO$39)))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0.20588235294117646</v>
      </c>
      <c r="E161" s="96">
        <f>TMT!AN$4</f>
        <v>550</v>
      </c>
      <c r="F161" s="275">
        <f>TMT!AM$37</f>
        <v>26411.616000000002</v>
      </c>
      <c r="G161" s="393">
        <f>TMT!AN$37-TMT!AL$61</f>
        <v>17689</v>
      </c>
      <c r="H161" s="97">
        <f t="shared" si="21"/>
        <v>10936.638424547746</v>
      </c>
      <c r="I161" s="87">
        <f t="shared" si="20"/>
        <v>0.66974319178349395</v>
      </c>
      <c r="J161" s="103">
        <f>TMT!AL$40/100</f>
        <v>0</v>
      </c>
      <c r="K161" s="98">
        <f>IF(G161=0,0,(TMT!AL$38-TMT!AL$60-TMT!AM$60)/日報表!G161)</f>
        <v>0.97467352592006329</v>
      </c>
      <c r="L161" s="1349"/>
      <c r="M161" s="90">
        <f t="array" ref="M161">IF(ISERROR(AVERAGE(IF(A161=斷絲!$AD$4:$AO$4,斷絲!$AD$39:$AO$39))),"",AVERAGE(IF(A161=斷絲!$AD$4:$AO$4,斷絲!$AD$39:$AO$39)))</f>
        <v>4.958333333333333</v>
      </c>
      <c r="N161" s="109">
        <f>IF(G161=0,0,TMT!AL$41/日報表!G161)</f>
        <v>0.93091751936231559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customHeight="1">
      <c r="A162" s="72" t="str">
        <f>TMT!AO3</f>
        <v>2F7E13</v>
      </c>
      <c r="B162" s="94" t="str">
        <f>TMT!AO4</f>
        <v>225/72/2SDr</v>
      </c>
      <c r="C162" s="108" t="s">
        <v>17414</v>
      </c>
      <c r="D162" s="95">
        <f>TMT!AO$37</f>
        <v>0.26470588235294118</v>
      </c>
      <c r="E162" s="96">
        <f>TMT!AQ$4</f>
        <v>550</v>
      </c>
      <c r="F162" s="275">
        <f>TMT!AP$37</f>
        <v>33957.792000000001</v>
      </c>
      <c r="G162" s="393">
        <f>TMT!AQ$37-TMT!AO$61</f>
        <v>26466</v>
      </c>
      <c r="H162" s="97">
        <f t="shared" si="21"/>
        <v>16363.224181360203</v>
      </c>
      <c r="I162" s="87">
        <f t="shared" si="20"/>
        <v>0.77937929533227601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IF(ISERROR(AVERAGEA(IF(A162=斷絲!$4:$4,斷絲!$24:$24))),"",AVERAGEA(IF(A162=斷絲!$4:$4,斷絲!$24:$24)))</f>
        <v>2.08</v>
      </c>
      <c r="M162" s="90">
        <f t="array" ref="M162">IF(ISERROR(AVERAGE(IF(A162=斷絲!$AD$4:$AO$4,斷絲!$AD$39:$AO$39))),"",AVERAGE(IF(A162=斷絲!$AD$4:$AO$4,斷絲!$AD$39:$AO$39)))</f>
        <v>3.9348148148148141</v>
      </c>
      <c r="N162" s="109">
        <f>IF(G162=0,0,TMT!AO$41/日報表!G162)</f>
        <v>1</v>
      </c>
      <c r="O162" s="173">
        <v>5.5</v>
      </c>
      <c r="P162" s="1173" t="s">
        <v>917</v>
      </c>
      <c r="Q162" s="82"/>
      <c r="R162" s="115">
        <f>TMT!AQ3</f>
        <v>397</v>
      </c>
      <c r="S162" s="245" t="s">
        <v>630</v>
      </c>
      <c r="T162" s="244" t="s">
        <v>17271</v>
      </c>
      <c r="U162" s="469" t="str">
        <f>IF(ISNA(HLOOKUP(A162,IAD!$6:$10,5,0)),"",(HLOOKUP(A162,IAD!$6:$10,5,0)))</f>
        <v>白紅條紋</v>
      </c>
    </row>
    <row r="163" spans="1:21" ht="19.5" customHeight="1">
      <c r="A163" s="72" t="str">
        <f>TMT!AR3</f>
        <v>2FA082</v>
      </c>
      <c r="B163" s="94" t="str">
        <f>TMT!AR4</f>
        <v>75/72BFSD</v>
      </c>
      <c r="C163" s="108" t="s">
        <v>17495</v>
      </c>
      <c r="D163" s="95">
        <f>TMT!AR$37</f>
        <v>5.8823529411764705E-2</v>
      </c>
      <c r="E163" s="96">
        <f>TMT!AT$4</f>
        <v>650</v>
      </c>
      <c r="F163" s="275">
        <f>TMT!AS$37</f>
        <v>1572.48</v>
      </c>
      <c r="G163" s="393">
        <f>TMT!AT$37-TMT!AR$61</f>
        <v>0</v>
      </c>
      <c r="H163" s="97">
        <f t="shared" si="21"/>
        <v>0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 t="s">
        <v>127</v>
      </c>
      <c r="M163" s="90">
        <f t="array" ref="M163">IF(ISERROR(AVERAGE(IF(A163=斷絲!$AD$4:$AO$4,斷絲!$AD$39:$AO$39))),"",AVERAGE(IF(A163=斷絲!$AD$4:$AO$4,斷絲!$AD$39:$AO$39)))</f>
        <v>3</v>
      </c>
      <c r="N163" s="109">
        <f>IF(G163=0,0,TMT!AR$41/日報表!G163)</f>
        <v>0</v>
      </c>
      <c r="O163" s="173">
        <v>5</v>
      </c>
      <c r="P163" s="1173" t="s">
        <v>876</v>
      </c>
      <c r="Q163" s="82"/>
      <c r="R163" s="115">
        <f>TMT!AT3</f>
        <v>70</v>
      </c>
      <c r="S163" s="245" t="s">
        <v>158</v>
      </c>
      <c r="T163" s="244" t="s">
        <v>16814</v>
      </c>
      <c r="U163" s="469" t="str">
        <f>IF(ISNA(HLOOKUP(A163,IAD!$6:$10,5,0)),"",(HLOOKUP(A163,IAD!$6:$10,5,0)))</f>
        <v>白底紫十字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IF(ISERROR(AVERAGE(IF(A164=斷絲!$AD$4:$AO$4,斷絲!$AD$39:$AO$39))),"",AVERAGE(IF(A164=斷絲!$AD$4:$AO$4,斷絲!$AD$39:$AO$39)))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IF(ISERROR(AVERAGE(IF(A165=斷絲!$AD$4:$AO$4,斷絲!$AD$39:$AO$39))),"",AVERAGE(IF(A165=斷絲!$AD$4:$AO$4,斷絲!$AD$39:$AO$39)))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IF(ISERROR(AVERAGE(IF(A166=斷絲!$AD$4:$AO$4,斷絲!$AD$39:$AO$39))),"",AVERAGE(IF(A166=斷絲!$AD$4:$AO$4,斷絲!$AD$39:$AO$39)))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IF(ISERROR(AVERAGE(IF(A167=斷絲!$AD$4:$AO$4,斷絲!$AD$39:$AO$39))),"",AVERAGE(IF(A167=斷絲!$AD$4:$AO$4,斷絲!$AD$39:$AO$39)))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IF(ISERROR(AVERAGE(IF(A168=斷絲!$AD$4:$AO$4,斷絲!$AD$39:$AO$39))),"",AVERAGE(IF(A168=斷絲!$AD$4:$AO$4,斷絲!$AD$39:$AO$39)))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IF(ISERROR(AVERAGE(IF(A169=斷絲!$AD$4:$AO$4,斷絲!$AD$39:$AO$39))),"",AVERAGE(IF(A169=斷絲!$AD$4:$AO$4,斷絲!$AD$39:$AO$39)))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IF(ISERROR(AVERAGE(IF(A170=斷絲!$AD$4:$AO$4,斷絲!$AD$39:$AO$39))),"",AVERAGE(IF(A170=斷絲!$AD$4:$AO$4,斷絲!$AD$39:$AO$39)))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IF(ISERROR(AVERAGE(IF(A171=斷絲!$AD$4:$AO$4,斷絲!$AD$39:$AO$39))),"",AVERAGE(IF(A171=斷絲!$AD$4:$AO$4,斷絲!$AD$39:$AO$39)))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IF(ISERROR(AVERAGE(IF(A172=斷絲!$AD$4:$AO$4,斷絲!$AD$39:$AO$39))),"",AVERAGE(IF(A172=斷絲!$AD$4:$AO$4,斷絲!$AD$39:$AO$39)))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IF(ISERROR(AVERAGE(IF(A173=斷絲!$AD$4:$AO$4,斷絲!$AD$39:$AO$39))),"",AVERAGE(IF(A173=斷絲!$AD$4:$AO$4,斷絲!$AD$39:$AO$39)))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IF(ISERROR(AVERAGE(IF(A174=斷絲!$AD$4:$AO$4,斷絲!$AD$39:$AO$39))),"",AVERAGE(IF(A174=斷絲!$AD$4:$AO$4,斷絲!$AD$39:$AO$39)))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IF(ISERROR(AVERAGE(IF(A175=斷絲!$AD$4:$AO$4,斷絲!$AD$39:$AO$39))),"",AVERAGE(IF(A175=斷絲!$AD$4:$AO$4,斷絲!$AD$39:$AO$39)))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IF(ISERROR(AVERAGE(IF(A176=斷絲!$AD$4:$AO$4,斷絲!$AD$39:$AO$39))),"",AVERAGE(IF(A176=斷絲!$AD$4:$AO$4,斷絲!$AD$39:$AO$39)))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IF(ISERROR(AVERAGE(IF(A177=斷絲!$AD$4:$AO$4,斷絲!$AD$39:$AO$39))),"",AVERAGE(IF(A177=斷絲!$AD$4:$AO$4,斷絲!$AD$39:$AO$39)))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IF(ISERROR(AVERAGE(IF(A178=斷絲!$AD$4:$AO$4,斷絲!$AD$39:$AO$39))),"",AVERAGE(IF(A178=斷絲!$AD$4:$AO$4,斷絲!$AD$39:$AO$39)))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IF(ISERROR(AVERAGE(IF(A179=斷絲!$AD$4:$AO$4,斷絲!$AD$39:$AO$39))),"",AVERAGE(IF(A179=斷絲!$AD$4:$AO$4,斷絲!$AD$39:$AO$39)))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IF(ISERROR(AVERAGE(IF(A180=斷絲!$AD$4:$AO$4,斷絲!$AD$39:$AO$39))),"",AVERAGE(IF(A180=斷絲!$AD$4:$AO$4,斷絲!$AD$39:$AO$39)))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IF(ISERROR(AVERAGE(IF(A181=斷絲!$AD$4:$AO$4,斷絲!$AD$39:$AO$39))),"",AVERAGE(IF(A181=斷絲!$AD$4:$AO$4,斷絲!$AD$39:$AO$39)))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288.19075144508668</v>
      </c>
      <c r="C182" s="277">
        <f t="array" ref="C182">SUM(E149:E181*D149:D181)/D182</f>
        <v>680.5780346820809</v>
      </c>
      <c r="D182" s="269">
        <f>SUM(D149:D181)</f>
        <v>5.0882352941176467</v>
      </c>
      <c r="E182" s="270" t="s">
        <v>128</v>
      </c>
      <c r="F182" s="271">
        <f>SUM(F149:F181)</f>
        <v>582290.03519999993</v>
      </c>
      <c r="G182" s="394">
        <f>SUM(G149:G181)</f>
        <v>461430</v>
      </c>
      <c r="H182" s="272" t="e">
        <f>SUM(H148:H180)</f>
        <v>#DIV/0!</v>
      </c>
      <c r="I182" s="68">
        <f>IF(F182=0,0,G182/F182)</f>
        <v>0.79244014512718219</v>
      </c>
      <c r="J182" s="273"/>
      <c r="K182" s="69">
        <f t="array" ref="K182">(IF(G182=0,0,SUM(G149:G181*K149:K181))/(G182+G147))</f>
        <v>0.97212137715665081</v>
      </c>
      <c r="L182" s="217">
        <f>IF(ISERROR(AVERAGE(L149:L181)),"",(AVERAGE(L149:L181)))</f>
        <v>3.2169608974097215</v>
      </c>
      <c r="M182" s="166">
        <f>斷絲!AQ38</f>
        <v>4.641988636363636</v>
      </c>
      <c r="N182" s="71">
        <f t="array" ref="N182">IF(G182=0,0,SUM(G149:G181*N149:N181)/(G182+G147))</f>
        <v>0.92753032206302666</v>
      </c>
      <c r="O182" s="691">
        <f t="array" ref="O182">IF(G182=0,"0",(SUM(G149:G181*O149:O181)/$G$182))</f>
        <v>5.4272554883731008</v>
      </c>
      <c r="P182" s="1184" t="s">
        <v>17507</v>
      </c>
      <c r="Q182" s="82"/>
      <c r="S182" s="245"/>
    </row>
    <row r="183" spans="1:25" ht="21" customHeight="1" thickTop="1" thickBot="1">
      <c r="A183" s="1605" t="s">
        <v>137</v>
      </c>
      <c r="B183" s="1606"/>
      <c r="C183" s="1606"/>
      <c r="D183" s="1606"/>
      <c r="E183" s="282">
        <f>((B68*D68+B91*D91+B110*D110+B182*D182)/D184)*0.9</f>
        <v>169.19134615384613</v>
      </c>
      <c r="F183" s="282">
        <f>((C68*D68+C91*D91+C110*D110+C182*D182)/D184)</f>
        <v>635.96153846153845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620</v>
      </c>
      <c r="C184" s="298" t="s">
        <v>139</v>
      </c>
      <c r="D184" s="1239">
        <f>D68+D110+D91+D146+D182</f>
        <v>12.235294117647058</v>
      </c>
      <c r="E184" s="303" t="s">
        <v>140</v>
      </c>
      <c r="F184" s="447">
        <f>F110+F68+F91+F146+F182</f>
        <v>877338.43199999991</v>
      </c>
      <c r="G184" s="385">
        <f>B184+G91+G68+G110+G146+G182+'實驗紗&amp;非當月生產'!O1-P184</f>
        <v>886641</v>
      </c>
      <c r="H184" s="289" t="e">
        <f>SUM(H68,H96,H110,H146)</f>
        <v>#DIV/0!</v>
      </c>
      <c r="I184" s="290">
        <f>G185/F184</f>
        <v>0.79241940697292979</v>
      </c>
      <c r="J184" s="291">
        <v>0.99590000000000001</v>
      </c>
      <c r="K184" s="292">
        <f>'(示眾台)'!AK53</f>
        <v>0.97841516464950307</v>
      </c>
      <c r="L184" s="293">
        <f>AVERAGE(L68,L91,L110,L146)</f>
        <v>1.5016666666666667</v>
      </c>
      <c r="M184" s="293">
        <f>(M68*D68+M91*D91+D110*M110+M146*D146+D182*M182)/D184</f>
        <v>3.3990280121474559</v>
      </c>
      <c r="N184" s="294">
        <f>'(示眾台)'!AK54</f>
        <v>0.94622062367970805</v>
      </c>
      <c r="O184" s="693">
        <f t="array" ref="O184">SUM(G68*O68,G91*O91,G110*O110,G146*O146,G182*O182)/SUM(G68,G91,G110,G146,G182)</f>
        <v>5.2089173211357558</v>
      </c>
      <c r="P184" s="317">
        <f>'實驗紗&amp;非當月生產'!P1</f>
        <v>139447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24000</v>
      </c>
      <c r="C185" s="297">
        <f>AFK!B62+'33J'!B62+MPS!B62+'M80(20250122封存)'!B62+TMT!B62</f>
        <v>7122</v>
      </c>
      <c r="D185" s="300" t="s">
        <v>142</v>
      </c>
      <c r="E185" s="301"/>
      <c r="F185" s="302"/>
      <c r="G185" s="1603">
        <f>SUM(G68,G91,G110,G146,G182)</f>
        <v>695220</v>
      </c>
      <c r="H185" s="1604"/>
      <c r="I185" s="1601" t="s">
        <v>141</v>
      </c>
      <c r="J185" s="1602"/>
      <c r="K185" s="295">
        <f>(G68*K68+G91*K91+G110*K110+K146*G146+K182*G182)/(G68+G91+G110+G146+G182)</f>
        <v>0.96940963439871231</v>
      </c>
      <c r="L185" s="299">
        <f>(N68*G68+N91*G91+N110*G110+N146*G146+N182*G182)/(G68+G91+G110+G146+G182)</f>
        <v>0.916016613014486</v>
      </c>
      <c r="M185" s="1598" t="s">
        <v>268</v>
      </c>
      <c r="N185" s="1599"/>
      <c r="O185" s="1600"/>
      <c r="P185" s="395">
        <f>G184</f>
        <v>886641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07" t="s">
        <v>267</v>
      </c>
      <c r="M186" s="1607"/>
      <c r="N186" s="837">
        <f>(G184/30)*30</f>
        <v>886641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153133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17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0.43697478991596633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655" priority="13"/>
    <cfRule type="duplicateValues" dxfId="654" priority="14"/>
  </conditionalFormatting>
  <conditionalFormatting sqref="C66">
    <cfRule type="duplicateValues" dxfId="653" priority="118"/>
  </conditionalFormatting>
  <conditionalFormatting sqref="C67">
    <cfRule type="duplicateValues" dxfId="652" priority="124"/>
    <cfRule type="duplicateValues" dxfId="651" priority="140"/>
  </conditionalFormatting>
  <conditionalFormatting sqref="M184">
    <cfRule type="cellIs" dxfId="650" priority="172" stopIfTrue="1" operator="greaterThan">
      <formula>2.6</formula>
    </cfRule>
  </conditionalFormatting>
  <conditionalFormatting sqref="S78">
    <cfRule type="duplicateValues" dxfId="649" priority="84"/>
  </conditionalFormatting>
  <conditionalFormatting sqref="S79:T79">
    <cfRule type="duplicateValues" dxfId="648" priority="85"/>
  </conditionalFormatting>
  <conditionalFormatting sqref="T78">
    <cfRule type="duplicateValues" dxfId="647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V108"/>
  <sheetViews>
    <sheetView showGridLines="0" zoomScale="90" zoomScaleNormal="90" workbookViewId="0">
      <pane xSplit="1" ySplit="7" topLeftCell="G21" activePane="bottomRight" state="frozen"/>
      <selection activeCell="G1" sqref="G1"/>
      <selection pane="topRight" activeCell="G1" sqref="G1"/>
      <selection pane="bottomLeft" activeCell="G1" sqref="G1"/>
      <selection pane="bottomRight" activeCell="M36" sqref="M36"/>
    </sheetView>
  </sheetViews>
  <sheetFormatPr defaultColWidth="7.875" defaultRowHeight="14.25" customHeight="1"/>
  <cols>
    <col min="1" max="1" width="8.75" style="330" customWidth="1"/>
    <col min="2" max="21" width="10.25" style="330" customWidth="1"/>
    <col min="22" max="23" width="8.5" style="330" customWidth="1"/>
    <col min="24" max="27" width="12.875" style="330" customWidth="1"/>
    <col min="28" max="29" width="8.375" style="330" customWidth="1"/>
    <col min="30" max="41" width="12.625" style="330" customWidth="1"/>
    <col min="42" max="43" width="7.75" style="330" customWidth="1"/>
    <col min="44" max="46" width="12.625" style="330" customWidth="1"/>
    <col min="47" max="48" width="8.625" style="330" customWidth="1"/>
    <col min="49" max="58" width="7.625" style="330" customWidth="1"/>
    <col min="59" max="59" width="6.5" style="330" customWidth="1"/>
    <col min="60" max="93" width="7.75" style="330" customWidth="1"/>
    <col min="94" max="16384" width="7.875" style="330"/>
  </cols>
  <sheetData>
    <row r="1" spans="1:100" s="328" customFormat="1" ht="23.25" customHeight="1">
      <c r="B1" s="527" t="s">
        <v>17264</v>
      </c>
      <c r="F1" s="1373"/>
      <c r="G1" s="1373"/>
      <c r="X1" s="527" t="s">
        <v>17265</v>
      </c>
      <c r="AW1" s="329"/>
    </row>
    <row r="2" spans="1:100" ht="20.25" customHeight="1" thickBot="1">
      <c r="B2" s="526" t="s">
        <v>383</v>
      </c>
      <c r="I2" s="1373"/>
      <c r="AM2" s="330" t="s">
        <v>471</v>
      </c>
      <c r="AT2" s="591" t="s">
        <v>16064</v>
      </c>
      <c r="AW2" s="846" t="s">
        <v>693</v>
      </c>
    </row>
    <row r="3" spans="1:100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16151</v>
      </c>
      <c r="H3" s="332" t="s">
        <v>17266</v>
      </c>
      <c r="I3" s="332" t="s">
        <v>16776</v>
      </c>
      <c r="J3" s="332" t="s">
        <v>775</v>
      </c>
      <c r="K3" s="332" t="s">
        <v>717</v>
      </c>
      <c r="L3" s="332" t="s">
        <v>16228</v>
      </c>
      <c r="M3" s="332" t="s">
        <v>16228</v>
      </c>
      <c r="N3" s="332" t="s">
        <v>16781</v>
      </c>
      <c r="O3" s="332" t="s">
        <v>15385</v>
      </c>
      <c r="P3" s="332" t="s">
        <v>16782</v>
      </c>
      <c r="Q3" s="332" t="s">
        <v>16140</v>
      </c>
      <c r="R3" s="332" t="s">
        <v>16734</v>
      </c>
      <c r="S3" s="332" t="s">
        <v>16762</v>
      </c>
      <c r="T3" s="332" t="s">
        <v>15512</v>
      </c>
      <c r="U3" s="332" t="s">
        <v>230</v>
      </c>
      <c r="V3" s="333"/>
      <c r="W3" s="334"/>
      <c r="X3" s="335" t="s">
        <v>231</v>
      </c>
      <c r="Y3" s="335" t="s">
        <v>16758</v>
      </c>
      <c r="Z3" s="335" t="s">
        <v>16758</v>
      </c>
      <c r="AA3" s="335" t="s">
        <v>266</v>
      </c>
      <c r="AB3" s="333"/>
      <c r="AC3" s="333"/>
      <c r="AD3" s="337" t="s">
        <v>235</v>
      </c>
      <c r="AE3" s="337" t="s">
        <v>15470</v>
      </c>
      <c r="AF3" s="337" t="s">
        <v>15470</v>
      </c>
      <c r="AG3" s="337" t="s">
        <v>16726</v>
      </c>
      <c r="AH3" s="337" t="s">
        <v>16727</v>
      </c>
      <c r="AI3" s="337" t="s">
        <v>17501</v>
      </c>
      <c r="AJ3" s="337" t="s">
        <v>16201</v>
      </c>
      <c r="AK3" s="337" t="s">
        <v>16201</v>
      </c>
      <c r="AL3" s="337" t="s">
        <v>16202</v>
      </c>
      <c r="AM3" s="337" t="s">
        <v>16809</v>
      </c>
      <c r="AN3" s="337" t="s">
        <v>16809</v>
      </c>
      <c r="AO3" s="337" t="s">
        <v>418</v>
      </c>
      <c r="AP3" s="333"/>
      <c r="AQ3" s="334"/>
      <c r="AR3" s="528" t="s">
        <v>17273</v>
      </c>
      <c r="AS3" s="528" t="s">
        <v>16808</v>
      </c>
      <c r="AT3" s="1372" t="s">
        <v>16059</v>
      </c>
      <c r="AU3" s="333"/>
      <c r="AV3" s="334"/>
      <c r="AW3" s="336" t="s">
        <v>385</v>
      </c>
      <c r="AX3" s="336" t="s">
        <v>714</v>
      </c>
      <c r="AY3" s="336" t="s">
        <v>715</v>
      </c>
      <c r="AZ3" s="336" t="s">
        <v>15507</v>
      </c>
      <c r="BA3" s="336" t="s">
        <v>716</v>
      </c>
      <c r="BB3" s="336" t="s">
        <v>384</v>
      </c>
      <c r="BC3" s="336" t="s">
        <v>249</v>
      </c>
      <c r="BD3" s="594" t="s">
        <v>250</v>
      </c>
      <c r="BE3" s="333"/>
      <c r="BF3" s="334"/>
    </row>
    <row r="4" spans="1:100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17444</v>
      </c>
      <c r="H4" s="340" t="s">
        <v>17274</v>
      </c>
      <c r="I4" s="340" t="s">
        <v>16766</v>
      </c>
      <c r="J4" s="340" t="s">
        <v>378</v>
      </c>
      <c r="K4" s="418" t="s">
        <v>16787</v>
      </c>
      <c r="L4" s="340" t="s">
        <v>17282</v>
      </c>
      <c r="M4" s="340" t="s">
        <v>17516</v>
      </c>
      <c r="N4" s="340" t="s">
        <v>17518</v>
      </c>
      <c r="O4" s="340" t="s">
        <v>17510</v>
      </c>
      <c r="P4" s="418" t="s">
        <v>17285</v>
      </c>
      <c r="Q4" s="1435" t="s">
        <v>378</v>
      </c>
      <c r="R4" s="340" t="s">
        <v>17497</v>
      </c>
      <c r="S4" s="340" t="s">
        <v>17446</v>
      </c>
      <c r="T4" s="340" t="s">
        <v>378</v>
      </c>
      <c r="U4" s="1323" t="s">
        <v>378</v>
      </c>
      <c r="V4" s="341" t="s">
        <v>146</v>
      </c>
      <c r="W4" s="342" t="s">
        <v>147</v>
      </c>
      <c r="X4" s="340" t="s">
        <v>378</v>
      </c>
      <c r="Y4" s="340" t="s">
        <v>16796</v>
      </c>
      <c r="Z4" s="340" t="s">
        <v>17336</v>
      </c>
      <c r="AA4" s="340" t="s">
        <v>378</v>
      </c>
      <c r="AB4" s="341" t="s">
        <v>146</v>
      </c>
      <c r="AC4" s="341" t="s">
        <v>147</v>
      </c>
      <c r="AD4" s="340" t="s">
        <v>17287</v>
      </c>
      <c r="AE4" s="340" t="s">
        <v>17288</v>
      </c>
      <c r="AF4" s="340" t="s">
        <v>17508</v>
      </c>
      <c r="AG4" s="340" t="s">
        <v>16764</v>
      </c>
      <c r="AH4" s="340" t="s">
        <v>16763</v>
      </c>
      <c r="AI4" s="340" t="s">
        <v>17499</v>
      </c>
      <c r="AJ4" s="340" t="s">
        <v>16751</v>
      </c>
      <c r="AK4" s="340" t="s">
        <v>17413</v>
      </c>
      <c r="AL4" s="340" t="s">
        <v>17490</v>
      </c>
      <c r="AM4" s="340" t="s">
        <v>16799</v>
      </c>
      <c r="AN4" s="340" t="s">
        <v>17404</v>
      </c>
      <c r="AO4" s="340" t="s">
        <v>17268</v>
      </c>
      <c r="AP4" s="341" t="s">
        <v>146</v>
      </c>
      <c r="AQ4" s="342" t="s">
        <v>147</v>
      </c>
      <c r="AR4" s="1504" t="s">
        <v>378</v>
      </c>
      <c r="AS4" s="595" t="s">
        <v>16801</v>
      </c>
      <c r="AT4" s="1312" t="s">
        <v>386</v>
      </c>
      <c r="AU4" s="341" t="s">
        <v>146</v>
      </c>
      <c r="AV4" s="342" t="s">
        <v>147</v>
      </c>
      <c r="AW4" s="340" t="s">
        <v>16203</v>
      </c>
      <c r="AX4" s="340" t="s">
        <v>16203</v>
      </c>
      <c r="AY4" s="340" t="s">
        <v>16203</v>
      </c>
      <c r="AZ4" s="340" t="s">
        <v>16203</v>
      </c>
      <c r="BA4" s="340" t="s">
        <v>16203</v>
      </c>
      <c r="BB4" s="340" t="s">
        <v>16203</v>
      </c>
      <c r="BC4" s="340" t="s">
        <v>16203</v>
      </c>
      <c r="BD4" s="595" t="s">
        <v>16203</v>
      </c>
      <c r="BE4" s="341" t="s">
        <v>146</v>
      </c>
      <c r="BF4" s="342" t="s">
        <v>147</v>
      </c>
    </row>
    <row r="5" spans="1:100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1900</v>
      </c>
      <c r="H5" s="345" t="s">
        <v>17275</v>
      </c>
      <c r="I5" s="345" t="s">
        <v>1472</v>
      </c>
      <c r="J5" s="345"/>
      <c r="K5" s="345" t="s">
        <v>624</v>
      </c>
      <c r="L5" s="502" t="s">
        <v>17283</v>
      </c>
      <c r="M5" s="502" t="s">
        <v>17215</v>
      </c>
      <c r="N5" s="345" t="s">
        <v>17194</v>
      </c>
      <c r="O5" s="345" t="s">
        <v>8522</v>
      </c>
      <c r="P5" s="345" t="s">
        <v>17231</v>
      </c>
      <c r="Q5" s="502"/>
      <c r="R5" s="345" t="s">
        <v>8447</v>
      </c>
      <c r="S5" s="502" t="s">
        <v>17447</v>
      </c>
      <c r="T5" s="502"/>
      <c r="U5" s="502"/>
      <c r="V5" s="346"/>
      <c r="W5" s="347"/>
      <c r="X5" s="348"/>
      <c r="Y5" s="348" t="s">
        <v>16740</v>
      </c>
      <c r="Z5" s="348" t="s">
        <v>16740</v>
      </c>
      <c r="AA5" s="348"/>
      <c r="AB5" s="346"/>
      <c r="AC5" s="346"/>
      <c r="AD5" s="345" t="s">
        <v>16740</v>
      </c>
      <c r="AE5" s="345" t="s">
        <v>16740</v>
      </c>
      <c r="AF5" s="345" t="s">
        <v>16740</v>
      </c>
      <c r="AG5" s="345" t="s">
        <v>723</v>
      </c>
      <c r="AH5" s="345" t="s">
        <v>723</v>
      </c>
      <c r="AI5" s="345" t="s">
        <v>16740</v>
      </c>
      <c r="AJ5" s="345" t="s">
        <v>16744</v>
      </c>
      <c r="AK5" s="345" t="s">
        <v>16744</v>
      </c>
      <c r="AL5" s="345" t="s">
        <v>17491</v>
      </c>
      <c r="AM5" s="345" t="s">
        <v>16740</v>
      </c>
      <c r="AN5" s="345" t="s">
        <v>16740</v>
      </c>
      <c r="AO5" s="345" t="s">
        <v>16740</v>
      </c>
      <c r="AP5" s="346"/>
      <c r="AQ5" s="347"/>
      <c r="AR5" s="1313"/>
      <c r="AS5" s="1313" t="s">
        <v>16121</v>
      </c>
      <c r="AT5" s="1304"/>
      <c r="AU5" s="346"/>
      <c r="AV5" s="347"/>
      <c r="AW5" s="348"/>
      <c r="AX5" s="348"/>
      <c r="AY5" s="348"/>
      <c r="AZ5" s="348"/>
      <c r="BA5" s="348"/>
      <c r="BB5" s="348"/>
      <c r="BC5" s="348"/>
      <c r="BD5" s="596"/>
      <c r="BE5" s="346"/>
      <c r="BF5" s="347"/>
    </row>
    <row r="6" spans="1:100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16817</v>
      </c>
      <c r="H6" s="349" t="s">
        <v>17277</v>
      </c>
      <c r="I6" s="349" t="s">
        <v>16217</v>
      </c>
      <c r="J6" s="349"/>
      <c r="K6" s="349" t="s">
        <v>16747</v>
      </c>
      <c r="L6" s="349" t="s">
        <v>17284</v>
      </c>
      <c r="M6" s="349" t="s">
        <v>17517</v>
      </c>
      <c r="N6" s="349" t="s">
        <v>17519</v>
      </c>
      <c r="O6" s="349" t="s">
        <v>17515</v>
      </c>
      <c r="P6" s="349" t="s">
        <v>17286</v>
      </c>
      <c r="Q6" s="349"/>
      <c r="R6" s="349" t="s">
        <v>17498</v>
      </c>
      <c r="S6" s="349" t="s">
        <v>17448</v>
      </c>
      <c r="T6" s="349"/>
      <c r="U6" s="349"/>
      <c r="V6" s="341" t="s">
        <v>148</v>
      </c>
      <c r="W6" s="342" t="s">
        <v>148</v>
      </c>
      <c r="X6" s="349"/>
      <c r="Y6" s="349" t="s">
        <v>16784</v>
      </c>
      <c r="Z6" s="349" t="s">
        <v>17289</v>
      </c>
      <c r="AA6" s="349"/>
      <c r="AB6" s="341" t="s">
        <v>148</v>
      </c>
      <c r="AC6" s="341" t="s">
        <v>148</v>
      </c>
      <c r="AD6" s="349" t="s">
        <v>17269</v>
      </c>
      <c r="AE6" s="349" t="s">
        <v>17289</v>
      </c>
      <c r="AF6" s="349" t="s">
        <v>17509</v>
      </c>
      <c r="AG6" s="349" t="s">
        <v>16771</v>
      </c>
      <c r="AH6" s="349" t="s">
        <v>16771</v>
      </c>
      <c r="AI6" s="349" t="s">
        <v>17500</v>
      </c>
      <c r="AJ6" s="349" t="s">
        <v>16754</v>
      </c>
      <c r="AK6" s="349" t="s">
        <v>17415</v>
      </c>
      <c r="AL6" s="349" t="s">
        <v>17492</v>
      </c>
      <c r="AM6" s="349" t="s">
        <v>16790</v>
      </c>
      <c r="AN6" s="349" t="s">
        <v>17270</v>
      </c>
      <c r="AO6" s="349" t="s">
        <v>17270</v>
      </c>
      <c r="AP6" s="341" t="s">
        <v>148</v>
      </c>
      <c r="AQ6" s="342" t="s">
        <v>148</v>
      </c>
      <c r="AR6" s="1307"/>
      <c r="AS6" s="1307" t="s">
        <v>16805</v>
      </c>
      <c r="AT6" s="1305"/>
      <c r="AU6" s="341" t="s">
        <v>148</v>
      </c>
      <c r="AV6" s="342" t="s">
        <v>148</v>
      </c>
      <c r="AW6" s="348"/>
      <c r="AX6" s="348"/>
      <c r="AY6" s="348"/>
      <c r="AZ6" s="348"/>
      <c r="BA6" s="348"/>
      <c r="BB6" s="348"/>
      <c r="BC6" s="348"/>
      <c r="BD6" s="596"/>
      <c r="BE6" s="341" t="s">
        <v>148</v>
      </c>
      <c r="BF6" s="342" t="s">
        <v>148</v>
      </c>
      <c r="BH6" s="343" t="s">
        <v>17410</v>
      </c>
      <c r="BI6" s="343" t="s">
        <v>16792</v>
      </c>
      <c r="BJ6" s="343" t="s">
        <v>16793</v>
      </c>
      <c r="BK6" s="343" t="s">
        <v>16794</v>
      </c>
      <c r="BL6" s="343" t="s">
        <v>16195</v>
      </c>
      <c r="BM6" s="343" t="s">
        <v>16194</v>
      </c>
      <c r="BN6" s="343" t="s">
        <v>16088</v>
      </c>
      <c r="BO6" s="343" t="s">
        <v>16089</v>
      </c>
      <c r="BP6" s="343" t="s">
        <v>16050</v>
      </c>
      <c r="BQ6" s="343" t="s">
        <v>16049</v>
      </c>
      <c r="BR6" s="343" t="s">
        <v>15850</v>
      </c>
      <c r="BS6" s="343" t="s">
        <v>15509</v>
      </c>
      <c r="BT6" s="343" t="s">
        <v>15511</v>
      </c>
      <c r="BU6" s="343" t="s">
        <v>15510</v>
      </c>
      <c r="BV6" s="343" t="s">
        <v>15031</v>
      </c>
      <c r="BW6" s="343" t="s">
        <v>713</v>
      </c>
      <c r="BX6" s="343" t="s">
        <v>712</v>
      </c>
      <c r="BY6" s="343" t="s">
        <v>666</v>
      </c>
      <c r="BZ6" s="343" t="s">
        <v>623</v>
      </c>
      <c r="CA6" s="343" t="s">
        <v>622</v>
      </c>
      <c r="CB6" s="343" t="s">
        <v>480</v>
      </c>
      <c r="CC6" s="343" t="s">
        <v>478</v>
      </c>
      <c r="CD6" s="343" t="s">
        <v>477</v>
      </c>
      <c r="CE6" s="343" t="s">
        <v>472</v>
      </c>
      <c r="CF6" s="343" t="s">
        <v>465</v>
      </c>
      <c r="CG6" s="343" t="s">
        <v>461</v>
      </c>
      <c r="CH6" s="343" t="s">
        <v>457</v>
      </c>
      <c r="CI6" s="343" t="s">
        <v>453</v>
      </c>
      <c r="CJ6" s="343" t="s">
        <v>452</v>
      </c>
      <c r="CK6" s="343" t="s">
        <v>423</v>
      </c>
      <c r="CL6" s="343" t="s">
        <v>422</v>
      </c>
      <c r="CM6" s="343" t="s">
        <v>421</v>
      </c>
      <c r="CN6" s="343" t="s">
        <v>419</v>
      </c>
      <c r="CO6" s="343" t="s">
        <v>416</v>
      </c>
      <c r="CP6" s="343" t="s">
        <v>390</v>
      </c>
      <c r="CQ6" s="343" t="s">
        <v>391</v>
      </c>
      <c r="CR6" s="343" t="s">
        <v>392</v>
      </c>
      <c r="CS6" s="343" t="s">
        <v>393</v>
      </c>
      <c r="CT6" s="343" t="s">
        <v>407</v>
      </c>
      <c r="CU6" s="343" t="s">
        <v>406</v>
      </c>
      <c r="CV6" s="343" t="s">
        <v>405</v>
      </c>
    </row>
    <row r="7" spans="1:100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600</v>
      </c>
      <c r="I7" s="351">
        <v>630</v>
      </c>
      <c r="J7" s="351"/>
      <c r="K7" s="351">
        <v>600</v>
      </c>
      <c r="L7" s="351">
        <v>575</v>
      </c>
      <c r="M7" s="351"/>
      <c r="N7" s="351"/>
      <c r="O7" s="351">
        <v>550</v>
      </c>
      <c r="P7" s="351">
        <v>650</v>
      </c>
      <c r="Q7" s="351"/>
      <c r="R7" s="351">
        <v>600</v>
      </c>
      <c r="S7" s="351">
        <v>550</v>
      </c>
      <c r="T7" s="351"/>
      <c r="U7" s="351"/>
      <c r="V7" s="352"/>
      <c r="W7" s="353"/>
      <c r="X7" s="351"/>
      <c r="Y7" s="351">
        <v>600</v>
      </c>
      <c r="Z7" s="351">
        <v>600</v>
      </c>
      <c r="AA7" s="351"/>
      <c r="AB7" s="352"/>
      <c r="AC7" s="352"/>
      <c r="AD7" s="351">
        <v>700</v>
      </c>
      <c r="AE7" s="351">
        <v>700</v>
      </c>
      <c r="AF7" s="351">
        <v>700</v>
      </c>
      <c r="AG7" s="351">
        <v>670</v>
      </c>
      <c r="AH7" s="351">
        <v>670</v>
      </c>
      <c r="AI7" s="351">
        <v>670</v>
      </c>
      <c r="AJ7" s="351">
        <v>550</v>
      </c>
      <c r="AK7" s="351">
        <v>550</v>
      </c>
      <c r="AL7" s="351">
        <v>650</v>
      </c>
      <c r="AM7" s="351">
        <v>700</v>
      </c>
      <c r="AN7" s="351">
        <v>700</v>
      </c>
      <c r="AO7" s="351">
        <v>700</v>
      </c>
      <c r="AP7" s="352"/>
      <c r="AQ7" s="353"/>
      <c r="AR7" s="597"/>
      <c r="AS7" s="597">
        <v>600</v>
      </c>
      <c r="AT7" s="1306"/>
      <c r="AU7" s="352"/>
      <c r="AV7" s="353"/>
      <c r="AW7" s="351"/>
      <c r="AX7" s="351"/>
      <c r="AY7" s="351"/>
      <c r="AZ7" s="351"/>
      <c r="BA7" s="351"/>
      <c r="BB7" s="351"/>
      <c r="BC7" s="351"/>
      <c r="BD7" s="597"/>
      <c r="BE7" s="352"/>
      <c r="BF7" s="353"/>
      <c r="BH7" s="354" t="s">
        <v>463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463</v>
      </c>
      <c r="BX7" s="354" t="s">
        <v>388</v>
      </c>
      <c r="BY7" s="354" t="s">
        <v>388</v>
      </c>
      <c r="BZ7" s="354" t="s">
        <v>463</v>
      </c>
      <c r="CA7" s="354" t="s">
        <v>388</v>
      </c>
      <c r="CB7" s="354" t="s">
        <v>388</v>
      </c>
      <c r="CC7" s="354" t="s">
        <v>388</v>
      </c>
      <c r="CD7" s="354" t="s">
        <v>388</v>
      </c>
      <c r="CE7" s="354" t="s">
        <v>388</v>
      </c>
      <c r="CF7" s="354" t="s">
        <v>388</v>
      </c>
      <c r="CG7" s="354" t="s">
        <v>464</v>
      </c>
      <c r="CH7" s="354" t="s">
        <v>464</v>
      </c>
      <c r="CI7" s="354" t="s">
        <v>464</v>
      </c>
      <c r="CJ7" s="354" t="s">
        <v>464</v>
      </c>
      <c r="CK7" s="354" t="s">
        <v>463</v>
      </c>
      <c r="CL7" s="354" t="s">
        <v>464</v>
      </c>
      <c r="CM7" s="354" t="s">
        <v>464</v>
      </c>
      <c r="CN7" s="354" t="s">
        <v>464</v>
      </c>
      <c r="CO7" s="354" t="s">
        <v>464</v>
      </c>
      <c r="CP7" s="354" t="s">
        <v>388</v>
      </c>
      <c r="CQ7" s="354" t="s">
        <v>388</v>
      </c>
      <c r="CR7" s="354" t="s">
        <v>388</v>
      </c>
      <c r="CS7" s="354" t="s">
        <v>388</v>
      </c>
      <c r="CT7" s="354" t="s">
        <v>388</v>
      </c>
      <c r="CU7" s="354" t="s">
        <v>388</v>
      </c>
      <c r="CV7" s="354" t="s">
        <v>388</v>
      </c>
    </row>
    <row r="8" spans="1:100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1511"/>
      <c r="H8" s="492" t="s">
        <v>17260</v>
      </c>
      <c r="I8" s="492">
        <v>3.3333333333333335</v>
      </c>
      <c r="J8" s="492" t="s">
        <v>378</v>
      </c>
      <c r="K8" s="492">
        <v>1.5</v>
      </c>
      <c r="L8" s="492" t="s">
        <v>378</v>
      </c>
      <c r="M8" s="1511"/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492" t="s">
        <v>378</v>
      </c>
      <c r="T8" s="492" t="s">
        <v>378</v>
      </c>
      <c r="U8" s="323" t="s">
        <v>378</v>
      </c>
      <c r="V8" s="322">
        <f t="array" ref="V8">IF(ISERROR(AVERAGE($B8:$U8)),"",AVERAGE($B8:$U8))</f>
        <v>2.8888888888888893</v>
      </c>
      <c r="W8" s="321">
        <f>IF(ISERROR(AVERAGE($B$8:U8)),"",AVERAGE($B$8:U8))</f>
        <v>2.8888888888888893</v>
      </c>
      <c r="X8" s="504" t="s">
        <v>378</v>
      </c>
      <c r="Y8" s="492" t="s">
        <v>127</v>
      </c>
      <c r="Z8" s="1511"/>
      <c r="AA8" s="323" t="s">
        <v>378</v>
      </c>
      <c r="AB8" s="322" t="str">
        <f t="shared" ref="AB8:AB38" si="0">IF(ISERROR(AVERAGE($X8:$AA8)),"",AVERAGE($X8:$AA8))</f>
        <v/>
      </c>
      <c r="AC8" s="321" t="str">
        <f>IF(ISERROR(AVERAGE($X$8:AA8)),"",AVERAGE($X$8:AA8))</f>
        <v/>
      </c>
      <c r="AD8" s="504" t="s">
        <v>16156</v>
      </c>
      <c r="AE8" s="492" t="s">
        <v>16156</v>
      </c>
      <c r="AF8" s="1511"/>
      <c r="AG8" s="492">
        <v>4.75</v>
      </c>
      <c r="AH8" s="492">
        <v>4.5</v>
      </c>
      <c r="AI8" s="1511"/>
      <c r="AJ8" s="492" t="s">
        <v>17267</v>
      </c>
      <c r="AK8" s="1511"/>
      <c r="AL8" s="492" t="s">
        <v>17411</v>
      </c>
      <c r="AM8" s="492" t="s">
        <v>127</v>
      </c>
      <c r="AN8" s="1511"/>
      <c r="AO8" s="323" t="s">
        <v>17262</v>
      </c>
      <c r="AP8" s="322">
        <f>IF(ISERROR(AVERAGE($AD8:$AO8)),"",AVERAGE($AD8:$AO8))</f>
        <v>4.625</v>
      </c>
      <c r="AQ8" s="323">
        <f>IF(ISERROR(AVERAGE($AD$8:AO8)),"",AVERAGE($AD$8:AO8))</f>
        <v>4.625</v>
      </c>
      <c r="AR8" s="504" t="s">
        <v>378</v>
      </c>
      <c r="AS8" s="492" t="s">
        <v>127</v>
      </c>
      <c r="AT8" s="675" t="s">
        <v>386</v>
      </c>
      <c r="AU8" s="322" t="str">
        <f t="shared" ref="AU8:AU38" si="1">IF(ISERROR(AVERAGE(AR8:AR8)),"",AVERAGE(AR8:AT8))</f>
        <v/>
      </c>
      <c r="AV8" s="323" t="str">
        <f>IF(ISERROR(AVERAGE(AR$8:$AT8)),"",AVERAGE(AR$8:$AT8))</f>
        <v/>
      </c>
      <c r="AW8" s="1374" t="s">
        <v>16203</v>
      </c>
      <c r="AX8" s="492" t="s">
        <v>16203</v>
      </c>
      <c r="AY8" s="492" t="s">
        <v>16203</v>
      </c>
      <c r="AZ8" s="492" t="s">
        <v>16203</v>
      </c>
      <c r="BA8" s="492" t="s">
        <v>16203</v>
      </c>
      <c r="BB8" s="492" t="s">
        <v>16203</v>
      </c>
      <c r="BC8" s="492" t="s">
        <v>16203</v>
      </c>
      <c r="BD8" s="492" t="s">
        <v>16203</v>
      </c>
      <c r="BE8" s="324" t="str">
        <f t="shared" ref="BE8:BE22" si="2">IF(ISERROR(AVERAGE($AW8:$BD8)),"",AVERAGE($AW8:$BD8))</f>
        <v/>
      </c>
      <c r="BF8" s="324" t="str">
        <f>IF(ISERROR(AVERAGE(AW$8:$BD8)),"",AVERAGE(AW$8:$BD8))</f>
        <v/>
      </c>
      <c r="BG8" s="325">
        <f>IF(ISERROR(AVERAGE(V8,AB8,BE8,AP8,AU8)),"",AVERAGE(V8,AB8,BE8,AP8,AU8))</f>
        <v>3.7569444444444446</v>
      </c>
      <c r="BH8" s="325">
        <f>COUNTIF(A8:BF8,"產銷停機")</f>
        <v>16</v>
      </c>
      <c r="BI8" s="325">
        <v>6</v>
      </c>
      <c r="BJ8" s="325">
        <v>2</v>
      </c>
      <c r="BK8" s="325">
        <v>2</v>
      </c>
      <c r="BL8" s="325">
        <v>11</v>
      </c>
      <c r="BM8" s="325">
        <v>11</v>
      </c>
      <c r="BN8" s="325">
        <v>9</v>
      </c>
      <c r="BO8" s="325">
        <v>9</v>
      </c>
      <c r="BP8" s="325">
        <v>9</v>
      </c>
      <c r="BQ8" s="325">
        <v>9</v>
      </c>
      <c r="BR8" s="325">
        <v>9</v>
      </c>
      <c r="BS8" s="325">
        <v>9</v>
      </c>
      <c r="BT8" s="325">
        <v>9</v>
      </c>
      <c r="BU8" s="325">
        <v>10</v>
      </c>
      <c r="BV8" s="325">
        <v>9</v>
      </c>
      <c r="BW8" s="325">
        <v>9</v>
      </c>
      <c r="BX8" s="325">
        <v>1</v>
      </c>
      <c r="BY8" s="325">
        <v>5</v>
      </c>
      <c r="BZ8" s="325">
        <v>4</v>
      </c>
      <c r="CA8" s="325">
        <v>4</v>
      </c>
      <c r="CB8" s="325">
        <v>3</v>
      </c>
      <c r="CC8" s="325">
        <v>3</v>
      </c>
      <c r="CD8" s="325">
        <v>4</v>
      </c>
      <c r="CE8" s="325">
        <v>2</v>
      </c>
      <c r="CF8" s="325">
        <v>5</v>
      </c>
      <c r="CG8" s="325">
        <v>3</v>
      </c>
      <c r="CH8" s="325">
        <v>4</v>
      </c>
      <c r="CI8" s="325">
        <v>3</v>
      </c>
      <c r="CJ8" s="325">
        <v>4</v>
      </c>
      <c r="CK8" s="325">
        <v>2</v>
      </c>
      <c r="CL8" s="325">
        <v>1</v>
      </c>
      <c r="CM8" s="325">
        <v>1</v>
      </c>
      <c r="CN8" s="325">
        <v>1</v>
      </c>
      <c r="CO8" s="325">
        <v>2</v>
      </c>
      <c r="CP8" s="325">
        <v>3</v>
      </c>
      <c r="CQ8" s="621">
        <v>9</v>
      </c>
      <c r="CR8" s="621">
        <v>17</v>
      </c>
      <c r="CS8" s="621">
        <v>9</v>
      </c>
      <c r="CT8" s="325">
        <v>3</v>
      </c>
      <c r="CU8" s="325">
        <v>3</v>
      </c>
      <c r="CV8" s="325">
        <v>0</v>
      </c>
    </row>
    <row r="9" spans="1:100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1509"/>
      <c r="H9" s="445">
        <v>3.25</v>
      </c>
      <c r="I9" s="445">
        <v>2.7083333333333335</v>
      </c>
      <c r="J9" s="445" t="s">
        <v>378</v>
      </c>
      <c r="K9" s="445">
        <v>1.5416666666666667</v>
      </c>
      <c r="L9" s="445" t="s">
        <v>17282</v>
      </c>
      <c r="M9" s="1509"/>
      <c r="N9" s="445" t="s">
        <v>378</v>
      </c>
      <c r="O9" s="445" t="s">
        <v>378</v>
      </c>
      <c r="P9" s="445" t="s">
        <v>17285</v>
      </c>
      <c r="Q9" s="445" t="s">
        <v>378</v>
      </c>
      <c r="R9" s="445" t="s">
        <v>378</v>
      </c>
      <c r="S9" s="445" t="s">
        <v>378</v>
      </c>
      <c r="T9" s="445" t="s">
        <v>378</v>
      </c>
      <c r="U9" s="1051" t="s">
        <v>378</v>
      </c>
      <c r="V9" s="322">
        <f t="shared" ref="V9:V38" si="3">IF(ISERROR(AVERAGE($B9:$U9)),"",AVERAGE($B9:$U9))</f>
        <v>2.5625</v>
      </c>
      <c r="W9" s="321">
        <f>IF(ISERROR(AVERAGE($B$8:U9)),"",AVERAGE($B$8:U9))</f>
        <v>2.7023809523809526</v>
      </c>
      <c r="X9" s="327" t="s">
        <v>378</v>
      </c>
      <c r="Y9" s="445" t="s">
        <v>378</v>
      </c>
      <c r="Z9" s="1512"/>
      <c r="AA9" s="1051" t="s">
        <v>378</v>
      </c>
      <c r="AB9" s="322" t="str">
        <f t="shared" si="0"/>
        <v/>
      </c>
      <c r="AC9" s="321" t="str">
        <f>IF(ISERROR(AVERAGE($X$8:AA9)),"",AVERAGE($X$8:AA9))</f>
        <v/>
      </c>
      <c r="AD9" s="327" t="s">
        <v>17287</v>
      </c>
      <c r="AE9" s="445" t="s">
        <v>17288</v>
      </c>
      <c r="AF9" s="1509"/>
      <c r="AG9" s="445">
        <v>4.5</v>
      </c>
      <c r="AH9" s="445">
        <v>5.916666666666667</v>
      </c>
      <c r="AI9" s="1509"/>
      <c r="AJ9" s="445">
        <v>5.25</v>
      </c>
      <c r="AK9" s="1509"/>
      <c r="AL9" s="445" t="s">
        <v>17411</v>
      </c>
      <c r="AM9" s="445" t="s">
        <v>127</v>
      </c>
      <c r="AN9" s="1509"/>
      <c r="AO9" s="1051">
        <v>4.041666666666667</v>
      </c>
      <c r="AP9" s="322">
        <f>IF(ISERROR(AVERAGE($AD9:$AO9)),"",AVERAGE($AD9:$AO9))</f>
        <v>4.9270833333333339</v>
      </c>
      <c r="AQ9" s="323">
        <f>IF(ISERROR(AVERAGE($AD$8:AO9)),"",AVERAGE($AD$8:AO9))</f>
        <v>4.8263888888888893</v>
      </c>
      <c r="AR9" s="327" t="s">
        <v>378</v>
      </c>
      <c r="AS9" s="445" t="s">
        <v>127</v>
      </c>
      <c r="AT9" s="1311" t="s">
        <v>16065</v>
      </c>
      <c r="AU9" s="322" t="str">
        <f t="shared" si="1"/>
        <v/>
      </c>
      <c r="AV9" s="323" t="str">
        <f>IF(ISERROR(AVERAGE(AR$8:$AT9)),"",AVERAGE(AR$8:$AT9))</f>
        <v/>
      </c>
      <c r="AW9" s="327" t="s">
        <v>16203</v>
      </c>
      <c r="AX9" s="445" t="s">
        <v>16203</v>
      </c>
      <c r="AY9" s="445" t="s">
        <v>16203</v>
      </c>
      <c r="AZ9" s="445" t="s">
        <v>16203</v>
      </c>
      <c r="BA9" s="445" t="s">
        <v>16203</v>
      </c>
      <c r="BB9" s="445" t="s">
        <v>16203</v>
      </c>
      <c r="BC9" s="445" t="s">
        <v>16203</v>
      </c>
      <c r="BD9" s="445" t="s">
        <v>16203</v>
      </c>
      <c r="BE9" s="324" t="str">
        <f t="shared" si="2"/>
        <v/>
      </c>
      <c r="BF9" s="324" t="str">
        <f>IF(ISERROR(AVERAGE(AW$8:$BD9)),"",AVERAGE(AW$8:$BD9))</f>
        <v/>
      </c>
      <c r="BG9" s="325">
        <f>IF(ISERROR(AVERAGE(V9,AB9,BE9,AP9,AU9)),"",AVERAGE(V9,AB9,BE9,AP9,AU9))</f>
        <v>3.744791666666667</v>
      </c>
      <c r="BH9" s="325">
        <f>COUNTIF(A9:BF9,"產銷停機")</f>
        <v>15</v>
      </c>
      <c r="BI9" s="325">
        <v>5</v>
      </c>
      <c r="BJ9" s="325">
        <v>2</v>
      </c>
      <c r="BK9" s="325">
        <v>2</v>
      </c>
      <c r="BL9" s="325">
        <v>11</v>
      </c>
      <c r="BM9" s="325">
        <v>10</v>
      </c>
      <c r="BN9" s="325">
        <v>9</v>
      </c>
      <c r="BO9" s="325">
        <v>9</v>
      </c>
      <c r="BP9" s="325">
        <v>9</v>
      </c>
      <c r="BQ9" s="325">
        <v>9</v>
      </c>
      <c r="BR9" s="325">
        <v>9</v>
      </c>
      <c r="BS9" s="325">
        <v>9</v>
      </c>
      <c r="BT9" s="325">
        <v>9</v>
      </c>
      <c r="BU9" s="325">
        <v>10</v>
      </c>
      <c r="BV9" s="325">
        <v>9</v>
      </c>
      <c r="BW9" s="325">
        <v>9</v>
      </c>
      <c r="BX9" s="325">
        <v>1</v>
      </c>
      <c r="BY9" s="325">
        <v>5</v>
      </c>
      <c r="BZ9" s="325">
        <v>4</v>
      </c>
      <c r="CA9" s="325">
        <v>4</v>
      </c>
      <c r="CB9" s="325">
        <v>3</v>
      </c>
      <c r="CC9" s="325">
        <v>3</v>
      </c>
      <c r="CD9" s="325">
        <v>4</v>
      </c>
      <c r="CE9" s="325">
        <v>2</v>
      </c>
      <c r="CF9" s="325">
        <v>5</v>
      </c>
      <c r="CG9" s="325">
        <v>3</v>
      </c>
      <c r="CH9" s="325">
        <v>4</v>
      </c>
      <c r="CI9" s="325">
        <v>3</v>
      </c>
      <c r="CJ9" s="325">
        <v>3</v>
      </c>
      <c r="CK9" s="325">
        <v>2</v>
      </c>
      <c r="CL9" s="325">
        <v>1</v>
      </c>
      <c r="CM9" s="325">
        <v>1</v>
      </c>
      <c r="CN9" s="325">
        <v>1</v>
      </c>
      <c r="CO9" s="325">
        <v>3</v>
      </c>
      <c r="CP9" s="325">
        <v>3</v>
      </c>
      <c r="CQ9" s="325">
        <v>6</v>
      </c>
      <c r="CR9" s="325">
        <v>10</v>
      </c>
      <c r="CS9" s="325">
        <v>11</v>
      </c>
      <c r="CT9" s="325">
        <v>3</v>
      </c>
      <c r="CU9" s="325">
        <v>3</v>
      </c>
      <c r="CV9" s="325">
        <v>0</v>
      </c>
    </row>
    <row r="10" spans="1:100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1509"/>
      <c r="H10" s="445">
        <v>1.5</v>
      </c>
      <c r="I10" s="445">
        <v>2.5</v>
      </c>
      <c r="J10" s="445" t="s">
        <v>378</v>
      </c>
      <c r="K10" s="445">
        <v>1.25</v>
      </c>
      <c r="L10" s="445">
        <v>1.3333333333333333</v>
      </c>
      <c r="M10" s="1509"/>
      <c r="N10" s="445" t="s">
        <v>378</v>
      </c>
      <c r="O10" s="445" t="s">
        <v>378</v>
      </c>
      <c r="P10" s="445">
        <v>2.8333333333333335</v>
      </c>
      <c r="Q10" s="445" t="s">
        <v>378</v>
      </c>
      <c r="R10" s="445" t="s">
        <v>378</v>
      </c>
      <c r="S10" s="445" t="s">
        <v>378</v>
      </c>
      <c r="T10" s="445" t="s">
        <v>378</v>
      </c>
      <c r="U10" s="1051" t="s">
        <v>378</v>
      </c>
      <c r="V10" s="322">
        <f t="shared" si="3"/>
        <v>2.2013888888888888</v>
      </c>
      <c r="W10" s="321">
        <f>IF(ISERROR(AVERAGE($B$8:U10)),"",AVERAGE($B$8:U10))</f>
        <v>2.4711538461538463</v>
      </c>
      <c r="X10" s="327" t="s">
        <v>378</v>
      </c>
      <c r="Y10" s="1508"/>
      <c r="Z10" s="445" t="s">
        <v>17336</v>
      </c>
      <c r="AA10" s="1051" t="s">
        <v>378</v>
      </c>
      <c r="AB10" s="322" t="str">
        <f t="shared" si="0"/>
        <v/>
      </c>
      <c r="AC10" s="321" t="str">
        <f>IF(ISERROR(AVERAGE($X$8:AA10)),"",AVERAGE($X$8:AA10))</f>
        <v/>
      </c>
      <c r="AD10" s="327">
        <v>5.041666666666667</v>
      </c>
      <c r="AE10" s="445">
        <v>4.333333333333333</v>
      </c>
      <c r="AF10" s="1509"/>
      <c r="AG10" s="445">
        <v>4.333333333333333</v>
      </c>
      <c r="AH10" s="445">
        <v>4.666666666666667</v>
      </c>
      <c r="AI10" s="1509"/>
      <c r="AJ10" s="445">
        <v>5.833333333333333</v>
      </c>
      <c r="AK10" s="1509"/>
      <c r="AL10" s="445" t="s">
        <v>17411</v>
      </c>
      <c r="AM10" s="445" t="s">
        <v>127</v>
      </c>
      <c r="AN10" s="1509"/>
      <c r="AO10" s="1051">
        <v>4.08</v>
      </c>
      <c r="AP10" s="322">
        <f>IF(ISERROR(AVERAGE($AD10:$AO10)),"",AVERAGE($AD10:$AO10))</f>
        <v>4.714722222222222</v>
      </c>
      <c r="AQ10" s="323">
        <f>IF(ISERROR(AVERAGE($AD$8:AO10)),"",AVERAGE($AD$8:AO10))</f>
        <v>4.7705555555555561</v>
      </c>
      <c r="AR10" s="327" t="s">
        <v>378</v>
      </c>
      <c r="AS10" s="445" t="s">
        <v>127</v>
      </c>
      <c r="AT10" s="1311" t="s">
        <v>16065</v>
      </c>
      <c r="AU10" s="322" t="str">
        <f t="shared" si="1"/>
        <v/>
      </c>
      <c r="AV10" s="323" t="str">
        <f>IF(ISERROR(AVERAGE(AR$8:$AT10)),"",AVERAGE(AR$8:$AT10))</f>
        <v/>
      </c>
      <c r="AW10" s="327" t="s">
        <v>16203</v>
      </c>
      <c r="AX10" s="445" t="s">
        <v>16203</v>
      </c>
      <c r="AY10" s="445" t="s">
        <v>16203</v>
      </c>
      <c r="AZ10" s="445" t="s">
        <v>16203</v>
      </c>
      <c r="BA10" s="445" t="s">
        <v>16203</v>
      </c>
      <c r="BB10" s="445" t="s">
        <v>16203</v>
      </c>
      <c r="BC10" s="445" t="s">
        <v>16203</v>
      </c>
      <c r="BD10" s="445" t="s">
        <v>16203</v>
      </c>
      <c r="BE10" s="324" t="str">
        <f t="shared" si="2"/>
        <v/>
      </c>
      <c r="BF10" s="324" t="str">
        <f t="array" ref="BF10">IF(ISERROR(AVERAGE(AW$8:$BD10)),"",AVERAGE(AW$8:$BD10))</f>
        <v/>
      </c>
      <c r="BG10" s="325">
        <f>IF(ISERROR(AVERAGE(V10,AB10,BE10,AP10,AU10)),"",AVERAGE(V10,AB10,BE10,AP10,AU10))</f>
        <v>3.4580555555555552</v>
      </c>
      <c r="BH10" s="325">
        <f>COUNTIF(A10:BF10,"產銷停機")</f>
        <v>14</v>
      </c>
      <c r="BI10" s="325">
        <v>6</v>
      </c>
      <c r="BJ10" s="325">
        <v>2</v>
      </c>
      <c r="BK10" s="325">
        <v>2</v>
      </c>
      <c r="BL10" s="325">
        <v>11</v>
      </c>
      <c r="BM10" s="325">
        <v>10</v>
      </c>
      <c r="BN10" s="325">
        <v>9</v>
      </c>
      <c r="BO10" s="325">
        <v>9</v>
      </c>
      <c r="BP10" s="325">
        <v>9</v>
      </c>
      <c r="BQ10" s="325">
        <v>9</v>
      </c>
      <c r="BR10" s="325">
        <v>9</v>
      </c>
      <c r="BS10" s="325">
        <v>9</v>
      </c>
      <c r="BT10" s="325">
        <v>9</v>
      </c>
      <c r="BU10" s="325">
        <v>10</v>
      </c>
      <c r="BV10" s="325">
        <v>9</v>
      </c>
      <c r="BW10" s="325">
        <v>9</v>
      </c>
      <c r="BX10" s="325">
        <v>1</v>
      </c>
      <c r="BY10" s="325">
        <v>5</v>
      </c>
      <c r="BZ10" s="325">
        <v>4</v>
      </c>
      <c r="CA10" s="325">
        <v>4</v>
      </c>
      <c r="CB10" s="325">
        <v>3</v>
      </c>
      <c r="CC10" s="325">
        <v>3</v>
      </c>
      <c r="CD10" s="325">
        <v>4</v>
      </c>
      <c r="CE10" s="325">
        <v>2</v>
      </c>
      <c r="CF10" s="325">
        <v>5</v>
      </c>
      <c r="CG10" s="325">
        <v>3</v>
      </c>
      <c r="CH10" s="325">
        <v>4</v>
      </c>
      <c r="CI10" s="325">
        <v>3</v>
      </c>
      <c r="CJ10" s="325">
        <v>4</v>
      </c>
      <c r="CK10" s="325">
        <v>2</v>
      </c>
      <c r="CL10" s="325">
        <v>1</v>
      </c>
      <c r="CM10" s="325">
        <v>3</v>
      </c>
      <c r="CN10" s="325">
        <v>2</v>
      </c>
      <c r="CO10" s="325">
        <v>4</v>
      </c>
      <c r="CP10" s="325">
        <v>4</v>
      </c>
      <c r="CQ10" s="325">
        <v>6</v>
      </c>
      <c r="CR10" s="621">
        <v>9</v>
      </c>
      <c r="CS10" s="621">
        <v>11</v>
      </c>
      <c r="CT10" s="325">
        <v>2</v>
      </c>
      <c r="CU10" s="325">
        <v>3</v>
      </c>
      <c r="CV10" s="325">
        <v>0</v>
      </c>
    </row>
    <row r="11" spans="1:100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1509"/>
      <c r="H11" s="445">
        <v>1.1666666666666667</v>
      </c>
      <c r="I11" s="445">
        <v>2.7916666666666665</v>
      </c>
      <c r="J11" s="445" t="s">
        <v>378</v>
      </c>
      <c r="K11" s="445">
        <v>2.25</v>
      </c>
      <c r="L11" s="445">
        <v>1.3333333333333333</v>
      </c>
      <c r="M11" s="1509"/>
      <c r="N11" s="445" t="s">
        <v>378</v>
      </c>
      <c r="O11" s="445" t="s">
        <v>378</v>
      </c>
      <c r="P11" s="445">
        <v>3.5416666666666665</v>
      </c>
      <c r="Q11" s="445" t="s">
        <v>378</v>
      </c>
      <c r="R11" s="445" t="s">
        <v>378</v>
      </c>
      <c r="S11" s="445" t="s">
        <v>378</v>
      </c>
      <c r="T11" s="445" t="s">
        <v>378</v>
      </c>
      <c r="U11" s="1051" t="s">
        <v>378</v>
      </c>
      <c r="V11" s="322">
        <f t="shared" si="3"/>
        <v>2.5347222222222223</v>
      </c>
      <c r="W11" s="321">
        <f>IF(ISERROR(AVERAGE($B$8:U11)),"",AVERAGE($B$8:U11))</f>
        <v>2.4912280701754383</v>
      </c>
      <c r="X11" s="327" t="s">
        <v>378</v>
      </c>
      <c r="Y11" s="1509"/>
      <c r="Z11" s="445">
        <v>6.083333333333333</v>
      </c>
      <c r="AA11" s="1051" t="s">
        <v>378</v>
      </c>
      <c r="AB11" s="322">
        <f t="shared" si="0"/>
        <v>6.083333333333333</v>
      </c>
      <c r="AC11" s="321">
        <f>IF(ISERROR(AVERAGE($X$8:AA11)),"",AVERAGE($X$8:AA11))</f>
        <v>6.083333333333333</v>
      </c>
      <c r="AD11" s="327">
        <v>5.708333333333333</v>
      </c>
      <c r="AE11" s="445">
        <v>4.708333333333333</v>
      </c>
      <c r="AF11" s="1509"/>
      <c r="AG11" s="445">
        <v>7.083333333333333</v>
      </c>
      <c r="AH11" s="445">
        <v>7.666666666666667</v>
      </c>
      <c r="AI11" s="1509"/>
      <c r="AJ11" s="445">
        <v>5.666666666666667</v>
      </c>
      <c r="AK11" s="1509"/>
      <c r="AL11" s="445" t="s">
        <v>17411</v>
      </c>
      <c r="AM11" s="445" t="s">
        <v>127</v>
      </c>
      <c r="AN11" s="1512"/>
      <c r="AO11" s="1051">
        <v>6.083333333333333</v>
      </c>
      <c r="AP11" s="322">
        <f>IF(ISERROR(AVERAGE($AD11:$AO11)),"",AVERAGE($AD11:$AO11))</f>
        <v>6.1527777777777786</v>
      </c>
      <c r="AQ11" s="323">
        <f>IF(ISERROR(AVERAGE($AD$8:AO11)),"",AVERAGE($AD$8:AO11))</f>
        <v>5.2312962962962963</v>
      </c>
      <c r="AR11" s="327" t="s">
        <v>378</v>
      </c>
      <c r="AS11" s="445" t="s">
        <v>127</v>
      </c>
      <c r="AT11" s="1311" t="s">
        <v>16065</v>
      </c>
      <c r="AU11" s="322" t="str">
        <f t="shared" si="1"/>
        <v/>
      </c>
      <c r="AV11" s="323" t="str">
        <f>IF(ISERROR(AVERAGE(AR$8:$AT11)),"",AVERAGE(AR$8:$AT11))</f>
        <v/>
      </c>
      <c r="AW11" s="327" t="s">
        <v>16203</v>
      </c>
      <c r="AX11" s="445" t="s">
        <v>16203</v>
      </c>
      <c r="AY11" s="445" t="s">
        <v>16203</v>
      </c>
      <c r="AZ11" s="445" t="s">
        <v>16203</v>
      </c>
      <c r="BA11" s="445" t="s">
        <v>16203</v>
      </c>
      <c r="BB11" s="445" t="s">
        <v>16203</v>
      </c>
      <c r="BC11" s="445" t="s">
        <v>16203</v>
      </c>
      <c r="BD11" s="445" t="s">
        <v>16203</v>
      </c>
      <c r="BE11" s="324" t="str">
        <f t="shared" si="2"/>
        <v/>
      </c>
      <c r="BF11" s="324" t="str">
        <f t="array" ref="BF11">IF(ISERROR(AVERAGE(AW$8:$BD11)),"",AVERAGE(AW$8:$BD11))</f>
        <v/>
      </c>
      <c r="BG11" s="325">
        <f>IF(ISERROR(AVERAGE(V11,AB11,BE11,AP11,AU11)),"",AVERAGE(V11,AB11,BE11,AP11,AU11))</f>
        <v>4.9236111111111116</v>
      </c>
      <c r="BH11" s="325">
        <f>COUNTIF(A11:BF11,"產銷停機")</f>
        <v>14</v>
      </c>
      <c r="BI11" s="325">
        <v>6</v>
      </c>
      <c r="BJ11" s="325">
        <v>2</v>
      </c>
      <c r="BK11" s="325">
        <v>2</v>
      </c>
      <c r="BL11" s="325">
        <v>11</v>
      </c>
      <c r="BM11" s="325">
        <v>10</v>
      </c>
      <c r="BN11" s="325">
        <v>9</v>
      </c>
      <c r="BO11" s="325">
        <v>9</v>
      </c>
      <c r="BP11" s="325">
        <v>9</v>
      </c>
      <c r="BQ11" s="325">
        <v>9</v>
      </c>
      <c r="BR11" s="325">
        <v>9</v>
      </c>
      <c r="BS11" s="325">
        <v>9</v>
      </c>
      <c r="BT11" s="325">
        <v>9</v>
      </c>
      <c r="BU11" s="325">
        <v>10</v>
      </c>
      <c r="BV11" s="325">
        <v>9</v>
      </c>
      <c r="BW11" s="325">
        <v>9</v>
      </c>
      <c r="BX11" s="325">
        <v>1</v>
      </c>
      <c r="BY11" s="325">
        <v>5</v>
      </c>
      <c r="BZ11" s="325">
        <v>4</v>
      </c>
      <c r="CA11" s="325">
        <v>3</v>
      </c>
      <c r="CB11" s="325">
        <v>3</v>
      </c>
      <c r="CC11" s="325">
        <v>3</v>
      </c>
      <c r="CD11" s="325">
        <v>4</v>
      </c>
      <c r="CE11" s="325">
        <v>2</v>
      </c>
      <c r="CF11" s="325">
        <v>5</v>
      </c>
      <c r="CG11" s="325">
        <v>3</v>
      </c>
      <c r="CH11" s="325">
        <v>4</v>
      </c>
      <c r="CI11" s="325">
        <v>3</v>
      </c>
      <c r="CJ11" s="325">
        <v>4</v>
      </c>
      <c r="CK11" s="325">
        <v>1</v>
      </c>
      <c r="CL11" s="325">
        <v>1</v>
      </c>
      <c r="CM11" s="325">
        <v>3</v>
      </c>
      <c r="CN11" s="325">
        <v>3</v>
      </c>
      <c r="CO11" s="325">
        <v>4</v>
      </c>
      <c r="CP11" s="325">
        <v>4</v>
      </c>
      <c r="CQ11" s="325">
        <v>6</v>
      </c>
      <c r="CR11" s="621">
        <v>8</v>
      </c>
      <c r="CS11" s="621">
        <v>11</v>
      </c>
      <c r="CT11" s="325">
        <v>2</v>
      </c>
      <c r="CU11" s="325">
        <v>3</v>
      </c>
      <c r="CV11" s="325">
        <v>0</v>
      </c>
    </row>
    <row r="12" spans="1:100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1509"/>
      <c r="H12" s="445">
        <v>1.125</v>
      </c>
      <c r="I12" s="445">
        <v>2.0416666666666665</v>
      </c>
      <c r="J12" s="445" t="s">
        <v>378</v>
      </c>
      <c r="K12" s="445">
        <v>3.5416666666666665</v>
      </c>
      <c r="L12" s="445">
        <v>2.1666666666666665</v>
      </c>
      <c r="M12" s="1509"/>
      <c r="N12" s="445" t="s">
        <v>378</v>
      </c>
      <c r="O12" s="445" t="s">
        <v>378</v>
      </c>
      <c r="P12" s="445">
        <v>1.7083333333333333</v>
      </c>
      <c r="Q12" s="445" t="s">
        <v>378</v>
      </c>
      <c r="R12" s="445" t="s">
        <v>378</v>
      </c>
      <c r="S12" s="445" t="s">
        <v>378</v>
      </c>
      <c r="T12" s="445" t="s">
        <v>378</v>
      </c>
      <c r="U12" s="1051" t="s">
        <v>378</v>
      </c>
      <c r="V12" s="322">
        <f t="shared" si="3"/>
        <v>2.395833333333333</v>
      </c>
      <c r="W12" s="321">
        <f>IF(ISERROR(AVERAGE($B$8:U12)),"",AVERAGE($B$8:U12))</f>
        <v>2.4683333333333328</v>
      </c>
      <c r="X12" s="327" t="s">
        <v>378</v>
      </c>
      <c r="Y12" s="1509"/>
      <c r="Z12" s="445">
        <v>7.416666666666667</v>
      </c>
      <c r="AA12" s="1051" t="s">
        <v>378</v>
      </c>
      <c r="AB12" s="322">
        <f t="shared" si="0"/>
        <v>7.416666666666667</v>
      </c>
      <c r="AC12" s="321">
        <f>IF(ISERROR(AVERAGE($X$8:AA12)),"",AVERAGE($X$8:AA12))</f>
        <v>6.75</v>
      </c>
      <c r="AD12" s="327">
        <v>2.25</v>
      </c>
      <c r="AE12" s="445">
        <v>4.166666666666667</v>
      </c>
      <c r="AF12" s="1516"/>
      <c r="AG12" s="445">
        <v>4.083333333333333</v>
      </c>
      <c r="AH12" s="445">
        <v>6.75</v>
      </c>
      <c r="AI12" s="1516"/>
      <c r="AJ12" s="445">
        <v>3.0833333333333335</v>
      </c>
      <c r="AK12" s="1516"/>
      <c r="AL12" s="445" t="s">
        <v>17411</v>
      </c>
      <c r="AM12" s="1514"/>
      <c r="AN12" s="445" t="s">
        <v>17403</v>
      </c>
      <c r="AO12" s="1051">
        <v>2.7916666666666665</v>
      </c>
      <c r="AP12" s="322">
        <f>IF(ISERROR(AVERAGE($AD12:$AO12)),"",AVERAGE($AD12:$AO12))</f>
        <v>3.8541666666666665</v>
      </c>
      <c r="AQ12" s="323">
        <f>IF(ISERROR(AVERAGE($AD$8:AO12)),"",AVERAGE($AD$8:AO12))</f>
        <v>4.8870138888888892</v>
      </c>
      <c r="AR12" s="327" t="s">
        <v>378</v>
      </c>
      <c r="AS12" s="445" t="s">
        <v>127</v>
      </c>
      <c r="AT12" s="1311" t="s">
        <v>16065</v>
      </c>
      <c r="AU12" s="322" t="str">
        <f t="shared" si="1"/>
        <v/>
      </c>
      <c r="AV12" s="323" t="str">
        <f>IF(ISERROR(AVERAGE(AR$8:$AT12)),"",AVERAGE(AR$8:$AT12))</f>
        <v/>
      </c>
      <c r="AW12" s="327" t="s">
        <v>16203</v>
      </c>
      <c r="AX12" s="445" t="s">
        <v>16203</v>
      </c>
      <c r="AY12" s="445" t="s">
        <v>16203</v>
      </c>
      <c r="AZ12" s="445" t="s">
        <v>16203</v>
      </c>
      <c r="BA12" s="445" t="s">
        <v>16203</v>
      </c>
      <c r="BB12" s="445" t="s">
        <v>16203</v>
      </c>
      <c r="BC12" s="445" t="s">
        <v>16203</v>
      </c>
      <c r="BD12" s="445" t="s">
        <v>16203</v>
      </c>
      <c r="BE12" s="324" t="str">
        <f t="shared" si="2"/>
        <v/>
      </c>
      <c r="BF12" s="324" t="str">
        <f t="array" ref="BF12">IF(ISERROR(AVERAGE(AW$8:$BD12)),"",AVERAGE(AW$8:$BD12))</f>
        <v/>
      </c>
      <c r="BG12" s="325">
        <f>IF(ISERROR(AVERAGE(V12,AB12,BE12,AP12,AU12)),"",AVERAGE(V12,AB12,BE12,AP12,AU12))</f>
        <v>4.5555555555555554</v>
      </c>
      <c r="BH12" s="325">
        <f>COUNTIF(A12:BF12,"產銷停機")</f>
        <v>14</v>
      </c>
      <c r="BI12" s="325">
        <v>6</v>
      </c>
      <c r="BJ12" s="325">
        <v>2</v>
      </c>
      <c r="BK12" s="325">
        <v>2</v>
      </c>
      <c r="BL12" s="325">
        <v>11</v>
      </c>
      <c r="BM12" s="325">
        <v>10</v>
      </c>
      <c r="BN12" s="325">
        <v>9</v>
      </c>
      <c r="BO12" s="325">
        <v>9</v>
      </c>
      <c r="BP12" s="325">
        <v>9</v>
      </c>
      <c r="BQ12" s="325">
        <v>9</v>
      </c>
      <c r="BR12" s="325">
        <v>9</v>
      </c>
      <c r="BS12" s="325">
        <v>8</v>
      </c>
      <c r="BT12" s="325">
        <v>9</v>
      </c>
      <c r="BU12" s="325">
        <v>10</v>
      </c>
      <c r="BV12" s="325">
        <v>9</v>
      </c>
      <c r="BW12" s="325">
        <v>9</v>
      </c>
      <c r="BX12" s="325">
        <v>1</v>
      </c>
      <c r="BY12" s="325">
        <v>5</v>
      </c>
      <c r="BZ12" s="325">
        <v>4</v>
      </c>
      <c r="CA12" s="325">
        <v>3</v>
      </c>
      <c r="CB12" s="325">
        <v>3</v>
      </c>
      <c r="CC12" s="325">
        <v>3</v>
      </c>
      <c r="CD12" s="325">
        <v>4</v>
      </c>
      <c r="CE12" s="325">
        <v>2</v>
      </c>
      <c r="CF12" s="325">
        <v>5</v>
      </c>
      <c r="CG12" s="325">
        <v>3</v>
      </c>
      <c r="CH12" s="325">
        <v>5</v>
      </c>
      <c r="CI12" s="325">
        <v>3</v>
      </c>
      <c r="CJ12" s="325">
        <v>4</v>
      </c>
      <c r="CK12" s="325">
        <v>1</v>
      </c>
      <c r="CL12" s="325">
        <v>1</v>
      </c>
      <c r="CM12" s="325">
        <v>3</v>
      </c>
      <c r="CN12" s="325">
        <v>3</v>
      </c>
      <c r="CO12" s="325">
        <v>4</v>
      </c>
      <c r="CP12" s="325">
        <v>3</v>
      </c>
      <c r="CQ12" s="325">
        <v>5</v>
      </c>
      <c r="CR12" s="325">
        <v>8</v>
      </c>
      <c r="CS12" s="325">
        <v>11</v>
      </c>
      <c r="CT12" s="325">
        <v>2</v>
      </c>
      <c r="CU12" s="325">
        <v>3</v>
      </c>
      <c r="CV12" s="325">
        <v>0</v>
      </c>
    </row>
    <row r="13" spans="1:100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1509"/>
      <c r="H13" s="445">
        <v>1.5416666666666667</v>
      </c>
      <c r="I13" s="445">
        <v>2.125</v>
      </c>
      <c r="J13" s="445" t="s">
        <v>378</v>
      </c>
      <c r="K13" s="445">
        <v>2</v>
      </c>
      <c r="L13" s="445">
        <v>1.375</v>
      </c>
      <c r="M13" s="1509"/>
      <c r="N13" s="445" t="s">
        <v>378</v>
      </c>
      <c r="O13" s="445" t="s">
        <v>378</v>
      </c>
      <c r="P13" s="445">
        <v>6.5</v>
      </c>
      <c r="Q13" s="445" t="s">
        <v>378</v>
      </c>
      <c r="R13" s="445" t="s">
        <v>378</v>
      </c>
      <c r="S13" s="445" t="s">
        <v>378</v>
      </c>
      <c r="T13" s="445" t="s">
        <v>378</v>
      </c>
      <c r="U13" s="1051" t="s">
        <v>378</v>
      </c>
      <c r="V13" s="322">
        <f t="shared" si="3"/>
        <v>2.75</v>
      </c>
      <c r="W13" s="321">
        <f>IF(ISERROR(AVERAGE($B$8:U13)),"",AVERAGE($B$8:U13))</f>
        <v>2.522849462365591</v>
      </c>
      <c r="X13" s="327" t="s">
        <v>378</v>
      </c>
      <c r="Y13" s="1509"/>
      <c r="Z13" s="445">
        <v>7.041666666666667</v>
      </c>
      <c r="AA13" s="1051" t="s">
        <v>378</v>
      </c>
      <c r="AB13" s="322">
        <f t="shared" si="0"/>
        <v>7.041666666666667</v>
      </c>
      <c r="AC13" s="321">
        <f>IF(ISERROR(AVERAGE($X$8:AA13)),"",AVERAGE($X$8:AA13))</f>
        <v>6.8472222222222223</v>
      </c>
      <c r="AD13" s="327">
        <v>5.416666666666667</v>
      </c>
      <c r="AE13" s="445">
        <v>6.083333333333333</v>
      </c>
      <c r="AF13" s="1516"/>
      <c r="AG13" s="445">
        <v>5.5</v>
      </c>
      <c r="AH13" s="445">
        <v>6.083333333333333</v>
      </c>
      <c r="AI13" s="1516"/>
      <c r="AJ13" s="445" t="s">
        <v>127</v>
      </c>
      <c r="AK13" s="1516"/>
      <c r="AL13" s="445" t="s">
        <v>17411</v>
      </c>
      <c r="AM13" s="1515"/>
      <c r="AN13" s="445">
        <v>3.3333333333333335</v>
      </c>
      <c r="AO13" s="1051">
        <v>5.166666666666667</v>
      </c>
      <c r="AP13" s="322">
        <f>IF(ISERROR(AVERAGE($AD13:$AO13)),"",AVERAGE($AD13:$AO13))</f>
        <v>5.2638888888888884</v>
      </c>
      <c r="AQ13" s="323">
        <f>IF(ISERROR(AVERAGE($AD$8:AO13)),"",AVERAGE($AD$8:AO13))</f>
        <v>4.9623888888888903</v>
      </c>
      <c r="AR13" s="327" t="s">
        <v>378</v>
      </c>
      <c r="AS13" s="1508"/>
      <c r="AT13" s="1311" t="s">
        <v>16065</v>
      </c>
      <c r="AU13" s="322" t="str">
        <f t="shared" si="1"/>
        <v/>
      </c>
      <c r="AV13" s="323" t="str">
        <f>IF(ISERROR(AVERAGE(AR$8:$AT13)),"",AVERAGE(AR$8:$AT13))</f>
        <v/>
      </c>
      <c r="AW13" s="327" t="s">
        <v>16203</v>
      </c>
      <c r="AX13" s="445" t="s">
        <v>16203</v>
      </c>
      <c r="AY13" s="445" t="s">
        <v>16203</v>
      </c>
      <c r="AZ13" s="445" t="s">
        <v>16203</v>
      </c>
      <c r="BA13" s="445" t="s">
        <v>16203</v>
      </c>
      <c r="BB13" s="445" t="s">
        <v>16203</v>
      </c>
      <c r="BC13" s="445" t="s">
        <v>16203</v>
      </c>
      <c r="BD13" s="445" t="s">
        <v>16203</v>
      </c>
      <c r="BE13" s="324" t="str">
        <f t="shared" si="2"/>
        <v/>
      </c>
      <c r="BF13" s="324" t="str">
        <f t="array" ref="BF13">IF(ISERROR(AVERAGE(AW$8:$BD13)),"",AVERAGE(AW$8:$BD13))</f>
        <v/>
      </c>
      <c r="BG13" s="325">
        <f>IF(ISERROR(AVERAGE(V13,AB13,BE13,AP13,AU13)),"",AVERAGE(V13,AB13,BE13,AP13,AU13))</f>
        <v>5.018518518518519</v>
      </c>
      <c r="BH13" s="325">
        <f>COUNTIF(A13:BF13,"產銷停機")</f>
        <v>14</v>
      </c>
      <c r="BI13" s="325">
        <v>6</v>
      </c>
      <c r="BJ13" s="325">
        <v>2</v>
      </c>
      <c r="BK13" s="325">
        <v>2</v>
      </c>
      <c r="BL13" s="325">
        <v>11</v>
      </c>
      <c r="BM13" s="325">
        <v>10</v>
      </c>
      <c r="BN13" s="325">
        <v>9</v>
      </c>
      <c r="BO13" s="325">
        <v>9</v>
      </c>
      <c r="BP13" s="325">
        <v>9</v>
      </c>
      <c r="BQ13" s="325">
        <v>9</v>
      </c>
      <c r="BR13" s="325">
        <v>9</v>
      </c>
      <c r="BS13" s="325">
        <v>8</v>
      </c>
      <c r="BT13" s="325">
        <v>9</v>
      </c>
      <c r="BU13" s="325">
        <v>10</v>
      </c>
      <c r="BV13" s="325">
        <v>9</v>
      </c>
      <c r="BW13" s="325">
        <v>9</v>
      </c>
      <c r="BX13" s="325">
        <v>0</v>
      </c>
      <c r="BY13" s="325">
        <v>5</v>
      </c>
      <c r="BZ13" s="325">
        <v>4</v>
      </c>
      <c r="CA13" s="325">
        <v>3</v>
      </c>
      <c r="CB13" s="325">
        <v>3</v>
      </c>
      <c r="CC13" s="325">
        <v>3</v>
      </c>
      <c r="CD13" s="325">
        <v>4</v>
      </c>
      <c r="CE13" s="325">
        <v>3</v>
      </c>
      <c r="CF13" s="325">
        <v>5</v>
      </c>
      <c r="CG13" s="325">
        <v>3</v>
      </c>
      <c r="CH13" s="325">
        <v>5</v>
      </c>
      <c r="CI13" s="325">
        <v>3</v>
      </c>
      <c r="CJ13" s="325">
        <v>5</v>
      </c>
      <c r="CK13" s="325">
        <v>1</v>
      </c>
      <c r="CL13" s="325">
        <v>1</v>
      </c>
      <c r="CM13" s="325">
        <v>2</v>
      </c>
      <c r="CN13" s="325">
        <v>2</v>
      </c>
      <c r="CO13" s="325">
        <v>4</v>
      </c>
      <c r="CP13" s="325">
        <v>3</v>
      </c>
      <c r="CQ13" s="325">
        <v>5</v>
      </c>
      <c r="CR13" s="325">
        <v>8</v>
      </c>
      <c r="CS13" s="325">
        <v>8</v>
      </c>
      <c r="CT13" s="325">
        <v>3</v>
      </c>
      <c r="CU13" s="325">
        <v>3</v>
      </c>
      <c r="CV13" s="325">
        <v>0</v>
      </c>
    </row>
    <row r="14" spans="1:100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1512"/>
      <c r="H14" s="445">
        <v>1.7083333333333333</v>
      </c>
      <c r="I14" s="445">
        <v>1.4583333333333333</v>
      </c>
      <c r="J14" s="445" t="s">
        <v>378</v>
      </c>
      <c r="K14" s="445">
        <v>1.7083333333333333</v>
      </c>
      <c r="L14" s="445">
        <v>1.4166666666666667</v>
      </c>
      <c r="M14" s="1509"/>
      <c r="N14" s="445" t="s">
        <v>378</v>
      </c>
      <c r="O14" s="445" t="s">
        <v>378</v>
      </c>
      <c r="P14" s="445">
        <v>5.083333333333333</v>
      </c>
      <c r="Q14" s="445" t="s">
        <v>378</v>
      </c>
      <c r="R14" s="445" t="s">
        <v>378</v>
      </c>
      <c r="S14" s="445" t="s">
        <v>378</v>
      </c>
      <c r="T14" s="445" t="s">
        <v>378</v>
      </c>
      <c r="U14" s="1051" t="s">
        <v>378</v>
      </c>
      <c r="V14" s="322">
        <f t="shared" si="3"/>
        <v>2.6388888888888888</v>
      </c>
      <c r="W14" s="321">
        <f>IF(ISERROR(AVERAGE($B$8:U14)),"",AVERAGE($B$8:U14))</f>
        <v>2.5416666666666661</v>
      </c>
      <c r="X14" s="327" t="s">
        <v>378</v>
      </c>
      <c r="Y14" s="1509"/>
      <c r="Z14" s="445">
        <v>4.625</v>
      </c>
      <c r="AA14" s="1051" t="s">
        <v>378</v>
      </c>
      <c r="AB14" s="322">
        <f t="shared" si="0"/>
        <v>4.625</v>
      </c>
      <c r="AC14" s="321">
        <f>IF(ISERROR(AVERAGE($X$8:AA14)),"",AVERAGE($X$8:AA14))</f>
        <v>6.291666666666667</v>
      </c>
      <c r="AD14" s="327">
        <v>5.083333333333333</v>
      </c>
      <c r="AE14" s="445">
        <v>5.25</v>
      </c>
      <c r="AF14" s="1516"/>
      <c r="AG14" s="445">
        <v>9.5</v>
      </c>
      <c r="AH14" s="445">
        <v>4.916666666666667</v>
      </c>
      <c r="AI14" s="1516"/>
      <c r="AJ14" s="445" t="s">
        <v>127</v>
      </c>
      <c r="AK14" s="1517"/>
      <c r="AL14" s="445" t="s">
        <v>17411</v>
      </c>
      <c r="AM14" s="1515"/>
      <c r="AN14" s="445">
        <v>3.75</v>
      </c>
      <c r="AO14" s="1051">
        <v>5.166666666666667</v>
      </c>
      <c r="AP14" s="322">
        <f>IF(ISERROR(AVERAGE($AD14:$AO14)),"",AVERAGE($AD14:$AO14))</f>
        <v>5.6111111111111107</v>
      </c>
      <c r="AQ14" s="323">
        <f>IF(ISERROR(AVERAGE($AD$8:AO14)),"",AVERAGE($AD$8:AO14))</f>
        <v>5.0705092592592598</v>
      </c>
      <c r="AR14" s="327" t="s">
        <v>378</v>
      </c>
      <c r="AS14" s="1509"/>
      <c r="AT14" s="1311" t="s">
        <v>16065</v>
      </c>
      <c r="AU14" s="322" t="str">
        <f t="shared" si="1"/>
        <v/>
      </c>
      <c r="AV14" s="323" t="str">
        <f>IF(ISERROR(AVERAGE(AR$8:$AT14)),"",AVERAGE(AR$8:$AT14))</f>
        <v/>
      </c>
      <c r="AW14" s="327" t="s">
        <v>16203</v>
      </c>
      <c r="AX14" s="445" t="s">
        <v>16203</v>
      </c>
      <c r="AY14" s="445" t="s">
        <v>16203</v>
      </c>
      <c r="AZ14" s="445" t="s">
        <v>16203</v>
      </c>
      <c r="BA14" s="445" t="s">
        <v>16203</v>
      </c>
      <c r="BB14" s="445" t="s">
        <v>16203</v>
      </c>
      <c r="BC14" s="445" t="s">
        <v>16203</v>
      </c>
      <c r="BD14" s="445" t="s">
        <v>16203</v>
      </c>
      <c r="BE14" s="324" t="str">
        <f t="shared" si="2"/>
        <v/>
      </c>
      <c r="BF14" s="324" t="str">
        <f t="array" ref="BF14">IF(ISERROR(AVERAGE(AW$8:$BD14)),"",AVERAGE(AW$8:$BD14))</f>
        <v/>
      </c>
      <c r="BG14" s="325">
        <f>IF(ISERROR(AVERAGE(V14,AB14,BE14,AP14,AU14)),"",AVERAGE(V14,AB14,BE14,AP14,AU14))</f>
        <v>4.291666666666667</v>
      </c>
      <c r="BH14" s="325">
        <f>COUNTIF(A14:BF14,"產銷停機")</f>
        <v>14</v>
      </c>
      <c r="BI14" s="325">
        <v>6</v>
      </c>
      <c r="BJ14" s="325">
        <v>2</v>
      </c>
      <c r="BK14" s="325">
        <v>2</v>
      </c>
      <c r="BL14" s="325">
        <v>11</v>
      </c>
      <c r="BM14" s="325">
        <v>10</v>
      </c>
      <c r="BN14" s="325">
        <v>9</v>
      </c>
      <c r="BO14" s="325">
        <v>9</v>
      </c>
      <c r="BP14" s="325">
        <v>9</v>
      </c>
      <c r="BQ14" s="325">
        <v>9</v>
      </c>
      <c r="BR14" s="325">
        <v>9</v>
      </c>
      <c r="BS14" s="325">
        <v>8</v>
      </c>
      <c r="BT14" s="325">
        <v>9</v>
      </c>
      <c r="BU14" s="325">
        <v>9</v>
      </c>
      <c r="BV14" s="325">
        <v>9</v>
      </c>
      <c r="BW14" s="325">
        <v>9</v>
      </c>
      <c r="BX14" s="325">
        <v>0</v>
      </c>
      <c r="BY14" s="325">
        <v>5</v>
      </c>
      <c r="BZ14" s="325">
        <v>4</v>
      </c>
      <c r="CA14" s="325">
        <v>3</v>
      </c>
      <c r="CB14" s="325">
        <v>3</v>
      </c>
      <c r="CC14" s="325">
        <v>3</v>
      </c>
      <c r="CD14" s="325">
        <v>4</v>
      </c>
      <c r="CE14" s="325">
        <v>3</v>
      </c>
      <c r="CF14" s="325">
        <v>4</v>
      </c>
      <c r="CG14" s="325">
        <v>3</v>
      </c>
      <c r="CH14" s="325">
        <v>5</v>
      </c>
      <c r="CI14" s="325">
        <v>3</v>
      </c>
      <c r="CJ14" s="325">
        <v>5</v>
      </c>
      <c r="CK14" s="325">
        <v>1</v>
      </c>
      <c r="CL14" s="325">
        <v>1</v>
      </c>
      <c r="CM14" s="325">
        <v>2</v>
      </c>
      <c r="CN14" s="325">
        <v>2</v>
      </c>
      <c r="CO14" s="325">
        <v>3</v>
      </c>
      <c r="CP14" s="325">
        <v>5</v>
      </c>
      <c r="CQ14" s="325">
        <v>4</v>
      </c>
      <c r="CR14" s="325">
        <v>8</v>
      </c>
      <c r="CS14" s="325">
        <v>5</v>
      </c>
      <c r="CT14" s="325">
        <v>2</v>
      </c>
      <c r="CU14" s="325">
        <v>3</v>
      </c>
      <c r="CV14" s="325">
        <v>0</v>
      </c>
    </row>
    <row r="15" spans="1:100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1508"/>
      <c r="G15" s="445" t="s">
        <v>17443</v>
      </c>
      <c r="H15" s="445" t="s">
        <v>17453</v>
      </c>
      <c r="I15" s="445">
        <v>1.4166666666666667</v>
      </c>
      <c r="J15" s="445" t="s">
        <v>378</v>
      </c>
      <c r="K15" s="445">
        <v>2.5</v>
      </c>
      <c r="L15" s="445">
        <v>3.125</v>
      </c>
      <c r="M15" s="1509"/>
      <c r="N15" s="445" t="s">
        <v>378</v>
      </c>
      <c r="O15" s="445" t="s">
        <v>378</v>
      </c>
      <c r="P15" s="445">
        <v>2.0416666666666665</v>
      </c>
      <c r="Q15" s="445" t="s">
        <v>378</v>
      </c>
      <c r="R15" s="445" t="s">
        <v>378</v>
      </c>
      <c r="S15" s="445" t="s">
        <v>17446</v>
      </c>
      <c r="T15" s="445" t="s">
        <v>378</v>
      </c>
      <c r="U15" s="1051" t="s">
        <v>378</v>
      </c>
      <c r="V15" s="322">
        <f t="shared" si="3"/>
        <v>2.2708333333333335</v>
      </c>
      <c r="W15" s="321">
        <f>IF(ISERROR(AVERAGE($B$8:U15)),"",AVERAGE($B$8:U15))</f>
        <v>2.5152439024390238</v>
      </c>
      <c r="X15" s="327" t="s">
        <v>378</v>
      </c>
      <c r="Y15" s="1509"/>
      <c r="Z15" s="445">
        <v>3.67</v>
      </c>
      <c r="AA15" s="1051" t="s">
        <v>378</v>
      </c>
      <c r="AB15" s="322">
        <f t="shared" si="0"/>
        <v>3.67</v>
      </c>
      <c r="AC15" s="321">
        <f>IF(ISERROR(AVERAGE($X$8:AA15)),"",AVERAGE($X$8:AA15))</f>
        <v>5.7673333333333332</v>
      </c>
      <c r="AD15" s="327">
        <v>5.29</v>
      </c>
      <c r="AE15" s="445">
        <v>3.5416666666666665</v>
      </c>
      <c r="AF15" s="1516"/>
      <c r="AG15" s="445">
        <v>7.833333333333333</v>
      </c>
      <c r="AH15" s="445">
        <v>6.416666666666667</v>
      </c>
      <c r="AI15" s="1516"/>
      <c r="AJ15" s="1514"/>
      <c r="AK15" s="445" t="s">
        <v>17416</v>
      </c>
      <c r="AL15" s="445" t="s">
        <v>17411</v>
      </c>
      <c r="AM15" s="1509"/>
      <c r="AN15" s="445">
        <v>3.7916666666666665</v>
      </c>
      <c r="AO15" s="1051">
        <v>3.8333333333333335</v>
      </c>
      <c r="AP15" s="322">
        <f>IF(ISERROR(AVERAGE($AD15:$AO15)),"",AVERAGE($AD15:$AO15))</f>
        <v>5.1177777777777775</v>
      </c>
      <c r="AQ15" s="323">
        <f>IF(ISERROR(AVERAGE($AD$8:AO15)),"",AVERAGE($AD$8:AO15))</f>
        <v>5.0772619047619045</v>
      </c>
      <c r="AR15" s="327" t="s">
        <v>378</v>
      </c>
      <c r="AS15" s="1509"/>
      <c r="AT15" s="1311" t="s">
        <v>16065</v>
      </c>
      <c r="AU15" s="322" t="str">
        <f t="shared" si="1"/>
        <v/>
      </c>
      <c r="AV15" s="323" t="str">
        <f>IF(ISERROR(AVERAGE(AR$8:$AT15)),"",AVERAGE(AR$8:$AT15))</f>
        <v/>
      </c>
      <c r="AW15" s="327" t="s">
        <v>16203</v>
      </c>
      <c r="AX15" s="445" t="s">
        <v>16203</v>
      </c>
      <c r="AY15" s="445" t="s">
        <v>16203</v>
      </c>
      <c r="AZ15" s="445" t="s">
        <v>16203</v>
      </c>
      <c r="BA15" s="445" t="s">
        <v>16203</v>
      </c>
      <c r="BB15" s="445" t="s">
        <v>16203</v>
      </c>
      <c r="BC15" s="445" t="s">
        <v>16203</v>
      </c>
      <c r="BD15" s="445" t="s">
        <v>16203</v>
      </c>
      <c r="BE15" s="324" t="str">
        <f t="shared" si="2"/>
        <v/>
      </c>
      <c r="BF15" s="324" t="str">
        <f t="array" ref="BF15">IF(ISERROR(AVERAGE(AW$8:$BD15)),"",AVERAGE(AW$8:$BD15))</f>
        <v/>
      </c>
      <c r="BG15" s="325">
        <f>IF(ISERROR(AVERAGE(V15,AB15,BE15,AP15,AU15)),"",AVERAGE(V15,AB15,BE15,AP15,AU15))</f>
        <v>3.6862037037037041</v>
      </c>
      <c r="BH15" s="325">
        <f>COUNTIF(A15:BF15,"產銷停機")</f>
        <v>13</v>
      </c>
      <c r="BI15" s="325">
        <v>6</v>
      </c>
      <c r="BJ15" s="325">
        <v>2</v>
      </c>
      <c r="BK15" s="325">
        <v>2</v>
      </c>
      <c r="BL15" s="325">
        <v>11</v>
      </c>
      <c r="BM15" s="325">
        <v>9</v>
      </c>
      <c r="BN15" s="325">
        <v>9</v>
      </c>
      <c r="BO15" s="325">
        <v>9</v>
      </c>
      <c r="BP15" s="325">
        <v>9</v>
      </c>
      <c r="BQ15" s="325">
        <v>9</v>
      </c>
      <c r="BR15" s="325">
        <v>9</v>
      </c>
      <c r="BS15" s="325">
        <v>8</v>
      </c>
      <c r="BT15" s="325">
        <v>9</v>
      </c>
      <c r="BU15" s="325">
        <v>9</v>
      </c>
      <c r="BV15" s="325">
        <v>9</v>
      </c>
      <c r="BW15" s="325">
        <v>9</v>
      </c>
      <c r="BX15" s="325">
        <v>0</v>
      </c>
      <c r="BY15" s="325">
        <v>5</v>
      </c>
      <c r="BZ15" s="325">
        <v>4</v>
      </c>
      <c r="CA15" s="325">
        <v>3</v>
      </c>
      <c r="CB15" s="325">
        <v>3</v>
      </c>
      <c r="CC15" s="325">
        <v>3</v>
      </c>
      <c r="CD15" s="325">
        <v>4</v>
      </c>
      <c r="CE15" s="325">
        <v>3</v>
      </c>
      <c r="CF15" s="325">
        <v>4</v>
      </c>
      <c r="CG15" s="325">
        <v>3</v>
      </c>
      <c r="CH15" s="325">
        <v>5</v>
      </c>
      <c r="CI15" s="325">
        <v>3</v>
      </c>
      <c r="CJ15" s="325">
        <v>5</v>
      </c>
      <c r="CK15" s="325">
        <v>1</v>
      </c>
      <c r="CL15" s="325">
        <v>1</v>
      </c>
      <c r="CM15" s="325">
        <v>2</v>
      </c>
      <c r="CN15" s="325">
        <v>2</v>
      </c>
      <c r="CO15" s="325">
        <v>2</v>
      </c>
      <c r="CP15" s="325">
        <v>6</v>
      </c>
      <c r="CQ15" s="325">
        <v>4</v>
      </c>
      <c r="CR15" s="621">
        <v>6</v>
      </c>
      <c r="CS15" s="325">
        <v>5</v>
      </c>
      <c r="CT15" s="325">
        <v>3</v>
      </c>
      <c r="CU15" s="325">
        <v>2</v>
      </c>
      <c r="CV15" s="325">
        <v>0</v>
      </c>
    </row>
    <row r="16" spans="1:100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1509"/>
      <c r="G16" s="445">
        <v>3.125</v>
      </c>
      <c r="H16" s="445" t="s">
        <v>636</v>
      </c>
      <c r="I16" s="445">
        <v>2.2083333333333335</v>
      </c>
      <c r="J16" s="445" t="s">
        <v>378</v>
      </c>
      <c r="K16" s="445">
        <v>2</v>
      </c>
      <c r="L16" s="445">
        <v>2.375</v>
      </c>
      <c r="M16" s="1509"/>
      <c r="N16" s="445" t="s">
        <v>378</v>
      </c>
      <c r="O16" s="445" t="s">
        <v>378</v>
      </c>
      <c r="P16" s="445">
        <v>3.125</v>
      </c>
      <c r="Q16" s="445" t="s">
        <v>378</v>
      </c>
      <c r="R16" s="445" t="s">
        <v>378</v>
      </c>
      <c r="S16" s="445">
        <v>1.9583333333333333</v>
      </c>
      <c r="T16" s="445" t="s">
        <v>378</v>
      </c>
      <c r="U16" s="1051" t="s">
        <v>378</v>
      </c>
      <c r="V16" s="322">
        <f t="shared" si="3"/>
        <v>2.4652777777777781</v>
      </c>
      <c r="W16" s="321">
        <f>IF(ISERROR(AVERAGE($B$8:U16)),"",AVERAGE($B$8:U16))</f>
        <v>2.5088652482269498</v>
      </c>
      <c r="X16" s="327" t="s">
        <v>378</v>
      </c>
      <c r="Y16" s="1509"/>
      <c r="Z16" s="445">
        <v>5.375</v>
      </c>
      <c r="AA16" s="1051" t="s">
        <v>378</v>
      </c>
      <c r="AB16" s="322">
        <f t="shared" si="0"/>
        <v>5.375</v>
      </c>
      <c r="AC16" s="321">
        <f>IF(ISERROR(AVERAGE($X$8:AA16)),"",AVERAGE($X$8:AA16))</f>
        <v>5.701944444444444</v>
      </c>
      <c r="AD16" s="327">
        <v>5.083333333333333</v>
      </c>
      <c r="AE16" s="445">
        <v>4.791666666666667</v>
      </c>
      <c r="AF16" s="1516"/>
      <c r="AG16" s="445">
        <v>0.91666666666666663</v>
      </c>
      <c r="AH16" s="445">
        <v>6.166666666666667</v>
      </c>
      <c r="AI16" s="1516"/>
      <c r="AJ16" s="1515"/>
      <c r="AK16" s="445">
        <v>6.666666666666667</v>
      </c>
      <c r="AL16" s="445" t="s">
        <v>17411</v>
      </c>
      <c r="AM16" s="1509"/>
      <c r="AN16" s="445">
        <v>2.7916666666666665</v>
      </c>
      <c r="AO16" s="1051">
        <v>5.208333333333333</v>
      </c>
      <c r="AP16" s="322">
        <f>IF(ISERROR(AVERAGE($AD16:$AO16)),"",AVERAGE($AD16:$AO16))</f>
        <v>4.5178571428571432</v>
      </c>
      <c r="AQ16" s="323">
        <f>IF(ISERROR(AVERAGE($AD$8:AO16)),"",AVERAGE($AD$8:AO16))</f>
        <v>4.9973469387755101</v>
      </c>
      <c r="AR16" s="327" t="s">
        <v>378</v>
      </c>
      <c r="AS16" s="1509"/>
      <c r="AT16" s="1311" t="s">
        <v>16065</v>
      </c>
      <c r="AU16" s="322" t="str">
        <f t="shared" si="1"/>
        <v/>
      </c>
      <c r="AV16" s="323" t="str">
        <f>IF(ISERROR(AVERAGE(AR$8:$AT16)),"",AVERAGE(AR$8:$AT16))</f>
        <v/>
      </c>
      <c r="AW16" s="327" t="s">
        <v>16203</v>
      </c>
      <c r="AX16" s="445" t="s">
        <v>16203</v>
      </c>
      <c r="AY16" s="445" t="s">
        <v>16203</v>
      </c>
      <c r="AZ16" s="445" t="s">
        <v>16203</v>
      </c>
      <c r="BA16" s="445" t="s">
        <v>16203</v>
      </c>
      <c r="BB16" s="445" t="s">
        <v>16203</v>
      </c>
      <c r="BC16" s="445" t="s">
        <v>16203</v>
      </c>
      <c r="BD16" s="445" t="s">
        <v>16203</v>
      </c>
      <c r="BE16" s="324" t="str">
        <f t="shared" si="2"/>
        <v/>
      </c>
      <c r="BF16" s="324" t="str">
        <f t="array" ref="BF16">IF(ISERROR(AVERAGE(AW$8:$BD16)),"",AVERAGE(AW$8:$BD16))</f>
        <v/>
      </c>
      <c r="BG16" s="325">
        <f>IF(ISERROR(AVERAGE(V16,AB16,BE16,AP16,AU16)),"",AVERAGE(V16,AB16,BE16,AP16,AU16))</f>
        <v>4.119378306878307</v>
      </c>
      <c r="BH16" s="325">
        <f>COUNTIF(A16:BF16,"產銷停機")</f>
        <v>13</v>
      </c>
      <c r="BI16" s="325">
        <v>5</v>
      </c>
      <c r="BJ16" s="325">
        <v>2</v>
      </c>
      <c r="BK16" s="325">
        <v>2</v>
      </c>
      <c r="BL16" s="325">
        <v>11</v>
      </c>
      <c r="BM16" s="325">
        <v>9</v>
      </c>
      <c r="BN16" s="325">
        <v>9</v>
      </c>
      <c r="BO16" s="325">
        <v>9</v>
      </c>
      <c r="BP16" s="325">
        <v>9</v>
      </c>
      <c r="BQ16" s="325">
        <v>9</v>
      </c>
      <c r="BR16" s="325">
        <v>9</v>
      </c>
      <c r="BS16" s="325">
        <v>8</v>
      </c>
      <c r="BT16" s="325">
        <v>9</v>
      </c>
      <c r="BU16" s="325">
        <v>9</v>
      </c>
      <c r="BV16" s="325">
        <v>9</v>
      </c>
      <c r="BW16" s="325">
        <v>9</v>
      </c>
      <c r="BX16" s="325">
        <v>0</v>
      </c>
      <c r="BY16" s="325">
        <v>5</v>
      </c>
      <c r="BZ16" s="325">
        <v>4</v>
      </c>
      <c r="CA16" s="325">
        <v>2</v>
      </c>
      <c r="CB16" s="325">
        <v>3</v>
      </c>
      <c r="CC16" s="325">
        <v>3</v>
      </c>
      <c r="CD16" s="325">
        <v>4</v>
      </c>
      <c r="CE16" s="325">
        <v>3</v>
      </c>
      <c r="CF16" s="325">
        <v>3</v>
      </c>
      <c r="CG16" s="325">
        <v>4</v>
      </c>
      <c r="CH16" s="325">
        <v>5</v>
      </c>
      <c r="CI16" s="621">
        <v>36</v>
      </c>
      <c r="CJ16" s="325">
        <v>5</v>
      </c>
      <c r="CK16" s="325">
        <v>1</v>
      </c>
      <c r="CL16" s="325">
        <v>1</v>
      </c>
      <c r="CM16" s="325">
        <v>2</v>
      </c>
      <c r="CN16" s="325">
        <v>2</v>
      </c>
      <c r="CO16" s="325">
        <v>1</v>
      </c>
      <c r="CP16" s="325">
        <v>6</v>
      </c>
      <c r="CQ16" s="325">
        <v>4</v>
      </c>
      <c r="CR16" s="325">
        <v>8</v>
      </c>
      <c r="CS16" s="325">
        <v>5</v>
      </c>
      <c r="CT16" s="325">
        <v>3</v>
      </c>
      <c r="CU16" s="325">
        <v>2</v>
      </c>
      <c r="CV16" s="325">
        <v>0</v>
      </c>
    </row>
    <row r="17" spans="1:100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1509"/>
      <c r="G17" s="445">
        <v>3.7083333333333335</v>
      </c>
      <c r="H17" s="445" t="s">
        <v>636</v>
      </c>
      <c r="I17" s="445">
        <v>1.9583333333333333</v>
      </c>
      <c r="J17" s="445" t="s">
        <v>378</v>
      </c>
      <c r="K17" s="445">
        <v>2.1666666666666665</v>
      </c>
      <c r="L17" s="445" t="s">
        <v>127</v>
      </c>
      <c r="M17" s="1509"/>
      <c r="N17" s="445" t="s">
        <v>378</v>
      </c>
      <c r="O17" s="445" t="s">
        <v>378</v>
      </c>
      <c r="P17" s="445" t="s">
        <v>17453</v>
      </c>
      <c r="Q17" s="445" t="s">
        <v>378</v>
      </c>
      <c r="R17" s="445" t="s">
        <v>378</v>
      </c>
      <c r="S17" s="445">
        <v>1.8333333333333333</v>
      </c>
      <c r="T17" s="445" t="s">
        <v>378</v>
      </c>
      <c r="U17" s="1051" t="s">
        <v>378</v>
      </c>
      <c r="V17" s="322">
        <f t="shared" si="3"/>
        <v>2.416666666666667</v>
      </c>
      <c r="W17" s="321">
        <f>IF(ISERROR(AVERAGE($B$8:U17)),"",AVERAGE($B$8:U17))</f>
        <v>2.5016339869281041</v>
      </c>
      <c r="X17" s="327" t="s">
        <v>378</v>
      </c>
      <c r="Y17" s="1509"/>
      <c r="Z17" s="445">
        <v>6.333333333333333</v>
      </c>
      <c r="AA17" s="1051" t="s">
        <v>378</v>
      </c>
      <c r="AB17" s="322">
        <f t="shared" si="0"/>
        <v>6.333333333333333</v>
      </c>
      <c r="AC17" s="321">
        <f>IF(ISERROR(AVERAGE($X$8:AA17)),"",AVERAGE($X$8:AA17))</f>
        <v>5.7921428571428573</v>
      </c>
      <c r="AD17" s="327">
        <v>5.208333333333333</v>
      </c>
      <c r="AE17" s="445">
        <v>5.166666666666667</v>
      </c>
      <c r="AF17" s="1516"/>
      <c r="AG17" s="445" t="s">
        <v>127</v>
      </c>
      <c r="AH17" s="445" t="s">
        <v>127</v>
      </c>
      <c r="AI17" s="1516"/>
      <c r="AJ17" s="1515"/>
      <c r="AK17" s="445">
        <v>4</v>
      </c>
      <c r="AL17" s="445" t="s">
        <v>17411</v>
      </c>
      <c r="AM17" s="1509"/>
      <c r="AN17" s="445">
        <v>3.9583333333333335</v>
      </c>
      <c r="AO17" s="1051">
        <v>5.583333333333333</v>
      </c>
      <c r="AP17" s="322">
        <f>IF(ISERROR(AVERAGE($AD17:$AO17)),"",AVERAGE($AD17:$AO17))</f>
        <v>4.7833333333333332</v>
      </c>
      <c r="AQ17" s="323">
        <f>IF(ISERROR(AVERAGE($AD$8:AO17)),"",AVERAGE($AD$8:AO17))</f>
        <v>4.9775308641975302</v>
      </c>
      <c r="AR17" s="327" t="s">
        <v>378</v>
      </c>
      <c r="AS17" s="1509"/>
      <c r="AT17" s="1311" t="s">
        <v>16065</v>
      </c>
      <c r="AU17" s="322" t="str">
        <f t="shared" si="1"/>
        <v/>
      </c>
      <c r="AV17" s="323" t="str">
        <f>IF(ISERROR(AVERAGE(AR$8:$AT17)),"",AVERAGE(AR$8:$AT17))</f>
        <v/>
      </c>
      <c r="AW17" s="327" t="s">
        <v>16203</v>
      </c>
      <c r="AX17" s="445" t="s">
        <v>16203</v>
      </c>
      <c r="AY17" s="445" t="s">
        <v>16203</v>
      </c>
      <c r="AZ17" s="445" t="s">
        <v>16203</v>
      </c>
      <c r="BA17" s="445" t="s">
        <v>16203</v>
      </c>
      <c r="BB17" s="445" t="s">
        <v>16203</v>
      </c>
      <c r="BC17" s="445" t="s">
        <v>16203</v>
      </c>
      <c r="BD17" s="445" t="s">
        <v>16203</v>
      </c>
      <c r="BE17" s="324" t="str">
        <f t="shared" si="2"/>
        <v/>
      </c>
      <c r="BF17" s="324" t="str">
        <f t="array" ref="BF17">IF(ISERROR(AVERAGE(AW$8:$BD17)),"",AVERAGE(AW$8:$BD17))</f>
        <v/>
      </c>
      <c r="BG17" s="325">
        <f>IF(ISERROR(AVERAGE(V17,AB17,BE17,AP17,AU17)),"",AVERAGE(V17,AB17,BE17,AP17,AU17))</f>
        <v>4.5111111111111111</v>
      </c>
      <c r="BH17" s="325">
        <f>COUNTIF(A17:BF17,"產銷停機")</f>
        <v>13</v>
      </c>
      <c r="BI17" s="325">
        <v>5</v>
      </c>
      <c r="BJ17" s="325">
        <v>2</v>
      </c>
      <c r="BK17" s="325">
        <v>5</v>
      </c>
      <c r="BL17" s="325">
        <v>11</v>
      </c>
      <c r="BM17" s="325">
        <v>9</v>
      </c>
      <c r="BN17" s="325">
        <v>9</v>
      </c>
      <c r="BO17" s="325">
        <v>9</v>
      </c>
      <c r="BP17" s="325">
        <v>9</v>
      </c>
      <c r="BQ17" s="325">
        <v>9</v>
      </c>
      <c r="BR17" s="325">
        <v>9</v>
      </c>
      <c r="BS17" s="325">
        <v>8</v>
      </c>
      <c r="BT17" s="325">
        <v>9</v>
      </c>
      <c r="BU17" s="325">
        <v>9</v>
      </c>
      <c r="BV17" s="325">
        <v>9</v>
      </c>
      <c r="BW17" s="325">
        <v>9</v>
      </c>
      <c r="BX17" s="325">
        <v>0</v>
      </c>
      <c r="BY17" s="325">
        <v>5</v>
      </c>
      <c r="BZ17" s="325">
        <v>4</v>
      </c>
      <c r="CA17" s="325">
        <v>3</v>
      </c>
      <c r="CB17" s="325">
        <v>3</v>
      </c>
      <c r="CC17" s="325">
        <v>3</v>
      </c>
      <c r="CD17" s="325">
        <v>5</v>
      </c>
      <c r="CE17" s="325">
        <v>3</v>
      </c>
      <c r="CF17" s="325">
        <v>3</v>
      </c>
      <c r="CG17" s="325">
        <v>4</v>
      </c>
      <c r="CH17" s="325">
        <v>5</v>
      </c>
      <c r="CI17" s="621">
        <v>36</v>
      </c>
      <c r="CJ17" s="325">
        <v>4</v>
      </c>
      <c r="CK17" s="325">
        <v>1</v>
      </c>
      <c r="CL17" s="325">
        <v>1</v>
      </c>
      <c r="CM17" s="325">
        <v>2</v>
      </c>
      <c r="CN17" s="325">
        <v>2</v>
      </c>
      <c r="CO17" s="325">
        <v>1</v>
      </c>
      <c r="CP17" s="325">
        <v>4</v>
      </c>
      <c r="CQ17" s="325">
        <v>4</v>
      </c>
      <c r="CR17" s="325">
        <v>9</v>
      </c>
      <c r="CS17" s="325">
        <v>5</v>
      </c>
      <c r="CT17" s="325">
        <v>2</v>
      </c>
      <c r="CU17" s="325">
        <v>2</v>
      </c>
      <c r="CV17" s="325">
        <v>0</v>
      </c>
    </row>
    <row r="18" spans="1:100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1509"/>
      <c r="G18" s="445">
        <v>3.375</v>
      </c>
      <c r="H18" s="445">
        <v>1.5416666666666667</v>
      </c>
      <c r="I18" s="445">
        <v>1.4166666666666667</v>
      </c>
      <c r="J18" s="445" t="s">
        <v>378</v>
      </c>
      <c r="K18" s="445">
        <v>1.75</v>
      </c>
      <c r="L18" s="445" t="s">
        <v>127</v>
      </c>
      <c r="M18" s="1509"/>
      <c r="N18" s="445" t="s">
        <v>378</v>
      </c>
      <c r="O18" s="445" t="s">
        <v>378</v>
      </c>
      <c r="P18" s="445" t="s">
        <v>636</v>
      </c>
      <c r="Q18" s="445" t="s">
        <v>378</v>
      </c>
      <c r="R18" s="445" t="s">
        <v>378</v>
      </c>
      <c r="S18" s="445">
        <v>1.7916666666666667</v>
      </c>
      <c r="T18" s="445" t="s">
        <v>378</v>
      </c>
      <c r="U18" s="1051" t="s">
        <v>378</v>
      </c>
      <c r="V18" s="322">
        <f t="shared" si="3"/>
        <v>1.9750000000000001</v>
      </c>
      <c r="W18" s="321">
        <f>IF(ISERROR(AVERAGE($B$8:U18)),"",AVERAGE($B$8:U18))</f>
        <v>2.4546130952380945</v>
      </c>
      <c r="X18" s="327" t="s">
        <v>378</v>
      </c>
      <c r="Y18" s="1509"/>
      <c r="Z18" s="445">
        <v>4.958333333333333</v>
      </c>
      <c r="AA18" s="1051" t="s">
        <v>378</v>
      </c>
      <c r="AB18" s="322">
        <f t="shared" si="0"/>
        <v>4.958333333333333</v>
      </c>
      <c r="AC18" s="321">
        <f>IF(ISERROR(AVERAGE($X$8:AA18)),"",AVERAGE($X$8:AA18))</f>
        <v>5.6879166666666672</v>
      </c>
      <c r="AD18" s="327">
        <v>4.416666666666667</v>
      </c>
      <c r="AE18" s="445">
        <v>5.833333333333333</v>
      </c>
      <c r="AF18" s="1516"/>
      <c r="AG18" s="445" t="s">
        <v>127</v>
      </c>
      <c r="AH18" s="445" t="s">
        <v>127</v>
      </c>
      <c r="AI18" s="1516"/>
      <c r="AJ18" s="1515"/>
      <c r="AK18" s="445">
        <v>4.083333333333333</v>
      </c>
      <c r="AL18" s="445" t="s">
        <v>17411</v>
      </c>
      <c r="AM18" s="1509"/>
      <c r="AN18" s="445">
        <v>2.2916666666666665</v>
      </c>
      <c r="AO18" s="1051">
        <v>5.333333333333333</v>
      </c>
      <c r="AP18" s="322">
        <f>IF(ISERROR(AVERAGE($AD18:$AO18)),"",AVERAGE($AD18:$AO18))</f>
        <v>4.3916666666666666</v>
      </c>
      <c r="AQ18" s="323">
        <f>IF(ISERROR(AVERAGE($AD$8:AO18)),"",AVERAGE($AD$8:AO18))</f>
        <v>4.9278813559322021</v>
      </c>
      <c r="AR18" s="327" t="s">
        <v>378</v>
      </c>
      <c r="AS18" s="1509"/>
      <c r="AT18" s="1311" t="s">
        <v>16065</v>
      </c>
      <c r="AU18" s="322" t="str">
        <f t="shared" si="1"/>
        <v/>
      </c>
      <c r="AV18" s="323" t="str">
        <f>IF(ISERROR(AVERAGE(AR$8:$AT18)),"",AVERAGE(AR$8:$AT18))</f>
        <v/>
      </c>
      <c r="AW18" s="327" t="s">
        <v>16203</v>
      </c>
      <c r="AX18" s="445" t="s">
        <v>16203</v>
      </c>
      <c r="AY18" s="445" t="s">
        <v>16203</v>
      </c>
      <c r="AZ18" s="445" t="s">
        <v>16203</v>
      </c>
      <c r="BA18" s="445" t="s">
        <v>16203</v>
      </c>
      <c r="BB18" s="445" t="s">
        <v>16203</v>
      </c>
      <c r="BC18" s="445" t="s">
        <v>16203</v>
      </c>
      <c r="BD18" s="445" t="s">
        <v>16203</v>
      </c>
      <c r="BE18" s="324" t="str">
        <f t="shared" si="2"/>
        <v/>
      </c>
      <c r="BF18" s="324" t="str">
        <f t="array" ref="BF18">IF(ISERROR(AVERAGE(AW$8:$BD18)),"",AVERAGE(AW$8:$BD18))</f>
        <v/>
      </c>
      <c r="BG18" s="325">
        <f>IF(ISERROR(AVERAGE(V18,AB18,BE18,AP18,AU18)),"",AVERAGE(V18,AB18,BE18,AP18,AU18))</f>
        <v>3.7749999999999999</v>
      </c>
      <c r="BH18" s="325">
        <f>COUNTIF(A18:BF18,"產銷停機")</f>
        <v>13</v>
      </c>
      <c r="BI18" s="325">
        <v>5</v>
      </c>
      <c r="BJ18" s="325">
        <v>2</v>
      </c>
      <c r="BK18" s="325">
        <v>5</v>
      </c>
      <c r="BL18" s="325">
        <v>11</v>
      </c>
      <c r="BM18" s="325">
        <v>9</v>
      </c>
      <c r="BN18" s="325">
        <v>9</v>
      </c>
      <c r="BO18" s="325">
        <v>9</v>
      </c>
      <c r="BP18" s="325">
        <v>9</v>
      </c>
      <c r="BQ18" s="325">
        <v>9</v>
      </c>
      <c r="BR18" s="325">
        <v>9</v>
      </c>
      <c r="BS18" s="325">
        <v>8</v>
      </c>
      <c r="BT18" s="325">
        <v>9</v>
      </c>
      <c r="BU18" s="325">
        <v>9</v>
      </c>
      <c r="BV18" s="325">
        <v>10</v>
      </c>
      <c r="BW18" s="325">
        <v>9</v>
      </c>
      <c r="BX18" s="325">
        <v>0</v>
      </c>
      <c r="BY18" s="325">
        <v>5</v>
      </c>
      <c r="BZ18" s="325">
        <v>4</v>
      </c>
      <c r="CA18" s="325">
        <v>3</v>
      </c>
      <c r="CB18" s="325">
        <v>3</v>
      </c>
      <c r="CC18" s="325">
        <v>3</v>
      </c>
      <c r="CD18" s="325">
        <v>5</v>
      </c>
      <c r="CE18" s="325">
        <v>3</v>
      </c>
      <c r="CF18" s="325">
        <v>3</v>
      </c>
      <c r="CG18" s="325">
        <v>4</v>
      </c>
      <c r="CH18" s="325">
        <v>5</v>
      </c>
      <c r="CI18" s="621">
        <v>36</v>
      </c>
      <c r="CJ18" s="325">
        <v>4</v>
      </c>
      <c r="CK18" s="325">
        <v>1</v>
      </c>
      <c r="CL18" s="325">
        <v>1</v>
      </c>
      <c r="CM18" s="325">
        <v>2</v>
      </c>
      <c r="CN18" s="325">
        <v>2</v>
      </c>
      <c r="CO18" s="325">
        <v>1</v>
      </c>
      <c r="CP18" s="325">
        <v>3</v>
      </c>
      <c r="CQ18" s="325">
        <v>4</v>
      </c>
      <c r="CR18" s="325">
        <v>8</v>
      </c>
      <c r="CS18" s="325">
        <v>4</v>
      </c>
      <c r="CT18" s="325">
        <v>2</v>
      </c>
      <c r="CU18" s="325">
        <v>2</v>
      </c>
      <c r="CV18" s="325">
        <v>1</v>
      </c>
    </row>
    <row r="19" spans="1:100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1509"/>
      <c r="G19" s="445">
        <v>3</v>
      </c>
      <c r="H19" s="445">
        <v>2.1666666666666665</v>
      </c>
      <c r="I19" s="445">
        <v>1.9166666666666667</v>
      </c>
      <c r="J19" s="445" t="s">
        <v>378</v>
      </c>
      <c r="K19" s="445">
        <v>1.5833333333333333</v>
      </c>
      <c r="L19" s="445" t="s">
        <v>127</v>
      </c>
      <c r="M19" s="1509"/>
      <c r="N19" s="445" t="s">
        <v>378</v>
      </c>
      <c r="O19" s="445" t="s">
        <v>378</v>
      </c>
      <c r="P19" s="445" t="s">
        <v>636</v>
      </c>
      <c r="Q19" s="445" t="s">
        <v>378</v>
      </c>
      <c r="R19" s="445" t="s">
        <v>378</v>
      </c>
      <c r="S19" s="445">
        <v>1.75</v>
      </c>
      <c r="T19" s="445" t="s">
        <v>378</v>
      </c>
      <c r="U19" s="1051" t="s">
        <v>378</v>
      </c>
      <c r="V19" s="322">
        <f t="shared" si="3"/>
        <v>2.083333333333333</v>
      </c>
      <c r="W19" s="321">
        <f>IF(ISERROR(AVERAGE($B$8:U19)),"",AVERAGE($B$8:U19))</f>
        <v>2.4241803278688514</v>
      </c>
      <c r="X19" s="327" t="s">
        <v>378</v>
      </c>
      <c r="Y19" s="1509"/>
      <c r="Z19" s="445">
        <v>3.0833333333333335</v>
      </c>
      <c r="AA19" s="1051" t="s">
        <v>378</v>
      </c>
      <c r="AB19" s="322">
        <f t="shared" si="0"/>
        <v>3.0833333333333335</v>
      </c>
      <c r="AC19" s="321">
        <f>IF(ISERROR(AVERAGE($X$8:AA19)),"",AVERAGE($X$8:AA19))</f>
        <v>5.3985185185185189</v>
      </c>
      <c r="AD19" s="327">
        <v>3.625</v>
      </c>
      <c r="AE19" s="445">
        <v>5.416666666666667</v>
      </c>
      <c r="AF19" s="1516"/>
      <c r="AG19" s="445" t="s">
        <v>17479</v>
      </c>
      <c r="AH19" s="445" t="s">
        <v>127</v>
      </c>
      <c r="AI19" s="1516"/>
      <c r="AJ19" s="1515"/>
      <c r="AK19" s="445">
        <v>3.75</v>
      </c>
      <c r="AL19" s="445" t="s">
        <v>17411</v>
      </c>
      <c r="AM19" s="1509"/>
      <c r="AN19" s="445">
        <v>2.1666666666666665</v>
      </c>
      <c r="AO19" s="1051">
        <v>4.541666666666667</v>
      </c>
      <c r="AP19" s="322">
        <f>IF(ISERROR(AVERAGE($AD19:$AO19)),"",AVERAGE($AD19:$AO19))</f>
        <v>3.9</v>
      </c>
      <c r="AQ19" s="323">
        <f>IF(ISERROR(AVERAGE($AD$8:AO19)),"",AVERAGE($AD$8:AO19))</f>
        <v>4.8475781250000001</v>
      </c>
      <c r="AR19" s="327" t="s">
        <v>378</v>
      </c>
      <c r="AS19" s="1509"/>
      <c r="AT19" s="1311" t="s">
        <v>16065</v>
      </c>
      <c r="AU19" s="322" t="str">
        <f t="shared" si="1"/>
        <v/>
      </c>
      <c r="AV19" s="323" t="str">
        <f>IF(ISERROR(AVERAGE(AR$8:$AT19)),"",AVERAGE(AR$8:$AT19))</f>
        <v/>
      </c>
      <c r="AW19" s="327" t="s">
        <v>16203</v>
      </c>
      <c r="AX19" s="445" t="s">
        <v>16203</v>
      </c>
      <c r="AY19" s="445" t="s">
        <v>16203</v>
      </c>
      <c r="AZ19" s="445" t="s">
        <v>16203</v>
      </c>
      <c r="BA19" s="445" t="s">
        <v>16203</v>
      </c>
      <c r="BB19" s="445" t="s">
        <v>16203</v>
      </c>
      <c r="BC19" s="445" t="s">
        <v>16203</v>
      </c>
      <c r="BD19" s="445" t="s">
        <v>16203</v>
      </c>
      <c r="BE19" s="324" t="str">
        <f t="shared" si="2"/>
        <v/>
      </c>
      <c r="BF19" s="324" t="str">
        <f t="array" ref="BF19">IF(ISERROR(AVERAGE(AW$8:$BD19)),"",AVERAGE(AW$8:$BD19))</f>
        <v/>
      </c>
      <c r="BG19" s="325">
        <f>IF(ISERROR(AVERAGE(V19,AB19,BE19,AP19,AU19)),"",AVERAGE(V19,AB19,BE19,AP19,AU19))</f>
        <v>3.0222222222222221</v>
      </c>
      <c r="BH19" s="325">
        <f>COUNTIF(A19:BF19,"產銷停機")</f>
        <v>13</v>
      </c>
      <c r="BI19" s="325">
        <v>5</v>
      </c>
      <c r="BJ19" s="325">
        <v>2</v>
      </c>
      <c r="BK19" s="325">
        <v>5</v>
      </c>
      <c r="BL19" s="325">
        <v>11</v>
      </c>
      <c r="BM19" s="325">
        <v>9</v>
      </c>
      <c r="BN19" s="325">
        <v>9</v>
      </c>
      <c r="BO19" s="325">
        <v>9</v>
      </c>
      <c r="BP19" s="325">
        <v>9</v>
      </c>
      <c r="BQ19" s="325">
        <v>9</v>
      </c>
      <c r="BR19" s="325">
        <v>9</v>
      </c>
      <c r="BS19" s="325">
        <v>8</v>
      </c>
      <c r="BT19" s="325">
        <v>9</v>
      </c>
      <c r="BU19" s="325">
        <v>9</v>
      </c>
      <c r="BV19" s="325">
        <v>10</v>
      </c>
      <c r="BW19" s="325">
        <v>9</v>
      </c>
      <c r="BX19" s="325">
        <v>0</v>
      </c>
      <c r="BY19" s="325">
        <v>5</v>
      </c>
      <c r="BZ19" s="325">
        <v>4</v>
      </c>
      <c r="CA19" s="325">
        <v>3</v>
      </c>
      <c r="CB19" s="325">
        <v>3</v>
      </c>
      <c r="CC19" s="325">
        <v>3</v>
      </c>
      <c r="CD19" s="325">
        <v>5</v>
      </c>
      <c r="CE19" s="325">
        <v>3</v>
      </c>
      <c r="CF19" s="325">
        <v>3</v>
      </c>
      <c r="CG19" s="325">
        <v>4</v>
      </c>
      <c r="CH19" s="325">
        <v>5</v>
      </c>
      <c r="CI19" s="621">
        <v>36</v>
      </c>
      <c r="CJ19" s="325">
        <v>4</v>
      </c>
      <c r="CK19" s="325">
        <v>1</v>
      </c>
      <c r="CL19" s="325">
        <v>1</v>
      </c>
      <c r="CM19" s="325">
        <v>2</v>
      </c>
      <c r="CN19" s="325">
        <v>2</v>
      </c>
      <c r="CO19" s="325">
        <v>1</v>
      </c>
      <c r="CP19" s="325">
        <v>2</v>
      </c>
      <c r="CQ19" s="325">
        <v>3</v>
      </c>
      <c r="CR19" s="325">
        <v>7</v>
      </c>
      <c r="CS19" s="325">
        <v>4</v>
      </c>
      <c r="CT19" s="325">
        <v>3</v>
      </c>
      <c r="CU19" s="325">
        <v>2</v>
      </c>
      <c r="CV19" s="325">
        <v>1</v>
      </c>
    </row>
    <row r="20" spans="1:100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1509"/>
      <c r="G20" s="445">
        <v>2.375</v>
      </c>
      <c r="H20" s="445">
        <v>1.125</v>
      </c>
      <c r="I20" s="445">
        <v>1.7083333333333333</v>
      </c>
      <c r="J20" s="445" t="s">
        <v>17278</v>
      </c>
      <c r="K20" s="445">
        <v>1.5833333333333333</v>
      </c>
      <c r="L20" s="1328" t="s">
        <v>17478</v>
      </c>
      <c r="M20" s="1636"/>
      <c r="N20" s="1328" t="s">
        <v>378</v>
      </c>
      <c r="O20" s="445" t="s">
        <v>378</v>
      </c>
      <c r="P20" s="445">
        <v>2.7083333333333335</v>
      </c>
      <c r="Q20" s="1328" t="s">
        <v>378</v>
      </c>
      <c r="R20" s="445" t="s">
        <v>378</v>
      </c>
      <c r="S20" s="445">
        <v>1.2916666666666667</v>
      </c>
      <c r="T20" s="1328" t="s">
        <v>378</v>
      </c>
      <c r="U20" s="1051" t="s">
        <v>378</v>
      </c>
      <c r="V20" s="322">
        <f t="shared" si="3"/>
        <v>1.7986111111111109</v>
      </c>
      <c r="W20" s="321">
        <f>IF(ISERROR(AVERAGE($B$8:U20)),"",AVERAGE($B$8:U20))</f>
        <v>2.3681592039800989</v>
      </c>
      <c r="X20" s="327" t="s">
        <v>378</v>
      </c>
      <c r="Y20" s="1509"/>
      <c r="Z20" s="445">
        <v>3.375</v>
      </c>
      <c r="AA20" s="1051" t="s">
        <v>378</v>
      </c>
      <c r="AB20" s="322">
        <f t="shared" si="0"/>
        <v>3.375</v>
      </c>
      <c r="AC20" s="321">
        <f>IF(ISERROR(AVERAGE($X$8:AA20)),"",AVERAGE($X$8:AA20))</f>
        <v>5.1961666666666675</v>
      </c>
      <c r="AD20" s="327">
        <v>4.25</v>
      </c>
      <c r="AE20" s="445">
        <v>5.166666666666667</v>
      </c>
      <c r="AF20" s="1516"/>
      <c r="AG20" s="445" t="s">
        <v>17479</v>
      </c>
      <c r="AH20" s="445" t="s">
        <v>17480</v>
      </c>
      <c r="AI20" s="1516"/>
      <c r="AJ20" s="1515"/>
      <c r="AK20" s="445">
        <v>4.083333333333333</v>
      </c>
      <c r="AL20" s="445" t="s">
        <v>17479</v>
      </c>
      <c r="AM20" s="1509"/>
      <c r="AN20" s="445">
        <v>3</v>
      </c>
      <c r="AO20" s="1051">
        <v>4.25</v>
      </c>
      <c r="AP20" s="322">
        <f>IF(ISERROR(AVERAGE($AD20:$AO20)),"",AVERAGE($AD20:$AO20))</f>
        <v>4.1500000000000004</v>
      </c>
      <c r="AQ20" s="323">
        <f>IF(ISERROR(AVERAGE($AD$8:AO20)),"",AVERAGE($AD$8:AO20))</f>
        <v>4.7970289855072465</v>
      </c>
      <c r="AR20" s="327" t="s">
        <v>378</v>
      </c>
      <c r="AS20" s="1509"/>
      <c r="AT20" s="1311" t="s">
        <v>16065</v>
      </c>
      <c r="AU20" s="322" t="str">
        <f t="shared" si="1"/>
        <v/>
      </c>
      <c r="AV20" s="323" t="str">
        <f>IF(ISERROR(AVERAGE(AR$8:$AT20)),"",AVERAGE(AR$8:$AT20))</f>
        <v/>
      </c>
      <c r="AW20" s="327" t="s">
        <v>16203</v>
      </c>
      <c r="AX20" s="445" t="s">
        <v>16203</v>
      </c>
      <c r="AY20" s="445" t="s">
        <v>16203</v>
      </c>
      <c r="AZ20" s="445" t="s">
        <v>16203</v>
      </c>
      <c r="BA20" s="445" t="s">
        <v>16203</v>
      </c>
      <c r="BB20" s="445" t="s">
        <v>16203</v>
      </c>
      <c r="BC20" s="445" t="s">
        <v>16203</v>
      </c>
      <c r="BD20" s="445" t="s">
        <v>16203</v>
      </c>
      <c r="BE20" s="324" t="str">
        <f t="shared" si="2"/>
        <v/>
      </c>
      <c r="BF20" s="324" t="str">
        <f t="array" ref="BF20">IF(ISERROR(AVERAGE(AW$8:$BD20)),"",AVERAGE(AW$8:$BD20))</f>
        <v/>
      </c>
      <c r="BG20" s="325">
        <f>IF(ISERROR(AVERAGE(V20,AB20,BE20,AP20,AU20)),"",AVERAGE(V20,AB20,BE20,AP20,AU20))</f>
        <v>3.1078703703703705</v>
      </c>
      <c r="BH20" s="325">
        <f>COUNTIF(A20:BF20,"產銷停機")</f>
        <v>13</v>
      </c>
      <c r="BI20" s="325">
        <v>5</v>
      </c>
      <c r="BJ20" s="325">
        <v>2</v>
      </c>
      <c r="BK20" s="325">
        <v>5</v>
      </c>
      <c r="BL20" s="325">
        <v>11</v>
      </c>
      <c r="BM20" s="325">
        <v>9</v>
      </c>
      <c r="BN20" s="325">
        <v>9</v>
      </c>
      <c r="BO20" s="325">
        <v>9</v>
      </c>
      <c r="BP20" s="325">
        <v>9</v>
      </c>
      <c r="BQ20" s="325">
        <v>9</v>
      </c>
      <c r="BR20" s="325">
        <v>9</v>
      </c>
      <c r="BS20" s="325">
        <v>8</v>
      </c>
      <c r="BT20" s="325">
        <v>9</v>
      </c>
      <c r="BU20" s="325">
        <v>9</v>
      </c>
      <c r="BV20" s="325">
        <v>9</v>
      </c>
      <c r="BW20" s="325">
        <v>9</v>
      </c>
      <c r="BX20" s="325">
        <v>0</v>
      </c>
      <c r="BY20" s="325">
        <v>5</v>
      </c>
      <c r="BZ20" s="325">
        <v>4</v>
      </c>
      <c r="CA20" s="325">
        <v>3</v>
      </c>
      <c r="CB20" s="325">
        <v>4</v>
      </c>
      <c r="CC20" s="325">
        <v>3</v>
      </c>
      <c r="CD20" s="325">
        <v>5</v>
      </c>
      <c r="CE20" s="325">
        <v>3</v>
      </c>
      <c r="CF20" s="325">
        <v>3</v>
      </c>
      <c r="CG20" s="325">
        <v>4</v>
      </c>
      <c r="CH20" s="325">
        <v>4</v>
      </c>
      <c r="CI20" s="621">
        <v>36</v>
      </c>
      <c r="CJ20" s="325">
        <v>4</v>
      </c>
      <c r="CK20" s="325">
        <v>2</v>
      </c>
      <c r="CL20" s="325">
        <v>1</v>
      </c>
      <c r="CM20" s="325">
        <v>2</v>
      </c>
      <c r="CN20" s="325">
        <v>2</v>
      </c>
      <c r="CO20" s="325">
        <v>1</v>
      </c>
      <c r="CP20" s="325">
        <v>1</v>
      </c>
      <c r="CQ20" s="325">
        <v>3</v>
      </c>
      <c r="CR20" s="325">
        <v>7</v>
      </c>
      <c r="CS20" s="325">
        <v>4</v>
      </c>
      <c r="CT20" s="325">
        <v>2</v>
      </c>
      <c r="CU20" s="325">
        <v>0</v>
      </c>
      <c r="CV20" s="325">
        <v>1</v>
      </c>
    </row>
    <row r="21" spans="1:100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1509"/>
      <c r="G21" s="445">
        <v>2.1666666666666665</v>
      </c>
      <c r="H21" s="445">
        <v>1.4583333333333333</v>
      </c>
      <c r="I21" s="445">
        <v>1.6666666666666667</v>
      </c>
      <c r="J21" s="445" t="s">
        <v>17278</v>
      </c>
      <c r="K21" s="445">
        <v>1.2916666666666667</v>
      </c>
      <c r="L21" s="1328" t="s">
        <v>17478</v>
      </c>
      <c r="M21" s="1636"/>
      <c r="N21" s="1328" t="s">
        <v>378</v>
      </c>
      <c r="O21" s="445" t="s">
        <v>378</v>
      </c>
      <c r="P21" s="445">
        <v>2.5</v>
      </c>
      <c r="Q21" s="1328" t="s">
        <v>378</v>
      </c>
      <c r="R21" s="445" t="s">
        <v>378</v>
      </c>
      <c r="S21" s="445">
        <v>1.5</v>
      </c>
      <c r="T21" s="1328" t="s">
        <v>378</v>
      </c>
      <c r="U21" s="1051" t="s">
        <v>378</v>
      </c>
      <c r="V21" s="322">
        <f t="shared" si="3"/>
        <v>1.7638888888888891</v>
      </c>
      <c r="W21" s="321">
        <f>IF(ISERROR(AVERAGE($B$8:U21)),"",AVERAGE($B$8:U21))</f>
        <v>2.3184931506849309</v>
      </c>
      <c r="X21" s="327" t="s">
        <v>378</v>
      </c>
      <c r="Y21" s="1509"/>
      <c r="Z21" s="445">
        <v>3.75</v>
      </c>
      <c r="AA21" s="1051" t="s">
        <v>378</v>
      </c>
      <c r="AB21" s="322">
        <f t="shared" si="0"/>
        <v>3.75</v>
      </c>
      <c r="AC21" s="321">
        <f>IF(ISERROR(AVERAGE($X$8:AA21)),"",AVERAGE($X$8:AA21))</f>
        <v>5.0646969696969704</v>
      </c>
      <c r="AD21" s="327">
        <v>4.958333333333333</v>
      </c>
      <c r="AE21" s="445">
        <v>8.25</v>
      </c>
      <c r="AF21" s="1516"/>
      <c r="AG21" s="445" t="s">
        <v>17479</v>
      </c>
      <c r="AH21" s="445" t="s">
        <v>17480</v>
      </c>
      <c r="AI21" s="1516"/>
      <c r="AJ21" s="1515"/>
      <c r="AK21" s="445">
        <v>3.25</v>
      </c>
      <c r="AL21" s="445" t="s">
        <v>17479</v>
      </c>
      <c r="AM21" s="1509"/>
      <c r="AN21" s="445">
        <v>2.8333333333333335</v>
      </c>
      <c r="AO21" s="1051">
        <v>4.208333333333333</v>
      </c>
      <c r="AP21" s="322">
        <f>IF(ISERROR(AVERAGE($AD21:$AO21)),"",AVERAGE($AD21:$AO21))</f>
        <v>4.6999999999999993</v>
      </c>
      <c r="AQ21" s="323">
        <f>IF(ISERROR(AVERAGE($AD$8:AO21)),"",AVERAGE($AD$8:AO21))</f>
        <v>4.7904729729729727</v>
      </c>
      <c r="AR21" s="327" t="s">
        <v>378</v>
      </c>
      <c r="AS21" s="1509"/>
      <c r="AT21" s="1311" t="s">
        <v>16065</v>
      </c>
      <c r="AU21" s="322" t="str">
        <f t="shared" si="1"/>
        <v/>
      </c>
      <c r="AV21" s="323" t="str">
        <f>IF(ISERROR(AVERAGE(AR$8:$AT21)),"",AVERAGE(AR$8:$AT21))</f>
        <v/>
      </c>
      <c r="AW21" s="327" t="s">
        <v>16203</v>
      </c>
      <c r="AX21" s="445" t="s">
        <v>16203</v>
      </c>
      <c r="AY21" s="445" t="s">
        <v>16203</v>
      </c>
      <c r="AZ21" s="445" t="s">
        <v>16203</v>
      </c>
      <c r="BA21" s="445" t="s">
        <v>16203</v>
      </c>
      <c r="BB21" s="445" t="s">
        <v>16203</v>
      </c>
      <c r="BC21" s="445" t="s">
        <v>16203</v>
      </c>
      <c r="BD21" s="445" t="s">
        <v>16203</v>
      </c>
      <c r="BE21" s="324" t="str">
        <f t="shared" si="2"/>
        <v/>
      </c>
      <c r="BF21" s="324" t="str">
        <f t="array" ref="BF21">IF(ISERROR(AVERAGE(AW$8:$BD21)),"",AVERAGE(AW$8:$BD21))</f>
        <v/>
      </c>
      <c r="BG21" s="325">
        <f>IF(ISERROR(AVERAGE(V21,AB21,BE21,AP21,AU21)),"",AVERAGE(V21,AB21,BE21,AP21,AU21))</f>
        <v>3.4046296296296297</v>
      </c>
      <c r="BH21" s="325">
        <f>COUNTIF(A21:BF21,"產銷停機")</f>
        <v>13</v>
      </c>
      <c r="BI21" s="325">
        <v>5</v>
      </c>
      <c r="BJ21" s="325">
        <v>2</v>
      </c>
      <c r="BK21" s="325">
        <v>5</v>
      </c>
      <c r="BL21" s="325">
        <v>10</v>
      </c>
      <c r="BM21" s="325">
        <v>9</v>
      </c>
      <c r="BN21" s="325">
        <v>9</v>
      </c>
      <c r="BO21" s="325">
        <v>9</v>
      </c>
      <c r="BP21" s="325">
        <v>9</v>
      </c>
      <c r="BQ21" s="325">
        <v>9</v>
      </c>
      <c r="BR21" s="325">
        <v>9</v>
      </c>
      <c r="BS21" s="325">
        <v>8</v>
      </c>
      <c r="BT21" s="325">
        <v>9</v>
      </c>
      <c r="BU21" s="325">
        <v>9</v>
      </c>
      <c r="BV21" s="325">
        <v>9</v>
      </c>
      <c r="BW21" s="325">
        <v>9</v>
      </c>
      <c r="BX21" s="325">
        <v>0</v>
      </c>
      <c r="BY21" s="325">
        <v>5</v>
      </c>
      <c r="BZ21" s="325">
        <v>4</v>
      </c>
      <c r="CA21" s="325">
        <v>3</v>
      </c>
      <c r="CB21" s="325">
        <v>4</v>
      </c>
      <c r="CC21" s="325">
        <v>3</v>
      </c>
      <c r="CD21" s="325">
        <v>5</v>
      </c>
      <c r="CE21" s="325">
        <v>3</v>
      </c>
      <c r="CF21" s="325">
        <v>3</v>
      </c>
      <c r="CG21" s="325">
        <v>4</v>
      </c>
      <c r="CH21" s="325">
        <v>4</v>
      </c>
      <c r="CI21" s="325">
        <v>6</v>
      </c>
      <c r="CJ21" s="325">
        <v>4</v>
      </c>
      <c r="CK21" s="325">
        <v>2</v>
      </c>
      <c r="CL21" s="325">
        <v>1</v>
      </c>
      <c r="CM21" s="325">
        <v>2</v>
      </c>
      <c r="CN21" s="325">
        <v>2</v>
      </c>
      <c r="CO21" s="325">
        <v>2</v>
      </c>
      <c r="CP21" s="325">
        <v>1</v>
      </c>
      <c r="CQ21" s="325">
        <v>3</v>
      </c>
      <c r="CR21" s="621">
        <v>7</v>
      </c>
      <c r="CS21" s="325">
        <v>4</v>
      </c>
      <c r="CT21" s="325">
        <v>2</v>
      </c>
      <c r="CU21" s="325">
        <v>0</v>
      </c>
      <c r="CV21" s="325">
        <v>1</v>
      </c>
    </row>
    <row r="22" spans="1:100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1509"/>
      <c r="G22" s="445">
        <v>2.5</v>
      </c>
      <c r="H22" s="445">
        <v>1.0416666666666667</v>
      </c>
      <c r="I22" s="445">
        <v>1.9583333333333333</v>
      </c>
      <c r="J22" s="445" t="s">
        <v>17278</v>
      </c>
      <c r="K22" s="445" t="s">
        <v>17453</v>
      </c>
      <c r="L22" s="1328" t="s">
        <v>16156</v>
      </c>
      <c r="M22" s="1636"/>
      <c r="N22" s="1328" t="s">
        <v>378</v>
      </c>
      <c r="O22" s="445" t="s">
        <v>378</v>
      </c>
      <c r="P22" s="445">
        <v>2.375</v>
      </c>
      <c r="Q22" s="1328" t="s">
        <v>378</v>
      </c>
      <c r="R22" s="445" t="s">
        <v>378</v>
      </c>
      <c r="S22" s="445">
        <v>1.3333333333333333</v>
      </c>
      <c r="T22" s="1328" t="s">
        <v>378</v>
      </c>
      <c r="U22" s="1051" t="s">
        <v>378</v>
      </c>
      <c r="V22" s="322">
        <f t="shared" si="3"/>
        <v>1.8416666666666668</v>
      </c>
      <c r="W22" s="321">
        <f>IF(ISERROR(AVERAGE($B$8:U22)),"",AVERAGE($B$8:U22))</f>
        <v>2.2879273504273496</v>
      </c>
      <c r="X22" s="327" t="s">
        <v>378</v>
      </c>
      <c r="Y22" s="1509"/>
      <c r="Z22" s="445">
        <v>3.46</v>
      </c>
      <c r="AA22" s="1051" t="s">
        <v>378</v>
      </c>
      <c r="AB22" s="322">
        <f t="shared" si="0"/>
        <v>3.46</v>
      </c>
      <c r="AC22" s="321">
        <f>IF(ISERROR(AVERAGE($X$8:AA22)),"",AVERAGE($X$8:AA22))</f>
        <v>4.9309722222222225</v>
      </c>
      <c r="AD22" s="327">
        <v>5.666666666666667</v>
      </c>
      <c r="AE22" s="445" t="s">
        <v>127</v>
      </c>
      <c r="AF22" s="1516"/>
      <c r="AG22" s="445" t="s">
        <v>17479</v>
      </c>
      <c r="AH22" s="445" t="s">
        <v>17480</v>
      </c>
      <c r="AI22" s="1517"/>
      <c r="AJ22" s="1515"/>
      <c r="AK22" s="445">
        <v>3.0833333333333335</v>
      </c>
      <c r="AL22" s="445" t="s">
        <v>17494</v>
      </c>
      <c r="AM22" s="1509"/>
      <c r="AN22" s="445">
        <v>3.5416666666666665</v>
      </c>
      <c r="AO22" s="1051">
        <v>3.7083333333333335</v>
      </c>
      <c r="AP22" s="322">
        <f>IF(ISERROR(AVERAGE($AD22:$AO22)),"",AVERAGE($AD22:$AO22))</f>
        <v>4</v>
      </c>
      <c r="AQ22" s="323">
        <f>IF(ISERROR(AVERAGE($AD$8:AO22)),"",AVERAGE($AD$8:AO22))</f>
        <v>4.7499358974358969</v>
      </c>
      <c r="AR22" s="327" t="s">
        <v>378</v>
      </c>
      <c r="AS22" s="1509"/>
      <c r="AT22" s="1311" t="s">
        <v>16065</v>
      </c>
      <c r="AU22" s="322" t="str">
        <f t="shared" si="1"/>
        <v/>
      </c>
      <c r="AV22" s="323" t="str">
        <f>IF(ISERROR(AVERAGE(AR$8:$AT22)),"",AVERAGE(AR$8:$AT22))</f>
        <v/>
      </c>
      <c r="AW22" s="327" t="s">
        <v>16203</v>
      </c>
      <c r="AX22" s="445" t="s">
        <v>16203</v>
      </c>
      <c r="AY22" s="445" t="s">
        <v>16203</v>
      </c>
      <c r="AZ22" s="445" t="s">
        <v>16203</v>
      </c>
      <c r="BA22" s="445" t="s">
        <v>16203</v>
      </c>
      <c r="BB22" s="445" t="s">
        <v>16203</v>
      </c>
      <c r="BC22" s="445" t="s">
        <v>16203</v>
      </c>
      <c r="BD22" s="445" t="s">
        <v>16203</v>
      </c>
      <c r="BE22" s="324" t="str">
        <f t="shared" si="2"/>
        <v/>
      </c>
      <c r="BF22" s="324" t="str">
        <f t="array" ref="BF22">IF(ISERROR(AVERAGE(AW$8:$BD22)),"",AVERAGE(AW$8:$BD22))</f>
        <v/>
      </c>
      <c r="BG22" s="325">
        <f>IF(ISERROR(AVERAGE(V22,AB22,BE22,AP22,AU22)),"",AVERAGE(V22,AB22,BE22,AP22,AU22))</f>
        <v>3.1005555555555553</v>
      </c>
      <c r="BH22" s="325">
        <f>COUNTIF(A22:BF22,"產銷停機")</f>
        <v>13</v>
      </c>
      <c r="BI22" s="325">
        <v>5</v>
      </c>
      <c r="BJ22" s="325">
        <v>2</v>
      </c>
      <c r="BK22" s="325">
        <v>5</v>
      </c>
      <c r="BL22" s="325">
        <v>10</v>
      </c>
      <c r="BM22" s="325">
        <v>9</v>
      </c>
      <c r="BN22" s="325">
        <v>9</v>
      </c>
      <c r="BO22" s="325">
        <v>9</v>
      </c>
      <c r="BP22" s="325">
        <v>9</v>
      </c>
      <c r="BQ22" s="325">
        <v>9</v>
      </c>
      <c r="BR22" s="325">
        <v>9</v>
      </c>
      <c r="BS22" s="325">
        <v>8</v>
      </c>
      <c r="BT22" s="325">
        <v>9</v>
      </c>
      <c r="BU22" s="325">
        <v>9</v>
      </c>
      <c r="BV22" s="325">
        <v>10</v>
      </c>
      <c r="BW22" s="325">
        <v>9</v>
      </c>
      <c r="BX22" s="325">
        <v>0</v>
      </c>
      <c r="BY22" s="325">
        <v>5</v>
      </c>
      <c r="BZ22" s="325">
        <v>4</v>
      </c>
      <c r="CA22" s="325">
        <v>3</v>
      </c>
      <c r="CB22" s="325">
        <v>4</v>
      </c>
      <c r="CC22" s="325">
        <v>3</v>
      </c>
      <c r="CD22" s="325">
        <v>4</v>
      </c>
      <c r="CE22" s="325">
        <v>3</v>
      </c>
      <c r="CF22" s="325">
        <v>3</v>
      </c>
      <c r="CG22" s="325">
        <v>3</v>
      </c>
      <c r="CH22" s="325">
        <v>4</v>
      </c>
      <c r="CI22" s="325">
        <v>4</v>
      </c>
      <c r="CJ22" s="325">
        <v>4</v>
      </c>
      <c r="CK22" s="325">
        <v>2</v>
      </c>
      <c r="CL22" s="325">
        <v>1</v>
      </c>
      <c r="CM22" s="325">
        <v>4</v>
      </c>
      <c r="CN22" s="325">
        <v>1</v>
      </c>
      <c r="CO22" s="325">
        <v>2</v>
      </c>
      <c r="CP22" s="325">
        <v>1</v>
      </c>
      <c r="CQ22" s="325">
        <v>3</v>
      </c>
      <c r="CR22" s="325">
        <v>5</v>
      </c>
      <c r="CS22" s="325">
        <v>4</v>
      </c>
      <c r="CT22" s="325">
        <v>3</v>
      </c>
      <c r="CU22" s="325">
        <v>0</v>
      </c>
      <c r="CV22" s="325">
        <v>1</v>
      </c>
    </row>
    <row r="23" spans="1:100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1509"/>
      <c r="G23" s="445">
        <v>1.7916666666666667</v>
      </c>
      <c r="H23" s="445">
        <v>1.2916666666666667</v>
      </c>
      <c r="I23" s="445">
        <v>2.0416666666666665</v>
      </c>
      <c r="J23" s="445" t="s">
        <v>17278</v>
      </c>
      <c r="K23" s="445" t="s">
        <v>636</v>
      </c>
      <c r="L23" s="1328" t="s">
        <v>16156</v>
      </c>
      <c r="M23" s="1636"/>
      <c r="N23" s="1328" t="s">
        <v>378</v>
      </c>
      <c r="O23" s="445" t="s">
        <v>378</v>
      </c>
      <c r="P23" s="445">
        <v>2.125</v>
      </c>
      <c r="Q23" s="1328" t="s">
        <v>378</v>
      </c>
      <c r="R23" s="445" t="s">
        <v>17497</v>
      </c>
      <c r="S23" s="445">
        <v>1.4583333333333333</v>
      </c>
      <c r="T23" s="1328" t="s">
        <v>378</v>
      </c>
      <c r="U23" s="1051" t="s">
        <v>378</v>
      </c>
      <c r="V23" s="322">
        <f t="shared" si="3"/>
        <v>1.7416666666666667</v>
      </c>
      <c r="W23" s="321">
        <f>IF(ISERROR(AVERAGE($B$8:U23)),"",AVERAGE($B$8:U23))</f>
        <v>2.2550200803212843</v>
      </c>
      <c r="X23" s="327" t="s">
        <v>378</v>
      </c>
      <c r="Y23" s="1509"/>
      <c r="Z23" s="445">
        <v>2.75</v>
      </c>
      <c r="AA23" s="1051" t="s">
        <v>378</v>
      </c>
      <c r="AB23" s="322">
        <f t="shared" si="0"/>
        <v>2.75</v>
      </c>
      <c r="AC23" s="321">
        <f>IF(ISERROR(AVERAGE($X$8:AA23)),"",AVERAGE($X$8:AA23))</f>
        <v>4.7632051282051284</v>
      </c>
      <c r="AD23" s="327">
        <v>2.67</v>
      </c>
      <c r="AE23" s="445" t="s">
        <v>17453</v>
      </c>
      <c r="AF23" s="1517"/>
      <c r="AG23" s="1633"/>
      <c r="AH23" s="1514"/>
      <c r="AI23" s="445" t="s">
        <v>17499</v>
      </c>
      <c r="AJ23" s="1515"/>
      <c r="AK23" s="445">
        <v>4.416666666666667</v>
      </c>
      <c r="AL23" s="445">
        <v>3</v>
      </c>
      <c r="AM23" s="1509"/>
      <c r="AN23" s="445">
        <v>3</v>
      </c>
      <c r="AO23" s="1502">
        <v>5.625</v>
      </c>
      <c r="AP23" s="322">
        <f>IF(ISERROR(AVERAGE($AD23:$AO23)),"",AVERAGE($AD23:$AO23))</f>
        <v>3.7423333333333333</v>
      </c>
      <c r="AQ23" s="323">
        <f>IF(ISERROR(AVERAGE($AD$8:AO23)),"",AVERAGE($AD$8:AO23))</f>
        <v>4.6892369477911648</v>
      </c>
      <c r="AR23" s="327" t="s">
        <v>378</v>
      </c>
      <c r="AS23" s="1509"/>
      <c r="AT23" s="1311" t="s">
        <v>16065</v>
      </c>
      <c r="AU23" s="322" t="str">
        <f t="shared" si="1"/>
        <v/>
      </c>
      <c r="AV23" s="323" t="str">
        <f>IF(ISERROR(AVERAGE(AR$8:$AT23)),"",AVERAGE(AR$8:$AT23))</f>
        <v/>
      </c>
      <c r="AW23" s="327" t="s">
        <v>16203</v>
      </c>
      <c r="AX23" s="445" t="s">
        <v>16203</v>
      </c>
      <c r="AY23" s="445" t="s">
        <v>16203</v>
      </c>
      <c r="AZ23" s="445" t="s">
        <v>16203</v>
      </c>
      <c r="BA23" s="445" t="s">
        <v>16203</v>
      </c>
      <c r="BB23" s="445" t="s">
        <v>16203</v>
      </c>
      <c r="BC23" s="445" t="s">
        <v>16203</v>
      </c>
      <c r="BD23" s="445" t="s">
        <v>16203</v>
      </c>
      <c r="BE23" s="324" t="str">
        <f t="shared" ref="BE23:BE38" si="4">IF(ISERROR(AVERAGE($AX23:$BD23)),"",AVERAGE($AX23:$BD23))</f>
        <v/>
      </c>
      <c r="BF23" s="324" t="str">
        <f t="array" ref="BF23">IF(ISERROR(AVERAGE(AW$8:$BD23)),"",AVERAGE(AW$8:$BD23))</f>
        <v/>
      </c>
      <c r="BG23" s="325">
        <f>IF(ISERROR(AVERAGE(V23,AB23,BE23,AP23,AU23)),"",AVERAGE(V23,AB23,BE23,AP23,AU23))</f>
        <v>2.7446666666666668</v>
      </c>
      <c r="BH23" s="325">
        <f>COUNTIF(A23:BF23,"產銷停機")</f>
        <v>12</v>
      </c>
      <c r="BI23" s="325">
        <v>5</v>
      </c>
      <c r="BJ23" s="325">
        <v>2</v>
      </c>
      <c r="BK23" s="325">
        <v>29</v>
      </c>
      <c r="BL23" s="325">
        <v>10</v>
      </c>
      <c r="BM23" s="325">
        <v>9</v>
      </c>
      <c r="BN23" s="325">
        <v>9</v>
      </c>
      <c r="BO23" s="325">
        <v>9</v>
      </c>
      <c r="BP23" s="325">
        <v>9</v>
      </c>
      <c r="BQ23" s="325">
        <v>9</v>
      </c>
      <c r="BR23" s="325">
        <v>9</v>
      </c>
      <c r="BS23" s="325">
        <v>8</v>
      </c>
      <c r="BT23" s="325">
        <v>9</v>
      </c>
      <c r="BU23" s="325">
        <v>9</v>
      </c>
      <c r="BV23" s="325">
        <v>10</v>
      </c>
      <c r="BW23" s="325">
        <v>9</v>
      </c>
      <c r="BX23" s="325">
        <v>0</v>
      </c>
      <c r="BY23" s="325">
        <v>5</v>
      </c>
      <c r="BZ23" s="325">
        <v>4</v>
      </c>
      <c r="CA23" s="325">
        <v>3</v>
      </c>
      <c r="CB23" s="325">
        <v>3</v>
      </c>
      <c r="CC23" s="325">
        <v>3</v>
      </c>
      <c r="CD23" s="325">
        <v>4</v>
      </c>
      <c r="CE23" s="325">
        <v>3</v>
      </c>
      <c r="CF23" s="325">
        <v>3</v>
      </c>
      <c r="CG23" s="325">
        <v>4</v>
      </c>
      <c r="CH23" s="325">
        <v>4</v>
      </c>
      <c r="CI23" s="325">
        <v>4</v>
      </c>
      <c r="CJ23" s="325">
        <v>3</v>
      </c>
      <c r="CK23" s="325">
        <v>2</v>
      </c>
      <c r="CL23" s="325">
        <v>1</v>
      </c>
      <c r="CM23" s="325">
        <v>4</v>
      </c>
      <c r="CN23" s="325">
        <v>1</v>
      </c>
      <c r="CO23" s="325">
        <v>1</v>
      </c>
      <c r="CP23" s="325">
        <v>1</v>
      </c>
      <c r="CQ23" s="325">
        <v>3</v>
      </c>
      <c r="CR23" s="325">
        <v>5</v>
      </c>
      <c r="CS23" s="325">
        <v>6</v>
      </c>
      <c r="CT23" s="325">
        <v>3</v>
      </c>
      <c r="CU23" s="325">
        <v>0</v>
      </c>
      <c r="CV23" s="325">
        <v>1</v>
      </c>
    </row>
    <row r="24" spans="1:100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1509"/>
      <c r="G24" s="445" t="s">
        <v>17453</v>
      </c>
      <c r="H24" s="445">
        <v>1.375</v>
      </c>
      <c r="I24" s="445" t="s">
        <v>127</v>
      </c>
      <c r="J24" s="445" t="s">
        <v>17278</v>
      </c>
      <c r="K24" s="445" t="s">
        <v>127</v>
      </c>
      <c r="L24" s="1328" t="s">
        <v>16156</v>
      </c>
      <c r="M24" s="1637"/>
      <c r="N24" s="1328" t="s">
        <v>378</v>
      </c>
      <c r="O24" s="445" t="s">
        <v>17510</v>
      </c>
      <c r="P24" s="445">
        <v>1.75</v>
      </c>
      <c r="Q24" s="1328" t="s">
        <v>378</v>
      </c>
      <c r="R24" s="1328" t="s">
        <v>653</v>
      </c>
      <c r="S24" s="445">
        <v>1.38</v>
      </c>
      <c r="T24" s="1328" t="s">
        <v>378</v>
      </c>
      <c r="U24" s="1051" t="s">
        <v>378</v>
      </c>
      <c r="V24" s="322">
        <f t="shared" si="3"/>
        <v>1.5016666666666667</v>
      </c>
      <c r="W24" s="321">
        <f>IF(ISERROR(AVERAGE($B$8:U24)),"",AVERAGE($B$8:U24))</f>
        <v>2.2287403100775185</v>
      </c>
      <c r="X24" s="327" t="s">
        <v>378</v>
      </c>
      <c r="Y24" s="1509"/>
      <c r="Z24" s="445" t="s">
        <v>127</v>
      </c>
      <c r="AA24" s="1051" t="s">
        <v>378</v>
      </c>
      <c r="AB24" s="322" t="str">
        <f t="shared" si="0"/>
        <v/>
      </c>
      <c r="AC24" s="321">
        <f>IF(ISERROR(AVERAGE($X$8:AA24)),"",AVERAGE($X$8:AA24))</f>
        <v>4.7632051282051284</v>
      </c>
      <c r="AD24" s="327">
        <v>3.9583333333333335</v>
      </c>
      <c r="AE24" s="1508"/>
      <c r="AF24" s="445" t="s">
        <v>17502</v>
      </c>
      <c r="AG24" s="1632"/>
      <c r="AH24" s="1631"/>
      <c r="AI24" s="445">
        <v>6.791666666666667</v>
      </c>
      <c r="AJ24" s="1515"/>
      <c r="AK24" s="445">
        <v>2.08</v>
      </c>
      <c r="AL24" s="445" t="s">
        <v>127</v>
      </c>
      <c r="AM24" s="1509"/>
      <c r="AN24" s="445">
        <v>2.4583333333333335</v>
      </c>
      <c r="AO24" s="1502">
        <v>4</v>
      </c>
      <c r="AP24" s="322">
        <f>IF(ISERROR(AVERAGE($AD24:$AO24)),"",AVERAGE($AD24:$AO24))</f>
        <v>3.8576666666666668</v>
      </c>
      <c r="AQ24" s="323">
        <f>IF(ISERROR(AVERAGE($AD$8:AO24)),"",AVERAGE($AD$8:AO24))</f>
        <v>4.641988636363636</v>
      </c>
      <c r="AR24" s="327" t="s">
        <v>378</v>
      </c>
      <c r="AS24" s="1509"/>
      <c r="AT24" s="1311" t="s">
        <v>16065</v>
      </c>
      <c r="AU24" s="322" t="str">
        <f t="shared" si="1"/>
        <v/>
      </c>
      <c r="AV24" s="323" t="str">
        <f>IF(ISERROR(AVERAGE(AR$8:$AT24)),"",AVERAGE(AR$8:$AT24))</f>
        <v/>
      </c>
      <c r="AW24" s="327" t="s">
        <v>16203</v>
      </c>
      <c r="AX24" s="445" t="s">
        <v>16203</v>
      </c>
      <c r="AY24" s="445" t="s">
        <v>16203</v>
      </c>
      <c r="AZ24" s="445" t="s">
        <v>16203</v>
      </c>
      <c r="BA24" s="445" t="s">
        <v>16203</v>
      </c>
      <c r="BB24" s="445" t="s">
        <v>16203</v>
      </c>
      <c r="BC24" s="445" t="s">
        <v>16203</v>
      </c>
      <c r="BD24" s="445" t="s">
        <v>16203</v>
      </c>
      <c r="BE24" s="324" t="str">
        <f t="shared" si="4"/>
        <v/>
      </c>
      <c r="BF24" s="324" t="str">
        <f t="array" ref="BF24">IF(ISERROR(AVERAGE(AW$8:$BD24)),"",AVERAGE(AW$8:$BD24))</f>
        <v/>
      </c>
      <c r="BG24" s="325">
        <f>IF(ISERROR(AVERAGE(V24,AB24,BE24,AP24,AU24)),"",AVERAGE(V24,AB24,BE24,AP24,AU24))</f>
        <v>2.6796666666666669</v>
      </c>
      <c r="BH24" s="325">
        <f>COUNTIF(A24:BF24,"產銷停機")</f>
        <v>11</v>
      </c>
      <c r="BI24" s="325">
        <v>4</v>
      </c>
      <c r="BJ24" s="325">
        <v>2</v>
      </c>
      <c r="BK24" s="325">
        <v>29</v>
      </c>
      <c r="BL24" s="325">
        <v>10</v>
      </c>
      <c r="BM24" s="325">
        <v>9</v>
      </c>
      <c r="BN24" s="325">
        <v>12</v>
      </c>
      <c r="BO24" s="325">
        <v>9</v>
      </c>
      <c r="BP24" s="325">
        <v>9</v>
      </c>
      <c r="BQ24" s="325">
        <v>9</v>
      </c>
      <c r="BR24" s="325">
        <v>9</v>
      </c>
      <c r="BS24" s="325">
        <v>8</v>
      </c>
      <c r="BT24" s="325">
        <v>9</v>
      </c>
      <c r="BU24" s="325">
        <v>9</v>
      </c>
      <c r="BV24" s="325">
        <v>10</v>
      </c>
      <c r="BW24" s="325">
        <v>9</v>
      </c>
      <c r="BX24" s="325">
        <v>0</v>
      </c>
      <c r="BY24" s="325">
        <v>5</v>
      </c>
      <c r="BZ24" s="325">
        <v>4</v>
      </c>
      <c r="CA24" s="325">
        <v>3</v>
      </c>
      <c r="CB24" s="325">
        <v>3</v>
      </c>
      <c r="CC24" s="325">
        <v>3</v>
      </c>
      <c r="CD24" s="325">
        <v>4</v>
      </c>
      <c r="CE24" s="325">
        <v>3</v>
      </c>
      <c r="CF24" s="325">
        <v>3</v>
      </c>
      <c r="CG24" s="325">
        <v>3</v>
      </c>
      <c r="CH24" s="325">
        <v>4</v>
      </c>
      <c r="CI24" s="325">
        <v>4</v>
      </c>
      <c r="CJ24" s="325">
        <v>3</v>
      </c>
      <c r="CK24" s="325">
        <v>3</v>
      </c>
      <c r="CL24" s="325">
        <v>1</v>
      </c>
      <c r="CM24" s="325">
        <v>4</v>
      </c>
      <c r="CN24" s="325">
        <v>1</v>
      </c>
      <c r="CO24" s="325">
        <v>1</v>
      </c>
      <c r="CP24" s="325">
        <v>1</v>
      </c>
      <c r="CQ24" s="325">
        <v>3</v>
      </c>
      <c r="CR24" s="325">
        <v>4</v>
      </c>
      <c r="CS24" s="325">
        <v>7</v>
      </c>
      <c r="CT24" s="325">
        <v>3</v>
      </c>
      <c r="CU24" s="325">
        <v>0</v>
      </c>
      <c r="CV24" s="325">
        <v>1</v>
      </c>
    </row>
    <row r="25" spans="1:100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1509"/>
      <c r="G25" s="445"/>
      <c r="H25" s="445"/>
      <c r="I25" s="445" t="s">
        <v>127</v>
      </c>
      <c r="J25" s="445" t="s">
        <v>17278</v>
      </c>
      <c r="K25" s="445" t="s">
        <v>127</v>
      </c>
      <c r="L25" s="1635"/>
      <c r="M25" s="1634" t="s">
        <v>17516</v>
      </c>
      <c r="N25" s="445" t="s">
        <v>17518</v>
      </c>
      <c r="O25" s="445"/>
      <c r="P25" s="445"/>
      <c r="Q25" s="1328" t="s">
        <v>378</v>
      </c>
      <c r="R25" s="445"/>
      <c r="S25" s="445"/>
      <c r="T25" s="1328" t="s">
        <v>378</v>
      </c>
      <c r="U25" s="1051" t="s">
        <v>378</v>
      </c>
      <c r="V25" s="322" t="str">
        <f t="shared" si="3"/>
        <v/>
      </c>
      <c r="W25" s="321">
        <f>IF(ISERROR(AVERAGE($B$8:U25)),"",AVERAGE($B$8:U25))</f>
        <v>2.2287403100775185</v>
      </c>
      <c r="X25" s="327" t="s">
        <v>378</v>
      </c>
      <c r="Y25" s="1509"/>
      <c r="Z25" s="445"/>
      <c r="AA25" s="1051" t="s">
        <v>378</v>
      </c>
      <c r="AB25" s="322" t="str">
        <f t="shared" si="0"/>
        <v/>
      </c>
      <c r="AC25" s="321">
        <f>IF(ISERROR(AVERAGE($X$8:AA25)),"",AVERAGE($X$8:AA25))</f>
        <v>4.7632051282051284</v>
      </c>
      <c r="AD25" s="327"/>
      <c r="AE25" s="1509"/>
      <c r="AF25" s="445"/>
      <c r="AG25" s="1516"/>
      <c r="AH25" s="1515"/>
      <c r="AI25" s="445"/>
      <c r="AJ25" s="1515"/>
      <c r="AK25" s="445"/>
      <c r="AL25" s="445"/>
      <c r="AM25" s="1509"/>
      <c r="AN25" s="445"/>
      <c r="AO25" s="1051"/>
      <c r="AP25" s="322" t="str">
        <f>IF(ISERROR(AVERAGE($AD25:$AO25)),"",AVERAGE($AD25:$AO25))</f>
        <v/>
      </c>
      <c r="AQ25" s="323">
        <f>IF(ISERROR(AVERAGE($AD$8:AO25)),"",AVERAGE($AD$8:AO25))</f>
        <v>4.641988636363636</v>
      </c>
      <c r="AR25" s="327" t="s">
        <v>378</v>
      </c>
      <c r="AS25" s="1509"/>
      <c r="AT25" s="1311" t="s">
        <v>16065</v>
      </c>
      <c r="AU25" s="322" t="str">
        <f t="shared" si="1"/>
        <v/>
      </c>
      <c r="AV25" s="323" t="str">
        <f>IF(ISERROR(AVERAGE(AR$8:$AT25)),"",AVERAGE(AR$8:$AT25))</f>
        <v/>
      </c>
      <c r="AW25" s="327" t="s">
        <v>16203</v>
      </c>
      <c r="AX25" s="445" t="s">
        <v>16203</v>
      </c>
      <c r="AY25" s="445" t="s">
        <v>16203</v>
      </c>
      <c r="AZ25" s="445" t="s">
        <v>16203</v>
      </c>
      <c r="BA25" s="445" t="s">
        <v>16203</v>
      </c>
      <c r="BB25" s="445" t="s">
        <v>16203</v>
      </c>
      <c r="BC25" s="445" t="s">
        <v>16203</v>
      </c>
      <c r="BD25" s="445" t="s">
        <v>16203</v>
      </c>
      <c r="BE25" s="324" t="str">
        <f t="shared" si="4"/>
        <v/>
      </c>
      <c r="BF25" s="324" t="str">
        <f t="array" ref="BF25">IF(ISERROR(AVERAGE(AW$8:$BD25)),"",AVERAGE(AW$8:$BD25))</f>
        <v/>
      </c>
      <c r="BG25" s="325" t="str">
        <f>IF(ISERROR(AVERAGE(V25,AB25,BE25,AP25,AU25)),"",AVERAGE(V25,AB25,BE25,AP25,AU25))</f>
        <v/>
      </c>
      <c r="BH25" s="325">
        <f>COUNTIF(A25:BF25,"產銷停機")</f>
        <v>10</v>
      </c>
      <c r="BI25" s="325">
        <v>4</v>
      </c>
      <c r="BJ25" s="325">
        <v>2</v>
      </c>
      <c r="BK25" s="325">
        <v>29</v>
      </c>
      <c r="BL25" s="325">
        <v>10</v>
      </c>
      <c r="BM25" s="325">
        <v>9</v>
      </c>
      <c r="BN25" s="325">
        <v>12</v>
      </c>
      <c r="BO25" s="325">
        <v>9</v>
      </c>
      <c r="BP25" s="325">
        <v>9</v>
      </c>
      <c r="BQ25" s="325">
        <v>9</v>
      </c>
      <c r="BR25" s="325">
        <v>9</v>
      </c>
      <c r="BS25" s="325">
        <v>8</v>
      </c>
      <c r="BT25" s="325">
        <v>9</v>
      </c>
      <c r="BU25" s="325">
        <v>9</v>
      </c>
      <c r="BV25" s="325">
        <v>10</v>
      </c>
      <c r="BW25" s="325">
        <v>9</v>
      </c>
      <c r="BX25" s="325">
        <v>0</v>
      </c>
      <c r="BY25" s="325">
        <v>5</v>
      </c>
      <c r="BZ25" s="325">
        <v>4</v>
      </c>
      <c r="CA25" s="325">
        <v>3</v>
      </c>
      <c r="CB25" s="325">
        <v>3</v>
      </c>
      <c r="CC25" s="325">
        <v>3</v>
      </c>
      <c r="CD25" s="325">
        <v>4</v>
      </c>
      <c r="CE25" s="325">
        <v>3</v>
      </c>
      <c r="CF25" s="325">
        <v>3</v>
      </c>
      <c r="CG25" s="325">
        <v>4</v>
      </c>
      <c r="CH25" s="325">
        <v>3</v>
      </c>
      <c r="CI25" s="325">
        <v>4</v>
      </c>
      <c r="CJ25" s="325">
        <v>3</v>
      </c>
      <c r="CK25" s="325">
        <v>3</v>
      </c>
      <c r="CL25" s="325">
        <v>1</v>
      </c>
      <c r="CM25" s="325">
        <v>2</v>
      </c>
      <c r="CN25" s="325">
        <v>1</v>
      </c>
      <c r="CO25" s="325">
        <v>1</v>
      </c>
      <c r="CP25" s="325">
        <v>1</v>
      </c>
      <c r="CQ25" s="325">
        <v>3</v>
      </c>
      <c r="CR25" s="325">
        <v>4</v>
      </c>
      <c r="CS25" s="325">
        <v>5</v>
      </c>
      <c r="CT25" s="325">
        <v>5</v>
      </c>
      <c r="CU25" s="325">
        <v>0</v>
      </c>
      <c r="CV25" s="325">
        <v>1</v>
      </c>
    </row>
    <row r="26" spans="1:100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1509"/>
      <c r="G26" s="445"/>
      <c r="H26" s="445"/>
      <c r="I26" s="445"/>
      <c r="J26" s="445" t="s">
        <v>17278</v>
      </c>
      <c r="K26" s="445"/>
      <c r="L26" s="1509"/>
      <c r="M26" s="445"/>
      <c r="N26" s="445"/>
      <c r="O26" s="445"/>
      <c r="P26" s="445"/>
      <c r="Q26" s="445" t="s">
        <v>378</v>
      </c>
      <c r="R26" s="445"/>
      <c r="S26" s="445"/>
      <c r="T26" s="445" t="s">
        <v>378</v>
      </c>
      <c r="U26" s="1051" t="s">
        <v>378</v>
      </c>
      <c r="V26" s="322" t="str">
        <f t="shared" si="3"/>
        <v/>
      </c>
      <c r="W26" s="321">
        <f>IF(ISERROR(AVERAGE($B$8:U26)),"",AVERAGE($B$8:U26))</f>
        <v>2.2287403100775185</v>
      </c>
      <c r="X26" s="327" t="s">
        <v>378</v>
      </c>
      <c r="Y26" s="1509"/>
      <c r="Z26" s="445"/>
      <c r="AA26" s="1051" t="s">
        <v>378</v>
      </c>
      <c r="AB26" s="322" t="str">
        <f t="shared" si="0"/>
        <v/>
      </c>
      <c r="AC26" s="321">
        <f>IF(ISERROR(AVERAGE($X$8:AA26)),"",AVERAGE($X$8:AA26))</f>
        <v>4.7632051282051284</v>
      </c>
      <c r="AD26" s="327"/>
      <c r="AE26" s="1509"/>
      <c r="AF26" s="445"/>
      <c r="AG26" s="1516"/>
      <c r="AH26" s="1515"/>
      <c r="AI26" s="445"/>
      <c r="AJ26" s="1515"/>
      <c r="AK26" s="445"/>
      <c r="AL26" s="445"/>
      <c r="AM26" s="1509"/>
      <c r="AN26" s="445"/>
      <c r="AO26" s="1051"/>
      <c r="AP26" s="322" t="str">
        <f>IF(ISERROR(AVERAGE($AD26:$AO26)),"",AVERAGE($AD26:$AO26))</f>
        <v/>
      </c>
      <c r="AQ26" s="323">
        <f>IF(ISERROR(AVERAGE($AD$8:AO26)),"",AVERAGE($AD$8:AO26))</f>
        <v>4.641988636363636</v>
      </c>
      <c r="AR26" s="327" t="s">
        <v>378</v>
      </c>
      <c r="AS26" s="1509"/>
      <c r="AT26" s="1311" t="s">
        <v>16065</v>
      </c>
      <c r="AU26" s="322" t="str">
        <f t="shared" si="1"/>
        <v/>
      </c>
      <c r="AV26" s="323" t="str">
        <f>IF(ISERROR(AVERAGE(AR$8:$AT26)),"",AVERAGE(AR$8:$AT26))</f>
        <v/>
      </c>
      <c r="AW26" s="327" t="s">
        <v>16203</v>
      </c>
      <c r="AX26" s="445" t="s">
        <v>16203</v>
      </c>
      <c r="AY26" s="445" t="s">
        <v>16203</v>
      </c>
      <c r="AZ26" s="445" t="s">
        <v>16203</v>
      </c>
      <c r="BA26" s="445" t="s">
        <v>16203</v>
      </c>
      <c r="BB26" s="445" t="s">
        <v>16203</v>
      </c>
      <c r="BC26" s="445" t="s">
        <v>16203</v>
      </c>
      <c r="BD26" s="445" t="s">
        <v>16203</v>
      </c>
      <c r="BE26" s="324" t="str">
        <f t="shared" si="4"/>
        <v/>
      </c>
      <c r="BF26" s="324" t="str">
        <f t="array" ref="BF26">IF(ISERROR(AVERAGE(AW$8:$BD26)),"",AVERAGE(AW$8:$BD26))</f>
        <v/>
      </c>
      <c r="BG26" s="325" t="str">
        <f>IF(ISERROR(AVERAGE(V26,AB26,BE26,AP26,AU26)),"",AVERAGE(V26,AB26,BE26,AP26,AU26))</f>
        <v/>
      </c>
      <c r="BH26" s="325">
        <f>COUNTIF(A26:BF26,"產銷停機")</f>
        <v>10</v>
      </c>
      <c r="BI26" s="325">
        <v>4</v>
      </c>
      <c r="BJ26" s="325">
        <v>2</v>
      </c>
      <c r="BK26" s="325">
        <v>29</v>
      </c>
      <c r="BL26" s="325">
        <v>10</v>
      </c>
      <c r="BM26" s="325">
        <v>9</v>
      </c>
      <c r="BN26" s="325">
        <v>11</v>
      </c>
      <c r="BO26" s="325">
        <v>9</v>
      </c>
      <c r="BP26" s="325">
        <v>9</v>
      </c>
      <c r="BQ26" s="325">
        <v>9</v>
      </c>
      <c r="BR26" s="325">
        <v>9</v>
      </c>
      <c r="BS26" s="325">
        <v>8</v>
      </c>
      <c r="BT26" s="325">
        <v>9</v>
      </c>
      <c r="BU26" s="325">
        <v>9</v>
      </c>
      <c r="BV26" s="325">
        <v>10</v>
      </c>
      <c r="BW26" s="325">
        <v>10</v>
      </c>
      <c r="BX26" s="325">
        <v>0</v>
      </c>
      <c r="BY26" s="325">
        <v>5</v>
      </c>
      <c r="BZ26" s="325">
        <v>4</v>
      </c>
      <c r="CA26" s="325">
        <v>3</v>
      </c>
      <c r="CB26" s="325">
        <v>3</v>
      </c>
      <c r="CC26" s="325">
        <v>3</v>
      </c>
      <c r="CD26" s="325">
        <v>4</v>
      </c>
      <c r="CE26" s="325">
        <v>3</v>
      </c>
      <c r="CF26" s="325">
        <v>3</v>
      </c>
      <c r="CG26" s="325">
        <v>4</v>
      </c>
      <c r="CH26" s="325">
        <v>3</v>
      </c>
      <c r="CI26" s="325">
        <v>4</v>
      </c>
      <c r="CJ26" s="325">
        <v>3</v>
      </c>
      <c r="CK26" s="325">
        <v>3</v>
      </c>
      <c r="CL26" s="325">
        <v>1</v>
      </c>
      <c r="CM26" s="325">
        <v>2</v>
      </c>
      <c r="CN26" s="325">
        <v>1</v>
      </c>
      <c r="CO26" s="325">
        <v>1</v>
      </c>
      <c r="CP26" s="325">
        <v>1</v>
      </c>
      <c r="CQ26" s="325">
        <v>3</v>
      </c>
      <c r="CR26" s="325">
        <v>4</v>
      </c>
      <c r="CS26" s="325">
        <v>6</v>
      </c>
      <c r="CT26" s="325">
        <v>5</v>
      </c>
      <c r="CU26" s="325">
        <v>0</v>
      </c>
      <c r="CV26" s="325">
        <v>3</v>
      </c>
    </row>
    <row r="27" spans="1:100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1509"/>
      <c r="G27" s="445"/>
      <c r="H27" s="445"/>
      <c r="I27" s="445"/>
      <c r="J27" s="445" t="s">
        <v>17278</v>
      </c>
      <c r="K27" s="445"/>
      <c r="L27" s="1509"/>
      <c r="M27" s="445"/>
      <c r="N27" s="445"/>
      <c r="O27" s="445"/>
      <c r="P27" s="445"/>
      <c r="Q27" s="445" t="s">
        <v>378</v>
      </c>
      <c r="R27" s="445"/>
      <c r="S27" s="445"/>
      <c r="T27" s="445" t="s">
        <v>378</v>
      </c>
      <c r="U27" s="1051" t="s">
        <v>378</v>
      </c>
      <c r="V27" s="322" t="str">
        <f t="shared" si="3"/>
        <v/>
      </c>
      <c r="W27" s="321">
        <f>IF(ISERROR(AVERAGE($B$8:U27)),"",AVERAGE($B$8:U27))</f>
        <v>2.2287403100775185</v>
      </c>
      <c r="X27" s="327" t="s">
        <v>378</v>
      </c>
      <c r="Y27" s="1509"/>
      <c r="Z27" s="445"/>
      <c r="AA27" s="1051" t="s">
        <v>378</v>
      </c>
      <c r="AB27" s="322" t="str">
        <f t="shared" si="0"/>
        <v/>
      </c>
      <c r="AC27" s="321">
        <f>IF(ISERROR(AVERAGE($X$8:AA27)),"",AVERAGE($X$8:AA27))</f>
        <v>4.7632051282051284</v>
      </c>
      <c r="AD27" s="327"/>
      <c r="AE27" s="1509"/>
      <c r="AF27" s="445"/>
      <c r="AG27" s="1516"/>
      <c r="AH27" s="1515"/>
      <c r="AI27" s="445"/>
      <c r="AJ27" s="1515"/>
      <c r="AK27" s="445"/>
      <c r="AL27" s="445"/>
      <c r="AM27" s="1509"/>
      <c r="AN27" s="445"/>
      <c r="AO27" s="1051"/>
      <c r="AP27" s="322" t="str">
        <f>IF(ISERROR(AVERAGE($AD27:$AO27)),"",AVERAGE($AD27:$AO27))</f>
        <v/>
      </c>
      <c r="AQ27" s="323">
        <f>IF(ISERROR(AVERAGE($AD$8:AO27)),"",AVERAGE($AD$8:AO27))</f>
        <v>4.641988636363636</v>
      </c>
      <c r="AR27" s="327" t="s">
        <v>378</v>
      </c>
      <c r="AS27" s="1509"/>
      <c r="AT27" s="1311" t="s">
        <v>16065</v>
      </c>
      <c r="AU27" s="322" t="str">
        <f t="shared" si="1"/>
        <v/>
      </c>
      <c r="AV27" s="323" t="str">
        <f>IF(ISERROR(AVERAGE(AR$8:$AT27)),"",AVERAGE(AR$8:$AT27))</f>
        <v/>
      </c>
      <c r="AW27" s="327" t="s">
        <v>16203</v>
      </c>
      <c r="AX27" s="445" t="s">
        <v>16203</v>
      </c>
      <c r="AY27" s="445" t="s">
        <v>16203</v>
      </c>
      <c r="AZ27" s="445" t="s">
        <v>16203</v>
      </c>
      <c r="BA27" s="445" t="s">
        <v>16203</v>
      </c>
      <c r="BB27" s="445" t="s">
        <v>16203</v>
      </c>
      <c r="BC27" s="445" t="s">
        <v>16203</v>
      </c>
      <c r="BD27" s="445" t="s">
        <v>16203</v>
      </c>
      <c r="BE27" s="324" t="str">
        <f t="shared" si="4"/>
        <v/>
      </c>
      <c r="BF27" s="324" t="str">
        <f t="array" ref="BF27">IF(ISERROR(AVERAGE(AW$8:$BD27)),"",AVERAGE(AW$8:$BD27))</f>
        <v/>
      </c>
      <c r="BG27" s="325" t="str">
        <f>IF(ISERROR(AVERAGE(V27,AB27,BE27,AP27,AU27)),"",AVERAGE(V27,AB27,BE27,AP27,AU27))</f>
        <v/>
      </c>
      <c r="BH27" s="325">
        <f>COUNTIF(A27:BF27,"產銷停機")</f>
        <v>10</v>
      </c>
      <c r="BI27" s="325">
        <v>3</v>
      </c>
      <c r="BJ27" s="325">
        <v>3</v>
      </c>
      <c r="BK27" s="325">
        <v>29</v>
      </c>
      <c r="BL27" s="325">
        <v>10</v>
      </c>
      <c r="BM27" s="325">
        <v>9</v>
      </c>
      <c r="BN27" s="325">
        <v>11</v>
      </c>
      <c r="BO27" s="325">
        <v>9</v>
      </c>
      <c r="BP27" s="325">
        <v>9</v>
      </c>
      <c r="BQ27" s="325">
        <v>9</v>
      </c>
      <c r="BR27" s="325">
        <v>9</v>
      </c>
      <c r="BS27" s="325">
        <v>8</v>
      </c>
      <c r="BT27" s="325">
        <v>9</v>
      </c>
      <c r="BU27" s="325">
        <v>9</v>
      </c>
      <c r="BV27" s="325">
        <v>10</v>
      </c>
      <c r="BW27" s="325">
        <v>10</v>
      </c>
      <c r="BX27" s="325">
        <v>2</v>
      </c>
      <c r="BY27" s="325">
        <v>5</v>
      </c>
      <c r="BZ27" s="325">
        <v>4</v>
      </c>
      <c r="CA27" s="325">
        <v>3</v>
      </c>
      <c r="CB27" s="325">
        <v>3</v>
      </c>
      <c r="CC27" s="325">
        <v>3</v>
      </c>
      <c r="CD27" s="325">
        <v>4</v>
      </c>
      <c r="CE27" s="325">
        <v>3</v>
      </c>
      <c r="CF27" s="325">
        <v>3</v>
      </c>
      <c r="CG27" s="325">
        <v>5</v>
      </c>
      <c r="CH27" s="325">
        <v>3</v>
      </c>
      <c r="CI27" s="325">
        <v>3</v>
      </c>
      <c r="CJ27" s="325">
        <v>3</v>
      </c>
      <c r="CK27" s="325">
        <v>3</v>
      </c>
      <c r="CL27" s="325">
        <v>1</v>
      </c>
      <c r="CM27" s="325">
        <v>2</v>
      </c>
      <c r="CN27" s="325">
        <v>1</v>
      </c>
      <c r="CO27" s="325">
        <v>1</v>
      </c>
      <c r="CP27" s="325">
        <v>1</v>
      </c>
      <c r="CQ27" s="325">
        <v>3</v>
      </c>
      <c r="CR27" s="325">
        <v>4</v>
      </c>
      <c r="CS27" s="325">
        <v>5</v>
      </c>
      <c r="CT27" s="325">
        <v>7</v>
      </c>
      <c r="CU27" s="325">
        <v>0</v>
      </c>
      <c r="CV27" s="325">
        <v>9</v>
      </c>
    </row>
    <row r="28" spans="1:100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1509"/>
      <c r="G28" s="445"/>
      <c r="H28" s="445"/>
      <c r="I28" s="445"/>
      <c r="J28" s="445" t="s">
        <v>17278</v>
      </c>
      <c r="K28" s="445"/>
      <c r="L28" s="1509"/>
      <c r="M28" s="445"/>
      <c r="N28" s="445"/>
      <c r="O28" s="445"/>
      <c r="P28" s="445"/>
      <c r="Q28" s="445" t="s">
        <v>378</v>
      </c>
      <c r="R28" s="445"/>
      <c r="S28" s="445"/>
      <c r="T28" s="445" t="s">
        <v>378</v>
      </c>
      <c r="U28" s="1051" t="s">
        <v>378</v>
      </c>
      <c r="V28" s="322" t="str">
        <f t="shared" si="3"/>
        <v/>
      </c>
      <c r="W28" s="321">
        <f>IF(ISERROR(AVERAGE($B$8:U28)),"",AVERAGE($B$8:U28))</f>
        <v>2.2287403100775185</v>
      </c>
      <c r="X28" s="327" t="s">
        <v>378</v>
      </c>
      <c r="Y28" s="1509"/>
      <c r="Z28" s="445"/>
      <c r="AA28" s="1051" t="s">
        <v>378</v>
      </c>
      <c r="AB28" s="322" t="str">
        <f t="shared" si="0"/>
        <v/>
      </c>
      <c r="AC28" s="321">
        <f>IF(ISERROR(AVERAGE($X$8:AA28)),"",AVERAGE($X$8:AA28))</f>
        <v>4.7632051282051284</v>
      </c>
      <c r="AD28" s="327"/>
      <c r="AE28" s="1509"/>
      <c r="AF28" s="445"/>
      <c r="AG28" s="1516"/>
      <c r="AH28" s="1515"/>
      <c r="AI28" s="445"/>
      <c r="AJ28" s="1515"/>
      <c r="AK28" s="445"/>
      <c r="AL28" s="445"/>
      <c r="AM28" s="1509"/>
      <c r="AN28" s="445"/>
      <c r="AO28" s="1051"/>
      <c r="AP28" s="322" t="str">
        <f>IF(ISERROR(AVERAGE($AD28:$AO28)),"",AVERAGE($AD28:$AO28))</f>
        <v/>
      </c>
      <c r="AQ28" s="323">
        <f>IF(ISERROR(AVERAGE($AD$8:AO28)),"",AVERAGE($AD$8:AO28))</f>
        <v>4.641988636363636</v>
      </c>
      <c r="AR28" s="327" t="s">
        <v>378</v>
      </c>
      <c r="AS28" s="1509"/>
      <c r="AT28" s="1311" t="s">
        <v>16065</v>
      </c>
      <c r="AU28" s="322" t="str">
        <f t="shared" si="1"/>
        <v/>
      </c>
      <c r="AV28" s="323" t="str">
        <f>IF(ISERROR(AVERAGE(AR$8:$AT28)),"",AVERAGE(AR$8:$AT28))</f>
        <v/>
      </c>
      <c r="AW28" s="327" t="s">
        <v>16203</v>
      </c>
      <c r="AX28" s="445" t="s">
        <v>16203</v>
      </c>
      <c r="AY28" s="445" t="s">
        <v>16203</v>
      </c>
      <c r="AZ28" s="445" t="s">
        <v>16203</v>
      </c>
      <c r="BA28" s="445" t="s">
        <v>16203</v>
      </c>
      <c r="BB28" s="445" t="s">
        <v>16203</v>
      </c>
      <c r="BC28" s="445" t="s">
        <v>16203</v>
      </c>
      <c r="BD28" s="445" t="s">
        <v>16203</v>
      </c>
      <c r="BE28" s="324" t="str">
        <f t="shared" si="4"/>
        <v/>
      </c>
      <c r="BF28" s="324" t="str">
        <f t="array" ref="BF28">IF(ISERROR(AVERAGE(AW$8:$BD28)),"",AVERAGE(AW$8:$BD28))</f>
        <v/>
      </c>
      <c r="BG28" s="325" t="str">
        <f>IF(ISERROR(AVERAGE(V28,AB28,BE28,AP28,AU28)),"",AVERAGE(V28,AB28,BE28,AP28,AU28))</f>
        <v/>
      </c>
      <c r="BH28" s="325">
        <f>COUNTIF(A28:BF28,"產銷停機")</f>
        <v>10</v>
      </c>
      <c r="BI28" s="325">
        <v>4</v>
      </c>
      <c r="BJ28" s="325">
        <v>3</v>
      </c>
      <c r="BK28" s="325">
        <v>29</v>
      </c>
      <c r="BL28" s="325">
        <v>10</v>
      </c>
      <c r="BM28" s="325">
        <v>9</v>
      </c>
      <c r="BN28" s="325">
        <v>11</v>
      </c>
      <c r="BO28" s="325">
        <v>9</v>
      </c>
      <c r="BP28" s="325">
        <v>9</v>
      </c>
      <c r="BQ28" s="325">
        <v>9</v>
      </c>
      <c r="BR28" s="325">
        <v>9</v>
      </c>
      <c r="BS28" s="325">
        <v>8</v>
      </c>
      <c r="BT28" s="325">
        <v>9</v>
      </c>
      <c r="BU28" s="325">
        <v>9</v>
      </c>
      <c r="BV28" s="325">
        <v>9</v>
      </c>
      <c r="BW28" s="325">
        <v>10</v>
      </c>
      <c r="BX28" s="325">
        <v>2</v>
      </c>
      <c r="BY28" s="325">
        <v>5</v>
      </c>
      <c r="BZ28" s="325">
        <v>4</v>
      </c>
      <c r="CA28" s="325">
        <v>3</v>
      </c>
      <c r="CB28" s="325">
        <v>3</v>
      </c>
      <c r="CC28" s="325">
        <v>3</v>
      </c>
      <c r="CD28" s="325">
        <v>4</v>
      </c>
      <c r="CE28" s="325">
        <v>3</v>
      </c>
      <c r="CF28" s="325">
        <v>3</v>
      </c>
      <c r="CG28" s="325">
        <v>5</v>
      </c>
      <c r="CH28" s="325">
        <v>3</v>
      </c>
      <c r="CI28" s="325">
        <v>3</v>
      </c>
      <c r="CJ28" s="325">
        <v>3</v>
      </c>
      <c r="CK28" s="325">
        <v>3</v>
      </c>
      <c r="CL28" s="325">
        <v>1</v>
      </c>
      <c r="CM28" s="325">
        <v>2</v>
      </c>
      <c r="CN28" s="325">
        <v>1</v>
      </c>
      <c r="CO28" s="325">
        <v>1</v>
      </c>
      <c r="CP28" s="325">
        <v>1</v>
      </c>
      <c r="CQ28" s="325">
        <v>3</v>
      </c>
      <c r="CR28" s="325">
        <v>4</v>
      </c>
      <c r="CS28" s="325">
        <v>10</v>
      </c>
      <c r="CT28" s="325">
        <v>7</v>
      </c>
      <c r="CU28" s="325">
        <v>0</v>
      </c>
      <c r="CV28" s="325">
        <v>15</v>
      </c>
    </row>
    <row r="29" spans="1:100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1509"/>
      <c r="G29" s="445"/>
      <c r="H29" s="445"/>
      <c r="I29" s="445"/>
      <c r="J29" s="445" t="s">
        <v>17278</v>
      </c>
      <c r="K29" s="445"/>
      <c r="L29" s="1509"/>
      <c r="M29" s="445"/>
      <c r="N29" s="445"/>
      <c r="O29" s="445"/>
      <c r="P29" s="445"/>
      <c r="Q29" s="445" t="s">
        <v>378</v>
      </c>
      <c r="R29" s="445"/>
      <c r="S29" s="445"/>
      <c r="T29" s="445" t="s">
        <v>378</v>
      </c>
      <c r="U29" s="1051" t="s">
        <v>378</v>
      </c>
      <c r="V29" s="322" t="str">
        <f t="shared" si="3"/>
        <v/>
      </c>
      <c r="W29" s="321">
        <f>IF(ISERROR(AVERAGE($B$8:U29)),"",AVERAGE($B$8:U29))</f>
        <v>2.2287403100775185</v>
      </c>
      <c r="X29" s="1369" t="s">
        <v>378</v>
      </c>
      <c r="Y29" s="1509"/>
      <c r="Z29" s="445"/>
      <c r="AA29" s="1051" t="s">
        <v>378</v>
      </c>
      <c r="AB29" s="322" t="str">
        <f t="shared" si="0"/>
        <v/>
      </c>
      <c r="AC29" s="321">
        <f>IF(ISERROR(AVERAGE($X$8:AA29)),"",AVERAGE($X$8:AA29))</f>
        <v>4.7632051282051284</v>
      </c>
      <c r="AD29" s="327"/>
      <c r="AE29" s="1509"/>
      <c r="AF29" s="445"/>
      <c r="AG29" s="1516"/>
      <c r="AH29" s="1515"/>
      <c r="AI29" s="445"/>
      <c r="AJ29" s="1515"/>
      <c r="AK29" s="445"/>
      <c r="AL29" s="445"/>
      <c r="AM29" s="1509"/>
      <c r="AN29" s="445"/>
      <c r="AO29" s="1051"/>
      <c r="AP29" s="322" t="str">
        <f>IF(ISERROR(AVERAGE($AD29:$AO29)),"",AVERAGE($AD29:$AO29))</f>
        <v/>
      </c>
      <c r="AQ29" s="323">
        <f>IF(ISERROR(AVERAGE($AD$8:AO29)),"",AVERAGE($AD$8:AO29))</f>
        <v>4.641988636363636</v>
      </c>
      <c r="AR29" s="327" t="s">
        <v>378</v>
      </c>
      <c r="AS29" s="1509"/>
      <c r="AT29" s="1311" t="s">
        <v>16065</v>
      </c>
      <c r="AU29" s="322" t="str">
        <f t="shared" si="1"/>
        <v/>
      </c>
      <c r="AV29" s="323" t="str">
        <f>IF(ISERROR(AVERAGE(AR$8:$AT29)),"",AVERAGE(AR$8:$AT29))</f>
        <v/>
      </c>
      <c r="AW29" s="327" t="s">
        <v>16203</v>
      </c>
      <c r="AX29" s="445" t="s">
        <v>16203</v>
      </c>
      <c r="AY29" s="445" t="s">
        <v>16203</v>
      </c>
      <c r="AZ29" s="445" t="s">
        <v>16203</v>
      </c>
      <c r="BA29" s="445" t="s">
        <v>16203</v>
      </c>
      <c r="BB29" s="445" t="s">
        <v>16203</v>
      </c>
      <c r="BC29" s="445" t="s">
        <v>16203</v>
      </c>
      <c r="BD29" s="445" t="s">
        <v>16203</v>
      </c>
      <c r="BE29" s="324" t="str">
        <f t="shared" si="4"/>
        <v/>
      </c>
      <c r="BF29" s="324" t="str">
        <f t="array" ref="BF29">IF(ISERROR(AVERAGE(AW$8:$BD29)),"",AVERAGE(AW$8:$BD29))</f>
        <v/>
      </c>
      <c r="BG29" s="325" t="str">
        <f>IF(ISERROR(AVERAGE(V29,AB29,BE29,AP29,AU29)),"",AVERAGE(V29,AB29,BE29,AP29,AU29))</f>
        <v/>
      </c>
      <c r="BH29" s="325">
        <f>COUNTIF(A29:BF29,"產銷停機")</f>
        <v>10</v>
      </c>
      <c r="BI29" s="325">
        <v>4</v>
      </c>
      <c r="BJ29" s="325">
        <v>3</v>
      </c>
      <c r="BK29" s="325">
        <v>29</v>
      </c>
      <c r="BL29" s="325">
        <v>10</v>
      </c>
      <c r="BM29" s="325">
        <v>9</v>
      </c>
      <c r="BN29" s="325">
        <v>11</v>
      </c>
      <c r="BO29" s="325">
        <v>9</v>
      </c>
      <c r="BP29" s="325">
        <v>9</v>
      </c>
      <c r="BQ29" s="325">
        <v>9</v>
      </c>
      <c r="BR29" s="325">
        <v>9</v>
      </c>
      <c r="BS29" s="325">
        <v>8</v>
      </c>
      <c r="BT29" s="325">
        <v>9</v>
      </c>
      <c r="BU29" s="325">
        <v>9</v>
      </c>
      <c r="BV29" s="325">
        <v>9</v>
      </c>
      <c r="BW29" s="325">
        <v>10</v>
      </c>
      <c r="BX29" s="325">
        <v>28</v>
      </c>
      <c r="BY29" s="325">
        <v>5</v>
      </c>
      <c r="BZ29" s="325">
        <v>4</v>
      </c>
      <c r="CA29" s="325">
        <v>4</v>
      </c>
      <c r="CB29" s="325">
        <v>3</v>
      </c>
      <c r="CC29" s="325">
        <v>3</v>
      </c>
      <c r="CD29" s="325">
        <v>4</v>
      </c>
      <c r="CE29" s="325">
        <v>3</v>
      </c>
      <c r="CF29" s="325">
        <v>2</v>
      </c>
      <c r="CG29" s="325">
        <v>5</v>
      </c>
      <c r="CH29" s="325">
        <v>3</v>
      </c>
      <c r="CI29" s="325">
        <v>3</v>
      </c>
      <c r="CJ29" s="325">
        <v>3</v>
      </c>
      <c r="CK29" s="325">
        <v>3</v>
      </c>
      <c r="CL29" s="325">
        <v>1</v>
      </c>
      <c r="CM29" s="325">
        <v>2</v>
      </c>
      <c r="CN29" s="325">
        <v>2</v>
      </c>
      <c r="CO29" s="325">
        <v>1</v>
      </c>
      <c r="CP29" s="325">
        <v>1</v>
      </c>
      <c r="CQ29" s="325">
        <v>3</v>
      </c>
      <c r="CR29" s="325">
        <v>4</v>
      </c>
      <c r="CS29" s="325">
        <v>14</v>
      </c>
      <c r="CT29" s="325">
        <v>10</v>
      </c>
      <c r="CU29" s="325">
        <v>0</v>
      </c>
      <c r="CV29" s="325">
        <v>15</v>
      </c>
    </row>
    <row r="30" spans="1:100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1509"/>
      <c r="G30" s="445"/>
      <c r="H30" s="445"/>
      <c r="I30" s="445"/>
      <c r="J30" s="445" t="s">
        <v>17278</v>
      </c>
      <c r="K30" s="445"/>
      <c r="L30" s="1509"/>
      <c r="M30" s="445"/>
      <c r="N30" s="445"/>
      <c r="O30" s="445"/>
      <c r="P30" s="445"/>
      <c r="Q30" s="445" t="s">
        <v>378</v>
      </c>
      <c r="R30" s="445"/>
      <c r="S30" s="445"/>
      <c r="T30" s="445" t="s">
        <v>378</v>
      </c>
      <c r="U30" s="1051" t="s">
        <v>378</v>
      </c>
      <c r="V30" s="322" t="str">
        <f t="shared" si="3"/>
        <v/>
      </c>
      <c r="W30" s="321">
        <f>IF(ISERROR(AVERAGE($B$8:U30)),"",AVERAGE($B$8:U30))</f>
        <v>2.2287403100775185</v>
      </c>
      <c r="X30" s="327" t="s">
        <v>378</v>
      </c>
      <c r="Y30" s="1509"/>
      <c r="Z30" s="445"/>
      <c r="AA30" s="1051" t="s">
        <v>378</v>
      </c>
      <c r="AB30" s="322" t="str">
        <f t="shared" si="0"/>
        <v/>
      </c>
      <c r="AC30" s="321">
        <f>IF(ISERROR(AVERAGE($X$8:AA30)),"",AVERAGE($X$8:AA30))</f>
        <v>4.7632051282051284</v>
      </c>
      <c r="AD30" s="327"/>
      <c r="AE30" s="1509"/>
      <c r="AF30" s="445"/>
      <c r="AG30" s="1516"/>
      <c r="AH30" s="1515"/>
      <c r="AI30" s="445"/>
      <c r="AJ30" s="1515"/>
      <c r="AK30" s="445"/>
      <c r="AL30" s="445"/>
      <c r="AM30" s="1509"/>
      <c r="AN30" s="445"/>
      <c r="AO30" s="1051"/>
      <c r="AP30" s="322" t="str">
        <f>IF(ISERROR(AVERAGE($AD30:$AO30)),"",AVERAGE($AD30:$AO30))</f>
        <v/>
      </c>
      <c r="AQ30" s="323">
        <f>IF(ISERROR(AVERAGE($AD$8:AO30)),"",AVERAGE($AD$8:AO30))</f>
        <v>4.641988636363636</v>
      </c>
      <c r="AR30" s="327" t="s">
        <v>378</v>
      </c>
      <c r="AS30" s="1509"/>
      <c r="AT30" s="1311" t="s">
        <v>16065</v>
      </c>
      <c r="AU30" s="322" t="str">
        <f t="shared" si="1"/>
        <v/>
      </c>
      <c r="AV30" s="323" t="str">
        <f>IF(ISERROR(AVERAGE(AR$8:$AT30)),"",AVERAGE(AR$8:$AT30))</f>
        <v/>
      </c>
      <c r="AW30" s="327" t="s">
        <v>16203</v>
      </c>
      <c r="AX30" s="445" t="s">
        <v>16203</v>
      </c>
      <c r="AY30" s="445" t="s">
        <v>16203</v>
      </c>
      <c r="AZ30" s="445" t="s">
        <v>16203</v>
      </c>
      <c r="BA30" s="445" t="s">
        <v>16203</v>
      </c>
      <c r="BB30" s="445" t="s">
        <v>16203</v>
      </c>
      <c r="BC30" s="445" t="s">
        <v>16203</v>
      </c>
      <c r="BD30" s="445" t="s">
        <v>16203</v>
      </c>
      <c r="BE30" s="324" t="str">
        <f t="shared" si="4"/>
        <v/>
      </c>
      <c r="BF30" s="324" t="str">
        <f t="array" ref="BF30">IF(ISERROR(AVERAGE(AW$8:$BD30)),"",AVERAGE(AW$8:$BD30))</f>
        <v/>
      </c>
      <c r="BG30" s="325" t="str">
        <f>IF(ISERROR(AVERAGE(V30,AB30,BE30,AP30,AU30)),"",AVERAGE(V30,AB30,BE30,AP30,AU30))</f>
        <v/>
      </c>
      <c r="BH30" s="325">
        <f>COUNTIF(A30:BF30,"產銷停機")</f>
        <v>10</v>
      </c>
      <c r="BI30" s="325">
        <v>4</v>
      </c>
      <c r="BJ30" s="325">
        <v>2</v>
      </c>
      <c r="BK30" s="325">
        <v>2</v>
      </c>
      <c r="BL30" s="325">
        <v>10</v>
      </c>
      <c r="BM30" s="325">
        <v>9</v>
      </c>
      <c r="BN30" s="325">
        <v>11</v>
      </c>
      <c r="BO30" s="325">
        <v>9</v>
      </c>
      <c r="BP30" s="325">
        <v>9</v>
      </c>
      <c r="BQ30" s="325">
        <v>9</v>
      </c>
      <c r="BR30" s="325">
        <v>9</v>
      </c>
      <c r="BS30" s="325">
        <v>8</v>
      </c>
      <c r="BT30" s="325">
        <v>9</v>
      </c>
      <c r="BU30" s="325">
        <v>9</v>
      </c>
      <c r="BV30" s="325">
        <v>9</v>
      </c>
      <c r="BW30" s="325">
        <v>10</v>
      </c>
      <c r="BX30" s="325">
        <v>28</v>
      </c>
      <c r="BY30" s="325">
        <v>5</v>
      </c>
      <c r="BZ30" s="325">
        <v>4</v>
      </c>
      <c r="CA30" s="325">
        <v>4</v>
      </c>
      <c r="CB30" s="325">
        <v>3</v>
      </c>
      <c r="CC30" s="325">
        <v>3</v>
      </c>
      <c r="CD30" s="325">
        <v>3</v>
      </c>
      <c r="CE30" s="325">
        <v>3</v>
      </c>
      <c r="CF30" s="325">
        <v>2</v>
      </c>
      <c r="CG30" s="325">
        <v>5</v>
      </c>
      <c r="CH30" s="325">
        <v>3</v>
      </c>
      <c r="CI30" s="325">
        <v>3</v>
      </c>
      <c r="CJ30" s="325">
        <v>3</v>
      </c>
      <c r="CK30" s="325">
        <v>3</v>
      </c>
      <c r="CL30" s="325">
        <v>1</v>
      </c>
      <c r="CM30" s="325">
        <v>2</v>
      </c>
      <c r="CN30" s="325">
        <v>2</v>
      </c>
      <c r="CO30" s="325">
        <v>1</v>
      </c>
      <c r="CP30" s="325">
        <v>1</v>
      </c>
      <c r="CQ30" s="325">
        <v>3</v>
      </c>
      <c r="CR30" s="325">
        <v>4</v>
      </c>
      <c r="CS30" s="325">
        <v>12</v>
      </c>
      <c r="CT30" s="325">
        <v>9</v>
      </c>
      <c r="CU30" s="325">
        <v>3</v>
      </c>
      <c r="CV30" s="325">
        <v>15</v>
      </c>
    </row>
    <row r="31" spans="1:100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1509"/>
      <c r="G31" s="445"/>
      <c r="H31" s="445"/>
      <c r="I31" s="445"/>
      <c r="J31" s="445" t="s">
        <v>17278</v>
      </c>
      <c r="K31" s="445"/>
      <c r="L31" s="1509"/>
      <c r="M31" s="445"/>
      <c r="N31" s="445"/>
      <c r="O31" s="445"/>
      <c r="P31" s="445"/>
      <c r="Q31" s="445" t="s">
        <v>378</v>
      </c>
      <c r="R31" s="445"/>
      <c r="S31" s="445"/>
      <c r="T31" s="445" t="s">
        <v>378</v>
      </c>
      <c r="U31" s="1051" t="s">
        <v>378</v>
      </c>
      <c r="V31" s="322" t="str">
        <f t="shared" si="3"/>
        <v/>
      </c>
      <c r="W31" s="321">
        <f>IF(ISERROR(AVERAGE($B$8:U31)),"",AVERAGE($B$8:U31))</f>
        <v>2.2287403100775185</v>
      </c>
      <c r="X31" s="327" t="s">
        <v>378</v>
      </c>
      <c r="Y31" s="1509"/>
      <c r="Z31" s="445"/>
      <c r="AA31" s="1051" t="s">
        <v>378</v>
      </c>
      <c r="AB31" s="322" t="str">
        <f t="shared" si="0"/>
        <v/>
      </c>
      <c r="AC31" s="321">
        <f>IF(ISERROR(AVERAGE($X$8:AA31)),"",AVERAGE($X$8:AA31))</f>
        <v>4.7632051282051284</v>
      </c>
      <c r="AD31" s="327"/>
      <c r="AE31" s="1509"/>
      <c r="AF31" s="445"/>
      <c r="AG31" s="1516"/>
      <c r="AH31" s="1515"/>
      <c r="AI31" s="445"/>
      <c r="AJ31" s="1515"/>
      <c r="AK31" s="445"/>
      <c r="AL31" s="445"/>
      <c r="AM31" s="1509"/>
      <c r="AN31" s="445"/>
      <c r="AO31" s="1502"/>
      <c r="AP31" s="322" t="str">
        <f>IF(ISERROR(AVERAGE($AD31:$AO31)),"",AVERAGE($AD31:$AO31))</f>
        <v/>
      </c>
      <c r="AQ31" s="323">
        <f>IF(ISERROR(AVERAGE($AD$8:AO31)),"",AVERAGE($AD$8:AO31))</f>
        <v>4.641988636363636</v>
      </c>
      <c r="AR31" s="327" t="s">
        <v>378</v>
      </c>
      <c r="AS31" s="1509"/>
      <c r="AT31" s="1311" t="s">
        <v>16065</v>
      </c>
      <c r="AU31" s="322" t="str">
        <f t="shared" si="1"/>
        <v/>
      </c>
      <c r="AV31" s="323" t="str">
        <f>IF(ISERROR(AVERAGE(AR$8:$AT31)),"",AVERAGE(AR$8:$AT31))</f>
        <v/>
      </c>
      <c r="AW31" s="327" t="s">
        <v>16203</v>
      </c>
      <c r="AX31" s="445" t="s">
        <v>16203</v>
      </c>
      <c r="AY31" s="445" t="s">
        <v>16203</v>
      </c>
      <c r="AZ31" s="445" t="s">
        <v>16203</v>
      </c>
      <c r="BA31" s="445" t="s">
        <v>16203</v>
      </c>
      <c r="BB31" s="445" t="s">
        <v>16203</v>
      </c>
      <c r="BC31" s="445" t="s">
        <v>16203</v>
      </c>
      <c r="BD31" s="445" t="s">
        <v>16203</v>
      </c>
      <c r="BE31" s="324" t="str">
        <f t="shared" si="4"/>
        <v/>
      </c>
      <c r="BF31" s="324" t="str">
        <f t="array" ref="BF31">IF(ISERROR(AVERAGE(AW$8:$BD31)),"",AVERAGE(AW$8:$BD31))</f>
        <v/>
      </c>
      <c r="BG31" s="325" t="str">
        <f>IF(ISERROR(AVERAGE(V31,AB31,BE31,AP31,AU31)),"",AVERAGE(V31,AB31,BE31,AP31,AU31))</f>
        <v/>
      </c>
      <c r="BH31" s="325">
        <f>COUNTIF(A31:BF31,"產銷停機")</f>
        <v>10</v>
      </c>
      <c r="BI31" s="325">
        <v>4</v>
      </c>
      <c r="BJ31" s="325">
        <v>2</v>
      </c>
      <c r="BK31" s="325">
        <v>2</v>
      </c>
      <c r="BL31" s="325">
        <v>10</v>
      </c>
      <c r="BM31" s="325">
        <v>9</v>
      </c>
      <c r="BN31" s="325">
        <v>12</v>
      </c>
      <c r="BO31" s="325">
        <v>9</v>
      </c>
      <c r="BP31" s="325">
        <v>9</v>
      </c>
      <c r="BQ31" s="325">
        <v>9</v>
      </c>
      <c r="BR31" s="325">
        <v>9</v>
      </c>
      <c r="BS31" s="325">
        <v>8</v>
      </c>
      <c r="BT31" s="325">
        <v>9</v>
      </c>
      <c r="BU31" s="325">
        <v>9</v>
      </c>
      <c r="BV31" s="325">
        <v>9</v>
      </c>
      <c r="BW31" s="325">
        <v>10</v>
      </c>
      <c r="BX31" s="325">
        <v>28</v>
      </c>
      <c r="BY31" s="325">
        <v>5</v>
      </c>
      <c r="BZ31" s="325">
        <v>4</v>
      </c>
      <c r="CA31" s="325">
        <v>4</v>
      </c>
      <c r="CB31" s="325">
        <v>3</v>
      </c>
      <c r="CC31" s="325">
        <v>3</v>
      </c>
      <c r="CD31" s="325">
        <v>3</v>
      </c>
      <c r="CE31" s="325">
        <v>3</v>
      </c>
      <c r="CF31" s="325">
        <v>3</v>
      </c>
      <c r="CG31" s="325">
        <v>6</v>
      </c>
      <c r="CH31" s="325">
        <v>3</v>
      </c>
      <c r="CI31" s="325">
        <v>3</v>
      </c>
      <c r="CJ31" s="325">
        <v>3</v>
      </c>
      <c r="CK31" s="325">
        <v>3</v>
      </c>
      <c r="CL31" s="325">
        <v>1</v>
      </c>
      <c r="CM31" s="325">
        <v>2</v>
      </c>
      <c r="CN31" s="325">
        <v>2</v>
      </c>
      <c r="CO31" s="325">
        <v>1</v>
      </c>
      <c r="CP31" s="325">
        <v>1</v>
      </c>
      <c r="CQ31" s="325">
        <v>3</v>
      </c>
      <c r="CR31" s="325">
        <v>37</v>
      </c>
      <c r="CS31" s="325">
        <v>12</v>
      </c>
      <c r="CT31" s="325">
        <v>8</v>
      </c>
      <c r="CU31" s="325">
        <v>3</v>
      </c>
      <c r="CV31" s="325">
        <v>15</v>
      </c>
    </row>
    <row r="32" spans="1:100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1509"/>
      <c r="G32" s="445"/>
      <c r="H32" s="445"/>
      <c r="I32" s="445"/>
      <c r="J32" s="445" t="s">
        <v>17278</v>
      </c>
      <c r="K32" s="445"/>
      <c r="L32" s="1509"/>
      <c r="M32" s="445"/>
      <c r="N32" s="445"/>
      <c r="O32" s="445"/>
      <c r="P32" s="445"/>
      <c r="Q32" s="445" t="s">
        <v>378</v>
      </c>
      <c r="R32" s="445"/>
      <c r="S32" s="445"/>
      <c r="T32" s="445" t="s">
        <v>378</v>
      </c>
      <c r="U32" s="1051" t="s">
        <v>378</v>
      </c>
      <c r="V32" s="322" t="str">
        <f t="shared" si="3"/>
        <v/>
      </c>
      <c r="W32" s="321">
        <f>IF(ISERROR(AVERAGE($B$8:U32)),"",AVERAGE($B$8:U32))</f>
        <v>2.2287403100775185</v>
      </c>
      <c r="X32" s="327" t="s">
        <v>378</v>
      </c>
      <c r="Y32" s="1509"/>
      <c r="Z32" s="445"/>
      <c r="AA32" s="1051" t="s">
        <v>378</v>
      </c>
      <c r="AB32" s="322" t="str">
        <f t="shared" si="0"/>
        <v/>
      </c>
      <c r="AC32" s="321">
        <f>IF(ISERROR(AVERAGE($X$8:AA32)),"",AVERAGE($X$8:AA32))</f>
        <v>4.7632051282051284</v>
      </c>
      <c r="AD32" s="327"/>
      <c r="AE32" s="1509"/>
      <c r="AF32" s="445"/>
      <c r="AG32" s="1516"/>
      <c r="AH32" s="1515"/>
      <c r="AI32" s="445"/>
      <c r="AJ32" s="1515"/>
      <c r="AK32" s="445"/>
      <c r="AL32" s="445"/>
      <c r="AM32" s="1509"/>
      <c r="AN32" s="445"/>
      <c r="AO32" s="1502"/>
      <c r="AP32" s="322" t="str">
        <f>IF(ISERROR(AVERAGE($AD32:$AO32)),"",AVERAGE($AD32:$AO32))</f>
        <v/>
      </c>
      <c r="AQ32" s="323">
        <f>IF(ISERROR(AVERAGE($AD$8:AO32)),"",AVERAGE($AD$8:AO32))</f>
        <v>4.641988636363636</v>
      </c>
      <c r="AR32" s="327" t="s">
        <v>378</v>
      </c>
      <c r="AS32" s="1509"/>
      <c r="AT32" s="1311" t="s">
        <v>16065</v>
      </c>
      <c r="AU32" s="322" t="str">
        <f t="shared" si="1"/>
        <v/>
      </c>
      <c r="AV32" s="323" t="str">
        <f>IF(ISERROR(AVERAGE(AR$8:$AT32)),"",AVERAGE(AR$8:$AT32))</f>
        <v/>
      </c>
      <c r="AW32" s="327" t="s">
        <v>16203</v>
      </c>
      <c r="AX32" s="445" t="s">
        <v>16203</v>
      </c>
      <c r="AY32" s="445" t="s">
        <v>16203</v>
      </c>
      <c r="AZ32" s="445" t="s">
        <v>16203</v>
      </c>
      <c r="BA32" s="445" t="s">
        <v>16203</v>
      </c>
      <c r="BB32" s="445" t="s">
        <v>16203</v>
      </c>
      <c r="BC32" s="445" t="s">
        <v>16203</v>
      </c>
      <c r="BD32" s="445" t="s">
        <v>16203</v>
      </c>
      <c r="BE32" s="324" t="str">
        <f t="shared" si="4"/>
        <v/>
      </c>
      <c r="BF32" s="324" t="str">
        <f t="array" ref="BF32">IF(ISERROR(AVERAGE(AW$8:$BD32)),"",AVERAGE(AW$8:$BD32))</f>
        <v/>
      </c>
      <c r="BG32" s="325" t="str">
        <f>IF(ISERROR(AVERAGE(V32,AB32,BE32,AP32,AU32)),"",AVERAGE(V32,AB32,BE32,AP32,AU32))</f>
        <v/>
      </c>
      <c r="BH32" s="325">
        <f>COUNTIF(A32:BF32,"產銷停機")</f>
        <v>10</v>
      </c>
      <c r="BI32" s="325">
        <v>4</v>
      </c>
      <c r="BJ32" s="325">
        <v>2</v>
      </c>
      <c r="BK32" s="325">
        <v>2</v>
      </c>
      <c r="BL32" s="325">
        <v>10</v>
      </c>
      <c r="BM32" s="325">
        <v>10</v>
      </c>
      <c r="BN32" s="325">
        <v>11</v>
      </c>
      <c r="BO32" s="325">
        <v>9</v>
      </c>
      <c r="BP32" s="325">
        <v>9</v>
      </c>
      <c r="BQ32" s="325">
        <v>9</v>
      </c>
      <c r="BR32" s="325">
        <v>9</v>
      </c>
      <c r="BS32" s="325">
        <v>9</v>
      </c>
      <c r="BT32" s="325">
        <v>9</v>
      </c>
      <c r="BU32" s="325">
        <v>9</v>
      </c>
      <c r="BV32" s="325">
        <v>9</v>
      </c>
      <c r="BW32" s="325">
        <v>10</v>
      </c>
      <c r="BX32" s="325">
        <v>28</v>
      </c>
      <c r="BY32" s="325">
        <v>5</v>
      </c>
      <c r="BZ32" s="325">
        <v>4</v>
      </c>
      <c r="CA32" s="325">
        <v>4</v>
      </c>
      <c r="CB32" s="325">
        <v>3</v>
      </c>
      <c r="CC32" s="325">
        <v>3</v>
      </c>
      <c r="CD32" s="325">
        <v>3</v>
      </c>
      <c r="CE32" s="325">
        <v>3</v>
      </c>
      <c r="CF32" s="325">
        <v>3</v>
      </c>
      <c r="CG32" s="325">
        <v>6</v>
      </c>
      <c r="CH32" s="325">
        <v>3</v>
      </c>
      <c r="CI32" s="325">
        <v>3</v>
      </c>
      <c r="CJ32" s="325">
        <v>3</v>
      </c>
      <c r="CK32" s="325">
        <v>3</v>
      </c>
      <c r="CL32" s="325">
        <v>1</v>
      </c>
      <c r="CM32" s="325">
        <v>2</v>
      </c>
      <c r="CN32" s="325">
        <v>2</v>
      </c>
      <c r="CO32" s="325">
        <v>0</v>
      </c>
      <c r="CP32" s="325">
        <v>2</v>
      </c>
      <c r="CQ32" s="325">
        <v>4</v>
      </c>
      <c r="CR32" s="325">
        <v>37</v>
      </c>
      <c r="CS32" s="325">
        <v>17</v>
      </c>
      <c r="CT32" s="325">
        <v>11</v>
      </c>
      <c r="CU32" s="325">
        <v>3</v>
      </c>
      <c r="CV32" s="325">
        <v>15</v>
      </c>
    </row>
    <row r="33" spans="1:100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1509"/>
      <c r="G33" s="445"/>
      <c r="H33" s="445"/>
      <c r="I33" s="445"/>
      <c r="J33" s="445" t="s">
        <v>17278</v>
      </c>
      <c r="K33" s="445"/>
      <c r="L33" s="1509"/>
      <c r="M33" s="445"/>
      <c r="N33" s="445"/>
      <c r="O33" s="445"/>
      <c r="P33" s="445"/>
      <c r="Q33" s="445" t="s">
        <v>378</v>
      </c>
      <c r="R33" s="445"/>
      <c r="S33" s="445"/>
      <c r="T33" s="445" t="s">
        <v>378</v>
      </c>
      <c r="U33" s="1051" t="s">
        <v>378</v>
      </c>
      <c r="V33" s="322" t="str">
        <f t="shared" si="3"/>
        <v/>
      </c>
      <c r="W33" s="321">
        <f>IF(ISERROR(AVERAGE($B$8:U33)),"",AVERAGE($B$8:U33))</f>
        <v>2.2287403100775185</v>
      </c>
      <c r="X33" s="327" t="s">
        <v>378</v>
      </c>
      <c r="Y33" s="1509"/>
      <c r="Z33" s="445"/>
      <c r="AA33" s="1390" t="s">
        <v>16152</v>
      </c>
      <c r="AB33" s="322" t="str">
        <f t="shared" si="0"/>
        <v/>
      </c>
      <c r="AC33" s="321">
        <f>IF(ISERROR(AVERAGE($X$8:AA33)),"",AVERAGE($X$8:AA33))</f>
        <v>4.7632051282051284</v>
      </c>
      <c r="AD33" s="327"/>
      <c r="AE33" s="1509"/>
      <c r="AF33" s="445"/>
      <c r="AG33" s="1516"/>
      <c r="AH33" s="1515"/>
      <c r="AI33" s="445"/>
      <c r="AJ33" s="1515"/>
      <c r="AK33" s="445"/>
      <c r="AL33" s="445"/>
      <c r="AM33" s="1513"/>
      <c r="AN33" s="593"/>
      <c r="AO33" s="1502"/>
      <c r="AP33" s="322" t="str">
        <f>IF(ISERROR(AVERAGE($AD33:$AO33)),"",AVERAGE($AD33:$AO33))</f>
        <v/>
      </c>
      <c r="AQ33" s="323">
        <f>IF(ISERROR(AVERAGE($AD$8:AO33)),"",AVERAGE($AD$8:AO33))</f>
        <v>4.641988636363636</v>
      </c>
      <c r="AR33" s="327" t="s">
        <v>378</v>
      </c>
      <c r="AS33" s="1509"/>
      <c r="AT33" s="1311" t="s">
        <v>16065</v>
      </c>
      <c r="AU33" s="322" t="str">
        <f t="shared" si="1"/>
        <v/>
      </c>
      <c r="AV33" s="323" t="str">
        <f>IF(ISERROR(AVERAGE(AR$8:$AT33)),"",AVERAGE(AR$8:$AT33))</f>
        <v/>
      </c>
      <c r="AW33" s="327" t="s">
        <v>16203</v>
      </c>
      <c r="AX33" s="445" t="s">
        <v>16203</v>
      </c>
      <c r="AY33" s="445" t="s">
        <v>16203</v>
      </c>
      <c r="AZ33" s="445" t="s">
        <v>16203</v>
      </c>
      <c r="BA33" s="445" t="s">
        <v>16203</v>
      </c>
      <c r="BB33" s="445" t="s">
        <v>16203</v>
      </c>
      <c r="BC33" s="445" t="s">
        <v>16203</v>
      </c>
      <c r="BD33" s="445" t="s">
        <v>16203</v>
      </c>
      <c r="BE33" s="324" t="str">
        <f t="shared" si="4"/>
        <v/>
      </c>
      <c r="BF33" s="324" t="str">
        <f t="array" ref="BF33">IF(ISERROR(AVERAGE(AW$8:$BD33)),"",AVERAGE(AW$8:$BD33))</f>
        <v/>
      </c>
      <c r="BG33" s="325" t="str">
        <f>IF(ISERROR(AVERAGE(V33,AB33,BE33,AP33,AU33)),"",AVERAGE(V33,AB33,BE33,AP33,AU33))</f>
        <v/>
      </c>
      <c r="BH33" s="325">
        <f>COUNTIF(A33:BF33,"產銷停機")</f>
        <v>10</v>
      </c>
      <c r="BI33" s="325">
        <v>4</v>
      </c>
      <c r="BJ33" s="325">
        <v>3</v>
      </c>
      <c r="BK33" s="325">
        <v>2</v>
      </c>
      <c r="BL33" s="325">
        <v>10</v>
      </c>
      <c r="BM33" s="325">
        <v>10</v>
      </c>
      <c r="BN33" s="325">
        <v>11</v>
      </c>
      <c r="BO33" s="325">
        <v>9</v>
      </c>
      <c r="BP33" s="325">
        <v>9</v>
      </c>
      <c r="BQ33" s="325">
        <v>9</v>
      </c>
      <c r="BR33" s="325">
        <v>9</v>
      </c>
      <c r="BS33" s="325">
        <v>9</v>
      </c>
      <c r="BT33" s="325">
        <v>9</v>
      </c>
      <c r="BU33" s="325">
        <v>9</v>
      </c>
      <c r="BV33" s="325">
        <v>9</v>
      </c>
      <c r="BW33" s="325">
        <v>10</v>
      </c>
      <c r="BX33" s="325">
        <v>28</v>
      </c>
      <c r="BY33" s="325">
        <v>5</v>
      </c>
      <c r="BZ33" s="325">
        <v>4</v>
      </c>
      <c r="CA33" s="325">
        <v>4</v>
      </c>
      <c r="CB33" s="325">
        <v>3</v>
      </c>
      <c r="CC33" s="325">
        <v>3</v>
      </c>
      <c r="CD33" s="325">
        <v>3</v>
      </c>
      <c r="CE33" s="325">
        <v>3</v>
      </c>
      <c r="CF33" s="325">
        <v>3</v>
      </c>
      <c r="CG33" s="325">
        <v>5</v>
      </c>
      <c r="CH33" s="325">
        <v>3</v>
      </c>
      <c r="CI33" s="325">
        <v>3</v>
      </c>
      <c r="CJ33" s="325">
        <v>3</v>
      </c>
      <c r="CK33" s="325">
        <v>3</v>
      </c>
      <c r="CL33" s="325">
        <v>1</v>
      </c>
      <c r="CM33" s="325">
        <v>2</v>
      </c>
      <c r="CN33" s="325">
        <v>2</v>
      </c>
      <c r="CO33" s="325">
        <v>0</v>
      </c>
      <c r="CP33" s="325">
        <v>2</v>
      </c>
      <c r="CQ33" s="325">
        <v>4</v>
      </c>
      <c r="CR33" s="325">
        <v>37</v>
      </c>
      <c r="CS33" s="325">
        <v>17</v>
      </c>
      <c r="CT33" s="325">
        <v>12</v>
      </c>
      <c r="CU33" s="325">
        <v>3</v>
      </c>
      <c r="CV33" s="325">
        <v>15</v>
      </c>
    </row>
    <row r="34" spans="1:100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1509"/>
      <c r="G34" s="445"/>
      <c r="H34" s="445"/>
      <c r="I34" s="445"/>
      <c r="J34" s="445" t="s">
        <v>17278</v>
      </c>
      <c r="K34" s="445"/>
      <c r="L34" s="1509"/>
      <c r="M34" s="445"/>
      <c r="N34" s="445"/>
      <c r="O34" s="445"/>
      <c r="P34" s="445"/>
      <c r="Q34" s="445" t="s">
        <v>378</v>
      </c>
      <c r="R34" s="445"/>
      <c r="S34" s="445"/>
      <c r="T34" s="445" t="s">
        <v>378</v>
      </c>
      <c r="U34" s="1051" t="s">
        <v>378</v>
      </c>
      <c r="V34" s="322" t="str">
        <f t="shared" si="3"/>
        <v/>
      </c>
      <c r="W34" s="321">
        <f>IF(ISERROR(AVERAGE($B$8:U34)),"",AVERAGE($B$8:U34))</f>
        <v>2.2287403100775185</v>
      </c>
      <c r="X34" s="327" t="s">
        <v>378</v>
      </c>
      <c r="Y34" s="1509"/>
      <c r="Z34" s="445"/>
      <c r="AA34" s="1051" t="s">
        <v>378</v>
      </c>
      <c r="AB34" s="322" t="str">
        <f t="shared" si="0"/>
        <v/>
      </c>
      <c r="AC34" s="321">
        <f>IF(ISERROR(AVERAGE($X$8:AA34)),"",AVERAGE($X$8:AA34))</f>
        <v>4.7632051282051284</v>
      </c>
      <c r="AD34" s="327"/>
      <c r="AE34" s="1509"/>
      <c r="AF34" s="445"/>
      <c r="AG34" s="1516"/>
      <c r="AH34" s="1515"/>
      <c r="AI34" s="445"/>
      <c r="AJ34" s="1515"/>
      <c r="AK34" s="445"/>
      <c r="AL34" s="445"/>
      <c r="AM34" s="1509"/>
      <c r="AN34" s="445"/>
      <c r="AO34" s="1502"/>
      <c r="AP34" s="322" t="str">
        <f>IF(ISERROR(AVERAGE($AD34:$AO34)),"",AVERAGE($AD34:$AO34))</f>
        <v/>
      </c>
      <c r="AQ34" s="323">
        <f>IF(ISERROR(AVERAGE($AD$8:AO34)),"",AVERAGE($AD$8:AO34))</f>
        <v>4.641988636363636</v>
      </c>
      <c r="AR34" s="327" t="s">
        <v>378</v>
      </c>
      <c r="AS34" s="1509"/>
      <c r="AT34" s="1311" t="s">
        <v>16065</v>
      </c>
      <c r="AU34" s="322" t="str">
        <f t="shared" si="1"/>
        <v/>
      </c>
      <c r="AV34" s="323" t="str">
        <f>IF(ISERROR(AVERAGE(AR$8:$AT34)),"",AVERAGE(AR$8:$AT34))</f>
        <v/>
      </c>
      <c r="AW34" s="327" t="s">
        <v>16203</v>
      </c>
      <c r="AX34" s="445" t="s">
        <v>16203</v>
      </c>
      <c r="AY34" s="445" t="s">
        <v>16203</v>
      </c>
      <c r="AZ34" s="445" t="s">
        <v>16203</v>
      </c>
      <c r="BA34" s="445" t="s">
        <v>16203</v>
      </c>
      <c r="BB34" s="445" t="s">
        <v>16203</v>
      </c>
      <c r="BC34" s="445" t="s">
        <v>16203</v>
      </c>
      <c r="BD34" s="445" t="s">
        <v>16203</v>
      </c>
      <c r="BE34" s="324" t="str">
        <f t="shared" si="4"/>
        <v/>
      </c>
      <c r="BF34" s="324" t="str">
        <f t="array" ref="BF34">IF(ISERROR(AVERAGE(AW$8:$BD34)),"",AVERAGE(AW$8:$BD34))</f>
        <v/>
      </c>
      <c r="BG34" s="325" t="str">
        <f>IF(ISERROR(AVERAGE(V34,AB34,BE34,AP34,AU34)),"",AVERAGE(V34,AB34,BE34,AP34,AU34))</f>
        <v/>
      </c>
      <c r="BH34" s="325">
        <f>COUNTIF(A34:BF34,"產銷停機")</f>
        <v>10</v>
      </c>
      <c r="BI34" s="325">
        <v>4</v>
      </c>
      <c r="BJ34" s="325">
        <v>5</v>
      </c>
      <c r="BK34" s="325">
        <v>2</v>
      </c>
      <c r="BL34" s="325">
        <v>10</v>
      </c>
      <c r="BM34" s="325">
        <v>10</v>
      </c>
      <c r="BN34" s="325">
        <v>11</v>
      </c>
      <c r="BO34" s="325">
        <v>9</v>
      </c>
      <c r="BP34" s="325">
        <v>9</v>
      </c>
      <c r="BQ34" s="325">
        <v>9</v>
      </c>
      <c r="BR34" s="325">
        <v>9</v>
      </c>
      <c r="BS34" s="325">
        <v>9</v>
      </c>
      <c r="BT34" s="325">
        <v>9</v>
      </c>
      <c r="BU34" s="325">
        <v>9</v>
      </c>
      <c r="BV34" s="325">
        <v>9</v>
      </c>
      <c r="BW34" s="325">
        <v>10</v>
      </c>
      <c r="BX34" s="325">
        <v>4</v>
      </c>
      <c r="BY34" s="325">
        <v>6</v>
      </c>
      <c r="BZ34" s="325">
        <v>4</v>
      </c>
      <c r="CA34" s="325">
        <v>4</v>
      </c>
      <c r="CB34" s="325">
        <v>3</v>
      </c>
      <c r="CC34" s="325">
        <v>3</v>
      </c>
      <c r="CD34" s="325">
        <v>3</v>
      </c>
      <c r="CE34" s="325">
        <v>3</v>
      </c>
      <c r="CF34" s="325">
        <v>3</v>
      </c>
      <c r="CG34" s="325">
        <v>5</v>
      </c>
      <c r="CH34" s="325">
        <v>3</v>
      </c>
      <c r="CI34" s="325">
        <v>3</v>
      </c>
      <c r="CJ34" s="325">
        <v>3</v>
      </c>
      <c r="CK34" s="325">
        <v>3</v>
      </c>
      <c r="CL34" s="325">
        <v>1</v>
      </c>
      <c r="CM34" s="325">
        <v>2</v>
      </c>
      <c r="CN34" s="325">
        <v>2</v>
      </c>
      <c r="CO34" s="325">
        <v>1</v>
      </c>
      <c r="CP34" s="325">
        <v>2</v>
      </c>
      <c r="CQ34" s="325">
        <v>4</v>
      </c>
      <c r="CR34" s="621">
        <v>38</v>
      </c>
      <c r="CS34" s="621">
        <v>14</v>
      </c>
      <c r="CT34" s="621">
        <v>9</v>
      </c>
      <c r="CU34" s="325">
        <v>3</v>
      </c>
      <c r="CV34" s="621">
        <v>15</v>
      </c>
    </row>
    <row r="35" spans="1:100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1509"/>
      <c r="G35" s="445"/>
      <c r="H35" s="445"/>
      <c r="I35" s="445"/>
      <c r="J35" s="445" t="s">
        <v>17278</v>
      </c>
      <c r="K35" s="445"/>
      <c r="L35" s="1509"/>
      <c r="M35" s="445"/>
      <c r="N35" s="445"/>
      <c r="O35" s="445"/>
      <c r="P35" s="445"/>
      <c r="Q35" s="445" t="s">
        <v>378</v>
      </c>
      <c r="R35" s="445"/>
      <c r="S35" s="445"/>
      <c r="T35" s="445" t="s">
        <v>378</v>
      </c>
      <c r="U35" s="1051" t="s">
        <v>378</v>
      </c>
      <c r="V35" s="322" t="str">
        <f t="shared" si="3"/>
        <v/>
      </c>
      <c r="W35" s="321">
        <f>IF(ISERROR(AVERAGE($B$8:U35)),"",AVERAGE($B$8:U35))</f>
        <v>2.2287403100775185</v>
      </c>
      <c r="X35" s="327" t="s">
        <v>378</v>
      </c>
      <c r="Y35" s="1509"/>
      <c r="Z35" s="445"/>
      <c r="AA35" s="1051" t="s">
        <v>378</v>
      </c>
      <c r="AB35" s="322" t="str">
        <f t="shared" si="0"/>
        <v/>
      </c>
      <c r="AC35" s="321">
        <f>IF(ISERROR(AVERAGE($X$8:AA35)),"",AVERAGE($X$8:AA35))</f>
        <v>4.7632051282051284</v>
      </c>
      <c r="AD35" s="327"/>
      <c r="AE35" s="1509"/>
      <c r="AF35" s="445"/>
      <c r="AG35" s="1516"/>
      <c r="AH35" s="1515"/>
      <c r="AI35" s="445"/>
      <c r="AJ35" s="1515"/>
      <c r="AK35" s="445"/>
      <c r="AL35" s="445"/>
      <c r="AM35" s="1509"/>
      <c r="AN35" s="445"/>
      <c r="AO35" s="1502"/>
      <c r="AP35" s="322" t="str">
        <f>IF(ISERROR(AVERAGE($AD35:$AO35)),"",AVERAGE($AD35:$AO35))</f>
        <v/>
      </c>
      <c r="AQ35" s="323">
        <f>IF(ISERROR(AVERAGE($AD$8:AO35)),"",AVERAGE($AD$8:AO35))</f>
        <v>4.641988636363636</v>
      </c>
      <c r="AR35" s="327" t="s">
        <v>378</v>
      </c>
      <c r="AS35" s="1509"/>
      <c r="AT35" s="1311" t="s">
        <v>16065</v>
      </c>
      <c r="AU35" s="322" t="str">
        <f t="shared" si="1"/>
        <v/>
      </c>
      <c r="AV35" s="323" t="str">
        <f>IF(ISERROR(AVERAGE(AR$8:$AT35)),"",AVERAGE(AR$8:$AT35))</f>
        <v/>
      </c>
      <c r="AW35" s="327" t="s">
        <v>16203</v>
      </c>
      <c r="AX35" s="445" t="s">
        <v>16203</v>
      </c>
      <c r="AY35" s="445" t="s">
        <v>16203</v>
      </c>
      <c r="AZ35" s="445" t="s">
        <v>16203</v>
      </c>
      <c r="BA35" s="445" t="s">
        <v>16203</v>
      </c>
      <c r="BB35" s="445" t="s">
        <v>16203</v>
      </c>
      <c r="BC35" s="445" t="s">
        <v>16203</v>
      </c>
      <c r="BD35" s="445" t="s">
        <v>16203</v>
      </c>
      <c r="BE35" s="324" t="str">
        <f t="shared" si="4"/>
        <v/>
      </c>
      <c r="BF35" s="324" t="str">
        <f t="array" ref="BF35">IF(ISERROR(AVERAGE(AW$8:$BD35)),"",AVERAGE(AW$8:$BD35))</f>
        <v/>
      </c>
      <c r="BG35" s="325" t="str">
        <f>IF(ISERROR(AVERAGE(V35,AB35,BE35,AP35,AU35)),"",AVERAGE(V35,AB35,BE35,AP35,AU35))</f>
        <v/>
      </c>
      <c r="BH35" s="325">
        <f>COUNTIF(A35:BF35,"產銷停機")</f>
        <v>10</v>
      </c>
      <c r="BI35" s="325">
        <v>4</v>
      </c>
      <c r="BJ35" s="325">
        <v>5</v>
      </c>
      <c r="BK35" s="325">
        <v>2</v>
      </c>
      <c r="BL35" s="325">
        <v>10</v>
      </c>
      <c r="BM35" s="325">
        <v>10</v>
      </c>
      <c r="BN35" s="325">
        <v>11</v>
      </c>
      <c r="BO35" s="325">
        <v>9</v>
      </c>
      <c r="BP35" s="325">
        <v>9</v>
      </c>
      <c r="BQ35" s="325">
        <v>9</v>
      </c>
      <c r="BR35" s="325">
        <v>9</v>
      </c>
      <c r="BS35" s="325">
        <v>9</v>
      </c>
      <c r="BT35" s="325">
        <v>9</v>
      </c>
      <c r="BU35" s="325">
        <v>9</v>
      </c>
      <c r="BV35" s="325">
        <v>9</v>
      </c>
      <c r="BW35" s="325">
        <v>9</v>
      </c>
      <c r="BX35" s="325">
        <v>1</v>
      </c>
      <c r="BY35" s="325">
        <v>6</v>
      </c>
      <c r="BZ35" s="325">
        <v>5</v>
      </c>
      <c r="CA35" s="325">
        <v>4</v>
      </c>
      <c r="CB35" s="325">
        <v>3</v>
      </c>
      <c r="CC35" s="325">
        <v>3</v>
      </c>
      <c r="CD35" s="325">
        <v>3</v>
      </c>
      <c r="CE35" s="325">
        <v>4</v>
      </c>
      <c r="CF35" s="325">
        <v>3</v>
      </c>
      <c r="CG35" s="325">
        <v>6</v>
      </c>
      <c r="CH35" s="325">
        <v>3</v>
      </c>
      <c r="CI35" s="325">
        <v>3</v>
      </c>
      <c r="CJ35" s="325">
        <v>3</v>
      </c>
      <c r="CK35" s="325">
        <v>3</v>
      </c>
      <c r="CL35" s="325">
        <v>1</v>
      </c>
      <c r="CM35" s="325">
        <v>2</v>
      </c>
      <c r="CN35" s="325">
        <v>2</v>
      </c>
      <c r="CO35" s="325">
        <v>1</v>
      </c>
      <c r="CP35" s="325">
        <v>2</v>
      </c>
      <c r="CQ35" s="325">
        <v>4</v>
      </c>
      <c r="CR35" s="621">
        <v>38</v>
      </c>
      <c r="CS35" s="621">
        <v>15</v>
      </c>
      <c r="CT35" s="621">
        <v>9</v>
      </c>
      <c r="CU35" s="325">
        <v>2</v>
      </c>
      <c r="CV35" s="621">
        <v>15</v>
      </c>
    </row>
    <row r="36" spans="1:100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1509"/>
      <c r="G36" s="445"/>
      <c r="H36" s="445"/>
      <c r="I36" s="445"/>
      <c r="J36" s="445" t="s">
        <v>17278</v>
      </c>
      <c r="K36" s="445"/>
      <c r="L36" s="1509"/>
      <c r="M36" s="445"/>
      <c r="N36" s="445"/>
      <c r="O36" s="445"/>
      <c r="P36" s="445"/>
      <c r="Q36" s="445" t="s">
        <v>378</v>
      </c>
      <c r="R36" s="445"/>
      <c r="S36" s="445"/>
      <c r="T36" s="445" t="s">
        <v>378</v>
      </c>
      <c r="U36" s="1051" t="s">
        <v>378</v>
      </c>
      <c r="V36" s="322" t="str">
        <f t="shared" si="3"/>
        <v/>
      </c>
      <c r="W36" s="321">
        <f>IF(ISERROR(AVERAGE($B$8:U36)),"",AVERAGE($B$8:U36))</f>
        <v>2.2287403100775185</v>
      </c>
      <c r="X36" s="327" t="s">
        <v>378</v>
      </c>
      <c r="Y36" s="1509"/>
      <c r="Z36" s="445"/>
      <c r="AA36" s="1051" t="s">
        <v>378</v>
      </c>
      <c r="AB36" s="322" t="str">
        <f t="shared" si="0"/>
        <v/>
      </c>
      <c r="AC36" s="321">
        <f>IF(ISERROR(AVERAGE($X$8:AA36)),"",AVERAGE($X$8:AA36))</f>
        <v>4.7632051282051284</v>
      </c>
      <c r="AD36" s="327"/>
      <c r="AE36" s="1509"/>
      <c r="AF36" s="445"/>
      <c r="AG36" s="1516"/>
      <c r="AH36" s="1515"/>
      <c r="AI36" s="445"/>
      <c r="AJ36" s="1515"/>
      <c r="AK36" s="445"/>
      <c r="AL36" s="445"/>
      <c r="AM36" s="1509"/>
      <c r="AN36" s="445"/>
      <c r="AO36" s="1502"/>
      <c r="AP36" s="322" t="str">
        <f>IF(ISERROR(AVERAGE($AD36:$AO36)),"",AVERAGE($AD36:$AO36))</f>
        <v/>
      </c>
      <c r="AQ36" s="323">
        <f>IF(ISERROR(AVERAGE($AD$8:AO36)),"",AVERAGE($AD$8:AO36))</f>
        <v>4.641988636363636</v>
      </c>
      <c r="AR36" s="327" t="s">
        <v>378</v>
      </c>
      <c r="AS36" s="1509"/>
      <c r="AT36" s="1311" t="s">
        <v>386</v>
      </c>
      <c r="AU36" s="322" t="str">
        <f t="shared" si="1"/>
        <v/>
      </c>
      <c r="AV36" s="323" t="str">
        <f>IF(ISERROR(AVERAGE(AR$8:$AT36)),"",AVERAGE(AR$8:$AT36))</f>
        <v/>
      </c>
      <c r="AW36" s="327" t="s">
        <v>16203</v>
      </c>
      <c r="AX36" s="445" t="s">
        <v>16203</v>
      </c>
      <c r="AY36" s="445" t="s">
        <v>16203</v>
      </c>
      <c r="AZ36" s="445" t="s">
        <v>16203</v>
      </c>
      <c r="BA36" s="445" t="s">
        <v>16203</v>
      </c>
      <c r="BB36" s="445" t="s">
        <v>16203</v>
      </c>
      <c r="BC36" s="445" t="s">
        <v>16203</v>
      </c>
      <c r="BD36" s="445" t="s">
        <v>16203</v>
      </c>
      <c r="BE36" s="324" t="str">
        <f t="shared" si="4"/>
        <v/>
      </c>
      <c r="BF36" s="324" t="str">
        <f t="array" ref="BF36">IF(ISERROR(AVERAGE(AW$8:$BD36)),"",AVERAGE(AW$8:$BD36))</f>
        <v/>
      </c>
      <c r="BG36" s="325" t="str">
        <f>IF(ISERROR(AVERAGE(V36,AB36,BE36,AP36,AU36)),"",AVERAGE(V36,AB36,BE36,AP36,AU36))</f>
        <v/>
      </c>
      <c r="BH36" s="325">
        <f>COUNTIF(A36:BF36,"產銷停機")</f>
        <v>10</v>
      </c>
      <c r="BI36" s="325">
        <v>4</v>
      </c>
      <c r="BJ36" s="325">
        <v>5</v>
      </c>
      <c r="BK36" s="325">
        <v>0</v>
      </c>
      <c r="BL36" s="325">
        <v>10</v>
      </c>
      <c r="BM36" s="325">
        <v>10</v>
      </c>
      <c r="BN36" s="325">
        <v>11</v>
      </c>
      <c r="BO36" s="325">
        <v>9</v>
      </c>
      <c r="BP36" s="325">
        <v>9</v>
      </c>
      <c r="BQ36" s="325">
        <v>9</v>
      </c>
      <c r="BR36" s="325">
        <v>9</v>
      </c>
      <c r="BS36" s="325">
        <v>9</v>
      </c>
      <c r="BT36" s="325">
        <v>9</v>
      </c>
      <c r="BU36" s="325">
        <v>9</v>
      </c>
      <c r="BV36" s="325">
        <v>9</v>
      </c>
      <c r="BX36" s="325">
        <v>1</v>
      </c>
      <c r="BY36" s="325">
        <v>6</v>
      </c>
      <c r="BZ36" s="325">
        <v>5</v>
      </c>
      <c r="CA36" s="325">
        <v>4</v>
      </c>
      <c r="CB36" s="325">
        <v>3</v>
      </c>
      <c r="CC36" s="325">
        <v>3</v>
      </c>
      <c r="CD36" s="325">
        <v>3</v>
      </c>
      <c r="CE36" s="325">
        <v>4</v>
      </c>
      <c r="CF36" s="325">
        <v>2</v>
      </c>
      <c r="CG36" s="325">
        <v>6</v>
      </c>
      <c r="CH36" s="325">
        <v>3</v>
      </c>
      <c r="CI36" s="325">
        <v>4</v>
      </c>
      <c r="CJ36" s="325">
        <v>3</v>
      </c>
      <c r="CK36" s="325">
        <v>3</v>
      </c>
      <c r="CL36" s="325">
        <v>1</v>
      </c>
      <c r="CM36" s="325">
        <v>2</v>
      </c>
      <c r="CN36" s="325">
        <v>1</v>
      </c>
      <c r="CO36" s="325">
        <v>1</v>
      </c>
      <c r="CP36" s="325">
        <v>2</v>
      </c>
      <c r="CQ36" s="325">
        <v>4</v>
      </c>
      <c r="CR36" s="621">
        <v>38</v>
      </c>
      <c r="CS36" s="621">
        <v>16</v>
      </c>
      <c r="CT36" s="621">
        <v>11</v>
      </c>
      <c r="CU36" s="325">
        <v>0</v>
      </c>
      <c r="CV36" s="621">
        <v>15</v>
      </c>
    </row>
    <row r="37" spans="1:100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1509"/>
      <c r="G37" s="445"/>
      <c r="H37" s="445"/>
      <c r="I37" s="445"/>
      <c r="J37" s="445" t="s">
        <v>17278</v>
      </c>
      <c r="K37" s="445"/>
      <c r="L37" s="1509"/>
      <c r="M37" s="445"/>
      <c r="N37" s="445"/>
      <c r="O37" s="445"/>
      <c r="P37" s="445"/>
      <c r="Q37" s="445" t="s">
        <v>378</v>
      </c>
      <c r="R37" s="445"/>
      <c r="S37" s="445"/>
      <c r="T37" s="445" t="s">
        <v>378</v>
      </c>
      <c r="U37" s="1051" t="s">
        <v>378</v>
      </c>
      <c r="V37" s="322" t="str">
        <f t="shared" si="3"/>
        <v/>
      </c>
      <c r="W37" s="321">
        <f>IF(ISERROR(AVERAGE($B$8:U37)),"",AVERAGE($B$8:U37))</f>
        <v>2.2287403100775185</v>
      </c>
      <c r="X37" s="327" t="s">
        <v>378</v>
      </c>
      <c r="Y37" s="1509"/>
      <c r="Z37" s="445"/>
      <c r="AA37" s="1051" t="s">
        <v>378</v>
      </c>
      <c r="AB37" s="322" t="str">
        <f t="shared" si="0"/>
        <v/>
      </c>
      <c r="AC37" s="321">
        <f>IF(ISERROR(AVERAGE($X$8:AA37)),"",AVERAGE($X$8:AA37))</f>
        <v>4.7632051282051284</v>
      </c>
      <c r="AD37" s="327"/>
      <c r="AE37" s="1509"/>
      <c r="AF37" s="445"/>
      <c r="AG37" s="1516"/>
      <c r="AH37" s="1515"/>
      <c r="AI37" s="445"/>
      <c r="AJ37" s="1515"/>
      <c r="AK37" s="445"/>
      <c r="AL37" s="445"/>
      <c r="AM37" s="1509"/>
      <c r="AN37" s="445"/>
      <c r="AO37" s="1051"/>
      <c r="AP37" s="322" t="str">
        <f>IF(ISERROR(AVERAGE($AD37:$AO37)),"",AVERAGE($AD37:$AO37))</f>
        <v/>
      </c>
      <c r="AQ37" s="323">
        <f>IF(ISERROR(AVERAGE($AD$8:AO37)),"",AVERAGE($AD$8:AO37))</f>
        <v>4.641988636363636</v>
      </c>
      <c r="AR37" s="327" t="s">
        <v>378</v>
      </c>
      <c r="AS37" s="1509"/>
      <c r="AT37" s="1311" t="s">
        <v>386</v>
      </c>
      <c r="AU37" s="322" t="str">
        <f t="shared" si="1"/>
        <v/>
      </c>
      <c r="AV37" s="323" t="str">
        <f>IF(ISERROR(AVERAGE(AR$8:$AT37)),"",AVERAGE(AR$8:$AT37))</f>
        <v/>
      </c>
      <c r="AW37" s="327" t="s">
        <v>16203</v>
      </c>
      <c r="AX37" s="445" t="s">
        <v>16203</v>
      </c>
      <c r="AY37" s="445" t="s">
        <v>16203</v>
      </c>
      <c r="AZ37" s="445" t="s">
        <v>16203</v>
      </c>
      <c r="BA37" s="445" t="s">
        <v>16203</v>
      </c>
      <c r="BB37" s="445" t="s">
        <v>16203</v>
      </c>
      <c r="BC37" s="445" t="s">
        <v>16203</v>
      </c>
      <c r="BD37" s="445" t="s">
        <v>16203</v>
      </c>
      <c r="BE37" s="324" t="str">
        <f t="shared" si="4"/>
        <v/>
      </c>
      <c r="BF37" s="324" t="str">
        <f t="array" ref="BF37">IF(ISERROR(AVERAGE(AW$8:$BD37)),"",AVERAGE(AW$8:$BD37))</f>
        <v/>
      </c>
      <c r="BG37" s="325" t="str">
        <f>IF(ISERROR(AVERAGE(V37,AB37,BE37,AP37,AU37)),"",AVERAGE(V37,AB37,BE37,AP37,AU37))</f>
        <v/>
      </c>
      <c r="BH37" s="325">
        <f>COUNTIF(A37:BF37,"產銷停機")</f>
        <v>10</v>
      </c>
      <c r="BI37" s="325">
        <v>4</v>
      </c>
      <c r="BJ37" s="325">
        <v>5</v>
      </c>
      <c r="BK37" s="325">
        <v>0</v>
      </c>
      <c r="BL37" s="325">
        <v>10</v>
      </c>
      <c r="BM37" s="325">
        <v>10</v>
      </c>
      <c r="BN37" s="325">
        <v>11</v>
      </c>
      <c r="BO37" s="325">
        <v>9</v>
      </c>
      <c r="BP37" s="325">
        <v>9</v>
      </c>
      <c r="BQ37" s="325">
        <v>9</v>
      </c>
      <c r="BR37" s="325">
        <v>9</v>
      </c>
      <c r="BS37" s="325">
        <v>9</v>
      </c>
      <c r="BT37" s="325">
        <v>9</v>
      </c>
      <c r="BU37" s="325">
        <v>9</v>
      </c>
      <c r="BV37" s="325">
        <v>9</v>
      </c>
      <c r="BX37" s="325">
        <v>1</v>
      </c>
      <c r="BY37" s="325">
        <v>6</v>
      </c>
      <c r="BZ37" s="325">
        <v>5</v>
      </c>
      <c r="CA37" s="325">
        <v>4</v>
      </c>
      <c r="CB37" s="325">
        <v>3</v>
      </c>
      <c r="CC37" s="325">
        <v>3</v>
      </c>
      <c r="CD37" s="325">
        <v>3</v>
      </c>
      <c r="CE37" s="325">
        <v>4</v>
      </c>
      <c r="CF37" s="325">
        <v>2</v>
      </c>
      <c r="CG37" s="325">
        <v>5</v>
      </c>
      <c r="CH37" s="325">
        <v>3</v>
      </c>
      <c r="CJ37" s="325">
        <v>3</v>
      </c>
      <c r="CK37" s="325">
        <v>4</v>
      </c>
      <c r="CL37" s="325">
        <v>1</v>
      </c>
      <c r="CM37" s="325">
        <v>2</v>
      </c>
      <c r="CN37" s="325">
        <v>1</v>
      </c>
      <c r="CO37" s="325">
        <v>1</v>
      </c>
      <c r="CP37" s="325">
        <v>2</v>
      </c>
      <c r="CQ37" s="325">
        <v>4</v>
      </c>
      <c r="CR37" s="325">
        <v>38</v>
      </c>
      <c r="CS37" s="325">
        <v>16</v>
      </c>
      <c r="CT37" s="325">
        <v>11</v>
      </c>
      <c r="CU37" s="325">
        <v>0</v>
      </c>
      <c r="CV37" s="325">
        <v>5</v>
      </c>
    </row>
    <row r="38" spans="1:100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1510"/>
      <c r="G38" s="645"/>
      <c r="H38" s="645"/>
      <c r="I38" s="645"/>
      <c r="J38" s="645" t="s">
        <v>17278</v>
      </c>
      <c r="K38" s="645"/>
      <c r="L38" s="1510"/>
      <c r="M38" s="445"/>
      <c r="N38" s="445"/>
      <c r="O38" s="445"/>
      <c r="P38" s="445"/>
      <c r="Q38" s="445" t="s">
        <v>378</v>
      </c>
      <c r="R38" s="445"/>
      <c r="S38" s="445"/>
      <c r="T38" s="445" t="s">
        <v>378</v>
      </c>
      <c r="U38" s="1051" t="s">
        <v>378</v>
      </c>
      <c r="V38" s="322" t="str">
        <f t="shared" si="3"/>
        <v/>
      </c>
      <c r="W38" s="321">
        <f>IF(ISERROR(AVERAGE($B$8:U38)),"",AVERAGE($B$8:U38))</f>
        <v>2.2287403100775185</v>
      </c>
      <c r="X38" s="327" t="s">
        <v>378</v>
      </c>
      <c r="Y38" s="1510"/>
      <c r="Z38" s="645"/>
      <c r="AA38" s="1051" t="s">
        <v>378</v>
      </c>
      <c r="AB38" s="646" t="str">
        <f t="shared" si="0"/>
        <v/>
      </c>
      <c r="AC38" s="321">
        <f>IF(ISERROR(AVERAGE($X$8:AA38)),"",AVERAGE($X$8:AA38))</f>
        <v>4.7632051282051284</v>
      </c>
      <c r="AD38" s="1501"/>
      <c r="AE38" s="1510"/>
      <c r="AF38" s="645"/>
      <c r="AG38" s="1630"/>
      <c r="AH38" s="1629"/>
      <c r="AI38" s="645"/>
      <c r="AJ38" s="1629"/>
      <c r="AK38" s="645"/>
      <c r="AL38" s="645"/>
      <c r="AM38" s="1510"/>
      <c r="AN38" s="645"/>
      <c r="AO38" s="1503"/>
      <c r="AP38" s="322" t="str">
        <f>IF(ISERROR(AVERAGE($AD38:$AO38)),"",AVERAGE($AD38:$AO38))</f>
        <v/>
      </c>
      <c r="AQ38" s="323">
        <f>IF(ISERROR(AVERAGE($AD$8:AO38)),"",AVERAGE($AD$8:AO38))</f>
        <v>4.641988636363636</v>
      </c>
      <c r="AR38" s="1501" t="s">
        <v>378</v>
      </c>
      <c r="AS38" s="1510"/>
      <c r="AT38" s="1311" t="s">
        <v>386</v>
      </c>
      <c r="AU38" s="322" t="str">
        <f t="shared" si="1"/>
        <v/>
      </c>
      <c r="AV38" s="323" t="str">
        <f>IF(ISERROR(AVERAGE(AR$8:$AT38)),"",AVERAGE(AR$8:$AT38))</f>
        <v/>
      </c>
      <c r="AW38" s="327" t="s">
        <v>16203</v>
      </c>
      <c r="AX38" s="445" t="s">
        <v>16203</v>
      </c>
      <c r="AY38" s="445" t="s">
        <v>16203</v>
      </c>
      <c r="AZ38" s="445" t="s">
        <v>16203</v>
      </c>
      <c r="BA38" s="445" t="s">
        <v>16203</v>
      </c>
      <c r="BB38" s="445" t="s">
        <v>16203</v>
      </c>
      <c r="BC38" s="445" t="s">
        <v>16203</v>
      </c>
      <c r="BD38" s="445" t="s">
        <v>16203</v>
      </c>
      <c r="BE38" s="324" t="str">
        <f t="shared" si="4"/>
        <v/>
      </c>
      <c r="BF38" s="324" t="str">
        <f t="array" ref="BF38">IF(ISERROR(AVERAGE(AW$8:$BD38)),"",AVERAGE(AW$8:$BD38))</f>
        <v/>
      </c>
      <c r="BG38" s="325" t="str">
        <f>IF(ISERROR(AVERAGE(V38,AB38,BE38,AP38,AU38)),"",AVERAGE(V38,AB38,BE38,AP38,AU38))</f>
        <v/>
      </c>
      <c r="BH38" s="325">
        <f>COUNTIF(A38:BF38,"產銷停機")</f>
        <v>10</v>
      </c>
      <c r="BI38" s="325">
        <v>2</v>
      </c>
      <c r="BJ38" s="325">
        <v>6</v>
      </c>
      <c r="BK38" s="325">
        <v>0</v>
      </c>
      <c r="BL38" s="325">
        <v>10</v>
      </c>
      <c r="BM38" s="325">
        <v>10</v>
      </c>
      <c r="BN38" s="325">
        <v>0</v>
      </c>
      <c r="BO38" s="325">
        <v>9</v>
      </c>
      <c r="BQ38" s="325">
        <v>9</v>
      </c>
      <c r="BR38" s="325">
        <v>9</v>
      </c>
      <c r="BT38" s="325">
        <v>9</v>
      </c>
      <c r="BV38" s="325">
        <v>9</v>
      </c>
      <c r="BX38" s="325">
        <v>1</v>
      </c>
      <c r="BY38" s="325">
        <v>6</v>
      </c>
      <c r="BZ38" s="325">
        <v>4</v>
      </c>
      <c r="CA38" s="325">
        <v>4</v>
      </c>
      <c r="CB38" s="325">
        <v>0</v>
      </c>
      <c r="CC38" s="325">
        <v>3</v>
      </c>
      <c r="CD38" s="325">
        <v>3</v>
      </c>
      <c r="CF38" s="325">
        <v>2</v>
      </c>
      <c r="CH38" s="325">
        <v>3</v>
      </c>
      <c r="CJ38" s="325">
        <v>3</v>
      </c>
      <c r="CK38" s="325">
        <v>4</v>
      </c>
      <c r="CL38" s="325">
        <v>1</v>
      </c>
      <c r="CM38" s="325">
        <v>2</v>
      </c>
      <c r="CN38" s="325">
        <v>0</v>
      </c>
      <c r="CO38" s="325">
        <v>1</v>
      </c>
      <c r="CP38" s="325">
        <v>1</v>
      </c>
      <c r="CR38" s="325">
        <v>37</v>
      </c>
      <c r="CT38" s="325">
        <v>11</v>
      </c>
      <c r="CU38" s="325">
        <v>0</v>
      </c>
      <c r="CV38" s="325">
        <v>3</v>
      </c>
    </row>
    <row r="39" spans="1:100" s="359" customFormat="1" ht="18.75" customHeight="1" thickTop="1" thickBot="1">
      <c r="A39" s="355" t="s">
        <v>274</v>
      </c>
      <c r="B39" s="356" t="str">
        <f t="shared" ref="B39:O39" si="5">IF(ISERROR(AVERAGE(B8:B38)),"",AVERAGE(B8:B38))</f>
        <v/>
      </c>
      <c r="C39" s="356" t="str">
        <f t="shared" ref="C39" si="6">IF(ISERROR(AVERAGE(C8:C38)),"",AVERAGE(C8:C38))</f>
        <v/>
      </c>
      <c r="D39" s="356" t="str">
        <f t="shared" ref="D39" si="7">IF(ISERROR(AVERAGE(D8:D38)),"",AVERAGE(D8:D38))</f>
        <v/>
      </c>
      <c r="E39" s="356" t="str">
        <f t="shared" ref="E39" si="8">IF(ISERROR(AVERAGE(E8:E38)),"",AVERAGE(E8:E38))</f>
        <v/>
      </c>
      <c r="F39" s="356">
        <f t="shared" ref="F39:G39" si="9">IF(ISERROR(AVERAGE(F8:F38)),"",AVERAGE(F8:F38))</f>
        <v>3.6726190476190474</v>
      </c>
      <c r="G39" s="356">
        <f t="shared" si="9"/>
        <v>2.7552083333333335</v>
      </c>
      <c r="H39" s="356">
        <f t="shared" ref="H39" si="10">IF(ISERROR(AVERAGE(H8:H38)),"",AVERAGE(H8:H38))</f>
        <v>1.5608974358974359</v>
      </c>
      <c r="I39" s="356">
        <f t="shared" ref="I39" si="11">IF(ISERROR(AVERAGE(I8:I38)),"",AVERAGE(I8:I38))</f>
        <v>2.078125</v>
      </c>
      <c r="J39" s="356" t="str">
        <f t="shared" ref="J39" si="12">IF(ISERROR(AVERAGE(J8:J38)),"",AVERAGE(J8:J38))</f>
        <v/>
      </c>
      <c r="K39" s="356">
        <f t="shared" ref="K39" si="13">IF(ISERROR(AVERAGE(K8:K38)),"",AVERAGE(K8:K38))</f>
        <v>1.9047619047619049</v>
      </c>
      <c r="L39" s="356">
        <f t="shared" ref="L39:M39" si="14">IF(ISERROR(AVERAGE(L8:L38)),"",AVERAGE(L8:L38))</f>
        <v>1.875</v>
      </c>
      <c r="M39" s="356" t="str">
        <f t="shared" si="14"/>
        <v/>
      </c>
      <c r="N39" s="356" t="str">
        <f>IF(ISERROR(AVERAGE(N8:N38)),"",AVERAGE(N8:N38))</f>
        <v/>
      </c>
      <c r="O39" s="356" t="str">
        <f t="shared" si="5"/>
        <v/>
      </c>
      <c r="P39" s="356">
        <f t="shared" ref="P39" si="15">IF(ISERROR(AVERAGE(P8:P38)),"",AVERAGE(P8:P38))</f>
        <v>3.0243055555555558</v>
      </c>
      <c r="Q39" s="356" t="str">
        <f t="shared" ref="Q39" si="16">IF(ISERROR(AVERAGE(Q8:Q38)),"",AVERAGE(Q8:Q38))</f>
        <v/>
      </c>
      <c r="R39" s="356" t="str">
        <f t="shared" ref="R39" si="17">IF(ISERROR(AVERAGE(R8:R38)),"",AVERAGE(R8:R38))</f>
        <v/>
      </c>
      <c r="S39" s="356">
        <f t="shared" ref="S39:T39" si="18">IF(ISERROR(AVERAGE(S8:S38)),"",AVERAGE(S8:S38))</f>
        <v>1.5885185185185184</v>
      </c>
      <c r="T39" s="356" t="str">
        <f t="shared" si="18"/>
        <v/>
      </c>
      <c r="U39" s="356" t="str">
        <f t="shared" ref="U39" si="19">IF(ISERROR(AVERAGE(U8:U38)),"",AVERAGE(U8:U38))</f>
        <v/>
      </c>
      <c r="V39" s="357"/>
      <c r="W39" s="358"/>
      <c r="X39" s="446" t="str">
        <f>IF(ISERROR(AVERAGE(X8:X38)),"",AVERAGE(X8:X38))</f>
        <v/>
      </c>
      <c r="Y39" s="356" t="str">
        <f>IF(ISERROR(AVERAGE(Y8:Y38)),"",AVERAGE(Y8:Y38))</f>
        <v/>
      </c>
      <c r="Z39" s="356">
        <f>IF(ISERROR(AVERAGE(Z8:Z38)),"",AVERAGE(Z8:Z38))</f>
        <v>4.7632051282051284</v>
      </c>
      <c r="AA39" s="356" t="str">
        <f>IF(ISERROR(AVERAGE(AA8:AA38)),"",AVERAGE(AA8:AA38))</f>
        <v/>
      </c>
      <c r="AB39" s="357"/>
      <c r="AC39" s="505"/>
      <c r="AD39" s="356">
        <f>IF(ISERROR(AVERAGE(AD8:AD38)),"",AVERAGE(AD8:AD38))</f>
        <v>4.5751111111111111</v>
      </c>
      <c r="AE39" s="356">
        <f t="shared" ref="AE39:AF39" si="20">IF(ISERROR(AVERAGE(AE8:AE38)),"",AVERAGE(AE8:AE38))</f>
        <v>5.2256944444444438</v>
      </c>
      <c r="AF39" s="356" t="str">
        <f t="shared" si="20"/>
        <v/>
      </c>
      <c r="AG39" s="356">
        <f t="shared" ref="AG39" si="21">IF(ISERROR(AVERAGE(AG8:AG38)),"",AVERAGE(AG8:AG38))</f>
        <v>5.3888888888888893</v>
      </c>
      <c r="AH39" s="356">
        <f t="shared" ref="AH39:AI39" si="22">IF(ISERROR(AVERAGE(AH8:AH38)),"",AVERAGE(AH8:AH38))</f>
        <v>5.8981481481481479</v>
      </c>
      <c r="AI39" s="356">
        <f t="shared" si="22"/>
        <v>6.791666666666667</v>
      </c>
      <c r="AJ39" s="356">
        <f t="shared" ref="AJ39:AL39" si="23">IF(ISERROR(AVERAGE(AJ8:AJ38)),"",AVERAGE(AJ8:AJ38))</f>
        <v>4.958333333333333</v>
      </c>
      <c r="AK39" s="356">
        <f t="shared" si="23"/>
        <v>3.9348148148148141</v>
      </c>
      <c r="AL39" s="356">
        <f t="shared" si="23"/>
        <v>3</v>
      </c>
      <c r="AM39" s="356" t="str">
        <f>IF(ISERROR(AVERAGE(AM8:AM38)),"",AVERAGE(AM8:AM38))</f>
        <v/>
      </c>
      <c r="AN39" s="356">
        <f>IF(ISERROR(AVERAGE(AN8:AN38)),"",AVERAGE(AN8:AN38))</f>
        <v>3.0763888888888893</v>
      </c>
      <c r="AO39" s="356">
        <f t="shared" ref="AO39" si="24">IF(ISERROR(AVERAGE(AO8:AO38)),"",AVERAGE(AO8:AO38))</f>
        <v>4.6013541666666669</v>
      </c>
      <c r="AP39" s="356"/>
      <c r="AQ39" s="358"/>
      <c r="AR39" s="1370" t="str">
        <f>IF(ISERROR(AVERAGE(AR8:AR38)),"",AVERAGE(AR8:AR38))</f>
        <v/>
      </c>
      <c r="AS39" s="1448" t="str">
        <f t="shared" ref="AS39" si="25">IF(ISERROR(AVERAGE(AS8:AS38)),"",AVERAGE(AS8:AS38))</f>
        <v/>
      </c>
      <c r="AT39" s="356" t="str">
        <f>IF(ISERROR(AVERAGE(AT8:AT38)),"",AVERAGE(AT8:AT38))</f>
        <v/>
      </c>
      <c r="AU39" s="356"/>
      <c r="AV39" s="358"/>
      <c r="AW39" s="356" t="str">
        <f t="shared" ref="AW39:BD39" si="26">IF(ISERROR(AVERAGE(AW8:AW38)),"",AVERAGE(AW8:AW38))</f>
        <v/>
      </c>
      <c r="AX39" s="356" t="str">
        <f t="shared" si="26"/>
        <v/>
      </c>
      <c r="AY39" s="356" t="str">
        <f t="shared" si="26"/>
        <v/>
      </c>
      <c r="AZ39" s="356" t="str">
        <f t="shared" si="26"/>
        <v/>
      </c>
      <c r="BA39" s="356" t="str">
        <f t="shared" si="26"/>
        <v/>
      </c>
      <c r="BB39" s="356" t="str">
        <f t="shared" si="26"/>
        <v/>
      </c>
      <c r="BC39" s="356" t="str">
        <f t="shared" si="26"/>
        <v/>
      </c>
      <c r="BD39" s="356" t="str">
        <f t="shared" si="26"/>
        <v/>
      </c>
      <c r="BE39" s="356"/>
      <c r="BF39" s="358"/>
    </row>
    <row r="40" spans="1:100" s="363" customFormat="1" ht="16.5" customHeight="1">
      <c r="A40" s="360">
        <f>SUM(B40:DI40)</f>
        <v>368</v>
      </c>
      <c r="B40" s="361">
        <f t="shared" ref="B40:O40" si="27">COUNTIF(B8:B38,"產銷停機")</f>
        <v>0</v>
      </c>
      <c r="C40" s="361">
        <f t="shared" ref="C40" si="28">COUNTIF(C8:C38,"產銷停機")</f>
        <v>31</v>
      </c>
      <c r="D40" s="361">
        <f t="shared" ref="D40" si="29">COUNTIF(D8:D38,"產銷停機")</f>
        <v>31</v>
      </c>
      <c r="E40" s="361">
        <f t="shared" ref="E40" si="30">COUNTIF(E8:E38,"產銷停機")</f>
        <v>31</v>
      </c>
      <c r="F40" s="361">
        <f t="shared" ref="F40:G40" si="31">COUNTIF(F8:F38,"產銷停機")</f>
        <v>0</v>
      </c>
      <c r="G40" s="361">
        <f t="shared" si="31"/>
        <v>0</v>
      </c>
      <c r="H40" s="361">
        <f t="shared" ref="H40" si="32">COUNTIF(H8:H38,"產銷停機")</f>
        <v>0</v>
      </c>
      <c r="I40" s="361">
        <f t="shared" ref="I40" si="33">COUNTIF(I8:I38,"產銷停機")</f>
        <v>0</v>
      </c>
      <c r="J40" s="361">
        <f t="shared" ref="J40" si="34">COUNTIF(J8:J38,"產銷停機")</f>
        <v>31</v>
      </c>
      <c r="K40" s="361">
        <f t="shared" ref="K40" si="35">COUNTIF(K8:K38,"產銷停機")</f>
        <v>0</v>
      </c>
      <c r="L40" s="361">
        <f t="shared" ref="L40:M40" si="36">COUNTIF(L8:L38,"產銷停機")</f>
        <v>1</v>
      </c>
      <c r="M40" s="361">
        <f t="shared" si="36"/>
        <v>0</v>
      </c>
      <c r="N40" s="361">
        <f>COUNTIF(N8:N38,"產銷停機")</f>
        <v>17</v>
      </c>
      <c r="O40" s="361">
        <f t="shared" si="27"/>
        <v>16</v>
      </c>
      <c r="P40" s="361">
        <f t="shared" ref="P40" si="37">COUNTIF(P8:P38,"產銷停機")</f>
        <v>1</v>
      </c>
      <c r="Q40" s="361">
        <f t="shared" ref="Q40" si="38">COUNTIF(Q8:Q38,"產銷停機")</f>
        <v>31</v>
      </c>
      <c r="R40" s="361">
        <f t="shared" ref="R40" si="39">COUNTIF(R8:R38,"產銷停機")</f>
        <v>15</v>
      </c>
      <c r="S40" s="361">
        <f t="shared" ref="S40:T40" si="40">COUNTIF(S8:S38,"產銷停機")</f>
        <v>7</v>
      </c>
      <c r="T40" s="361">
        <f t="shared" si="40"/>
        <v>31</v>
      </c>
      <c r="U40" s="361">
        <f t="shared" ref="U40" si="41">COUNTIF(U8:U38,"產銷停機")</f>
        <v>31</v>
      </c>
      <c r="V40" s="361"/>
      <c r="W40" s="361"/>
      <c r="X40" s="361">
        <f>COUNTIF(X8:X38,"產銷停機")</f>
        <v>31</v>
      </c>
      <c r="Y40" s="361">
        <f>COUNTIF(Y8:Y38,"產銷停機")</f>
        <v>1</v>
      </c>
      <c r="Z40" s="361">
        <f>COUNTIF(Z8:Z38,"產銷停機")</f>
        <v>0</v>
      </c>
      <c r="AA40" s="361">
        <f>COUNTIF(AA8:AA38,"產銷停機")</f>
        <v>31</v>
      </c>
      <c r="AB40" s="361"/>
      <c r="AC40" s="361"/>
      <c r="AD40" s="361">
        <f>COUNTIF(AD8:AD38,"產銷停機")</f>
        <v>0</v>
      </c>
      <c r="AE40" s="361">
        <f t="shared" ref="AE40:AF40" si="42">COUNTIF(AE8:AE38,"產銷停機")</f>
        <v>0</v>
      </c>
      <c r="AF40" s="361">
        <f t="shared" si="42"/>
        <v>0</v>
      </c>
      <c r="AG40" s="361">
        <f t="shared" ref="AG40" si="43">COUNTIF(AG8:AG38,"產銷停機")</f>
        <v>0</v>
      </c>
      <c r="AH40" s="361">
        <f t="shared" ref="AH40:AI40" si="44">COUNTIF(AH8:AH38,"產銷停機")</f>
        <v>0</v>
      </c>
      <c r="AI40" s="361">
        <f t="shared" si="44"/>
        <v>0</v>
      </c>
      <c r="AJ40" s="361">
        <f t="shared" ref="AJ40:AL40" si="45">COUNTIF(AJ8:AJ38,"產銷停機")</f>
        <v>0</v>
      </c>
      <c r="AK40" s="361">
        <f t="shared" si="45"/>
        <v>0</v>
      </c>
      <c r="AL40" s="361">
        <f t="shared" si="45"/>
        <v>0</v>
      </c>
      <c r="AM40" s="361">
        <f>COUNTIF(AM8:AM38,"產銷停機")</f>
        <v>0</v>
      </c>
      <c r="AN40" s="361">
        <f>COUNTIF(AN8:AN38,"產銷停機")</f>
        <v>0</v>
      </c>
      <c r="AO40" s="361">
        <f t="shared" ref="AO40" si="46">COUNTIF(AO8:AO38,"產銷停機")</f>
        <v>0</v>
      </c>
      <c r="AP40" s="361"/>
      <c r="AQ40" s="362"/>
      <c r="AR40" s="1308">
        <f>COUNTIF(AR8:AR38,"產銷停機")</f>
        <v>31</v>
      </c>
      <c r="AS40" s="361">
        <f t="shared" ref="AS40" si="47">COUNTIF(AS8:AS38,"產銷停機")</f>
        <v>0</v>
      </c>
      <c r="AT40" s="361">
        <f>COUNTIF(AT8:AT38,"產銷停機")</f>
        <v>0</v>
      </c>
      <c r="AU40" s="361"/>
      <c r="AV40" s="362"/>
      <c r="AW40" s="361">
        <f t="shared" ref="AW40:BD40" si="48">COUNTIF(AW8:AW38,"產銷停機")</f>
        <v>0</v>
      </c>
      <c r="AX40" s="361">
        <f t="shared" si="48"/>
        <v>0</v>
      </c>
      <c r="AY40" s="361">
        <f t="shared" si="48"/>
        <v>0</v>
      </c>
      <c r="AZ40" s="361">
        <f t="shared" si="48"/>
        <v>0</v>
      </c>
      <c r="BA40" s="361">
        <f t="shared" si="48"/>
        <v>0</v>
      </c>
      <c r="BB40" s="361">
        <f t="shared" si="48"/>
        <v>0</v>
      </c>
      <c r="BC40" s="361">
        <f t="shared" si="48"/>
        <v>0</v>
      </c>
      <c r="BD40" s="361">
        <f t="shared" si="48"/>
        <v>0</v>
      </c>
      <c r="BE40" s="361"/>
      <c r="BF40" s="361"/>
    </row>
    <row r="41" spans="1:100" s="363" customFormat="1" ht="16.5" customHeight="1" thickBot="1">
      <c r="A41" s="364">
        <f>SUM(B41:DI41)</f>
        <v>12.266666666666666</v>
      </c>
      <c r="B41" s="365" t="str">
        <f t="shared" ref="B41:O41" si="49">IF(B40=0,"",B40/30)</f>
        <v/>
      </c>
      <c r="C41" s="365">
        <f t="shared" ref="C41" si="50">IF(C40=0,"",C40/30)</f>
        <v>1.0333333333333334</v>
      </c>
      <c r="D41" s="365">
        <f t="shared" ref="D41" si="51">IF(D40=0,"",D40/30)</f>
        <v>1.0333333333333334</v>
      </c>
      <c r="E41" s="365">
        <f t="shared" ref="E41" si="52">IF(E40=0,"",E40/30)</f>
        <v>1.0333333333333334</v>
      </c>
      <c r="F41" s="365" t="str">
        <f t="shared" ref="F41:G41" si="53">IF(F40=0,"",F40/30)</f>
        <v/>
      </c>
      <c r="G41" s="365" t="str">
        <f t="shared" si="53"/>
        <v/>
      </c>
      <c r="H41" s="365" t="str">
        <f t="shared" ref="H41" si="54">IF(H40=0,"",H40/30)</f>
        <v/>
      </c>
      <c r="I41" s="365" t="str">
        <f t="shared" ref="I41" si="55">IF(I40=0,"",I40/30)</f>
        <v/>
      </c>
      <c r="J41" s="365">
        <f t="shared" ref="J41" si="56">IF(J40=0,"",J40/30)</f>
        <v>1.0333333333333334</v>
      </c>
      <c r="K41" s="365" t="str">
        <f t="shared" ref="K41" si="57">IF(K40=0,"",K40/30)</f>
        <v/>
      </c>
      <c r="L41" s="365">
        <f t="shared" ref="L41:M41" si="58">IF(L40=0,"",L40/30)</f>
        <v>3.3333333333333333E-2</v>
      </c>
      <c r="M41" s="365" t="str">
        <f t="shared" si="58"/>
        <v/>
      </c>
      <c r="N41" s="365">
        <f>IF(N40=0,"",N40/30)</f>
        <v>0.56666666666666665</v>
      </c>
      <c r="O41" s="365">
        <f t="shared" si="49"/>
        <v>0.53333333333333333</v>
      </c>
      <c r="P41" s="365">
        <f t="shared" ref="P41" si="59">IF(P40=0,"",P40/30)</f>
        <v>3.3333333333333333E-2</v>
      </c>
      <c r="Q41" s="365">
        <f t="shared" ref="Q41" si="60">IF(Q40=0,"",Q40/30)</f>
        <v>1.0333333333333334</v>
      </c>
      <c r="R41" s="365">
        <f t="shared" ref="R41" si="61">IF(R40=0,"",R40/30)</f>
        <v>0.5</v>
      </c>
      <c r="S41" s="365">
        <f t="shared" ref="S41:T41" si="62">IF(S40=0,"",S40/30)</f>
        <v>0.23333333333333334</v>
      </c>
      <c r="T41" s="365">
        <f t="shared" si="62"/>
        <v>1.0333333333333334</v>
      </c>
      <c r="U41" s="365">
        <f t="shared" ref="U41" si="63">IF(U40=0,"",U40/30)</f>
        <v>1.0333333333333334</v>
      </c>
      <c r="V41" s="365"/>
      <c r="W41" s="365"/>
      <c r="X41" s="365">
        <f>IF(X40=0,"",X40/30)</f>
        <v>1.0333333333333334</v>
      </c>
      <c r="Y41" s="365">
        <f>IF(Y40=0,"",Y40/30)</f>
        <v>3.3333333333333333E-2</v>
      </c>
      <c r="Z41" s="365" t="str">
        <f>IF(Z40=0,"",Z40/30)</f>
        <v/>
      </c>
      <c r="AA41" s="365">
        <f>IF(AA40=0,"",AA40/30)</f>
        <v>1.0333333333333334</v>
      </c>
      <c r="AB41" s="365"/>
      <c r="AC41" s="365"/>
      <c r="AD41" s="365" t="str">
        <f t="shared" ref="AD41" si="64">IF(AD40=0,"",AD40/30)</f>
        <v/>
      </c>
      <c r="AE41" s="365" t="str">
        <f t="shared" ref="AE41:AF41" si="65">IF(AE40=0,"",AE40/30)</f>
        <v/>
      </c>
      <c r="AF41" s="365" t="str">
        <f t="shared" si="65"/>
        <v/>
      </c>
      <c r="AG41" s="365" t="str">
        <f t="shared" ref="AG41" si="66">IF(AG40=0,"",AG40/30)</f>
        <v/>
      </c>
      <c r="AH41" s="365" t="str">
        <f t="shared" ref="AH41:AI41" si="67">IF(AH40=0,"",AH40/30)</f>
        <v/>
      </c>
      <c r="AI41" s="365" t="str">
        <f t="shared" si="67"/>
        <v/>
      </c>
      <c r="AJ41" s="365" t="str">
        <f t="shared" ref="AJ41:AL41" si="68">IF(AJ40=0,"",AJ40/30)</f>
        <v/>
      </c>
      <c r="AK41" s="365" t="str">
        <f t="shared" si="68"/>
        <v/>
      </c>
      <c r="AL41" s="365" t="str">
        <f t="shared" si="68"/>
        <v/>
      </c>
      <c r="AM41" s="365" t="str">
        <f>IF(AM40=0,"",AM40/30)</f>
        <v/>
      </c>
      <c r="AN41" s="365" t="str">
        <f>IF(AN40=0,"",AN40/30)</f>
        <v/>
      </c>
      <c r="AO41" s="365" t="str">
        <f t="shared" ref="AO41" si="69">IF(AO40=0,"",AO40/30)</f>
        <v/>
      </c>
      <c r="AP41" s="365"/>
      <c r="AQ41" s="366"/>
      <c r="AR41" s="1309">
        <f>IF(AR40=0,"",AR40/30)</f>
        <v>1.0333333333333334</v>
      </c>
      <c r="AS41" s="365" t="str">
        <f t="shared" ref="AS41" si="70">IF(AS40=0,"",AS40/30)</f>
        <v/>
      </c>
      <c r="AT41" s="365" t="str">
        <f>IF(AT40=0,"",AT40/30)</f>
        <v/>
      </c>
      <c r="AU41" s="365"/>
      <c r="AV41" s="366"/>
      <c r="AW41" s="365" t="str">
        <f t="shared" ref="AW41:BD41" si="71">IF(AW40=0,"",AW40/30)</f>
        <v/>
      </c>
      <c r="AX41" s="365" t="str">
        <f t="shared" si="71"/>
        <v/>
      </c>
      <c r="AY41" s="365" t="str">
        <f t="shared" si="71"/>
        <v/>
      </c>
      <c r="AZ41" s="365" t="str">
        <f t="shared" si="71"/>
        <v/>
      </c>
      <c r="BA41" s="365" t="str">
        <f t="shared" si="71"/>
        <v/>
      </c>
      <c r="BB41" s="365" t="str">
        <f t="shared" si="71"/>
        <v/>
      </c>
      <c r="BC41" s="365" t="str">
        <f t="shared" si="71"/>
        <v/>
      </c>
      <c r="BD41" s="365" t="str">
        <f t="shared" si="71"/>
        <v/>
      </c>
      <c r="BE41" s="365"/>
      <c r="BF41" s="365"/>
    </row>
    <row r="42" spans="1:100" s="363" customFormat="1" ht="14.25" customHeight="1">
      <c r="A42" s="74"/>
      <c r="L42" s="367"/>
      <c r="M42" s="367"/>
      <c r="S42" s="367"/>
      <c r="T42" s="367"/>
      <c r="U42" s="367"/>
      <c r="V42" s="367"/>
      <c r="W42" s="367"/>
      <c r="AB42" s="368"/>
      <c r="AP42" s="368"/>
      <c r="AU42" s="368"/>
      <c r="BE42" s="368"/>
    </row>
    <row r="43" spans="1:100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A區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B區</v>
      </c>
      <c r="M43" s="354" t="str">
        <f>IF(ISNA(VLOOKUP(M44,ABC區!$A:$B,2,0)),"",(VLOOKUP(M44,ABC區!$A:$B,2,0)))</f>
        <v>B區</v>
      </c>
      <c r="N43" s="354" t="str">
        <f>IF(ISNA(VLOOKUP(N44,ABC區!$A:$B,2,0)),"",(VLOOKUP(N44,ABC區!$A:$B,2,0)))</f>
        <v>C區</v>
      </c>
      <c r="O43" s="354" t="str">
        <f>IF(ISNA(VLOOKUP(O44,ABC區!$A:$B,2,0)),"",(VLOOKUP(O44,ABC區!$A:$B,2,0)))</f>
        <v>C區</v>
      </c>
      <c r="P43" s="354" t="str">
        <f>IF(ISNA(VLOOKUP(P44,ABC區!$A:$B,2,0)),"",(VLOOKUP(P44,ABC區!$A:$B,2,0)))</f>
        <v>A區</v>
      </c>
      <c r="Q43" s="354" t="str">
        <f>IF(ISNA(VLOOKUP(Q44,ABC區!$A:$B,2,0)),"",(VLOOKUP(Q44,ABC區!$A:$B,2,0)))</f>
        <v>A區</v>
      </c>
      <c r="R43" s="354" t="str">
        <f>IF(ISNA(VLOOKUP(R44,ABC區!$A:$B,2,0)),"",(VLOOKUP(R44,ABC區!$A:$B,2,0)))</f>
        <v>B區</v>
      </c>
      <c r="S43" s="354" t="str">
        <f>IF(ISNA(VLOOKUP(S44,ABC區!$A:$B,2,0)),"",(VLOOKUP(S44,ABC區!$A:$B,2,0)))</f>
        <v>B區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>C區</v>
      </c>
      <c r="V43" s="354" t="str">
        <f>IF(ISNA(VLOOKUP(V44,ABC區!$A:$B,2,0)),"",(VLOOKUP(V44,ABC區!$A:$B,2,0)))</f>
        <v/>
      </c>
      <c r="W43" s="354" t="str">
        <f>IF(ISNA(VLOOKUP(W44,ABC區!$A:$B,2,0)),"",(VLOOKUP(W44,ABC區!$A:$B,2,0)))</f>
        <v/>
      </c>
      <c r="X43" s="354" t="str">
        <f>IF(ISNA(VLOOKUP(X44,ABC區!$A:$B,2,0)),"",(VLOOKUP(X44,ABC區!$A:$B,2,0)))</f>
        <v>A區</v>
      </c>
      <c r="Y43" s="354" t="str">
        <f>IF(ISNA(VLOOKUP(Y44,ABC區!$A:$B,2,0)),"",(VLOOKUP(Y44,ABC區!$A:$B,2,0)))</f>
        <v>B區</v>
      </c>
      <c r="Z43" s="354" t="str">
        <f>IF(ISNA(VLOOKUP(Z44,ABC區!$A:$B,2,0)),"",(VLOOKUP(Z44,ABC區!$A:$B,2,0)))</f>
        <v>B區</v>
      </c>
      <c r="AA43" s="354" t="str">
        <f>IF(ISNA(VLOOKUP(AA44,ABC區!$A:$B,2,0)),"",(VLOOKUP(AA44,ABC區!$A:$B,2,0)))</f>
        <v>C區</v>
      </c>
      <c r="AB43" s="354" t="str">
        <f>IF(ISNA(VLOOKUP(AB44,ABC區!$A:$B,2,0)),"",(VLOOKUP(AB44,ABC區!$A:$B,2,0)))</f>
        <v/>
      </c>
      <c r="AC43" s="354" t="str">
        <f>IF(ISNA(VLOOKUP(AC44,ABC區!$A:$B,2,0)),"",(VLOOKUP(AC44,ABC區!$A:$B,2,0)))</f>
        <v/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>C區</v>
      </c>
      <c r="AF43" s="354" t="str">
        <f>IF(ISNA(VLOOKUP(AF44,ABC區!$A:$B,2,0)),"",(VLOOKUP(AF44,ABC區!$A:$B,2,0)))</f>
        <v>C區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B區</v>
      </c>
      <c r="AI43" s="354" t="str">
        <f>IF(ISNA(VLOOKUP(AI44,ABC區!$A:$B,2,0)),"",(VLOOKUP(AI44,ABC區!$A:$B,2,0)))</f>
        <v>B區</v>
      </c>
      <c r="AJ43" s="354" t="str">
        <f>IF(ISNA(VLOOKUP(AJ44,ABC區!$A:$B,2,0)),"",(VLOOKUP(AJ44,ABC區!$A:$B,2,0)))</f>
        <v>B區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A區</v>
      </c>
      <c r="AN43" s="354" t="str">
        <f>IF(ISNA(VLOOKUP(AN44,ABC區!$A:$B,2,0)),"",(VLOOKUP(AN44,ABC區!$A:$B,2,0)))</f>
        <v>A區</v>
      </c>
      <c r="AO43" s="354" t="str">
        <f>IF(ISNA(VLOOKUP(AO44,ABC區!$A:$B,2,0)),"",(VLOOKUP(AO44,ABC區!$A:$B,2,0)))</f>
        <v>A區</v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/>
      </c>
      <c r="AU43" s="354" t="str">
        <f>IF(ISNA(VLOOKUP(AU44,ABC區!$A:$B,2,0)),"",(VLOOKUP(AU44,ABC區!$A:$B,2,0)))</f>
        <v/>
      </c>
      <c r="AV43" s="354" t="str">
        <f>IF(ISNA(VLOOKUP(AV44,ABC區!$A:$B,2,0)),"",(VLOOKUP(AV44,ABC區!$A:$B,2,0)))</f>
        <v/>
      </c>
      <c r="AW43" s="354" t="str">
        <f>IF(ISNA(VLOOKUP(AW44,ABC區!$A:$B,2,0)),"",(VLOOKUP(AW44,ABC區!$A:$B,2,0)))</f>
        <v>A區</v>
      </c>
      <c r="AX43" s="354" t="str">
        <f>IF(ISNA(VLOOKUP(AX44,ABC區!$A:$B,2,0)),"",(VLOOKUP(AX44,ABC區!$A:$B,2,0)))</f>
        <v>A區</v>
      </c>
      <c r="AY43" s="354" t="str">
        <f>IF(ISNA(VLOOKUP(AY44,ABC區!$A:$B,2,0)),"",(VLOOKUP(AY44,ABC區!$A:$B,2,0)))</f>
        <v>B區</v>
      </c>
      <c r="AZ43" s="354" t="str">
        <f>IF(ISNA(VLOOKUP(AZ44,ABC區!$A:$B,2,0)),"",(VLOOKUP(AZ44,ABC區!$A:$B,2,0)))</f>
        <v>B區</v>
      </c>
      <c r="BA43" s="354" t="str">
        <f>IF(ISNA(VLOOKUP(BA44,ABC區!$A:$B,2,0)),"",(VLOOKUP(BA44,ABC區!$A:$B,2,0)))</f>
        <v>C區</v>
      </c>
      <c r="BB43" s="354" t="str">
        <f>IF(ISNA(VLOOKUP(BB44,ABC區!$A:$B,2,0)),"",(VLOOKUP(BB44,ABC區!$A:$B,2,0)))</f>
        <v>C區</v>
      </c>
      <c r="BC43" s="354" t="str">
        <f>IF(ISNA(VLOOKUP(BC44,ABC區!$A:$B,2,0)),"",(VLOOKUP(BC44,ABC區!$A:$B,2,0)))</f>
        <v/>
      </c>
      <c r="BD43" s="354" t="str">
        <f>IF(ISNA(VLOOKUP(BD44,ABC區!$A:$B,2,0)),"",(VLOOKUP(BD44,ABC區!$A:$B,2,0)))</f>
        <v/>
      </c>
      <c r="BE43" s="354" t="str">
        <f>IF(ISNA(VLOOKUP(BE44,ABC區!$A:$B,2,0)),"",(VLOOKUP(BE44,ABC區!$A:$B,2,0)))</f>
        <v/>
      </c>
      <c r="BF43" s="354" t="str">
        <f>IF(ISNA(VLOOKUP(BF44,ABC區!$A:$B,2,0)),"",(VLOOKUP(BF44,ABC區!$A:$B,2,0)))</f>
        <v/>
      </c>
    </row>
    <row r="44" spans="1:100" s="328" customFormat="1" ht="20.25" customHeight="1">
      <c r="A44" s="328" t="s">
        <v>38</v>
      </c>
      <c r="B44" s="328" t="str">
        <f t="shared" ref="B44:O44" si="72">LEFTB(B3,3)</f>
        <v>A07</v>
      </c>
      <c r="C44" s="328" t="str">
        <f t="shared" ref="C44" si="73">LEFTB(C3,3)</f>
        <v>A08</v>
      </c>
      <c r="D44" s="328" t="str">
        <f t="shared" ref="D44" si="74">LEFTB(D3,3)</f>
        <v>A09</v>
      </c>
      <c r="E44" s="328" t="str">
        <f t="shared" ref="E44" si="75">LEFTB(E3,3)</f>
        <v>A10</v>
      </c>
      <c r="F44" s="328" t="str">
        <f t="shared" ref="F44:G44" si="76">LEFTB(F3,3)</f>
        <v>A11</v>
      </c>
      <c r="G44" s="328" t="str">
        <f t="shared" si="76"/>
        <v>A11</v>
      </c>
      <c r="H44" s="328" t="str">
        <f t="shared" ref="H44" si="77">LEFTB(H3,3)</f>
        <v>A12</v>
      </c>
      <c r="I44" s="328" t="str">
        <f t="shared" ref="I44" si="78">LEFTB(I3,3)</f>
        <v>A13</v>
      </c>
      <c r="J44" s="328" t="str">
        <f t="shared" ref="J44" si="79">LEFTB(J3,3)</f>
        <v>A14</v>
      </c>
      <c r="K44" s="328" t="str">
        <f t="shared" ref="K44" si="80">LEFTB(K3,3)</f>
        <v>A15</v>
      </c>
      <c r="L44" s="328" t="str">
        <f t="shared" ref="L44:M44" si="81">LEFTB(L3,3)</f>
        <v>A16</v>
      </c>
      <c r="M44" s="328" t="str">
        <f t="shared" si="81"/>
        <v>A16</v>
      </c>
      <c r="N44" s="328" t="str">
        <f>LEFTB(N3,3)</f>
        <v>A17</v>
      </c>
      <c r="O44" s="328" t="str">
        <f t="shared" si="72"/>
        <v>A18</v>
      </c>
      <c r="P44" s="328" t="str">
        <f t="shared" ref="P44" si="82">LEFTB(P3,3)</f>
        <v>A19</v>
      </c>
      <c r="Q44" s="328" t="str">
        <f t="shared" ref="Q44" si="83">LEFTB(Q3,3)</f>
        <v>A20</v>
      </c>
      <c r="R44" s="328" t="str">
        <f t="shared" ref="R44" si="84">LEFTB(R3,3)</f>
        <v>A21</v>
      </c>
      <c r="S44" s="328" t="str">
        <f t="shared" ref="S44:T44" si="85">LEFTB(S3,3)</f>
        <v>A22</v>
      </c>
      <c r="T44" s="328" t="str">
        <f t="shared" si="85"/>
        <v>A23</v>
      </c>
      <c r="U44" s="328" t="str">
        <f t="shared" ref="U44" si="86">LEFTB(U3,3)</f>
        <v>A24</v>
      </c>
      <c r="V44" s="328" t="str">
        <f t="shared" ref="V44:AC44" si="87">LEFTB(V3,3)</f>
        <v/>
      </c>
      <c r="W44" s="328" t="str">
        <f t="shared" si="87"/>
        <v/>
      </c>
      <c r="X44" s="328" t="str">
        <f t="shared" si="87"/>
        <v>J07</v>
      </c>
      <c r="Y44" s="328" t="str">
        <f>LEFTB(Y3,3)</f>
        <v>J08</v>
      </c>
      <c r="Z44" s="328" t="str">
        <f>LEFTB(Z3,3)</f>
        <v>J08</v>
      </c>
      <c r="AA44" s="328" t="str">
        <f t="shared" si="87"/>
        <v>J09</v>
      </c>
      <c r="AB44" s="328" t="str">
        <f t="shared" si="87"/>
        <v/>
      </c>
      <c r="AC44" s="328" t="str">
        <f t="shared" si="87"/>
        <v/>
      </c>
      <c r="AD44" s="328" t="str">
        <f t="shared" ref="AD44" si="88">LEFTB(AD3,3)</f>
        <v>T01</v>
      </c>
      <c r="AE44" s="328" t="str">
        <f t="shared" ref="AE44:AF44" si="89">LEFTB(AE3,3)</f>
        <v>T02</v>
      </c>
      <c r="AF44" s="328" t="str">
        <f t="shared" si="89"/>
        <v>T02</v>
      </c>
      <c r="AG44" s="328" t="str">
        <f t="shared" ref="AG44" si="90">LEFTB(AG3,3)</f>
        <v>T03</v>
      </c>
      <c r="AH44" s="328" t="str">
        <f t="shared" ref="AH44:AI44" si="91">LEFTB(AH3,3)</f>
        <v>T03</v>
      </c>
      <c r="AI44" s="328" t="str">
        <f t="shared" si="91"/>
        <v>T03</v>
      </c>
      <c r="AJ44" s="328" t="str">
        <f t="shared" ref="AJ44:AL44" si="92">LEFTB(AJ3,3)</f>
        <v>T04</v>
      </c>
      <c r="AK44" s="328" t="str">
        <f t="shared" si="92"/>
        <v>T04</v>
      </c>
      <c r="AL44" s="328" t="str">
        <f t="shared" si="92"/>
        <v>T04</v>
      </c>
      <c r="AM44" s="328" t="str">
        <f>LEFTB(AM3,3)</f>
        <v>T05</v>
      </c>
      <c r="AN44" s="328" t="str">
        <f>LEFTB(AN3,3)</f>
        <v>T05</v>
      </c>
      <c r="AO44" s="328" t="str">
        <f t="shared" ref="AO44" si="93">LEFTB(AO3,3)</f>
        <v>T06</v>
      </c>
      <c r="AP44" s="790"/>
      <c r="AR44" s="328" t="str">
        <f>LEFTB(AR3,3)</f>
        <v>S01</v>
      </c>
      <c r="AS44" s="328" t="str">
        <f t="shared" ref="AS44" si="94">LEFTB(AS3,3)</f>
        <v>S01</v>
      </c>
      <c r="AT44" s="328" t="str">
        <f t="shared" ref="AT44:AY44" si="95">LEFTB(AT3,3)</f>
        <v>S02</v>
      </c>
      <c r="AU44" s="328" t="str">
        <f t="shared" si="95"/>
        <v/>
      </c>
      <c r="AV44" s="328" t="str">
        <f t="shared" si="95"/>
        <v/>
      </c>
      <c r="AW44" s="328" t="str">
        <f t="shared" si="95"/>
        <v>M01</v>
      </c>
      <c r="AX44" s="328" t="str">
        <f t="shared" si="95"/>
        <v>M02</v>
      </c>
      <c r="AY44" s="328" t="str">
        <f t="shared" si="95"/>
        <v>M03</v>
      </c>
      <c r="AZ44" s="328" t="str">
        <f t="shared" ref="AZ44:BF44" si="96">LEFTB(AZ3,3)</f>
        <v>M04</v>
      </c>
      <c r="BA44" s="328" t="str">
        <f t="shared" si="96"/>
        <v>M05</v>
      </c>
      <c r="BB44" s="328" t="str">
        <f t="shared" si="96"/>
        <v>M06</v>
      </c>
      <c r="BC44" s="328" t="str">
        <f t="shared" si="96"/>
        <v>M07</v>
      </c>
      <c r="BD44" s="328" t="str">
        <f t="shared" si="96"/>
        <v>M08</v>
      </c>
      <c r="BE44" s="328" t="str">
        <f t="shared" si="96"/>
        <v/>
      </c>
      <c r="BF44" s="328" t="str">
        <f t="shared" si="96"/>
        <v/>
      </c>
    </row>
    <row r="45" spans="1:100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0.95194373901152574</v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0.938919259882254</v>
      </c>
      <c r="J45" s="788" t="str">
        <f>IF(ISNA(VLOOKUP(J4,日報表!$A$4:$N$181,11,0)),"",(VLOOKUP(J4,日報表!$A$4:$N$181,11,0)))</f>
        <v/>
      </c>
      <c r="K45" s="788">
        <f>IF(ISNA(VLOOKUP(K4,日報表!$A$4:$N$181,11,0)),"",(VLOOKUP(K4,日報表!$A$4:$N$181,11,0)))</f>
        <v>0.9691988776749445</v>
      </c>
      <c r="L45" s="788">
        <f>IF(ISNA(VLOOKUP(L4,日報表!$A$4:$N$181,11,0)),"",(VLOOKUP(L4,日報表!$A$4:$N$181,11,0)))</f>
        <v>1</v>
      </c>
      <c r="M45" s="788">
        <f>IF(ISNA(VLOOKUP(M4,日報表!$A$4:$N$181,11,0)),"",(VLOOKUP(M4,日報表!$A$4:$N$181,11,0)))</f>
        <v>0</v>
      </c>
      <c r="N45" s="788">
        <f>IF(ISNA(VLOOKUP(N4,日報表!$A$4:$N$181,11,0)),"",(VLOOKUP(N4,日報表!$A$4:$N$181,11,0)))</f>
        <v>0</v>
      </c>
      <c r="O45" s="788">
        <f>IF(ISNA(VLOOKUP(O4,日報表!$A$4:$N$181,11,0)),"",(VLOOKUP(O4,日報表!$A$4:$N$181,11,0)))</f>
        <v>0</v>
      </c>
      <c r="P45" s="788">
        <f>IF(ISNA(VLOOKUP(P4,日報表!$A$4:$N$181,11,0)),"",(VLOOKUP(P4,日報表!$A$4:$N$181,11,0)))</f>
        <v>0.91943751541898522</v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0</v>
      </c>
      <c r="S45" s="788">
        <f>IF(ISNA(VLOOKUP(S4,日報表!$A$4:$N$181,11,0)),"",(VLOOKUP(S4,日報表!$A$4:$N$181,11,0)))</f>
        <v>1</v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 t="str">
        <f>IF(ISNA(VLOOKUP(X4,日報表!$A$4:$N$181,11,0)),"",(VLOOKUP(X4,日報表!$A$4:$N$181,11,0)))</f>
        <v/>
      </c>
      <c r="Y45" s="788">
        <f>IF(ISNA(VLOOKUP(Y4,日報表!$A$4:$N$181,11,0)),"",(VLOOKUP(Y4,日報表!$A$4:$N$181,11,0)))</f>
        <v>0.87835681999468229</v>
      </c>
      <c r="Z45" s="788">
        <f>IF(ISNA(VLOOKUP(Z4,日報表!$A$4:$N$181,11,0)),"",(VLOOKUP(Z4,日報表!$A$4:$N$181,11,0)))</f>
        <v>0.98522389228119622</v>
      </c>
      <c r="AA45" s="788" t="str">
        <f>IF(ISNA(VLOOKUP(AA4,日報表!$A$4:$N$181,11,0)),"",(VLOOKUP(AA4,日報表!$A$4:$N$181,11,0)))</f>
        <v/>
      </c>
      <c r="AB45" s="788" t="str">
        <f>IF(ISNA(VLOOKUP(AB4,日報表!$A$4:$N$181,11,0)),"",(VLOOKUP(AB4,日報表!$A$4:$N$181,11,0)))</f>
        <v/>
      </c>
      <c r="AC45" s="788" t="str">
        <f>IF(ISNA(VLOOKUP(AC4,日報表!$A$4:$N$181,11,0)),"",(VLOOKUP(AC4,日報表!$A$4:$N$181,11,0)))</f>
        <v/>
      </c>
      <c r="AD45" s="788">
        <f>IF(ISNA(VLOOKUP(AD4,日報表!$A$4:$N$181,11,0)),"",(VLOOKUP(AD4,日報表!$A$4:$N$181,11,0)))</f>
        <v>0.98132572227399817</v>
      </c>
      <c r="AE45" s="788">
        <f>IF(ISNA(VLOOKUP(AE4,日報表!$A$4:$N$181,11,0)),"",(VLOOKUP(AE4,日報表!$A$4:$N$181,11,0)))</f>
        <v>0.98063897453327187</v>
      </c>
      <c r="AF45" s="788">
        <f>IF(ISNA(VLOOKUP(AF4,日報表!$A$4:$N$181,11,0)),"",(VLOOKUP(AF4,日報表!$A$4:$N$181,11,0)))</f>
        <v>0</v>
      </c>
      <c r="AG45" s="788">
        <f>IF(ISNA(VLOOKUP(AG4,日報表!$A$4:$N$181,11,0)),"",(VLOOKUP(AG4,日報表!$A$4:$N$181,11,0)))</f>
        <v>0.94972500590478115</v>
      </c>
      <c r="AH45" s="788">
        <f>IF(ISNA(VLOOKUP(AH4,日報表!$A$4:$N$181,11,0)),"",(VLOOKUP(AH4,日報表!$A$4:$N$181,11,0)))</f>
        <v>0.956214078239911</v>
      </c>
      <c r="AI45" s="788">
        <f>IF(ISNA(VLOOKUP(AI4,日報表!$A$4:$N$181,11,0)),"",(VLOOKUP(AI4,日報表!$A$4:$N$181,11,0)))</f>
        <v>1</v>
      </c>
      <c r="AJ45" s="788">
        <f>IF(ISNA(VLOOKUP(AJ4,日報表!$A$4:$N$181,11,0)),"",(VLOOKUP(AJ4,日報表!$A$4:$N$181,11,0)))</f>
        <v>0.97467352592006329</v>
      </c>
      <c r="AK45" s="788">
        <f>IF(ISNA(VLOOKUP(AK4,日報表!$A$4:$N$181,11,0)),"",(VLOOKUP(AK4,日報表!$A$4:$N$181,11,0)))</f>
        <v>1</v>
      </c>
      <c r="AL45" s="788">
        <f>IF(ISNA(VLOOKUP(AL4,日報表!$A$4:$N$181,11,0)),"",(VLOOKUP(AL4,日報表!$A$4:$N$181,11,0)))</f>
        <v>0</v>
      </c>
      <c r="AM45" s="788">
        <f>IF(ISNA(VLOOKUP(AM4,日報表!$A$4:$N$181,11,0)),"",(VLOOKUP(AM4,日報表!$A$4:$N$181,11,0)))</f>
        <v>0.87686767709341074</v>
      </c>
      <c r="AN45" s="788">
        <f>IF(ISNA(VLOOKUP(AN4,日報表!$A$4:$N$181,11,0)),"",(VLOOKUP(AN4,日報表!$A$4:$N$181,11,0)))</f>
        <v>0.9875896809647382</v>
      </c>
      <c r="AO45" s="788">
        <f>IF(ISNA(VLOOKUP(AO4,日報表!$A$4:$N$181,11,0)),"",(VLOOKUP(AO4,日報表!$A$4:$N$181,11,0)))</f>
        <v>0.98252176429986859</v>
      </c>
      <c r="AR45" s="788" t="str">
        <f>IF(ISNA(VLOOKUP(AR4,日報表!$A$4:$N$181,11,0)),"",(VLOOKUP(AR4,日報表!$A$4:$N$181,11,0)))</f>
        <v/>
      </c>
      <c r="AS45" s="788">
        <f>IF(ISNA(VLOOKUP(AS4,日報表!$A$4:$N$181,11,0)),"",(VLOOKUP(AS4,日報表!$A$4:$N$181,11,0)))</f>
        <v>0.85584415584415585</v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</row>
    <row r="46" spans="1:100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0.77619326691411084</v>
      </c>
      <c r="G46" s="788">
        <f>IF(ISNA(VLOOKUP(G4,日報表!$A$4:$N$181,14,0)),"",(VLOOKUP(G4,日報表!$A$4:$N$181,14,0)))</f>
        <v>0.92442426208238726</v>
      </c>
      <c r="H46" s="788">
        <f>IF(ISNA(VLOOKUP(H4,日報表!$A$4:$N$181,14,0)),"",(VLOOKUP(H4,日報表!$A$4:$N$181,14,0)))</f>
        <v>0.96153846153846156</v>
      </c>
      <c r="I46" s="788">
        <f>IF(ISNA(VLOOKUP(I4,日報表!$A$4:$N$181,14,0)),"",(VLOOKUP(I4,日報表!$A$4:$N$181,14,0)))</f>
        <v>0.84650967199327165</v>
      </c>
      <c r="J46" s="788" t="str">
        <f>IF(ISNA(VLOOKUP(J4,日報表!$A$4:$N$181,14,0)),"",(VLOOKUP(J4,日報表!$A$4:$N$181,14,0)))</f>
        <v/>
      </c>
      <c r="K46" s="788">
        <f>IF(ISNA(VLOOKUP(K4,日報表!$A$4:$N$181,14,0)),"",(VLOOKUP(K4,日報表!$A$4:$N$181,14,0)))</f>
        <v>0.93910967795971356</v>
      </c>
      <c r="L46" s="788">
        <f>IF(ISNA(VLOOKUP(L4,日報表!$A$4:$N$181,14,0)),"",(VLOOKUP(L4,日報表!$A$4:$N$181,14,0)))</f>
        <v>0.92885600455321571</v>
      </c>
      <c r="M46" s="788">
        <f>IF(ISNA(VLOOKUP(M4,日報表!$A$4:$N$181,14,0)),"",(VLOOKUP(M4,日報表!$A$4:$N$181,14,0)))</f>
        <v>0</v>
      </c>
      <c r="N46" s="788">
        <f>IF(ISNA(VLOOKUP(N4,日報表!$A$4:$N$181,14,0)),"",(VLOOKUP(N4,日報表!$A$4:$N$181,14,0)))</f>
        <v>0</v>
      </c>
      <c r="O46" s="788">
        <f>IF(ISNA(VLOOKUP(O4,日報表!$A$4:$N$181,14,0)),"",(VLOOKUP(O4,日報表!$A$4:$N$181,14,0)))</f>
        <v>0</v>
      </c>
      <c r="P46" s="788">
        <f>IF(ISNA(VLOOKUP(P4,日報表!$A$4:$N$181,14,0)),"",(VLOOKUP(P4,日報表!$A$4:$N$181,14,0)))</f>
        <v>0.8799100901839314</v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</v>
      </c>
      <c r="S46" s="788">
        <f>IF(ISNA(VLOOKUP(S4,日報表!$A$4:$N$181,14,0)),"",(VLOOKUP(S4,日報表!$A$4:$N$181,14,0)))</f>
        <v>0.96122778675282716</v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 t="str">
        <f>IF(ISNA(VLOOKUP(X4,日報表!$A$4:$N$181,14,0)),"",(VLOOKUP(X4,日報表!$A$4:$N$181,14,0)))</f>
        <v/>
      </c>
      <c r="Y46" s="788">
        <f>IF(ISNA(VLOOKUP(Y4,日報表!$A$4:$N$181,14,0)),"",(VLOOKUP(Y4,日報表!$A$4:$N$181,14,0)))</f>
        <v>0.61419835150225999</v>
      </c>
      <c r="Z46" s="788">
        <f>IF(ISNA(VLOOKUP(Z4,日報表!$A$4:$N$181,14,0)),"",(VLOOKUP(Z4,日報表!$A$4:$N$181,14,0)))</f>
        <v>0.90740958196336308</v>
      </c>
      <c r="AA46" s="788" t="str">
        <f>IF(ISNA(VLOOKUP(AA4,日報表!$A$4:$N$181,14,0)),"",(VLOOKUP(AA4,日報表!$A$4:$N$181,14,0)))</f>
        <v/>
      </c>
      <c r="AB46" s="788" t="str">
        <f>IF(ISNA(VLOOKUP(AB4,日報表!$A$4:$N$181,14,0)),"",(VLOOKUP(AB4,日報表!$A$4:$N$181,14,0)))</f>
        <v/>
      </c>
      <c r="AC46" s="788" t="str">
        <f>IF(ISNA(VLOOKUP(AC4,日報表!$A$4:$N$181,14,0)),"",(VLOOKUP(AC4,日報表!$A$4:$N$181,14,0)))</f>
        <v/>
      </c>
      <c r="AD46" s="788">
        <f>IF(ISNA(VLOOKUP(AD4,日報表!$A$4:$N$181,14,0)),"",(VLOOKUP(AD4,日報表!$A$4:$N$181,14,0)))</f>
        <v>0.93610205032618821</v>
      </c>
      <c r="AE46" s="788">
        <f>IF(ISNA(VLOOKUP(AE4,日報表!$A$4:$N$181,14,0)),"",(VLOOKUP(AE4,日報表!$A$4:$N$181,14,0)))</f>
        <v>0.94334927532713453</v>
      </c>
      <c r="AF46" s="788">
        <f>IF(ISNA(VLOOKUP(AF4,日報表!$A$4:$N$181,14,0)),"",(VLOOKUP(AF4,日報表!$A$4:$N$181,14,0)))</f>
        <v>0</v>
      </c>
      <c r="AG46" s="788">
        <f>IF(ISNA(VLOOKUP(AG4,日報表!$A$4:$N$181,14,0)),"",(VLOOKUP(AG4,日報表!$A$4:$N$181,14,0)))</f>
        <v>0.89297162330870195</v>
      </c>
      <c r="AH46" s="788">
        <f>IF(ISNA(VLOOKUP(AH4,日報表!$A$4:$N$181,14,0)),"",(VLOOKUP(AH4,日報表!$A$4:$N$181,14,0)))</f>
        <v>0.91310796613311906</v>
      </c>
      <c r="AI46" s="788">
        <f>IF(ISNA(VLOOKUP(AI4,日報表!$A$4:$N$181,14,0)),"",(VLOOKUP(AI4,日報表!$A$4:$N$181,14,0)))</f>
        <v>1</v>
      </c>
      <c r="AJ46" s="788">
        <f>IF(ISNA(VLOOKUP(AJ4,日報表!$A$4:$N$181,14,0)),"",(VLOOKUP(AJ4,日報表!$A$4:$N$181,14,0)))</f>
        <v>0.93091751936231559</v>
      </c>
      <c r="AK46" s="788">
        <f>IF(ISNA(VLOOKUP(AK4,日報表!$A$4:$N$181,14,0)),"",(VLOOKUP(AK4,日報表!$A$4:$N$181,14,0)))</f>
        <v>1</v>
      </c>
      <c r="AL46" s="788">
        <f>IF(ISNA(VLOOKUP(AL4,日報表!$A$4:$N$181,14,0)),"",(VLOOKUP(AL4,日報表!$A$4:$N$181,14,0)))</f>
        <v>0</v>
      </c>
      <c r="AM46" s="788">
        <f>IF(ISNA(VLOOKUP(AM4,日報表!$A$4:$N$181,14,0)),"",(VLOOKUP(AM4,日報表!$A$4:$N$181,14,0)))</f>
        <v>0.73605288616575293</v>
      </c>
      <c r="AN46" s="788">
        <f>IF(ISNA(VLOOKUP(AN4,日報表!$A$4:$N$181,14,0)),"",(VLOOKUP(AN4,日報表!$A$4:$N$181,14,0)))</f>
        <v>0.952068386505877</v>
      </c>
      <c r="AO46" s="788">
        <f>IF(ISNA(VLOOKUP(AO4,日報表!$A$4:$N$181,14,0)),"",(VLOOKUP(AO4,日報表!$A$4:$N$181,14,0)))</f>
        <v>0.9489346069066863</v>
      </c>
      <c r="AR46" s="788" t="str">
        <f>IF(ISNA(VLOOKUP(AR4,日報表!$A$4:$N$181,14,0)),"",(VLOOKUP(AR4,日報表!$A$4:$N$181,14,0)))</f>
        <v/>
      </c>
      <c r="AS46" s="788">
        <f>IF(ISNA(VLOOKUP(AS4,日報表!$A$4:$N$181,14,0)),"",(VLOOKUP(AS4,日報表!$A$4:$N$181,14,0)))</f>
        <v>0.52597402597402598</v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</row>
    <row r="47" spans="1:100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15357</v>
      </c>
      <c r="G47" s="354">
        <f>IF(ISNA(VLOOKUP(G4,日報表!$A$4:$N$181,7,0)),"",(VLOOKUP(G4,日報表!$A$4:$N$181,7,0)))</f>
        <v>9249</v>
      </c>
      <c r="H47" s="354">
        <f>IF(ISNA(VLOOKUP(H4,日報表!$A$4:$N$181,7,0)),"",(VLOOKUP(H4,日報表!$A$4:$N$181,7,0)))</f>
        <v>18408</v>
      </c>
      <c r="I47" s="354">
        <f>IF(ISNA(VLOOKUP(I4,日報表!$A$4:$N$181,7,0)),"",(VLOOKUP(I4,日報表!$A$4:$N$181,7,0)))</f>
        <v>19024</v>
      </c>
      <c r="J47" s="354" t="str">
        <f>IF(ISNA(VLOOKUP(J4,日報表!$A$4:$N$181,7,0)),"",(VLOOKUP(J4,日報表!$A$4:$N$181,7,0)))</f>
        <v/>
      </c>
      <c r="K47" s="354">
        <f>IF(ISNA(VLOOKUP(K4,日報表!$A$4:$N$181,7,0)),"",(VLOOKUP(K4,日報表!$A$4:$N$181,7,0)))</f>
        <v>47758</v>
      </c>
      <c r="L47" s="354">
        <f>IF(ISNA(VLOOKUP(L4,日報表!$A$4:$N$181,7,0)),"",(VLOOKUP(L4,日報表!$A$4:$N$181,7,0)))</f>
        <v>8785</v>
      </c>
      <c r="M47" s="354">
        <f>IF(ISNA(VLOOKUP(M4,日報表!$A$4:$N$181,7,0)),"",(VLOOKUP(M4,日報表!$A$4:$N$181,7,0)))</f>
        <v>0</v>
      </c>
      <c r="N47" s="354">
        <f>IF(ISNA(VLOOKUP(N4,日報表!$A$4:$N$181,7,0)),"",(VLOOKUP(N4,日報表!$A$4:$N$181,7,0)))</f>
        <v>0</v>
      </c>
      <c r="O47" s="354">
        <f>IF(ISNA(VLOOKUP(O4,日報表!$A$4:$N$181,7,0)),"",(VLOOKUP(O4,日報表!$A$4:$N$181,7,0)))</f>
        <v>0</v>
      </c>
      <c r="P47" s="354">
        <f>IF(ISNA(VLOOKUP(P4,日報表!$A$4:$N$181,7,0)),"",(VLOOKUP(P4,日報表!$A$4:$N$181,7,0)))</f>
        <v>36481</v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0</v>
      </c>
      <c r="S47" s="354">
        <f>IF(ISNA(VLOOKUP(S4,日報表!$A$4:$N$181,7,0)),"",(VLOOKUP(S4,日報表!$A$4:$N$181,7,0)))</f>
        <v>18570</v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 t="str">
        <f>IF(ISNA(VLOOKUP(X4,日報表!$A$4:$N$181,7,0)),"",(VLOOKUP(X4,日報表!$A$4:$N$181,7,0)))</f>
        <v/>
      </c>
      <c r="Y47" s="354">
        <f>IF(ISNA(VLOOKUP(Y4,日報表!$A$4:$N$181,7,0)),"",(VLOOKUP(Y4,日報表!$A$4:$N$181,7,0)))</f>
        <v>7522</v>
      </c>
      <c r="Z47" s="354">
        <f>IF(ISNA(VLOOKUP(Z4,日報表!$A$4:$N$181,7,0)),"",(VLOOKUP(Z4,日報表!$A$4:$N$181,7,0)))</f>
        <v>51096</v>
      </c>
      <c r="AA47" s="354" t="str">
        <f>IF(ISNA(VLOOKUP(AA4,日報表!$A$4:$N$181,7,0)),"",(VLOOKUP(AA4,日報表!$A$4:$N$181,7,0)))</f>
        <v/>
      </c>
      <c r="AB47" s="354" t="str">
        <f>IF(ISNA(VLOOKUP(AB4,日報表!$A$4:$N$181,7,0)),"",(VLOOKUP(AB4,日報表!$A$4:$N$181,7,0)))</f>
        <v/>
      </c>
      <c r="AC47" s="354" t="str">
        <f>IF(ISNA(VLOOKUP(AC4,日報表!$A$4:$N$181,7,0)),"",(VLOOKUP(AC4,日報表!$A$4:$N$181,7,0)))</f>
        <v/>
      </c>
      <c r="AD47" s="354">
        <f>IF(ISNA(VLOOKUP(AD4,日報表!$A$4:$N$181,7,0)),"",(VLOOKUP(AD4,日報表!$A$4:$N$181,7,0)))</f>
        <v>85840</v>
      </c>
      <c r="AE47" s="354">
        <f>IF(ISNA(VLOOKUP(AE4,日報表!$A$4:$N$181,7,0)),"",(VLOOKUP(AE4,日報表!$A$4:$N$181,7,0)))</f>
        <v>82382</v>
      </c>
      <c r="AF47" s="354">
        <f>IF(ISNA(VLOOKUP(AF4,日報表!$A$4:$N$181,7,0)),"",(VLOOKUP(AF4,日報表!$A$4:$N$181,7,0)))</f>
        <v>0</v>
      </c>
      <c r="AG47" s="354">
        <f>IF(ISNA(VLOOKUP(AG4,日報表!$A$4:$N$181,7,0)),"",(VLOOKUP(AG4,日報表!$A$4:$N$181,7,0)))</f>
        <v>29637</v>
      </c>
      <c r="AH47" s="354">
        <f>IF(ISNA(VLOOKUP(AH4,日報表!$A$4:$N$181,7,0)),"",(VLOOKUP(AH4,日報表!$A$4:$N$181,7,0)))</f>
        <v>32362</v>
      </c>
      <c r="AI47" s="354">
        <f>IF(ISNA(VLOOKUP(AI4,日報表!$A$4:$N$181,7,0)),"",(VLOOKUP(AI4,日報表!$A$4:$N$181,7,0)))</f>
        <v>4125</v>
      </c>
      <c r="AJ47" s="354">
        <f>IF(ISNA(VLOOKUP(AJ4,日報表!$A$4:$N$181,7,0)),"",(VLOOKUP(AJ4,日報表!$A$4:$N$181,7,0)))</f>
        <v>17689</v>
      </c>
      <c r="AK47" s="354">
        <f>IF(ISNA(VLOOKUP(AK4,日報表!$A$4:$N$181,7,0)),"",(VLOOKUP(AK4,日報表!$A$4:$N$181,7,0)))</f>
        <v>26466</v>
      </c>
      <c r="AL47" s="354">
        <f>IF(ISNA(VLOOKUP(AL4,日報表!$A$4:$N$181,7,0)),"",(VLOOKUP(AL4,日報表!$A$4:$N$181,7,0)))</f>
        <v>0</v>
      </c>
      <c r="AM47" s="354">
        <f>IF(ISNA(VLOOKUP(AM4,日報表!$A$4:$N$181,7,0)),"",(VLOOKUP(AM4,日報表!$A$4:$N$181,7,0)))</f>
        <v>18606</v>
      </c>
      <c r="AN47" s="354">
        <f>IF(ISNA(VLOOKUP(AN4,日報表!$A$4:$N$181,7,0)),"",(VLOOKUP(AN4,日報表!$A$4:$N$181,7,0)))</f>
        <v>65510</v>
      </c>
      <c r="AO47" s="354">
        <f>IF(ISNA(VLOOKUP(AO4,日報表!$A$4:$N$181,7,0)),"",(VLOOKUP(AO4,日報表!$A$4:$N$181,7,0)))</f>
        <v>89826</v>
      </c>
      <c r="AR47" s="354" t="str">
        <f>IF(ISNA(VLOOKUP(AR4,日報表!$A$4:$N$181,7,0)),"",(VLOOKUP(AR4,日報表!$A$4:$N$181,7,0)))</f>
        <v/>
      </c>
      <c r="AS47" s="354">
        <f>IF(ISNA(VLOOKUP(AS4,日報表!$A$4:$N$181,7,0)),"",(VLOOKUP(AS4,日報表!$A$4:$N$181,7,0)))</f>
        <v>1540</v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</row>
    <row r="48" spans="1:100" ht="17.25" customHeight="1"/>
    <row r="49" spans="1:58" ht="17.25" customHeight="1"/>
    <row r="51" spans="1:58" s="831" customFormat="1" ht="14.25" customHeight="1"/>
    <row r="52" spans="1:58" ht="14.25" customHeight="1">
      <c r="A52" s="826" t="s">
        <v>488</v>
      </c>
      <c r="B52" s="330" t="str">
        <f t="shared" ref="B52" si="97">B3</f>
        <v>A07</v>
      </c>
      <c r="C52" s="330" t="str">
        <f t="shared" ref="C52" si="98">C3</f>
        <v>A08</v>
      </c>
      <c r="D52" s="330" t="str">
        <f t="shared" ref="D52" si="99">D3</f>
        <v>A09</v>
      </c>
      <c r="E52" s="330" t="str">
        <f t="shared" ref="E52" si="100">E3</f>
        <v>A10</v>
      </c>
      <c r="F52" s="330" t="str">
        <f t="shared" ref="F52:G52" si="101">F3</f>
        <v>A11</v>
      </c>
      <c r="G52" s="330" t="str">
        <f t="shared" si="101"/>
        <v>A11</v>
      </c>
      <c r="H52" s="330" t="str">
        <f t="shared" ref="H52" si="102">H3</f>
        <v>A12</v>
      </c>
      <c r="I52" s="330" t="str">
        <f t="shared" ref="I52" si="103">I3</f>
        <v>A13</v>
      </c>
      <c r="J52" s="330" t="str">
        <f t="shared" ref="J52" si="104">J3</f>
        <v>A14</v>
      </c>
      <c r="K52" s="330" t="str">
        <f t="shared" ref="K52" si="105">K3</f>
        <v>A15</v>
      </c>
      <c r="L52" s="330" t="str">
        <f t="shared" ref="L52:M52" si="106">L3</f>
        <v>A16</v>
      </c>
      <c r="M52" s="330" t="str">
        <f t="shared" si="106"/>
        <v>A16</v>
      </c>
      <c r="N52" s="330" t="str">
        <f>N3</f>
        <v>A17</v>
      </c>
      <c r="O52" s="330" t="str">
        <f t="shared" ref="O52" si="107">O3</f>
        <v>A18</v>
      </c>
      <c r="P52" s="330" t="str">
        <f t="shared" ref="P52:P54" si="108">P3</f>
        <v>A19</v>
      </c>
      <c r="Q52" s="330" t="str">
        <f t="shared" ref="Q52" si="109">Q3</f>
        <v>A20</v>
      </c>
      <c r="R52" s="330" t="str">
        <f t="shared" ref="R52:R54" si="110">R3</f>
        <v>A21</v>
      </c>
      <c r="S52" s="330" t="str">
        <f t="shared" ref="S52:T52" si="111">S3</f>
        <v>A22</v>
      </c>
      <c r="T52" s="330" t="str">
        <f t="shared" si="111"/>
        <v>A23</v>
      </c>
      <c r="U52" s="330" t="str">
        <f t="shared" ref="U52" si="112">U3</f>
        <v>A24</v>
      </c>
      <c r="X52" s="330" t="str">
        <f t="shared" ref="X52:AA54" si="113">X3</f>
        <v>J07</v>
      </c>
      <c r="Y52" s="330" t="str">
        <f t="shared" ref="Y52:Z52" si="114">Y3</f>
        <v>J08</v>
      </c>
      <c r="Z52" s="330" t="str">
        <f t="shared" si="114"/>
        <v>J08</v>
      </c>
      <c r="AA52" s="330" t="str">
        <f t="shared" si="113"/>
        <v>J09</v>
      </c>
      <c r="AD52" s="330" t="str">
        <f>AD3</f>
        <v>T01</v>
      </c>
      <c r="AE52" s="330" t="str">
        <f t="shared" ref="AE52:AF52" si="115">AE3</f>
        <v>T02</v>
      </c>
      <c r="AF52" s="330" t="str">
        <f t="shared" si="115"/>
        <v>T02</v>
      </c>
      <c r="AG52" s="330" t="str">
        <f t="shared" ref="AG52" si="116">AG3</f>
        <v>T03(L)</v>
      </c>
      <c r="AH52" s="330" t="str">
        <f t="shared" ref="AH52:AI52" si="117">AH3</f>
        <v>T03(R)</v>
      </c>
      <c r="AI52" s="330" t="str">
        <f t="shared" si="117"/>
        <v>T03</v>
      </c>
      <c r="AJ52" s="330" t="str">
        <f t="shared" ref="AJ52:AL52" si="118">AJ3</f>
        <v>T04(R)</v>
      </c>
      <c r="AK52" s="330" t="str">
        <f t="shared" si="118"/>
        <v>T04(R)</v>
      </c>
      <c r="AL52" s="330" t="str">
        <f t="shared" si="118"/>
        <v>T04(L)</v>
      </c>
      <c r="AM52" s="330" t="str">
        <f t="shared" ref="AM52:AN52" si="119">AM3</f>
        <v>T05</v>
      </c>
      <c r="AN52" s="330" t="str">
        <f t="shared" si="119"/>
        <v>T05</v>
      </c>
      <c r="AO52" s="330" t="str">
        <f t="shared" ref="AO52" si="120">AO3</f>
        <v>T06</v>
      </c>
      <c r="AR52" s="330" t="str">
        <f t="shared" ref="AR52:AT54" si="121">AR3</f>
        <v>S01-1~3,7~12</v>
      </c>
      <c r="AS52" s="330" t="str">
        <f t="shared" ref="AS52" si="122">AS3</f>
        <v>S01-4~6</v>
      </c>
      <c r="AT52" s="330" t="str">
        <f t="shared" si="121"/>
        <v>S02-1~5</v>
      </c>
      <c r="AW52" s="330" t="str">
        <f t="shared" ref="AW52:BF52" si="123">AW3</f>
        <v>M01</v>
      </c>
      <c r="AX52" s="330" t="str">
        <f t="shared" si="123"/>
        <v>M02</v>
      </c>
      <c r="AY52" s="330" t="str">
        <f t="shared" si="123"/>
        <v>M03</v>
      </c>
      <c r="AZ52" s="330" t="str">
        <f t="shared" si="123"/>
        <v>M04</v>
      </c>
      <c r="BA52" s="330" t="str">
        <f t="shared" si="123"/>
        <v>M05</v>
      </c>
      <c r="BB52" s="330" t="str">
        <f t="shared" si="123"/>
        <v>M06</v>
      </c>
      <c r="BC52" s="330" t="str">
        <f t="shared" si="123"/>
        <v>M07</v>
      </c>
      <c r="BD52" s="330" t="str">
        <f t="shared" si="123"/>
        <v>M08</v>
      </c>
      <c r="BE52" s="330">
        <f t="shared" si="123"/>
        <v>0</v>
      </c>
      <c r="BF52" s="330">
        <f t="shared" si="123"/>
        <v>0</v>
      </c>
    </row>
    <row r="53" spans="1:58" ht="14.25" customHeight="1">
      <c r="A53" s="826" t="s">
        <v>489</v>
      </c>
      <c r="B53" s="330" t="str">
        <f t="shared" ref="B53" si="124">B4</f>
        <v>待料停機</v>
      </c>
      <c r="C53" s="330" t="str">
        <f t="shared" ref="C53" si="125">C4</f>
        <v>產銷停機</v>
      </c>
      <c r="D53" s="330" t="str">
        <f t="shared" ref="D53" si="126">D4</f>
        <v>產銷停機</v>
      </c>
      <c r="E53" s="330" t="str">
        <f t="shared" ref="E53" si="127">E4</f>
        <v>產銷停機</v>
      </c>
      <c r="F53" s="330" t="str">
        <f t="shared" ref="F53:G53" si="128">F4</f>
        <v>2FA062</v>
      </c>
      <c r="G53" s="330" t="str">
        <f t="shared" si="128"/>
        <v>2FA072</v>
      </c>
      <c r="H53" s="330" t="str">
        <f t="shared" ref="H53" si="129">H4</f>
        <v>2F43R2</v>
      </c>
      <c r="I53" s="330" t="str">
        <f t="shared" ref="I53" si="130">I4</f>
        <v>2F08R2</v>
      </c>
      <c r="J53" s="330" t="str">
        <f t="shared" ref="J53" si="131">J4</f>
        <v>產銷停機</v>
      </c>
      <c r="K53" s="330" t="str">
        <f t="shared" ref="K53" si="132">K4</f>
        <v>2F43P2</v>
      </c>
      <c r="L53" s="330" t="str">
        <f t="shared" ref="L53:M53" si="133">L4</f>
        <v>2F08S2</v>
      </c>
      <c r="M53" s="330" t="str">
        <f t="shared" si="133"/>
        <v>2F08T2</v>
      </c>
      <c r="N53" s="330" t="str">
        <f>N4</f>
        <v>2FA092</v>
      </c>
      <c r="O53" s="330" t="str">
        <f t="shared" ref="O53" si="134">O4</f>
        <v>2F7E31</v>
      </c>
      <c r="P53" s="330" t="str">
        <f t="shared" si="108"/>
        <v>2F43S2</v>
      </c>
      <c r="Q53" s="330" t="str">
        <f t="shared" ref="Q53" si="135">Q4</f>
        <v>產銷停機</v>
      </c>
      <c r="R53" s="330" t="str">
        <f t="shared" si="110"/>
        <v>2F7E22</v>
      </c>
      <c r="S53" s="330" t="str">
        <f t="shared" ref="S53:T53" si="136">S4</f>
        <v>2F6IQ2</v>
      </c>
      <c r="T53" s="330" t="str">
        <f t="shared" si="136"/>
        <v>產銷停機</v>
      </c>
      <c r="U53" s="330" t="str">
        <f t="shared" ref="U53" si="137">U4</f>
        <v>產銷停機</v>
      </c>
      <c r="X53" s="330" t="str">
        <f t="shared" si="113"/>
        <v>產銷停機</v>
      </c>
      <c r="Y53" s="330" t="str">
        <f t="shared" ref="Y53:Z53" si="138">Y4</f>
        <v>2F6IF2</v>
      </c>
      <c r="Z53" s="330" t="str">
        <f t="shared" si="138"/>
        <v>2F6IN2</v>
      </c>
      <c r="AA53" s="330" t="str">
        <f t="shared" si="113"/>
        <v>產銷停機</v>
      </c>
      <c r="AD53" s="330" t="str">
        <f>AD4</f>
        <v>2F6IK2</v>
      </c>
      <c r="AE53" s="330" t="str">
        <f t="shared" ref="AE53:AF53" si="139">AE4</f>
        <v>2F6IL2</v>
      </c>
      <c r="AF53" s="330" t="str">
        <f t="shared" si="139"/>
        <v>2F6IU2</v>
      </c>
      <c r="AG53" s="330" t="str">
        <f t="shared" ref="AG53" si="140">AG4</f>
        <v>2F6IB1</v>
      </c>
      <c r="AH53" s="330" t="str">
        <f t="shared" ref="AH53:AI53" si="141">AH4</f>
        <v>2F6ID2</v>
      </c>
      <c r="AI53" s="330" t="str">
        <f t="shared" si="141"/>
        <v>2F6IT2</v>
      </c>
      <c r="AJ53" s="330" t="str">
        <f t="shared" ref="AJ53" si="142">AJ4</f>
        <v>2F7E03</v>
      </c>
      <c r="AK53" s="330" t="str">
        <f t="shared" ref="AK53:AL53" si="143">AK4</f>
        <v>2F7E13</v>
      </c>
      <c r="AL53" s="330" t="str">
        <f t="shared" si="143"/>
        <v>2FA082</v>
      </c>
      <c r="AM53" s="330" t="str">
        <f t="shared" ref="AM53:AN53" si="144">AM4</f>
        <v>2F6II2</v>
      </c>
      <c r="AN53" s="330" t="str">
        <f t="shared" si="144"/>
        <v>2F6IR2</v>
      </c>
      <c r="AO53" s="330" t="str">
        <f t="shared" ref="AO53" si="145">AO4</f>
        <v>2F6IM2</v>
      </c>
      <c r="AR53" s="330" t="str">
        <f t="shared" si="121"/>
        <v>產銷停機</v>
      </c>
      <c r="AS53" s="330" t="str">
        <f t="shared" ref="AS53" si="146">AS4</f>
        <v>2F43Q2</v>
      </c>
      <c r="AT53" s="330" t="str">
        <f t="shared" si="121"/>
        <v>絲開發</v>
      </c>
      <c r="AW53" s="330" t="str">
        <f t="shared" ref="AW53:BF53" si="147">AW4</f>
        <v>封存</v>
      </c>
      <c r="AX53" s="330" t="str">
        <f t="shared" si="147"/>
        <v>封存</v>
      </c>
      <c r="AY53" s="330" t="str">
        <f t="shared" si="147"/>
        <v>封存</v>
      </c>
      <c r="AZ53" s="330" t="str">
        <f t="shared" si="147"/>
        <v>封存</v>
      </c>
      <c r="BA53" s="330" t="str">
        <f t="shared" si="147"/>
        <v>封存</v>
      </c>
      <c r="BB53" s="330" t="str">
        <f t="shared" si="147"/>
        <v>封存</v>
      </c>
      <c r="BC53" s="330" t="str">
        <f t="shared" si="147"/>
        <v>封存</v>
      </c>
      <c r="BD53" s="330" t="str">
        <f t="shared" si="147"/>
        <v>封存</v>
      </c>
      <c r="BE53" s="330" t="str">
        <f t="shared" si="147"/>
        <v>日</v>
      </c>
      <c r="BF53" s="330" t="str">
        <f t="shared" si="147"/>
        <v>月</v>
      </c>
    </row>
    <row r="54" spans="1:58" ht="14.25" customHeight="1">
      <c r="A54" s="826" t="s">
        <v>41</v>
      </c>
      <c r="B54" s="330">
        <f t="shared" ref="B54" si="148">B5</f>
        <v>0</v>
      </c>
      <c r="C54" s="330">
        <f t="shared" ref="C54" si="149">C5</f>
        <v>0</v>
      </c>
      <c r="D54" s="330">
        <f t="shared" ref="D54" si="150">D5</f>
        <v>0</v>
      </c>
      <c r="E54" s="330">
        <f t="shared" ref="E54" si="151">E5</f>
        <v>0</v>
      </c>
      <c r="F54" s="330" t="str">
        <f t="shared" ref="F54:G54" si="152">F5</f>
        <v>75/72SRR5</v>
      </c>
      <c r="G54" s="330" t="str">
        <f t="shared" si="152"/>
        <v>75/72SRR5</v>
      </c>
      <c r="H54" s="330" t="str">
        <f t="shared" ref="H54" si="153">H5</f>
        <v>75/72/2SDr</v>
      </c>
      <c r="I54" s="330" t="str">
        <f t="shared" ref="I54" si="154">I5</f>
        <v>50/72BSD3</v>
      </c>
      <c r="J54" s="330">
        <f t="shared" ref="J54" si="155">J5</f>
        <v>0</v>
      </c>
      <c r="K54" s="330" t="str">
        <f t="shared" ref="K54" si="156">K5</f>
        <v>150/48CDR</v>
      </c>
      <c r="L54" s="330" t="str">
        <f t="shared" ref="L54:M54" si="157">L5</f>
        <v>50/36SDr</v>
      </c>
      <c r="M54" s="330" t="str">
        <f t="shared" si="157"/>
        <v>50/72F2FC</v>
      </c>
      <c r="N54" s="330" t="str">
        <f>N5</f>
        <v>75/72F2FC</v>
      </c>
      <c r="O54" s="330" t="str">
        <f t="shared" ref="O54" si="158">O5</f>
        <v>165/48/2SR6</v>
      </c>
      <c r="P54" s="330" t="str">
        <f t="shared" si="108"/>
        <v>150/48SDr</v>
      </c>
      <c r="Q54" s="330">
        <f t="shared" ref="Q54" si="159">Q5</f>
        <v>0</v>
      </c>
      <c r="R54" s="330" t="str">
        <f t="shared" si="110"/>
        <v>165/48SR6</v>
      </c>
      <c r="S54" s="330" t="str">
        <f t="shared" ref="S54:T54" si="160">S5</f>
        <v>150/48/2CE</v>
      </c>
      <c r="T54" s="330">
        <f t="shared" si="160"/>
        <v>0</v>
      </c>
      <c r="U54" s="330">
        <f t="shared" ref="U54" si="161">U5</f>
        <v>0</v>
      </c>
      <c r="X54" s="330">
        <f t="shared" si="113"/>
        <v>0</v>
      </c>
      <c r="Y54" s="330" t="str">
        <f t="shared" ref="Y54:Z54" si="162">Y5</f>
        <v>150/48/2SDr</v>
      </c>
      <c r="Z54" s="330" t="str">
        <f t="shared" si="162"/>
        <v>150/48/2SDr</v>
      </c>
      <c r="AA54" s="330">
        <f t="shared" si="113"/>
        <v>0</v>
      </c>
      <c r="AD54" s="330" t="str">
        <f>AD5</f>
        <v>150/48/2SDr</v>
      </c>
      <c r="AE54" s="330" t="str">
        <f t="shared" ref="AE54:AF54" si="163">AE5</f>
        <v>150/48/2SDr</v>
      </c>
      <c r="AF54" s="330" t="str">
        <f t="shared" si="163"/>
        <v>150/48/2SDr</v>
      </c>
      <c r="AG54" s="330" t="str">
        <f t="shared" ref="AG54" si="164">AG5</f>
        <v>150/48/2SDR</v>
      </c>
      <c r="AH54" s="330" t="str">
        <f t="shared" ref="AH54:AI54" si="165">AH5</f>
        <v>150/48/2SDR</v>
      </c>
      <c r="AI54" s="330" t="str">
        <f t="shared" si="165"/>
        <v>150/48/2SDr</v>
      </c>
      <c r="AJ54" s="330" t="str">
        <f t="shared" ref="AJ54" si="166">AJ5</f>
        <v>225/72/2SDr</v>
      </c>
      <c r="AK54" s="330" t="str">
        <f t="shared" ref="AK54:AL54" si="167">AK5</f>
        <v>225/72/2SDr</v>
      </c>
      <c r="AL54" s="330" t="str">
        <f t="shared" si="167"/>
        <v>75/72BFSD</v>
      </c>
      <c r="AM54" s="330" t="str">
        <f t="shared" ref="AM54:AN54" si="168">AM5</f>
        <v>150/48/2SDr</v>
      </c>
      <c r="AN54" s="330" t="str">
        <f t="shared" si="168"/>
        <v>150/48/2SDr</v>
      </c>
      <c r="AO54" s="330" t="str">
        <f t="shared" ref="AO54" si="169">AO5</f>
        <v>150/48/2SDr</v>
      </c>
      <c r="AR54" s="330">
        <f t="shared" si="121"/>
        <v>0</v>
      </c>
      <c r="AS54" s="330" t="str">
        <f t="shared" ref="AS54" si="170">AS5</f>
        <v>75/72/2SDFFR</v>
      </c>
      <c r="AT54" s="330">
        <f t="shared" si="121"/>
        <v>0</v>
      </c>
      <c r="AW54" s="330">
        <f t="shared" ref="AW54:BF54" si="171">AW5</f>
        <v>0</v>
      </c>
      <c r="AX54" s="330">
        <f t="shared" si="171"/>
        <v>0</v>
      </c>
      <c r="AY54" s="330">
        <f t="shared" si="171"/>
        <v>0</v>
      </c>
      <c r="AZ54" s="330">
        <f t="shared" si="171"/>
        <v>0</v>
      </c>
      <c r="BA54" s="330">
        <f t="shared" si="171"/>
        <v>0</v>
      </c>
      <c r="BB54" s="330">
        <f t="shared" si="171"/>
        <v>0</v>
      </c>
      <c r="BC54" s="330">
        <f t="shared" si="171"/>
        <v>0</v>
      </c>
      <c r="BD54" s="330">
        <f t="shared" si="171"/>
        <v>0</v>
      </c>
      <c r="BE54" s="330">
        <f t="shared" si="171"/>
        <v>0</v>
      </c>
      <c r="BF54" s="330">
        <f t="shared" si="171"/>
        <v>0</v>
      </c>
    </row>
    <row r="55" spans="1:58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橘底黑三角</v>
      </c>
      <c r="H55" s="330" t="str">
        <f>VLOOKUP(H$4,整理!$4:$181,10,0)</f>
        <v>白底藍三角</v>
      </c>
      <c r="I55" s="330" t="str">
        <f>VLOOKUP(I$4,整理!$4:$181,10,0)</f>
        <v>洋綠色</v>
      </c>
      <c r="J55" s="330" t="e">
        <f>VLOOKUP(J$4,整理!$4:$181,10,0)</f>
        <v>#N/A</v>
      </c>
      <c r="K55" s="330" t="str">
        <f>VLOOKUP(K$4,整理!$4:$181,10,0)</f>
        <v>綠藍雙色</v>
      </c>
      <c r="L55" s="330" t="str">
        <f>VLOOKUP(L$4,整理!$4:$181,10,0)</f>
        <v>白黑條紋</v>
      </c>
      <c r="M55" s="330" t="str">
        <f>VLOOKUP(M$4,整理!$4:$181,10,0)</f>
        <v/>
      </c>
      <c r="N55" s="330" t="str">
        <f>VLOOKUP(N$4,整理!$4:$181,10,0)</f>
        <v/>
      </c>
      <c r="O55" s="330" t="str">
        <f>VLOOKUP(O$4,整理!$4:$181,10,0)</f>
        <v>黃色</v>
      </c>
      <c r="P55" s="330" t="str">
        <f>VLOOKUP(P$4,整理!$4:$181,10,0)</f>
        <v>藍底白十字</v>
      </c>
      <c r="Q55" s="330" t="e">
        <f>VLOOKUP(Q$4,整理!$4:$181,10,0)</f>
        <v>#N/A</v>
      </c>
      <c r="R55" s="330" t="str">
        <f>VLOOKUP(R$4,整理!$4:$181,10,0)</f>
        <v>綠藍三角</v>
      </c>
      <c r="S55" s="330" t="str">
        <f>VLOOKUP(S$4,整理!$4:$181,10,0)</f>
        <v>白底紅三角</v>
      </c>
      <c r="T55" s="330" t="e">
        <f>VLOOKUP(T$4,整理!$4:$181,10,0)</f>
        <v>#N/A</v>
      </c>
      <c r="U55" s="330" t="e">
        <f>VLOOKUP(U$4,整理!$4:$181,10,0)</f>
        <v>#N/A</v>
      </c>
      <c r="X55" s="330" t="e">
        <f>VLOOKUP(X$4,整理!$4:$181,10,0)</f>
        <v>#N/A</v>
      </c>
      <c r="Y55" s="330" t="str">
        <f>VLOOKUP(Y$4,整理!$4:$181,10,0)</f>
        <v>紅白直條</v>
      </c>
      <c r="Z55" s="330" t="str">
        <f>VLOOKUP(Z$4,整理!$4:$181,10,0)</f>
        <v>黑白直條</v>
      </c>
      <c r="AA55" s="330" t="e">
        <f>VLOOKUP(AA$4,整理!$4:$181,10,0)</f>
        <v>#N/A</v>
      </c>
      <c r="AD55" s="330" t="str">
        <f>VLOOKUP(AD$4,整理!$4:$181,10,0)</f>
        <v>白底綠星</v>
      </c>
      <c r="AE55" s="330" t="str">
        <f>VLOOKUP(AE$4,整理!$4:$181,10,0)</f>
        <v>黃底綠星</v>
      </c>
      <c r="AF55" s="330" t="str">
        <f>VLOOKUP(AF$4,整理!$4:$181,10,0)</f>
        <v>白桔方塊</v>
      </c>
      <c r="AG55" s="330" t="str">
        <f>VLOOKUP(AG$4,整理!$4:$181,10,0)</f>
        <v>黃底紅點</v>
      </c>
      <c r="AH55" s="330" t="str">
        <f>VLOOKUP(AH$4,整理!$4:$181,10,0)</f>
        <v>紅底藍點</v>
      </c>
      <c r="AI55" s="330" t="str">
        <f>VLOOKUP(AI$4,整理!$4:$181,10,0)</f>
        <v>棕色</v>
      </c>
      <c r="AJ55" s="330" t="str">
        <f>VLOOKUP(AJ$4,整理!$4:$181,10,0)</f>
        <v>灰色</v>
      </c>
      <c r="AK55" s="330" t="str">
        <f>VLOOKUP(AK$4,整理!$4:$181,10,0)</f>
        <v>白紅條紋</v>
      </c>
      <c r="AL55" s="330" t="str">
        <f>VLOOKUP(AL$4,整理!$4:$181,10,0)</f>
        <v>白底紫十字</v>
      </c>
      <c r="AM55" s="330" t="str">
        <f>VLOOKUP(AM$4,整理!$4:$181,10,0)</f>
        <v>黃紅雙色</v>
      </c>
      <c r="AN55" s="330" t="str">
        <f>VLOOKUP(AN$4,整理!$4:$181,10,0)</f>
        <v>白底黑點</v>
      </c>
      <c r="AO55" s="330" t="str">
        <f>VLOOKUP(AO$4,整理!$4:$181,10,0)</f>
        <v>黃綠條紋</v>
      </c>
      <c r="AR55" s="330" t="e">
        <f>VLOOKUP(AR$4,整理!$4:$181,10,0)</f>
        <v>#N/A</v>
      </c>
      <c r="AS55" s="330" t="str">
        <f>VLOOKUP(AS$4,整理!$4:$181,10,0)</f>
        <v>白底紅十字</v>
      </c>
      <c r="AT55" s="330" t="e">
        <f>VLOOKUP(AT$4,整理!$4:$181,10,0)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</row>
    <row r="56" spans="1:58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5</v>
      </c>
      <c r="I56" s="330">
        <f>VLOOKUP(I$4,整理!$4:$181,11,0)</f>
        <v>2</v>
      </c>
      <c r="J56" s="330" t="e">
        <f>VLOOKUP(J$4,整理!$4:$181,11,0)</f>
        <v>#N/A</v>
      </c>
      <c r="K56" s="330">
        <f>VLOOKUP(K$4,整理!$4:$181,11,0)</f>
        <v>5</v>
      </c>
      <c r="L56" s="330">
        <f>VLOOKUP(L$4,整理!$4:$181,11,0)</f>
        <v>4</v>
      </c>
      <c r="M56" s="330">
        <f>VLOOKUP(M$4,整理!$4:$181,11,0)</f>
        <v>0</v>
      </c>
      <c r="N56" s="330">
        <f>VLOOKUP(N$4,整理!$4:$181,11,0)</f>
        <v>0</v>
      </c>
      <c r="O56" s="330">
        <f>VLOOKUP(O$4,整理!$4:$181,11,0)</f>
        <v>5</v>
      </c>
      <c r="P56" s="330">
        <f>VLOOKUP(P$4,整理!$4:$181,11,0)</f>
        <v>5</v>
      </c>
      <c r="Q56" s="330" t="e">
        <f>VLOOKUP(Q$4,整理!$4:$181,11,0)</f>
        <v>#N/A</v>
      </c>
      <c r="R56" s="330">
        <f>VLOOKUP(R$4,整理!$4:$181,11,0)</f>
        <v>5</v>
      </c>
      <c r="S56" s="330">
        <f>VLOOKUP(S$4,整理!$4:$181,11,0)</f>
        <v>5</v>
      </c>
      <c r="T56" s="330" t="e">
        <f>VLOOKUP(T$4,整理!$4:$181,11,0)</f>
        <v>#N/A</v>
      </c>
      <c r="U56" s="330" t="e">
        <f>VLOOKUP(U$4,整理!$4:$181,11,0)</f>
        <v>#N/A</v>
      </c>
      <c r="X56" s="330" t="e">
        <f>VLOOKUP(X$4,整理!$4:$181,11,0)</f>
        <v>#N/A</v>
      </c>
      <c r="Y56" s="330">
        <f>VLOOKUP(Y$4,整理!$4:$181,11,0)</f>
        <v>5.5</v>
      </c>
      <c r="Z56" s="330">
        <f>VLOOKUP(Z$4,整理!$4:$181,11,0)</f>
        <v>5.5</v>
      </c>
      <c r="AA56" s="330" t="e">
        <f>VLOOKUP(AA$4,整理!$4:$181,11,0)</f>
        <v>#N/A</v>
      </c>
      <c r="AD56" s="330">
        <f>VLOOKUP(AD$4,整理!$4:$181,11,0)</f>
        <v>5.5</v>
      </c>
      <c r="AE56" s="330">
        <f>VLOOKUP(AE$4,整理!$4:$181,11,0)</f>
        <v>5.5</v>
      </c>
      <c r="AF56" s="330">
        <f>VLOOKUP(AF$4,整理!$4:$181,11,0)</f>
        <v>5.5</v>
      </c>
      <c r="AG56" s="330">
        <f>VLOOKUP(AG$4,整理!$4:$181,11,0)</f>
        <v>5</v>
      </c>
      <c r="AH56" s="330">
        <f>VLOOKUP(AH$4,整理!$4:$181,11,0)</f>
        <v>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5.5</v>
      </c>
      <c r="AL56" s="330">
        <f>VLOOKUP(AL$4,整理!$4:$181,11,0)</f>
        <v>5</v>
      </c>
      <c r="AM56" s="330">
        <f>VLOOKUP(AM$4,整理!$4:$181,11,0)</f>
        <v>5.5</v>
      </c>
      <c r="AN56" s="330">
        <f>VLOOKUP(AN$4,整理!$4:$181,11,0)</f>
        <v>5.5</v>
      </c>
      <c r="AO56" s="330">
        <f>VLOOKUP(AO$4,整理!$4:$181,11,0)</f>
        <v>5.5</v>
      </c>
      <c r="AR56" s="330" t="e">
        <f>VLOOKUP(AR$4,整理!$4:$181,11,0)</f>
        <v>#N/A</v>
      </c>
      <c r="AS56" s="330">
        <f>VLOOKUP(AS$4,整理!$4:$181,11,0)</f>
        <v>5</v>
      </c>
      <c r="AT56" s="330" t="e">
        <f>VLOOKUP(AT$4,整理!$4:$181,11,0)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</row>
    <row r="57" spans="1:58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 t="e">
        <f>VLOOKUP(H4,條件!$A:$M,13,0)</f>
        <v>#N/A</v>
      </c>
      <c r="I57" s="1031">
        <f>VLOOKUP(I4,條件!$A:$M,13,0)</f>
        <v>46141</v>
      </c>
      <c r="J57" s="1031" t="e">
        <f>VLOOKUP(J4,條件!$A:$M,13,0)</f>
        <v>#N/A</v>
      </c>
      <c r="K57" s="1031">
        <f>VLOOKUP(K4,條件!$A:$M,13,0)</f>
        <v>46148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 t="e">
        <f>VLOOKUP(T4,條件!$A:$M,13,0)</f>
        <v>#N/A</v>
      </c>
      <c r="U57" s="1031" t="e">
        <f>VLOOKUP(U4,條件!$A:$M,13,0)</f>
        <v>#N/A</v>
      </c>
      <c r="V57" s="1031"/>
      <c r="W57" s="1031"/>
      <c r="X57" s="1031" t="e">
        <f>VLOOKUP(X4,條件!$A:$M,13,0)</f>
        <v>#N/A</v>
      </c>
      <c r="Y57" s="1031">
        <f>VLOOKUP(Y4,條件!$A:$M,13,0)</f>
        <v>46150</v>
      </c>
      <c r="Z57" s="1031" t="e">
        <f>VLOOKUP(Z4,條件!$A:$M,13,0)</f>
        <v>#N/A</v>
      </c>
      <c r="AA57" s="1031" t="e">
        <f>VLOOKUP(AA4,條件!$A:$M,13,0)</f>
        <v>#N/A</v>
      </c>
      <c r="AB57" s="1031"/>
      <c r="AC57" s="1031"/>
      <c r="AD57" s="1031" t="e">
        <f>VLOOKUP(AD4,條件!$A:$M,13,0)</f>
        <v>#N/A</v>
      </c>
      <c r="AE57" s="1031" t="e">
        <f>VLOOKUP(AE4,條件!$A:$M,13,0)</f>
        <v>#N/A</v>
      </c>
      <c r="AF57" s="1031" t="e">
        <f>VLOOKUP(AF4,條件!$A:$M,13,0)</f>
        <v>#N/A</v>
      </c>
      <c r="AG57" s="1031">
        <f>VLOOKUP(AG4,條件!$A:$M,13,0)</f>
        <v>46142</v>
      </c>
      <c r="AH57" s="1031">
        <f>VLOOKUP(AH4,條件!$A:$M,13,0)</f>
        <v>46141</v>
      </c>
      <c r="AI57" s="1031" t="e">
        <f>VLOOKUP(AI4,條件!$A:$M,13,0)</f>
        <v>#N/A</v>
      </c>
      <c r="AJ57" s="1031">
        <f>VLOOKUP(AJ4,條件!$A:$M,13,0)</f>
        <v>46133</v>
      </c>
      <c r="AK57" s="1031" t="e">
        <f>VLOOKUP(AK4,條件!$A:$M,13,0)</f>
        <v>#N/A</v>
      </c>
      <c r="AL57" s="1031" t="e">
        <f>VLOOKUP(AL4,條件!$A:$M,13,0)</f>
        <v>#N/A</v>
      </c>
      <c r="AM57" s="1031">
        <f>VLOOKUP(AM4,條件!$A:$M,13,0)</f>
        <v>46153</v>
      </c>
      <c r="AN57" s="1031" t="e">
        <f>VLOOKUP(AN4,條件!$A:$M,13,0)</f>
        <v>#N/A</v>
      </c>
      <c r="AO57" s="1031" t="e">
        <f>VLOOKUP(AO4,條件!$A:$M,13,0)</f>
        <v>#N/A</v>
      </c>
      <c r="AP57" s="1031"/>
      <c r="AQ57" s="1031"/>
      <c r="AR57" s="1031" t="e">
        <f>VLOOKUP(AR4,條件!$A:$M,13,0)</f>
        <v>#N/A</v>
      </c>
      <c r="AS57" s="1031">
        <f>VLOOKUP(AS4,條件!$A:$M,13,0)</f>
        <v>46153</v>
      </c>
      <c r="AT57" s="1031" t="e">
        <f>VLOOKUP(AT4,條件!$A:$M,13,0)</f>
        <v>#N/A</v>
      </c>
      <c r="AU57" s="1031"/>
      <c r="AV57" s="1031"/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  <c r="BB57" s="1031" t="e">
        <f>VLOOKUP(BB4,條件!$A:$M,13,0)</f>
        <v>#N/A</v>
      </c>
      <c r="BC57" s="1031" t="e">
        <f>VLOOKUP(BC4,條件!$A:$M,13,0)</f>
        <v>#N/A</v>
      </c>
      <c r="BD57" s="1031" t="e">
        <f>VLOOKUP(BD4,條件!$A:$M,13,0)</f>
        <v>#N/A</v>
      </c>
      <c r="BE57" s="1031" t="e">
        <f>VLOOKUP(BE4,條件!$A:$M,13,0)</f>
        <v>#N/A</v>
      </c>
      <c r="BF57" s="1031" t="e">
        <f>VLOOKUP(BF4,條件!$A:$M,13,0)</f>
        <v>#N/A</v>
      </c>
    </row>
    <row r="58" spans="1:58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15357</v>
      </c>
      <c r="G58" s="330">
        <f>VLOOKUP(G$4,整理!$4:$181,4,0)</f>
        <v>9249</v>
      </c>
      <c r="H58" s="330">
        <f>VLOOKUP(H$4,整理!$4:$181,4,0)</f>
        <v>18408</v>
      </c>
      <c r="I58" s="330">
        <f>VLOOKUP(I$4,整理!$4:$181,4,0)</f>
        <v>19024</v>
      </c>
      <c r="J58" s="330" t="e">
        <f>VLOOKUP(J$4,整理!$4:$181,4,0)</f>
        <v>#N/A</v>
      </c>
      <c r="K58" s="330">
        <f>VLOOKUP(K$4,整理!$4:$181,4,0)</f>
        <v>47758</v>
      </c>
      <c r="L58" s="330">
        <f>VLOOKUP(L$4,整理!$4:$181,4,0)</f>
        <v>8785</v>
      </c>
      <c r="M58" s="330">
        <f>VLOOKUP(M$4,整理!$4:$181,4,0)</f>
        <v>0</v>
      </c>
      <c r="N58" s="330">
        <f>VLOOKUP(N$4,整理!$4:$181,4,0)</f>
        <v>0</v>
      </c>
      <c r="O58" s="330">
        <f>VLOOKUP(O$4,整理!$4:$181,4,0)</f>
        <v>0</v>
      </c>
      <c r="P58" s="330">
        <f>VLOOKUP(P$4,整理!$4:$181,4,0)</f>
        <v>36481</v>
      </c>
      <c r="Q58" s="330" t="e">
        <f>VLOOKUP(Q$4,整理!$4:$181,4,0)</f>
        <v>#N/A</v>
      </c>
      <c r="R58" s="330">
        <f>VLOOKUP(R$4,整理!$4:$181,4,0)</f>
        <v>0</v>
      </c>
      <c r="S58" s="330">
        <f>VLOOKUP(S$4,整理!$4:$181,4,0)</f>
        <v>18570</v>
      </c>
      <c r="T58" s="330" t="e">
        <f>VLOOKUP(T$4,整理!$4:$181,4,0)</f>
        <v>#N/A</v>
      </c>
      <c r="U58" s="330" t="e">
        <f>VLOOKUP(U$4,整理!$4:$181,4,0)</f>
        <v>#N/A</v>
      </c>
      <c r="X58" s="330" t="e">
        <f>VLOOKUP(X$4,整理!$4:$181,4,0)</f>
        <v>#N/A</v>
      </c>
      <c r="Y58" s="330">
        <f>VLOOKUP(Y$4,整理!$4:$181,4,0)</f>
        <v>7522</v>
      </c>
      <c r="Z58" s="330">
        <f>VLOOKUP(Z$4,整理!$4:$181,4,0)</f>
        <v>51096</v>
      </c>
      <c r="AA58" s="330" t="e">
        <f>VLOOKUP(AA$4,整理!$4:$181,4,0)</f>
        <v>#N/A</v>
      </c>
      <c r="AD58" s="330">
        <f>VLOOKUP(AD$4,整理!$4:$181,4,0)</f>
        <v>85840</v>
      </c>
      <c r="AE58" s="330">
        <f>VLOOKUP(AE$4,整理!$4:$181,4,0)</f>
        <v>82382</v>
      </c>
      <c r="AF58" s="330">
        <f>VLOOKUP(AF$4,整理!$4:$181,4,0)</f>
        <v>0</v>
      </c>
      <c r="AG58" s="330">
        <f>VLOOKUP(AG$4,整理!$4:$181,4,0)</f>
        <v>29637</v>
      </c>
      <c r="AH58" s="330">
        <f>VLOOKUP(AH$4,整理!$4:$181,4,0)</f>
        <v>32362</v>
      </c>
      <c r="AI58" s="330">
        <f>VLOOKUP(AI$4,整理!$4:$181,4,0)</f>
        <v>4125</v>
      </c>
      <c r="AJ58" s="330">
        <f>VLOOKUP(AJ$4,整理!$4:$181,4,0)</f>
        <v>17689</v>
      </c>
      <c r="AK58" s="330">
        <f>VLOOKUP(AK$4,整理!$4:$181,4,0)</f>
        <v>26466</v>
      </c>
      <c r="AL58" s="330">
        <f>VLOOKUP(AL$4,整理!$4:$181,4,0)</f>
        <v>0</v>
      </c>
      <c r="AM58" s="330">
        <f>VLOOKUP(AM$4,整理!$4:$181,4,0)</f>
        <v>18606</v>
      </c>
      <c r="AN58" s="330">
        <f>VLOOKUP(AN$4,整理!$4:$181,4,0)</f>
        <v>65510</v>
      </c>
      <c r="AO58" s="330">
        <f>VLOOKUP(AO$4,整理!$4:$181,4,0)</f>
        <v>89826</v>
      </c>
      <c r="AR58" s="330" t="e">
        <f>VLOOKUP(AR$4,整理!$4:$181,4,0)</f>
        <v>#N/A</v>
      </c>
      <c r="AS58" s="330">
        <f>VLOOKUP(AS$4,整理!$4:$181,4,0)</f>
        <v>1540</v>
      </c>
      <c r="AT58" s="330" t="e">
        <f>VLOOKUP(AT$4,整理!$4:$181,4,0)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</row>
    <row r="59" spans="1:58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0.95194373901152574</v>
      </c>
      <c r="G59" s="829">
        <f>VLOOKUP(G$4,整理!$4:$181,5,0)</f>
        <v>1</v>
      </c>
      <c r="H59" s="829">
        <f>VLOOKUP(H$4,整理!$4:$181,5,0)</f>
        <v>1</v>
      </c>
      <c r="I59" s="829">
        <f>VLOOKUP(I$4,整理!$4:$181,5,0)</f>
        <v>0.938919259882254</v>
      </c>
      <c r="J59" s="829" t="e">
        <f>VLOOKUP(J$4,整理!$4:$181,5,0)</f>
        <v>#N/A</v>
      </c>
      <c r="K59" s="829">
        <f>VLOOKUP(K$4,整理!$4:$181,5,0)</f>
        <v>0.9691988776749445</v>
      </c>
      <c r="L59" s="829">
        <f>VLOOKUP(L$4,整理!$4:$181,5,0)</f>
        <v>1</v>
      </c>
      <c r="M59" s="829">
        <f>VLOOKUP(M$4,整理!$4:$181,5,0)</f>
        <v>0</v>
      </c>
      <c r="N59" s="829">
        <f>VLOOKUP(N$4,整理!$4:$181,5,0)</f>
        <v>0</v>
      </c>
      <c r="O59" s="829">
        <f>VLOOKUP(O$4,整理!$4:$181,5,0)</f>
        <v>0</v>
      </c>
      <c r="P59" s="829">
        <f>VLOOKUP(P$4,整理!$4:$181,5,0)</f>
        <v>0.91943751541898522</v>
      </c>
      <c r="Q59" s="829" t="e">
        <f>VLOOKUP(Q$4,整理!$4:$181,5,0)</f>
        <v>#N/A</v>
      </c>
      <c r="R59" s="829">
        <f>VLOOKUP(R$4,整理!$4:$181,5,0)</f>
        <v>0</v>
      </c>
      <c r="S59" s="829">
        <f>VLOOKUP(S$4,整理!$4:$181,5,0)</f>
        <v>1</v>
      </c>
      <c r="T59" s="829" t="e">
        <f>VLOOKUP(T$4,整理!$4:$181,5,0)</f>
        <v>#N/A</v>
      </c>
      <c r="U59" s="829" t="e">
        <f>VLOOKUP(U$4,整理!$4:$181,5,0)</f>
        <v>#N/A</v>
      </c>
      <c r="V59" s="829"/>
      <c r="W59" s="829"/>
      <c r="X59" s="829" t="e">
        <f>VLOOKUP(X$4,整理!$4:$181,5,0)</f>
        <v>#N/A</v>
      </c>
      <c r="Y59" s="829">
        <f>VLOOKUP(Y$4,整理!$4:$181,5,0)</f>
        <v>0.87835681999468229</v>
      </c>
      <c r="Z59" s="829">
        <f>VLOOKUP(Z$4,整理!$4:$181,5,0)</f>
        <v>0.98522389228119622</v>
      </c>
      <c r="AA59" s="829" t="e">
        <f>VLOOKUP(AA$4,整理!$4:$181,5,0)</f>
        <v>#N/A</v>
      </c>
      <c r="AB59" s="829"/>
      <c r="AC59" s="829"/>
      <c r="AD59" s="829">
        <f>VLOOKUP(AD$4,整理!$4:$181,5,0)</f>
        <v>0.98132572227399817</v>
      </c>
      <c r="AE59" s="829">
        <f>VLOOKUP(AE$4,整理!$4:$181,5,0)</f>
        <v>0.98063897453327187</v>
      </c>
      <c r="AF59" s="829">
        <f>VLOOKUP(AF$4,整理!$4:$181,5,0)</f>
        <v>0</v>
      </c>
      <c r="AG59" s="829">
        <f>VLOOKUP(AG$4,整理!$4:$181,5,0)</f>
        <v>0.94972500590478115</v>
      </c>
      <c r="AH59" s="829">
        <f>VLOOKUP(AH$4,整理!$4:$181,5,0)</f>
        <v>0.956214078239911</v>
      </c>
      <c r="AI59" s="829">
        <f>VLOOKUP(AI$4,整理!$4:$181,5,0)</f>
        <v>1</v>
      </c>
      <c r="AJ59" s="829">
        <f>VLOOKUP(AJ$4,整理!$4:$181,5,0)</f>
        <v>0.97467352592006329</v>
      </c>
      <c r="AK59" s="829">
        <f>VLOOKUP(AK$4,整理!$4:$181,5,0)</f>
        <v>1</v>
      </c>
      <c r="AL59" s="829">
        <f>VLOOKUP(AL$4,整理!$4:$181,5,0)</f>
        <v>0</v>
      </c>
      <c r="AM59" s="829">
        <f>VLOOKUP(AM$4,整理!$4:$181,5,0)</f>
        <v>0.87686767709341074</v>
      </c>
      <c r="AN59" s="829">
        <f>VLOOKUP(AN$4,整理!$4:$181,5,0)</f>
        <v>0.9875896809647382</v>
      </c>
      <c r="AO59" s="829">
        <f>VLOOKUP(AO$4,整理!$4:$181,5,0)</f>
        <v>0.98252176429986859</v>
      </c>
      <c r="AP59" s="829"/>
      <c r="AQ59" s="829"/>
      <c r="AR59" s="829" t="e">
        <f>VLOOKUP(AR$4,整理!$4:$181,5,0)</f>
        <v>#N/A</v>
      </c>
      <c r="AS59" s="829">
        <f>VLOOKUP(AS$4,整理!$4:$181,5,0)</f>
        <v>0.85584415584415585</v>
      </c>
      <c r="AT59" s="829" t="e">
        <f>VLOOKUP(AT$4,整理!$4:$181,5,0)</f>
        <v>#N/A</v>
      </c>
      <c r="AU59" s="829"/>
      <c r="AV59" s="829"/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</row>
    <row r="60" spans="1:58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0.77619326691411084</v>
      </c>
      <c r="G60" s="829">
        <f>VLOOKUP(G$4,整理!$4:$181,6,0)</f>
        <v>0.92442426208238726</v>
      </c>
      <c r="H60" s="829">
        <f>VLOOKUP(H$4,整理!$4:$181,6,0)</f>
        <v>0.96153846153846156</v>
      </c>
      <c r="I60" s="829">
        <f>VLOOKUP(I$4,整理!$4:$181,6,0)</f>
        <v>0.84650967199327165</v>
      </c>
      <c r="J60" s="829" t="e">
        <f>VLOOKUP(J$4,整理!$4:$181,6,0)</f>
        <v>#N/A</v>
      </c>
      <c r="K60" s="829">
        <f>VLOOKUP(K$4,整理!$4:$181,6,0)</f>
        <v>0.93910967795971356</v>
      </c>
      <c r="L60" s="829">
        <f>VLOOKUP(L$4,整理!$4:$181,6,0)</f>
        <v>0.92885600455321571</v>
      </c>
      <c r="M60" s="829">
        <f>VLOOKUP(M$4,整理!$4:$181,6,0)</f>
        <v>0</v>
      </c>
      <c r="N60" s="829">
        <f>VLOOKUP(N$4,整理!$4:$181,6,0)</f>
        <v>0</v>
      </c>
      <c r="O60" s="829">
        <f>VLOOKUP(O$4,整理!$4:$181,6,0)</f>
        <v>0</v>
      </c>
      <c r="P60" s="829">
        <f>VLOOKUP(P$4,整理!$4:$181,6,0)</f>
        <v>0.8799100901839314</v>
      </c>
      <c r="Q60" s="829" t="e">
        <f>VLOOKUP(Q$4,整理!$4:$181,6,0)</f>
        <v>#N/A</v>
      </c>
      <c r="R60" s="829">
        <f>VLOOKUP(R$4,整理!$4:$181,6,0)</f>
        <v>0</v>
      </c>
      <c r="S60" s="829">
        <f>VLOOKUP(S$4,整理!$4:$181,6,0)</f>
        <v>0.96122778675282716</v>
      </c>
      <c r="T60" s="829" t="e">
        <f>VLOOKUP(T$4,整理!$4:$181,6,0)</f>
        <v>#N/A</v>
      </c>
      <c r="U60" s="829" t="e">
        <f>VLOOKUP(U$4,整理!$4:$181,6,0)</f>
        <v>#N/A</v>
      </c>
      <c r="V60" s="829"/>
      <c r="W60" s="829"/>
      <c r="X60" s="829" t="e">
        <f>VLOOKUP(X$4,整理!$4:$181,6,0)</f>
        <v>#N/A</v>
      </c>
      <c r="Y60" s="829">
        <f>VLOOKUP(Y$4,整理!$4:$181,6,0)</f>
        <v>0.61419835150225999</v>
      </c>
      <c r="Z60" s="829">
        <f>VLOOKUP(Z$4,整理!$4:$181,6,0)</f>
        <v>0.90740958196336308</v>
      </c>
      <c r="AA60" s="829" t="e">
        <f>VLOOKUP(AA$4,整理!$4:$181,6,0)</f>
        <v>#N/A</v>
      </c>
      <c r="AB60" s="829"/>
      <c r="AC60" s="829"/>
      <c r="AD60" s="829">
        <f>VLOOKUP(AD$4,整理!$4:$181,6,0)</f>
        <v>0.93610205032618821</v>
      </c>
      <c r="AE60" s="829">
        <f>VLOOKUP(AE$4,整理!$4:$181,6,0)</f>
        <v>0.94334927532713453</v>
      </c>
      <c r="AF60" s="829">
        <f>VLOOKUP(AF$4,整理!$4:$181,6,0)</f>
        <v>0</v>
      </c>
      <c r="AG60" s="829">
        <f>VLOOKUP(AG$4,整理!$4:$181,6,0)</f>
        <v>0.89297162330870195</v>
      </c>
      <c r="AH60" s="829">
        <f>VLOOKUP(AH$4,整理!$4:$181,6,0)</f>
        <v>0.91310796613311906</v>
      </c>
      <c r="AI60" s="829">
        <f>VLOOKUP(AI$4,整理!$4:$181,6,0)</f>
        <v>1</v>
      </c>
      <c r="AJ60" s="829">
        <f>VLOOKUP(AJ$4,整理!$4:$181,6,0)</f>
        <v>0.93091751936231559</v>
      </c>
      <c r="AK60" s="829">
        <f>VLOOKUP(AK$4,整理!$4:$181,6,0)</f>
        <v>1</v>
      </c>
      <c r="AL60" s="829">
        <f>VLOOKUP(AL$4,整理!$4:$181,6,0)</f>
        <v>0</v>
      </c>
      <c r="AM60" s="829">
        <f>VLOOKUP(AM$4,整理!$4:$181,6,0)</f>
        <v>0.73605288616575293</v>
      </c>
      <c r="AN60" s="829">
        <f>VLOOKUP(AN$4,整理!$4:$181,6,0)</f>
        <v>0.952068386505877</v>
      </c>
      <c r="AO60" s="829">
        <f>VLOOKUP(AO$4,整理!$4:$181,6,0)</f>
        <v>0.9489346069066863</v>
      </c>
      <c r="AP60" s="829"/>
      <c r="AQ60" s="829"/>
      <c r="AR60" s="829" t="e">
        <f>VLOOKUP(AR$4,整理!$4:$181,6,0)</f>
        <v>#N/A</v>
      </c>
      <c r="AS60" s="829">
        <f>VLOOKUP(AS$4,整理!$4:$181,6,0)</f>
        <v>0.52597402597402598</v>
      </c>
      <c r="AT60" s="829" t="e">
        <f>VLOOKUP(AT$4,整理!$4:$181,6,0)</f>
        <v>#N/A</v>
      </c>
      <c r="AU60" s="829"/>
      <c r="AV60" s="829"/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</row>
    <row r="61" spans="1:58" ht="14.25" customHeight="1">
      <c r="A61" s="824" t="s">
        <v>495</v>
      </c>
      <c r="B61" s="828" t="str">
        <f t="shared" ref="B61:O61" si="172">B39</f>
        <v/>
      </c>
      <c r="C61" s="828" t="str">
        <f t="shared" ref="C61" si="173">C39</f>
        <v/>
      </c>
      <c r="D61" s="828" t="str">
        <f t="shared" ref="D61" si="174">D39</f>
        <v/>
      </c>
      <c r="E61" s="828" t="str">
        <f t="shared" ref="E61" si="175">E39</f>
        <v/>
      </c>
      <c r="F61" s="828">
        <f t="shared" ref="F61:G61" si="176">F39</f>
        <v>3.6726190476190474</v>
      </c>
      <c r="G61" s="828">
        <f t="shared" si="176"/>
        <v>2.7552083333333335</v>
      </c>
      <c r="H61" s="828">
        <f t="shared" ref="H61" si="177">H39</f>
        <v>1.5608974358974359</v>
      </c>
      <c r="I61" s="828">
        <f t="shared" ref="I61" si="178">I39</f>
        <v>2.078125</v>
      </c>
      <c r="J61" s="828" t="str">
        <f t="shared" ref="J61" si="179">J39</f>
        <v/>
      </c>
      <c r="K61" s="828">
        <f t="shared" ref="K61" si="180">K39</f>
        <v>1.9047619047619049</v>
      </c>
      <c r="L61" s="828">
        <f t="shared" ref="L61:M61" si="181">L39</f>
        <v>1.875</v>
      </c>
      <c r="M61" s="828" t="str">
        <f t="shared" si="181"/>
        <v/>
      </c>
      <c r="N61" s="828" t="str">
        <f>N39</f>
        <v/>
      </c>
      <c r="O61" s="828" t="str">
        <f t="shared" si="172"/>
        <v/>
      </c>
      <c r="P61" s="828">
        <f t="shared" ref="P61" si="182">P39</f>
        <v>3.0243055555555558</v>
      </c>
      <c r="Q61" s="828" t="str">
        <f t="shared" ref="Q61" si="183">Q39</f>
        <v/>
      </c>
      <c r="R61" s="828" t="str">
        <f t="shared" ref="R61" si="184">R39</f>
        <v/>
      </c>
      <c r="S61" s="828">
        <f t="shared" ref="S61:T61" si="185">S39</f>
        <v>1.5885185185185184</v>
      </c>
      <c r="T61" s="828" t="str">
        <f t="shared" si="185"/>
        <v/>
      </c>
      <c r="U61" s="828" t="str">
        <f t="shared" ref="U61" si="186">U39</f>
        <v/>
      </c>
      <c r="V61" s="828"/>
      <c r="W61" s="828"/>
      <c r="X61" s="828" t="str">
        <f>X39</f>
        <v/>
      </c>
      <c r="Y61" s="828" t="str">
        <f>Y39</f>
        <v/>
      </c>
      <c r="Z61" s="828">
        <f>Z39</f>
        <v>4.7632051282051284</v>
      </c>
      <c r="AA61" s="828" t="str">
        <f>AA39</f>
        <v/>
      </c>
      <c r="AB61" s="828"/>
      <c r="AC61" s="828"/>
      <c r="AD61" s="828">
        <f t="shared" ref="AD61" si="187">AD39</f>
        <v>4.5751111111111111</v>
      </c>
      <c r="AE61" s="828">
        <f t="shared" ref="AE61:AF61" si="188">AE39</f>
        <v>5.2256944444444438</v>
      </c>
      <c r="AF61" s="828" t="str">
        <f t="shared" si="188"/>
        <v/>
      </c>
      <c r="AG61" s="828">
        <f t="shared" ref="AG61" si="189">AG39</f>
        <v>5.3888888888888893</v>
      </c>
      <c r="AH61" s="828">
        <f t="shared" ref="AH61:AI61" si="190">AH39</f>
        <v>5.8981481481481479</v>
      </c>
      <c r="AI61" s="828">
        <f t="shared" si="190"/>
        <v>6.791666666666667</v>
      </c>
      <c r="AJ61" s="828">
        <f t="shared" ref="AJ61:AL61" si="191">AJ39</f>
        <v>4.958333333333333</v>
      </c>
      <c r="AK61" s="828">
        <f t="shared" si="191"/>
        <v>3.9348148148148141</v>
      </c>
      <c r="AL61" s="828">
        <f t="shared" si="191"/>
        <v>3</v>
      </c>
      <c r="AM61" s="828" t="str">
        <f>AM39</f>
        <v/>
      </c>
      <c r="AN61" s="828">
        <f>AN39</f>
        <v>3.0763888888888893</v>
      </c>
      <c r="AO61" s="828">
        <f t="shared" ref="AO61" si="192">AO39</f>
        <v>4.6013541666666669</v>
      </c>
      <c r="AP61" s="828"/>
      <c r="AQ61" s="828"/>
      <c r="AR61" s="828" t="str">
        <f>AR39</f>
        <v/>
      </c>
      <c r="AS61" s="828" t="str">
        <f t="shared" ref="AS61" si="193">AS39</f>
        <v/>
      </c>
      <c r="AT61" s="828" t="str">
        <f>AT39</f>
        <v/>
      </c>
      <c r="AU61" s="828"/>
      <c r="AV61" s="828"/>
      <c r="AW61" s="828" t="str">
        <f t="shared" ref="AW61:BF61" si="194">AW39</f>
        <v/>
      </c>
      <c r="AX61" s="828" t="str">
        <f t="shared" si="194"/>
        <v/>
      </c>
      <c r="AY61" s="828" t="str">
        <f t="shared" si="194"/>
        <v/>
      </c>
      <c r="AZ61" s="828" t="str">
        <f t="shared" si="194"/>
        <v/>
      </c>
      <c r="BA61" s="828" t="str">
        <f t="shared" si="194"/>
        <v/>
      </c>
      <c r="BB61" s="828" t="str">
        <f t="shared" si="194"/>
        <v/>
      </c>
      <c r="BC61" s="828" t="str">
        <f t="shared" si="194"/>
        <v/>
      </c>
      <c r="BD61" s="828" t="str">
        <f t="shared" si="194"/>
        <v/>
      </c>
      <c r="BE61" s="828">
        <f t="shared" si="194"/>
        <v>0</v>
      </c>
      <c r="BF61" s="828">
        <f t="shared" si="194"/>
        <v>0</v>
      </c>
    </row>
    <row r="62" spans="1:58" ht="14.25" customHeight="1">
      <c r="A62" s="824" t="s">
        <v>496</v>
      </c>
      <c r="B62" s="830" t="e">
        <f t="shared" ref="B62:O62" si="195">(1-B59)*100</f>
        <v>#N/A</v>
      </c>
      <c r="C62" s="830" t="e">
        <f t="shared" ref="C62" si="196">(1-C59)*100</f>
        <v>#N/A</v>
      </c>
      <c r="D62" s="830" t="e">
        <f t="shared" ref="D62" si="197">(1-D59)*100</f>
        <v>#N/A</v>
      </c>
      <c r="E62" s="830" t="e">
        <f t="shared" ref="E62" si="198">(1-E59)*100</f>
        <v>#N/A</v>
      </c>
      <c r="F62" s="830">
        <f t="shared" ref="F62:G62" si="199">(1-F59)*100</f>
        <v>4.8056260988474264</v>
      </c>
      <c r="G62" s="830">
        <f t="shared" si="199"/>
        <v>0</v>
      </c>
      <c r="H62" s="830">
        <f t="shared" ref="H62" si="200">(1-H59)*100</f>
        <v>0</v>
      </c>
      <c r="I62" s="830">
        <f t="shared" ref="I62" si="201">(1-I59)*100</f>
        <v>6.1080740117746002</v>
      </c>
      <c r="J62" s="830" t="e">
        <f t="shared" ref="J62" si="202">(1-J59)*100</f>
        <v>#N/A</v>
      </c>
      <c r="K62" s="830">
        <f t="shared" ref="K62" si="203">(1-K59)*100</f>
        <v>3.0801122325055497</v>
      </c>
      <c r="L62" s="830">
        <f t="shared" ref="L62:M62" si="204">(1-L59)*100</f>
        <v>0</v>
      </c>
      <c r="M62" s="830">
        <f t="shared" si="204"/>
        <v>100</v>
      </c>
      <c r="N62" s="830">
        <f>(1-N59)*100</f>
        <v>100</v>
      </c>
      <c r="O62" s="830">
        <f t="shared" si="195"/>
        <v>100</v>
      </c>
      <c r="P62" s="830">
        <f t="shared" ref="P62" si="205">(1-P59)*100</f>
        <v>8.0562484581014786</v>
      </c>
      <c r="Q62" s="830" t="e">
        <f t="shared" ref="Q62" si="206">(1-Q59)*100</f>
        <v>#N/A</v>
      </c>
      <c r="R62" s="830">
        <f t="shared" ref="R62" si="207">(1-R59)*100</f>
        <v>100</v>
      </c>
      <c r="S62" s="830">
        <f t="shared" ref="S62:T62" si="208">(1-S59)*100</f>
        <v>0</v>
      </c>
      <c r="T62" s="830" t="e">
        <f t="shared" si="208"/>
        <v>#N/A</v>
      </c>
      <c r="U62" s="830" t="e">
        <f t="shared" ref="U62" si="209">(1-U59)*100</f>
        <v>#N/A</v>
      </c>
      <c r="V62" s="830"/>
      <c r="W62" s="830"/>
      <c r="X62" s="830" t="e">
        <f>(1-X59)*100</f>
        <v>#N/A</v>
      </c>
      <c r="Y62" s="830">
        <f>(1-Y59)*100</f>
        <v>12.164318000531772</v>
      </c>
      <c r="Z62" s="830">
        <f>(1-Z59)*100</f>
        <v>1.4776107718803777</v>
      </c>
      <c r="AA62" s="830" t="e">
        <f>(1-AA59)*100</f>
        <v>#N/A</v>
      </c>
      <c r="AB62" s="830"/>
      <c r="AC62" s="830"/>
      <c r="AD62" s="830">
        <f t="shared" ref="AD62" si="210">(1-AD59)*100</f>
        <v>1.8674277726001831</v>
      </c>
      <c r="AE62" s="830">
        <f t="shared" ref="AE62:AF62" si="211">(1-AE59)*100</f>
        <v>1.9361025466728132</v>
      </c>
      <c r="AF62" s="830">
        <f t="shared" si="211"/>
        <v>100</v>
      </c>
      <c r="AG62" s="830">
        <f t="shared" ref="AG62" si="212">(1-AG59)*100</f>
        <v>5.0274994095218855</v>
      </c>
      <c r="AH62" s="830">
        <f t="shared" ref="AH62:AI62" si="213">(1-AH59)*100</f>
        <v>4.3785921760088993</v>
      </c>
      <c r="AI62" s="830">
        <f t="shared" si="213"/>
        <v>0</v>
      </c>
      <c r="AJ62" s="830">
        <f t="shared" ref="AJ62:AL62" si="214">(1-AJ59)*100</f>
        <v>2.5326474079936712</v>
      </c>
      <c r="AK62" s="830">
        <f t="shared" si="214"/>
        <v>0</v>
      </c>
      <c r="AL62" s="830">
        <f t="shared" si="214"/>
        <v>100</v>
      </c>
      <c r="AM62" s="830">
        <f>(1-AM59)*100</f>
        <v>12.313232290658927</v>
      </c>
      <c r="AN62" s="830">
        <f>(1-AN59)*100</f>
        <v>1.2410319035261796</v>
      </c>
      <c r="AO62" s="830">
        <f t="shared" ref="AO62" si="215">(1-AO59)*100</f>
        <v>1.7478235700131406</v>
      </c>
      <c r="AP62" s="830"/>
      <c r="AQ62" s="830"/>
      <c r="AR62" s="830" t="e">
        <f>(1-AR59)*100</f>
        <v>#N/A</v>
      </c>
      <c r="AS62" s="830">
        <f t="shared" ref="AS62" si="216">(1-AS59)*100</f>
        <v>14.415584415584416</v>
      </c>
      <c r="AT62" s="830" t="e">
        <f>(1-AT59)*100</f>
        <v>#N/A</v>
      </c>
      <c r="AU62" s="830"/>
      <c r="AV62" s="830"/>
      <c r="AW62" s="830" t="e">
        <f t="shared" ref="AW62:BF62" si="217">(1-AW59)*100</f>
        <v>#N/A</v>
      </c>
      <c r="AX62" s="830" t="e">
        <f t="shared" si="217"/>
        <v>#N/A</v>
      </c>
      <c r="AY62" s="830" t="e">
        <f t="shared" si="217"/>
        <v>#N/A</v>
      </c>
      <c r="AZ62" s="830" t="e">
        <f t="shared" si="217"/>
        <v>#N/A</v>
      </c>
      <c r="BA62" s="830" t="e">
        <f t="shared" si="217"/>
        <v>#N/A</v>
      </c>
      <c r="BB62" s="830" t="e">
        <f t="shared" si="217"/>
        <v>#N/A</v>
      </c>
      <c r="BC62" s="830" t="e">
        <f t="shared" si="217"/>
        <v>#N/A</v>
      </c>
      <c r="BD62" s="830" t="e">
        <f t="shared" si="217"/>
        <v>#N/A</v>
      </c>
      <c r="BE62" s="830" t="e">
        <f t="shared" si="217"/>
        <v>#N/A</v>
      </c>
      <c r="BF62" s="830" t="e">
        <f t="shared" si="217"/>
        <v>#N/A</v>
      </c>
    </row>
    <row r="63" spans="1:58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A63" s="330" t="e">
        <f>VLOOKUP(AA$4,物性!$AA:$AB,2,0)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</row>
    <row r="64" spans="1:58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 t="e">
        <f>VLOOKUP(T$4,物性!$AA:$AD,4,0)</f>
        <v>#N/A</v>
      </c>
      <c r="U64" s="922" t="e">
        <f>VLOOKUP(U$4,物性!$AA:$AD,4,0)</f>
        <v>#N/A</v>
      </c>
      <c r="V64" s="922"/>
      <c r="W64" s="922"/>
      <c r="X64" s="922" t="e">
        <f>VLOOKUP(X$4,物性!$AA:$AD,4,0)</f>
        <v>#N/A</v>
      </c>
      <c r="Y64" s="922" t="e">
        <f>VLOOKUP(Y$4,物性!$AA:$AD,4,0)</f>
        <v>#N/A</v>
      </c>
      <c r="Z64" s="922" t="e">
        <f>VLOOKUP(Z$4,物性!$AA:$AD,4,0)</f>
        <v>#N/A</v>
      </c>
      <c r="AA64" s="922" t="e">
        <f>VLOOKUP(AA$4,物性!$AA:$AD,4,0)</f>
        <v>#N/A</v>
      </c>
      <c r="AB64" s="922"/>
      <c r="AC64" s="922"/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 t="e">
        <f>VLOOKUP(AK$4,物性!$AA:$AD,4,0)</f>
        <v>#N/A</v>
      </c>
      <c r="AL64" s="922" t="e">
        <f>VLOOKUP(AL$4,物性!$AA:$AD,4,0)</f>
        <v>#N/A</v>
      </c>
      <c r="AM64" s="922" t="e">
        <f>VLOOKUP(AM$4,物性!$AA:$AD,4,0)</f>
        <v>#N/A</v>
      </c>
      <c r="AN64" s="922" t="e">
        <f>VLOOKUP(AN$4,物性!$AA:$AD,4,0)</f>
        <v>#N/A</v>
      </c>
      <c r="AO64" s="922" t="e">
        <f>VLOOKUP(AO$4,物性!$AA:$AD,4,0)</f>
        <v>#N/A</v>
      </c>
      <c r="AP64" s="922"/>
      <c r="AQ64" s="922"/>
      <c r="AR64" s="922" t="e">
        <f>VLOOKUP(AR$4,物性!$AA:$AD,4,0)</f>
        <v>#N/A</v>
      </c>
      <c r="AS64" s="922" t="e">
        <f>VLOOKUP(AS$4,物性!$AA:$AD,4,0)</f>
        <v>#N/A</v>
      </c>
      <c r="AT64" s="922" t="e">
        <f>VLOOKUP(AT$4,物性!$AA:$AD,4,0)</f>
        <v>#N/A</v>
      </c>
      <c r="AU64" s="922"/>
      <c r="AV64" s="922"/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  <c r="BB64" s="922" t="e">
        <f>VLOOKUP(BB$4,物性!$AA:$AD,4,0)</f>
        <v>#N/A</v>
      </c>
      <c r="BC64" s="922" t="e">
        <f>VLOOKUP(BC$4,物性!$AA:$AD,4,0)</f>
        <v>#N/A</v>
      </c>
      <c r="BD64" s="922" t="e">
        <f>VLOOKUP(BD$4,物性!$AA:$AD,4,0)</f>
        <v>#N/A</v>
      </c>
      <c r="BE64" s="922" t="e">
        <f>VLOOKUP(BE$4,物性!$AA:$AD,4,0)</f>
        <v>#N/A</v>
      </c>
      <c r="BF64" s="922" t="e">
        <f>VLOOKUP(BF$4,物性!$AA:$AD,4,0)</f>
        <v>#N/A</v>
      </c>
    </row>
    <row r="65" spans="1:58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A65" s="330" t="e">
        <f>VLOOKUP(AA$4,物性!$B:$N,3,0)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</row>
    <row r="66" spans="1:58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A66" s="330" t="e">
        <f>VLOOKUP(AA$4,物性!$B:$N,4,0)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</row>
    <row r="67" spans="1:58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A67" s="330" t="e">
        <f>VLOOKUP(AA$4,物性!$B:$N,5,0)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</row>
    <row r="68" spans="1:58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A68" s="330" t="e">
        <f>VLOOKUP(AA$4,物性!$B:$N,6,0)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</row>
    <row r="69" spans="1:58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A69" s="330" t="e">
        <f>VLOOKUP(AA$4,物性!$B:$N,7,0)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</row>
    <row r="70" spans="1:58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A70" s="330" t="e">
        <f>VLOOKUP(AA$4,物性!$B:$N,8,0)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</row>
    <row r="71" spans="1:58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A71" s="330" t="e">
        <f>VLOOKUP(AA$4,物性!$B:$N,9,0)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</row>
    <row r="72" spans="1:58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A72" s="330" t="e">
        <f>VLOOKUP(AA$4,物性!$B:$N,10,0)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</row>
    <row r="73" spans="1:58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A73" s="330" t="e">
        <f>VLOOKUP(AA$4,物性!$B:$N,11,0)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</row>
    <row r="74" spans="1:58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A74" s="330" t="e">
        <f>VLOOKUP(AA$4,物性!$B:$N,12,0)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</row>
    <row r="75" spans="1:58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A75" s="330" t="e">
        <f>VLOOKUP(AA$4,物性!$B:$N,13,0)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</row>
    <row r="76" spans="1:58" ht="14.25" customHeight="1">
      <c r="A76" s="701" t="s">
        <v>510</v>
      </c>
      <c r="B76" s="330">
        <f t="shared" ref="B76:O76" si="218">B6</f>
        <v>0</v>
      </c>
      <c r="C76" s="330">
        <f t="shared" ref="C76" si="219">C6</f>
        <v>0</v>
      </c>
      <c r="D76" s="330">
        <f t="shared" ref="D76" si="220">D6</f>
        <v>0</v>
      </c>
      <c r="E76" s="330">
        <f t="shared" ref="E76" si="221">E6</f>
        <v>0</v>
      </c>
      <c r="F76" s="330" t="str">
        <f t="shared" ref="F76:G76" si="222">F6</f>
        <v>FP81631R</v>
      </c>
      <c r="G76" s="330" t="str">
        <f t="shared" si="222"/>
        <v>FP81631R</v>
      </c>
      <c r="H76" s="330" t="str">
        <f t="shared" ref="H76" si="223">H6</f>
        <v>FP81390R×2</v>
      </c>
      <c r="I76" s="330" t="str">
        <f t="shared" ref="I76" si="224">I6</f>
        <v>FP80141</v>
      </c>
      <c r="J76" s="330">
        <f t="shared" ref="J76" si="225">J6</f>
        <v>0</v>
      </c>
      <c r="K76" s="330" t="str">
        <f t="shared" ref="K76" si="226">K6</f>
        <v>FP82781</v>
      </c>
      <c r="L76" s="330" t="str">
        <f t="shared" ref="L76:M76" si="227">L6</f>
        <v>FP80148R</v>
      </c>
      <c r="M76" s="330" t="str">
        <f t="shared" si="227"/>
        <v>FP00413</v>
      </c>
      <c r="N76" s="330" t="str">
        <f>N6</f>
        <v>FP01436</v>
      </c>
      <c r="O76" s="330" t="str">
        <f t="shared" si="218"/>
        <v>FP82659×2</v>
      </c>
      <c r="P76" s="330" t="str">
        <f t="shared" ref="P76" si="228">P6</f>
        <v>FP82179R</v>
      </c>
      <c r="Q76" s="330">
        <f t="shared" ref="Q76" si="229">Q6</f>
        <v>0</v>
      </c>
      <c r="R76" s="330" t="str">
        <f t="shared" ref="R76" si="230">R6</f>
        <v>FP82659</v>
      </c>
      <c r="S76" s="330" t="str">
        <f t="shared" ref="S76:T76" si="231">S6</f>
        <v>FP02312×2</v>
      </c>
      <c r="T76" s="330">
        <f t="shared" si="231"/>
        <v>0</v>
      </c>
      <c r="U76" s="330">
        <f t="shared" ref="U76" si="232">U6</f>
        <v>0</v>
      </c>
      <c r="X76" s="330">
        <f>X6</f>
        <v>0</v>
      </c>
      <c r="Y76" s="330" t="str">
        <f>Y6</f>
        <v>FP82171R×2</v>
      </c>
      <c r="Z76" s="330" t="str">
        <f>Z6</f>
        <v>FP82175R×2</v>
      </c>
      <c r="AA76" s="330">
        <f>AA6</f>
        <v>0</v>
      </c>
      <c r="AD76" s="330" t="str">
        <f t="shared" ref="AD76" si="233">AD6</f>
        <v>FP82177R×2</v>
      </c>
      <c r="AE76" s="330" t="str">
        <f t="shared" ref="AE76:AF76" si="234">AE6</f>
        <v>FP82175R×2</v>
      </c>
      <c r="AF76" s="330" t="str">
        <f t="shared" si="234"/>
        <v>FP82180R×2</v>
      </c>
      <c r="AG76" s="330" t="str">
        <f t="shared" ref="AG76" si="235">AG6</f>
        <v>FP82169R×2</v>
      </c>
      <c r="AH76" s="330" t="str">
        <f t="shared" ref="AH76:AI76" si="236">AH6</f>
        <v>FP82169R×2</v>
      </c>
      <c r="AI76" s="330" t="str">
        <f t="shared" si="236"/>
        <v>FP12902R×2</v>
      </c>
      <c r="AJ76" s="330" t="str">
        <f t="shared" ref="AJ76:AL76" si="237">AJ6</f>
        <v>FP83024R×2</v>
      </c>
      <c r="AK76" s="330" t="str">
        <f t="shared" si="237"/>
        <v>FP83025R×2</v>
      </c>
      <c r="AL76" s="330" t="str">
        <f t="shared" si="237"/>
        <v>FP01430</v>
      </c>
      <c r="AM76" s="330" t="str">
        <f>AM6</f>
        <v>FP82173R×2</v>
      </c>
      <c r="AN76" s="330" t="str">
        <f>AN6</f>
        <v>FP82177R×2</v>
      </c>
      <c r="AO76" s="330" t="str">
        <f t="shared" ref="AO76" si="238">AO6</f>
        <v>FP82177R×2</v>
      </c>
      <c r="AR76" s="330">
        <f>AR6</f>
        <v>0</v>
      </c>
      <c r="AS76" s="330" t="str">
        <f t="shared" ref="AS76" si="239">AS6</f>
        <v>FP81209R×2</v>
      </c>
      <c r="AT76" s="330">
        <f>AT6</f>
        <v>0</v>
      </c>
      <c r="AW76" s="330">
        <f t="shared" ref="AW76:BF76" si="240">AW6</f>
        <v>0</v>
      </c>
      <c r="AX76" s="330">
        <f t="shared" si="240"/>
        <v>0</v>
      </c>
      <c r="AY76" s="330">
        <f t="shared" si="240"/>
        <v>0</v>
      </c>
      <c r="AZ76" s="330">
        <f t="shared" si="240"/>
        <v>0</v>
      </c>
      <c r="BA76" s="330">
        <f t="shared" si="240"/>
        <v>0</v>
      </c>
      <c r="BB76" s="330">
        <f t="shared" si="240"/>
        <v>0</v>
      </c>
      <c r="BC76" s="330">
        <f t="shared" si="240"/>
        <v>0</v>
      </c>
      <c r="BD76" s="330">
        <f t="shared" si="240"/>
        <v>0</v>
      </c>
      <c r="BE76" s="330" t="str">
        <f t="shared" si="240"/>
        <v>累</v>
      </c>
      <c r="BF76" s="330" t="str">
        <f t="shared" si="240"/>
        <v>累</v>
      </c>
    </row>
    <row r="77" spans="1:58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A77" s="330" t="e">
        <f>VLOOKUP(AA4,物性!$AA:$AC,3,0)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</row>
    <row r="78" spans="1:58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 t="e">
        <f>VLOOKUP(H4,日誌斷絲!$C:$AL,36,0)</f>
        <v>#N/A</v>
      </c>
      <c r="I78" s="330">
        <f>VLOOKUP(I4,日誌斷絲!$C:$AL,36,0)</f>
        <v>57</v>
      </c>
      <c r="J78" s="330" t="e">
        <f>VLOOKUP(J4,日誌斷絲!$C:$AL,36,0)</f>
        <v>#N/A</v>
      </c>
      <c r="K78" s="330">
        <f>VLOOKUP(K4,日誌斷絲!$C:$AL,36,0)</f>
        <v>54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X78" s="330" t="e">
        <f>VLOOKUP(X4,日誌斷絲!$C:$AL,36,0)</f>
        <v>#N/A</v>
      </c>
      <c r="Y78" s="330">
        <f>VLOOKUP(Y4,日誌斷絲!$C:$AL,36,0)</f>
        <v>55</v>
      </c>
      <c r="Z78" s="330" t="e">
        <f>VLOOKUP(Z4,日誌斷絲!$C:$AL,36,0)</f>
        <v>#N/A</v>
      </c>
      <c r="AA78" s="330" t="e">
        <f>VLOOKUP(AA4,日誌斷絲!$C:$AL,36,0)</f>
        <v>#N/A</v>
      </c>
      <c r="AD78" s="330" t="e">
        <f>VLOOKUP(AD4,日誌斷絲!$C:$AL,36,0)</f>
        <v>#N/A</v>
      </c>
      <c r="AE78" s="330" t="e">
        <f>VLOOKUP(AE4,日誌斷絲!$C:$AL,36,0)</f>
        <v>#N/A</v>
      </c>
      <c r="AF78" s="330" t="e">
        <f>VLOOKUP(AF4,日誌斷絲!$C:$AL,36,0)</f>
        <v>#N/A</v>
      </c>
      <c r="AG78" s="330">
        <f>VLOOKUP(AG4,日誌斷絲!$C:$AL,36,0)</f>
        <v>48</v>
      </c>
      <c r="AH78" s="330">
        <f>VLOOKUP(AH4,日誌斷絲!$C:$AL,36,0)</f>
        <v>48</v>
      </c>
      <c r="AI78" s="330" t="e">
        <f>VLOOKUP(AI4,日誌斷絲!$C:$AL,36,0)</f>
        <v>#N/A</v>
      </c>
      <c r="AJ78" s="330">
        <f>VLOOKUP(AJ4,日誌斷絲!$C:$AL,36,0)</f>
        <v>53</v>
      </c>
      <c r="AK78" s="330" t="e">
        <f>VLOOKUP(AK4,日誌斷絲!$C:$AL,36,0)</f>
        <v>#N/A</v>
      </c>
      <c r="AL78" s="330" t="e">
        <f>VLOOKUP(AL4,日誌斷絲!$C:$AL,36,0)</f>
        <v>#N/A</v>
      </c>
      <c r="AM78" s="330">
        <f>VLOOKUP(AM4,日誌斷絲!$C:$AL,36,0)</f>
        <v>0</v>
      </c>
      <c r="AN78" s="330" t="e">
        <f>VLOOKUP(AN4,日誌斷絲!$C:$AL,36,0)</f>
        <v>#N/A</v>
      </c>
      <c r="AO78" s="330" t="e">
        <f>VLOOKUP(AO4,日誌斷絲!$C:$AL,36,0)</f>
        <v>#N/A</v>
      </c>
      <c r="AR78" s="330" t="e">
        <f>VLOOKUP(AR4,日誌斷絲!$C:$AL,36,0)</f>
        <v>#N/A</v>
      </c>
      <c r="AS78" s="330">
        <f>VLOOKUP(AS4,日誌斷絲!$C:$AL,36,0)</f>
        <v>0</v>
      </c>
      <c r="AT78" s="330">
        <f>VLOOKUP(AT4,日誌斷絲!$C:$AL,36,0)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A78" s="330">
        <f>VLOOKUP(BA4,日誌斷絲!$C:$AL,36,0)</f>
        <v>0</v>
      </c>
      <c r="BB78" s="330">
        <f>VLOOKUP(BB4,日誌斷絲!$C:$AL,36,0)</f>
        <v>0</v>
      </c>
      <c r="BC78" s="330">
        <f>VLOOKUP(BC4,日誌斷絲!$C:$AL,36,0)</f>
        <v>0</v>
      </c>
      <c r="BD78" s="330">
        <f>VLOOKUP(BD4,日誌斷絲!$C:$AL,36,0)</f>
        <v>0</v>
      </c>
      <c r="BE78" s="330" t="e">
        <f>VLOOKUP(BE4,日誌斷絲!$C:$AL,36,0)</f>
        <v>#N/A</v>
      </c>
      <c r="BF78" s="330" t="e">
        <f>VLOOKUP(BF4,日誌斷絲!$C:$AL,36,0)</f>
        <v>#N/A</v>
      </c>
    </row>
    <row r="79" spans="1:58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e">
        <f>VLOOKUP(H4,條件!$A:$Q,15,0)</f>
        <v>#N/A</v>
      </c>
      <c r="I79" s="330" t="str">
        <f>VLOOKUP(I4,條件!$A:$Q,15,0)</f>
        <v>藍黃直條</v>
      </c>
      <c r="J79" s="330" t="e">
        <f>VLOOKUP(J4,條件!$A:$Q,15,0)</f>
        <v>#N/A</v>
      </c>
      <c r="K79" s="330" t="str">
        <f>VLOOKUP(K4,條件!$A:$Q,15,0)</f>
        <v>黃色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X79" s="330" t="e">
        <f>VLOOKUP(X4,條件!$A:$Q,15,0)</f>
        <v>#N/A</v>
      </c>
      <c r="Y79" s="330" t="str">
        <f>VLOOKUP(Y4,條件!$A:$Q,15,0)</f>
        <v>白綠大點</v>
      </c>
      <c r="Z79" s="330" t="e">
        <f>VLOOKUP(Z4,條件!$A:$Q,15,0)</f>
        <v>#N/A</v>
      </c>
      <c r="AA79" s="330" t="e">
        <f>VLOOKUP(AA4,條件!$A:$Q,15,0)</f>
        <v>#N/A</v>
      </c>
      <c r="AD79" s="330" t="e">
        <f>VLOOKUP(AD4,條件!$A:$Q,15,0)</f>
        <v>#N/A</v>
      </c>
      <c r="AE79" s="330" t="e">
        <f>VLOOKUP(AE4,條件!$A:$Q,15,0)</f>
        <v>#N/A</v>
      </c>
      <c r="AF79" s="330" t="e">
        <f>VLOOKUP(AF4,條件!$A:$Q,15,0)</f>
        <v>#N/A</v>
      </c>
      <c r="AG79" s="330" t="str">
        <f>VLOOKUP(AG4,條件!$A:$Q,15,0)</f>
        <v>白藍條紋</v>
      </c>
      <c r="AH79" s="330" t="str">
        <f>VLOOKUP(AH4,條件!$A:$Q,15,0)</f>
        <v>白藍條紋</v>
      </c>
      <c r="AI79" s="330" t="e">
        <f>VLOOKUP(AI4,條件!$A:$Q,15,0)</f>
        <v>#N/A</v>
      </c>
      <c r="AJ79" s="330" t="str">
        <f>VLOOKUP(AJ4,條件!$A:$Q,15,0)</f>
        <v>白底藍點</v>
      </c>
      <c r="AK79" s="330" t="e">
        <f>VLOOKUP(AK4,條件!$A:$Q,15,0)</f>
        <v>#N/A</v>
      </c>
      <c r="AL79" s="330" t="e">
        <f>VLOOKUP(AL4,條件!$A:$Q,15,0)</f>
        <v>#N/A</v>
      </c>
      <c r="AM79" s="330" t="str">
        <f>VLOOKUP(AM4,條件!$A:$Q,15,0)</f>
        <v>綠黑十字</v>
      </c>
      <c r="AN79" s="330" t="e">
        <f>VLOOKUP(AN4,條件!$A:$Q,15,0)</f>
        <v>#N/A</v>
      </c>
      <c r="AO79" s="330" t="e">
        <f>VLOOKUP(AO4,條件!$A:$Q,15,0)</f>
        <v>#N/A</v>
      </c>
      <c r="AR79" s="330" t="e">
        <f>VLOOKUP(AR4,條件!$A:$Q,15,0)</f>
        <v>#N/A</v>
      </c>
      <c r="AS79" s="330" t="str">
        <f>VLOOKUP(AS4,條件!$A:$Q,15,0)</f>
        <v>黃黑大三角</v>
      </c>
      <c r="AT79" s="330" t="e">
        <f>VLOOKUP(AT4,條件!$A:$Q,15,0)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</row>
    <row r="80" spans="1:58" ht="14.25" customHeight="1">
      <c r="A80" s="701" t="s">
        <v>513</v>
      </c>
    </row>
    <row r="81" spans="1:58" ht="14.25" customHeight="1">
      <c r="A81" s="701" t="s">
        <v>514</v>
      </c>
    </row>
    <row r="82" spans="1:58" ht="14.25" customHeight="1">
      <c r="A82" s="701" t="s">
        <v>515</v>
      </c>
    </row>
    <row r="83" spans="1:58" ht="14.25" customHeight="1">
      <c r="A83" s="701" t="s">
        <v>516</v>
      </c>
    </row>
    <row r="84" spans="1:58" ht="14.25" customHeight="1">
      <c r="A84" s="701" t="s">
        <v>517</v>
      </c>
    </row>
    <row r="85" spans="1:58" ht="14.25" customHeight="1">
      <c r="A85" s="701" t="s">
        <v>518</v>
      </c>
    </row>
    <row r="86" spans="1:58" ht="14.25" customHeight="1">
      <c r="A86" s="826" t="s">
        <v>43</v>
      </c>
      <c r="B86" s="330">
        <f t="shared" ref="B86:O86" si="241">B7</f>
        <v>0</v>
      </c>
      <c r="C86" s="330">
        <f t="shared" ref="C86" si="242">C7</f>
        <v>0</v>
      </c>
      <c r="D86" s="330">
        <f t="shared" ref="D86" si="243">D7</f>
        <v>0</v>
      </c>
      <c r="E86" s="330">
        <f t="shared" ref="E86" si="244">E7</f>
        <v>0</v>
      </c>
      <c r="F86" s="330">
        <f t="shared" ref="F86:G86" si="245">F7</f>
        <v>600</v>
      </c>
      <c r="G86" s="330">
        <f t="shared" si="245"/>
        <v>600</v>
      </c>
      <c r="H86" s="330">
        <f t="shared" ref="H86" si="246">H7</f>
        <v>600</v>
      </c>
      <c r="I86" s="330">
        <f t="shared" ref="I86" si="247">I7</f>
        <v>630</v>
      </c>
      <c r="J86" s="330">
        <f t="shared" ref="J86" si="248">J7</f>
        <v>0</v>
      </c>
      <c r="K86" s="330">
        <f t="shared" ref="K86" si="249">K7</f>
        <v>600</v>
      </c>
      <c r="L86" s="330">
        <f t="shared" ref="L86:M86" si="250">L7</f>
        <v>575</v>
      </c>
      <c r="M86" s="330">
        <f t="shared" si="250"/>
        <v>0</v>
      </c>
      <c r="N86" s="330">
        <f>N7</f>
        <v>0</v>
      </c>
      <c r="O86" s="330">
        <f t="shared" si="241"/>
        <v>550</v>
      </c>
      <c r="P86" s="330">
        <f t="shared" ref="P86" si="251">P7</f>
        <v>650</v>
      </c>
      <c r="Q86" s="330">
        <f t="shared" ref="Q86" si="252">Q7</f>
        <v>0</v>
      </c>
      <c r="R86" s="330">
        <f t="shared" ref="R86" si="253">R7</f>
        <v>600</v>
      </c>
      <c r="S86" s="330">
        <f t="shared" ref="S86:T86" si="254">S7</f>
        <v>550</v>
      </c>
      <c r="T86" s="330">
        <f t="shared" si="254"/>
        <v>0</v>
      </c>
      <c r="U86" s="330">
        <f t="shared" ref="U86" si="255">U7</f>
        <v>0</v>
      </c>
      <c r="X86" s="330">
        <f>X7</f>
        <v>0</v>
      </c>
      <c r="Y86" s="330">
        <f>Y7</f>
        <v>600</v>
      </c>
      <c r="Z86" s="330">
        <f>Z7</f>
        <v>600</v>
      </c>
      <c r="AA86" s="330">
        <f>AA7</f>
        <v>0</v>
      </c>
      <c r="AD86" s="330">
        <f t="shared" ref="AD86" si="256">AD7</f>
        <v>700</v>
      </c>
      <c r="AE86" s="330">
        <f t="shared" ref="AE86:AF86" si="257">AE7</f>
        <v>700</v>
      </c>
      <c r="AF86" s="330">
        <f t="shared" si="257"/>
        <v>700</v>
      </c>
      <c r="AG86" s="330">
        <f t="shared" ref="AG86" si="258">AG7</f>
        <v>670</v>
      </c>
      <c r="AH86" s="330">
        <f t="shared" ref="AH86:AI86" si="259">AH7</f>
        <v>670</v>
      </c>
      <c r="AI86" s="330">
        <f t="shared" si="259"/>
        <v>670</v>
      </c>
      <c r="AJ86" s="330">
        <f t="shared" ref="AJ86:AL86" si="260">AJ7</f>
        <v>550</v>
      </c>
      <c r="AK86" s="330">
        <f t="shared" si="260"/>
        <v>550</v>
      </c>
      <c r="AL86" s="330">
        <f t="shared" si="260"/>
        <v>650</v>
      </c>
      <c r="AM86" s="330">
        <f>AM7</f>
        <v>700</v>
      </c>
      <c r="AN86" s="330">
        <f>AN7</f>
        <v>700</v>
      </c>
      <c r="AO86" s="330">
        <f t="shared" ref="AO86" si="261">AO7</f>
        <v>700</v>
      </c>
      <c r="AP86" s="330">
        <f t="shared" ref="AP86:BF86" si="262">AP7</f>
        <v>0</v>
      </c>
      <c r="AQ86" s="330">
        <f t="shared" si="262"/>
        <v>0</v>
      </c>
      <c r="AR86" s="330">
        <f>AR7</f>
        <v>0</v>
      </c>
      <c r="AS86" s="330">
        <f t="shared" ref="AS86" si="263">AS7</f>
        <v>600</v>
      </c>
      <c r="AT86" s="330">
        <f>AT7</f>
        <v>0</v>
      </c>
      <c r="AW86" s="330">
        <f t="shared" si="262"/>
        <v>0</v>
      </c>
      <c r="AX86" s="330">
        <f t="shared" si="262"/>
        <v>0</v>
      </c>
      <c r="AY86" s="330">
        <f t="shared" si="262"/>
        <v>0</v>
      </c>
      <c r="AZ86" s="330">
        <f t="shared" si="262"/>
        <v>0</v>
      </c>
      <c r="BA86" s="330">
        <f t="shared" si="262"/>
        <v>0</v>
      </c>
      <c r="BB86" s="330">
        <f t="shared" si="262"/>
        <v>0</v>
      </c>
      <c r="BC86" s="330">
        <f t="shared" si="262"/>
        <v>0</v>
      </c>
      <c r="BD86" s="330">
        <f t="shared" si="262"/>
        <v>0</v>
      </c>
      <c r="BE86" s="330">
        <f t="shared" si="262"/>
        <v>0</v>
      </c>
      <c r="BF86" s="330">
        <f t="shared" si="262"/>
        <v>0</v>
      </c>
    </row>
    <row r="87" spans="1:58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 t="e">
        <f>VLOOKUP(H4,條件!$A:$Q,16,0)</f>
        <v>#N/A</v>
      </c>
      <c r="I87" s="330">
        <f>VLOOKUP(I4,條件!$A:$Q,16,0)</f>
        <v>1.65</v>
      </c>
      <c r="J87" s="330" t="e">
        <f>VLOOKUP(J4,條件!$A:$Q,16,0)</f>
        <v>#N/A</v>
      </c>
      <c r="K87" s="330">
        <f>VLOOKUP(K4,條件!$A:$Q,16,0)</f>
        <v>1.72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X87" s="330" t="e">
        <f>VLOOKUP(X4,條件!$A:$Q,16,0)</f>
        <v>#N/A</v>
      </c>
      <c r="Y87" s="330">
        <f>VLOOKUP(Y4,條件!$A:$Q,16,0)</f>
        <v>1.7749999999999999</v>
      </c>
      <c r="Z87" s="330" t="e">
        <f>VLOOKUP(Z4,條件!$A:$Q,16,0)</f>
        <v>#N/A</v>
      </c>
      <c r="AA87" s="330" t="e">
        <f>VLOOKUP(AA4,條件!$A:$Q,16,0)</f>
        <v>#N/A</v>
      </c>
      <c r="AD87" s="330" t="e">
        <f>VLOOKUP(AD4,條件!$A:$Q,16,0)</f>
        <v>#N/A</v>
      </c>
      <c r="AE87" s="330" t="e">
        <f>VLOOKUP(AE4,條件!$A:$Q,16,0)</f>
        <v>#N/A</v>
      </c>
      <c r="AF87" s="330" t="e">
        <f>VLOOKUP(AF4,條件!$A:$Q,16,0)</f>
        <v>#N/A</v>
      </c>
      <c r="AG87" s="330">
        <f>VLOOKUP(AG4,條件!$A:$Q,16,0)</f>
        <v>1.7649999999999999</v>
      </c>
      <c r="AH87" s="330">
        <f>VLOOKUP(AH4,條件!$A:$Q,16,0)</f>
        <v>1.7849999999999999</v>
      </c>
      <c r="AI87" s="330" t="e">
        <f>VLOOKUP(AI4,條件!$A:$Q,16,0)</f>
        <v>#N/A</v>
      </c>
      <c r="AJ87" s="330">
        <f>VLOOKUP(AJ4,條件!$A:$Q,16,0)</f>
        <v>1.68</v>
      </c>
      <c r="AK87" s="330" t="e">
        <f>VLOOKUP(AK4,條件!$A:$Q,16,0)</f>
        <v>#N/A</v>
      </c>
      <c r="AL87" s="330" t="e">
        <f>VLOOKUP(AL4,條件!$A:$Q,16,0)</f>
        <v>#N/A</v>
      </c>
      <c r="AM87" s="330">
        <f>VLOOKUP(AM4,條件!$A:$Q,16,0)</f>
        <v>1.7949999999999999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>
        <f>VLOOKUP(AS4,條件!$A:$Q,16,0)</f>
        <v>1.75</v>
      </c>
      <c r="AT87" s="330" t="e">
        <f>VLOOKUP(AT4,條件!$A:$Q,16,0)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</row>
    <row r="88" spans="1:58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 t="e">
        <f>VLOOKUP(H4,條件!$A:$Q,17,0)</f>
        <v>#N/A</v>
      </c>
      <c r="I88" s="330">
        <f>VLOOKUP(I4,條件!$A:$Q,17,0)</f>
        <v>2.1</v>
      </c>
      <c r="J88" s="330" t="e">
        <f>VLOOKUP(J4,條件!$A:$Q,17,0)</f>
        <v>#N/A</v>
      </c>
      <c r="K88" s="330" t="str">
        <f>VLOOKUP(K4,條件!$A:$Q,17,0)</f>
        <v>1.63/1.65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X88" s="330" t="e">
        <f>VLOOKUP(X4,條件!$A:$Q,17,0)</f>
        <v>#N/A</v>
      </c>
      <c r="Y88" s="330">
        <f>VLOOKUP(Y4,條件!$A:$Q,17,0)</f>
        <v>1.7350000000000001</v>
      </c>
      <c r="Z88" s="330" t="e">
        <f>VLOOKUP(Z4,條件!$A:$Q,17,0)</f>
        <v>#N/A</v>
      </c>
      <c r="AA88" s="330" t="e">
        <f>VLOOKUP(AA4,條件!$A:$Q,17,0)</f>
        <v>#N/A</v>
      </c>
      <c r="AD88" s="330" t="e">
        <f>VLOOKUP(AD4,條件!$A:$Q,17,0)</f>
        <v>#N/A</v>
      </c>
      <c r="AE88" s="330" t="e">
        <f>VLOOKUP(AE4,條件!$A:$Q,17,0)</f>
        <v>#N/A</v>
      </c>
      <c r="AF88" s="330" t="e">
        <f>VLOOKUP(AF4,條件!$A:$Q,17,0)</f>
        <v>#N/A</v>
      </c>
      <c r="AG88" s="330">
        <f>VLOOKUP(AG4,條件!$A:$Q,17,0)</f>
        <v>1.84</v>
      </c>
      <c r="AH88" s="330">
        <f>VLOOKUP(AH4,條件!$A:$Q,17,0)</f>
        <v>1.85</v>
      </c>
      <c r="AI88" s="330" t="e">
        <f>VLOOKUP(AI4,條件!$A:$Q,17,0)</f>
        <v>#N/A</v>
      </c>
      <c r="AJ88" s="330">
        <f>VLOOKUP(AJ4,條件!$A:$Q,17,0)</f>
        <v>1.94</v>
      </c>
      <c r="AK88" s="330" t="e">
        <f>VLOOKUP(AK4,條件!$A:$Q,17,0)</f>
        <v>#N/A</v>
      </c>
      <c r="AL88" s="330" t="e">
        <f>VLOOKUP(AL4,條件!$A:$Q,17,0)</f>
        <v>#N/A</v>
      </c>
      <c r="AM88" s="330">
        <f>VLOOKUP(AM4,條件!$A:$Q,17,0)</f>
        <v>1.88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>
        <f>VLOOKUP(AS4,條件!$A:$Q,17,0)</f>
        <v>1.6</v>
      </c>
      <c r="AT88" s="330" t="e">
        <f>VLOOKUP(AT4,條件!$A:$Q,17,0)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</row>
    <row r="89" spans="1:58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A89" s="330" t="e">
        <f>VLOOKUP(AA$4,總表!$AM:$AS,7,0)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</row>
    <row r="90" spans="1:58" ht="14.25" customHeight="1">
      <c r="A90" s="826" t="s">
        <v>522</v>
      </c>
    </row>
    <row r="91" spans="1:58" ht="14.25" customHeight="1">
      <c r="A91" s="826" t="s">
        <v>523</v>
      </c>
    </row>
    <row r="92" spans="1:58" ht="14.25" customHeight="1">
      <c r="A92" s="826" t="s">
        <v>524</v>
      </c>
    </row>
    <row r="93" spans="1:58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A93" s="330" t="e">
        <f>VLOOKUP(AA$4,總表!$AM:$AS,5,0)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</row>
    <row r="94" spans="1:58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A94" s="330" t="e">
        <f>VLOOKUP(AA$4,總表!$AM:$AS,6,0)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</row>
    <row r="95" spans="1:58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 t="e">
        <f>VLOOKUP(H4,條件!$A:$R,18,0)</f>
        <v>#N/A</v>
      </c>
      <c r="I95" s="330">
        <f>VLOOKUP(I4,條件!$A:$R,18,0)</f>
        <v>8.5</v>
      </c>
      <c r="J95" s="330" t="e">
        <f>VLOOKUP(J4,條件!$A:$R,18,0)</f>
        <v>#N/A</v>
      </c>
      <c r="K95" s="330">
        <f>VLOOKUP(K4,條件!$A:$R,18,0)</f>
        <v>12.5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X95" s="330" t="e">
        <f>VLOOKUP(X4,條件!$A:$R,18,0)</f>
        <v>#N/A</v>
      </c>
      <c r="Y95" s="330">
        <f>VLOOKUP(Y4,條件!$A:$R,18,0)</f>
        <v>0.6</v>
      </c>
      <c r="Z95" s="330" t="e">
        <f>VLOOKUP(Z4,條件!$A:$R,18,0)</f>
        <v>#N/A</v>
      </c>
      <c r="AA95" s="330" t="e">
        <f>VLOOKUP(AA4,條件!$A:$R,18,0)</f>
        <v>#N/A</v>
      </c>
      <c r="AD95" s="330" t="e">
        <f>VLOOKUP(AD4,條件!$A:$R,18,0)</f>
        <v>#N/A</v>
      </c>
      <c r="AE95" s="330" t="e">
        <f>VLOOKUP(AE4,條件!$A:$R,18,0)</f>
        <v>#N/A</v>
      </c>
      <c r="AF95" s="330" t="e">
        <f>VLOOKUP(AF4,條件!$A:$R,18,0)</f>
        <v>#N/A</v>
      </c>
      <c r="AG95" s="330">
        <f>VLOOKUP(AG4,條件!$A:$R,18,0)</f>
        <v>1</v>
      </c>
      <c r="AH95" s="330">
        <f>VLOOKUP(AH4,條件!$A:$R,18,0)</f>
        <v>0.75</v>
      </c>
      <c r="AI95" s="330" t="e">
        <f>VLOOKUP(AI4,條件!$A:$R,18,0)</f>
        <v>#N/A</v>
      </c>
      <c r="AJ95" s="330">
        <f>VLOOKUP(AJ4,條件!$A:$R,18,0)</f>
        <v>1</v>
      </c>
      <c r="AK95" s="330" t="e">
        <f>VLOOKUP(AK4,條件!$A:$R,18,0)</f>
        <v>#N/A</v>
      </c>
      <c r="AL95" s="330" t="e">
        <f>VLOOKUP(AL4,條件!$A:$R,18,0)</f>
        <v>#N/A</v>
      </c>
      <c r="AM95" s="330">
        <f>VLOOKUP(AM4,條件!$A:$R,18,0)</f>
        <v>0.7</v>
      </c>
      <c r="AN95" s="330" t="e">
        <f>VLOOKUP(AN4,條件!$A:$R,18,0)</f>
        <v>#N/A</v>
      </c>
      <c r="AO95" s="330" t="e">
        <f>VLOOKUP(AO4,條件!$A:$R,18,0)</f>
        <v>#N/A</v>
      </c>
      <c r="AR95" s="330" t="e">
        <f>VLOOKUP(AR4,條件!$A:$R,18,0)</f>
        <v>#N/A</v>
      </c>
      <c r="AS95" s="330">
        <f>VLOOKUP(AS4,條件!$A:$R,18,0)</f>
        <v>7</v>
      </c>
      <c r="AT95" s="330" t="e">
        <f>VLOOKUP(AT4,條件!$A:$R,18,0)</f>
        <v>#N/A</v>
      </c>
    </row>
    <row r="96" spans="1:58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 t="e">
        <f>VLOOKUP(H4,條件!$A:$B,2,0)</f>
        <v>#N/A</v>
      </c>
      <c r="I96" s="330">
        <f>VLOOKUP(I4,條件!$A:$B,2,0)</f>
        <v>585</v>
      </c>
      <c r="J96" s="330" t="e">
        <f>VLOOKUP(J4,條件!$A:$B,2,0)</f>
        <v>#N/A</v>
      </c>
      <c r="K96" s="330">
        <f>VLOOKUP(K4,條件!$A:$B,2,0)</f>
        <v>502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X96" s="1035" t="e">
        <f>VLOOKUP(X4,條件!$A:$B,2,0)</f>
        <v>#N/A</v>
      </c>
      <c r="Y96" s="1035">
        <f>VLOOKUP(Y4,條件!$A:$B,2,0)</f>
        <v>0.19791666666666671</v>
      </c>
      <c r="Z96" s="1035" t="e">
        <f>VLOOKUP(Z4,條件!$A:$B,2,0)</f>
        <v>#N/A</v>
      </c>
      <c r="AA96" s="1035" t="e">
        <f>VLOOKUP(AA4,條件!$A:$B,2,0)</f>
        <v>#N/A</v>
      </c>
      <c r="AD96" s="1035" t="e">
        <f>VLOOKUP(AD4,條件!$A:$B,2,0)</f>
        <v>#N/A</v>
      </c>
      <c r="AE96" s="1035" t="e">
        <f>VLOOKUP(AE4,條件!$A:$B,2,0)</f>
        <v>#N/A</v>
      </c>
      <c r="AF96" s="1035" t="e">
        <f>VLOOKUP(AF4,條件!$A:$B,2,0)</f>
        <v>#N/A</v>
      </c>
      <c r="AG96" s="1035">
        <f>VLOOKUP(AG4,條件!$A:$B,2,0)</f>
        <v>0.1590277777777778</v>
      </c>
      <c r="AH96" s="1035">
        <f>VLOOKUP(AH4,條件!$A:$B,2,0)</f>
        <v>0.16180555555555559</v>
      </c>
      <c r="AI96" s="1035" t="e">
        <f>VLOOKUP(AI4,條件!$A:$B,2,0)</f>
        <v>#N/A</v>
      </c>
      <c r="AJ96" s="1035">
        <f>VLOOKUP(AJ4,條件!$A:$B,2,0)</f>
        <v>0.15138888888888891</v>
      </c>
      <c r="AK96" s="1035" t="e">
        <f>VLOOKUP(AK4,條件!$A:$B,2,0)</f>
        <v>#N/A</v>
      </c>
      <c r="AL96" s="1035" t="e">
        <f>VLOOKUP(AL4,條件!$A:$B,2,0)</f>
        <v>#N/A</v>
      </c>
      <c r="AM96" s="1035">
        <f>VLOOKUP(AM4,條件!$A:$B,2,0)</f>
        <v>0.17083333333333331</v>
      </c>
      <c r="AN96" s="1035" t="e">
        <f>VLOOKUP(AN4,條件!$A:$B,2,0)</f>
        <v>#N/A</v>
      </c>
      <c r="AO96" s="1035" t="e">
        <f>VLOOKUP(AO4,條件!$A:$B,2,0)</f>
        <v>#N/A</v>
      </c>
      <c r="AP96" s="330" t="e">
        <f>VLOOKUP(AP4,條件!$A:$B,2,0)</f>
        <v>#N/A</v>
      </c>
      <c r="AQ96" s="330" t="e">
        <f>VLOOKUP(AQ4,條件!$A:$B,2,0)</f>
        <v>#N/A</v>
      </c>
      <c r="AR96" s="330" t="e">
        <f>VLOOKUP(AR4,條件!$A:$B,2,0)</f>
        <v>#N/A</v>
      </c>
      <c r="AS96" s="330">
        <f>VLOOKUP(AS4,條件!$A:$B,2,0)</f>
        <v>517</v>
      </c>
      <c r="AT96" s="330" t="e">
        <f>VLOOKUP(AT4,條件!$A:$B,2,0)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</row>
    <row r="97" spans="1:58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P142</v>
      </c>
      <c r="J97" s="829" t="e">
        <f>VLOOKUP(J$4,整理!$4:$181,8,0)</f>
        <v>#N/A</v>
      </c>
      <c r="K97" s="829" t="str">
        <f>VLOOKUP(K$4,整理!$4:$181,8,0)</f>
        <v>P203</v>
      </c>
      <c r="L97" s="829" t="str">
        <f>VLOOKUP(L$4,整理!$4:$181,8,0)</f>
        <v>P203</v>
      </c>
      <c r="M97" s="829">
        <f>VLOOKUP(M$4,整理!$4:$181,8,0)</f>
        <v>0</v>
      </c>
      <c r="N97" s="829">
        <f>VLOOKUP(N$4,整理!$4:$181,8,0)</f>
        <v>0</v>
      </c>
      <c r="O97" s="829" t="str">
        <f>VLOOKUP(O$4,整理!$4:$181,8,0)</f>
        <v>P203</v>
      </c>
      <c r="P97" s="829" t="str">
        <f>VLOOKUP(P$4,整理!$4:$181,8,0)</f>
        <v>P203</v>
      </c>
      <c r="Q97" s="829" t="e">
        <f>VLOOKUP(Q$4,整理!$4:$181,8,0)</f>
        <v>#N/A</v>
      </c>
      <c r="R97" s="829" t="str">
        <f>VLOOKUP(R$4,整理!$4:$181,8,0)</f>
        <v>P204</v>
      </c>
      <c r="S97" s="829" t="str">
        <f>VLOOKUP(S$4,整理!$4:$181,8,0)</f>
        <v>P227</v>
      </c>
      <c r="T97" s="829" t="e">
        <f>VLOOKUP(T$4,整理!$4:$181,8,0)</f>
        <v>#N/A</v>
      </c>
      <c r="U97" s="829" t="e">
        <f>VLOOKUP(U$4,整理!$4:$181,8,0)</f>
        <v>#N/A</v>
      </c>
      <c r="V97" s="829"/>
      <c r="W97" s="829"/>
      <c r="X97" s="829" t="e">
        <f>VLOOKUP(X$4,整理!$4:$181,8,0)</f>
        <v>#N/A</v>
      </c>
      <c r="Y97" s="829" t="str">
        <f>VLOOKUP(Y$4,整理!$4:$181,8,0)</f>
        <v>P227</v>
      </c>
      <c r="Z97" s="829" t="str">
        <f>VLOOKUP(Z$4,整理!$4:$181,8,0)</f>
        <v>P227</v>
      </c>
      <c r="AA97" s="829" t="e">
        <f>VLOOKUP(AA$4,整理!$4:$181,8,0)</f>
        <v>#N/A</v>
      </c>
      <c r="AB97" s="829"/>
      <c r="AC97" s="829"/>
      <c r="AD97" s="829" t="str">
        <f>VLOOKUP(AD$4,整理!$4:$181,8,0)</f>
        <v>P204</v>
      </c>
      <c r="AE97" s="829" t="str">
        <f>VLOOKUP(AE$4,整理!$4:$181,8,0)</f>
        <v>P204</v>
      </c>
      <c r="AF97" s="829" t="str">
        <f>VLOOKUP(AF$4,整理!$4:$181,8,0)</f>
        <v>P204</v>
      </c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P227</v>
      </c>
      <c r="AK97" s="829" t="str">
        <f>VLOOKUP(AK$4,整理!$4:$181,8,0)</f>
        <v>P227</v>
      </c>
      <c r="AL97" s="829" t="str">
        <f>VLOOKUP(AL$4,整理!$4:$181,8,0)</f>
        <v>P203</v>
      </c>
      <c r="AM97" s="829" t="str">
        <f>VLOOKUP(AM$4,整理!$4:$181,8,0)</f>
        <v>P204</v>
      </c>
      <c r="AN97" s="829" t="str">
        <f>VLOOKUP(AN$4,整理!$4:$181,8,0)</f>
        <v>P204</v>
      </c>
      <c r="AO97" s="829" t="str">
        <f>VLOOKUP(AO$4,整理!$4:$181,8,0)</f>
        <v>P204</v>
      </c>
      <c r="AP97" s="829" t="e">
        <f>VLOOKUP(AP$4,整理!$4:$181,8,0)</f>
        <v>#N/A</v>
      </c>
      <c r="AQ97" s="829" t="e">
        <f>VLOOKUP(AQ$4,整理!$4:$181,8,0)</f>
        <v>#N/A</v>
      </c>
      <c r="AR97" s="829" t="e">
        <f>VLOOKUP(AR$4,整理!$4:$181,8,0)</f>
        <v>#N/A</v>
      </c>
      <c r="AS97" s="829" t="str">
        <f>VLOOKUP(AS$4,整理!$4:$181,8,0)</f>
        <v>P203</v>
      </c>
      <c r="AT97" s="829" t="e">
        <f>VLOOKUP(AT$4,整理!$4:$181,8,0)</f>
        <v>#N/A</v>
      </c>
      <c r="AU97" s="829"/>
      <c r="AV97" s="829"/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</row>
    <row r="98" spans="1:58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0.6</v>
      </c>
      <c r="H98" s="1032" t="str">
        <f>VLOOKUP(H$4,整理!$4:$181,9,0)</f>
        <v>1.7</v>
      </c>
      <c r="I98" s="1032" t="str">
        <f>VLOOKUP(I$4,整理!$4:$181,9,0)</f>
        <v>1.1</v>
      </c>
      <c r="J98" s="1032" t="e">
        <f>VLOOKUP(J$4,整理!$4:$181,9,0)</f>
        <v>#N/A</v>
      </c>
      <c r="K98" s="1032" t="str">
        <f>VLOOKUP(K$4,整理!$4:$181,9,0)</f>
        <v>3.0</v>
      </c>
      <c r="L98" s="1032" t="str">
        <f>VLOOKUP(L$4,整理!$4:$181,9,0)</f>
        <v>0.9</v>
      </c>
      <c r="M98" s="1032">
        <f>VLOOKUP(M$4,整理!$4:$181,9,0)</f>
        <v>0</v>
      </c>
      <c r="N98" s="1032">
        <f>VLOOKUP(N$4,整理!$4:$181,9,0)</f>
        <v>0</v>
      </c>
      <c r="O98" s="1032" t="str">
        <f>VLOOKUP(O$4,整理!$4:$181,9,0)</f>
        <v>2.0</v>
      </c>
      <c r="P98" s="1032" t="str">
        <f>VLOOKUP(P$4,整理!$4:$181,9,0)</f>
        <v>3.0</v>
      </c>
      <c r="Q98" s="1032" t="e">
        <f>VLOOKUP(Q$4,整理!$4:$181,9,0)</f>
        <v>#N/A</v>
      </c>
      <c r="R98" s="1032" t="str">
        <f>VLOOKUP(R$4,整理!$4:$181,9,0)</f>
        <v>2.2</v>
      </c>
      <c r="S98" s="1032" t="str">
        <f>VLOOKUP(S$4,整理!$4:$181,9,0)</f>
        <v>2.8</v>
      </c>
      <c r="T98" s="1032" t="e">
        <f>VLOOKUP(T$4,整理!$4:$181,9,0)</f>
        <v>#N/A</v>
      </c>
      <c r="U98" s="1032" t="e">
        <f>VLOOKUP(U$4,整理!$4:$181,9,0)</f>
        <v>#N/A</v>
      </c>
      <c r="V98" s="1032"/>
      <c r="W98" s="1032"/>
      <c r="X98" s="1032" t="e">
        <f>VLOOKUP(X$4,整理!$4:$181,9,0)</f>
        <v>#N/A</v>
      </c>
      <c r="Y98" s="1032" t="str">
        <f>VLOOKUP(Y$4,整理!$4:$181,9,0)</f>
        <v>2.0</v>
      </c>
      <c r="Z98" s="1032" t="str">
        <f>VLOOKUP(Z$4,整理!$4:$181,9,0)</f>
        <v>2.1</v>
      </c>
      <c r="AA98" s="1032" t="e">
        <f>VLOOKUP(AA$4,整理!$4:$181,9,0)</f>
        <v>#N/A</v>
      </c>
      <c r="AB98" s="1032"/>
      <c r="AC98" s="1032"/>
      <c r="AD98" s="1032" t="str">
        <f>VLOOKUP(AD$4,整理!$4:$181,9,0)</f>
        <v>3.0</v>
      </c>
      <c r="AE98" s="1032" t="str">
        <f>VLOOKUP(AE$4,整理!$4:$181,9,0)</f>
        <v>2.9</v>
      </c>
      <c r="AF98" s="1032" t="str">
        <f>VLOOKUP(AF$4,整理!$4:$181,9,0)</f>
        <v>2.9</v>
      </c>
      <c r="AG98" s="1032" t="str">
        <f>VLOOKUP(AG$4,整理!$4:$181,9,0)</f>
        <v>1.7</v>
      </c>
      <c r="AH98" s="1032" t="str">
        <f>VLOOKUP(AH$4,整理!$4:$181,9,0)</f>
        <v>2.4</v>
      </c>
      <c r="AI98" s="1032" t="str">
        <f>VLOOKUP(AI$4,整理!$4:$181,9,0)</f>
        <v>3.0</v>
      </c>
      <c r="AJ98" s="1032" t="str">
        <f>VLOOKUP(AJ$4,整理!$4:$181,9,0)</f>
        <v>3.3</v>
      </c>
      <c r="AK98" s="1032" t="str">
        <f>VLOOKUP(AK$4,整理!$4:$181,9,0)</f>
        <v>3.3</v>
      </c>
      <c r="AL98" s="1032" t="str">
        <f>VLOOKUP(AL$4,整理!$4:$181,9,0)</f>
        <v>1.0</v>
      </c>
      <c r="AM98" s="1032" t="str">
        <f>VLOOKUP(AM$4,整理!$4:$181,9,0)</f>
        <v>2.8</v>
      </c>
      <c r="AN98" s="1032">
        <f>VLOOKUP(AN$4,整理!$4:$181,9,0)</f>
        <v>2.8</v>
      </c>
      <c r="AO98" s="1032" t="str">
        <f>VLOOKUP(AO$4,整理!$4:$181,9,0)</f>
        <v>2.8</v>
      </c>
      <c r="AP98" s="1032" t="e">
        <f>VLOOKUP(AP$4,整理!$4:$181,9,0)</f>
        <v>#N/A</v>
      </c>
      <c r="AQ98" s="1032" t="e">
        <f>VLOOKUP(AQ$4,整理!$4:$181,9,0)</f>
        <v>#N/A</v>
      </c>
      <c r="AR98" s="1032" t="e">
        <f>VLOOKUP(AR$4,整理!$4:$181,9,0)</f>
        <v>#N/A</v>
      </c>
      <c r="AS98" s="1032" t="str">
        <f>VLOOKUP(AS$4,整理!$4:$181,9,0)</f>
        <v>1.3</v>
      </c>
      <c r="AT98" s="1032" t="e">
        <f>VLOOKUP(AT$4,整理!$4:$181,9,0)</f>
        <v>#N/A</v>
      </c>
      <c r="AU98" s="1032"/>
      <c r="AV98" s="1032"/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  <c r="BB98" s="1032" t="e">
        <f>VLOOKUP(BB$4,整理!$4:$181,9,0)</f>
        <v>#N/A</v>
      </c>
      <c r="BC98" s="1032" t="e">
        <f>VLOOKUP(BC$4,整理!$4:$181,9,0)</f>
        <v>#N/A</v>
      </c>
      <c r="BD98" s="1032" t="e">
        <f>VLOOKUP(BD$4,整理!$4:$181,9,0)</f>
        <v>#N/A</v>
      </c>
      <c r="BE98" s="1032" t="e">
        <f>VLOOKUP(BE$4,整理!$4:$181,9,0)</f>
        <v>#N/A</v>
      </c>
      <c r="BF98" s="1032" t="e">
        <f>VLOOKUP(BF$4,整理!$4:$181,9,0)</f>
        <v>#N/A</v>
      </c>
    </row>
    <row r="99" spans="1:58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A99" s="330" t="e">
        <f>VLOOKUP(AA$4,總表!$AM:$AU,9,0)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</row>
    <row r="100" spans="1:58" ht="14.25" customHeight="1">
      <c r="A100" s="826" t="s">
        <v>532</v>
      </c>
    </row>
    <row r="101" spans="1:58" ht="14.25" customHeight="1">
      <c r="A101" s="826" t="s">
        <v>533</v>
      </c>
    </row>
    <row r="102" spans="1:58" ht="14.25" customHeight="1">
      <c r="A102" s="826" t="s">
        <v>534</v>
      </c>
    </row>
    <row r="103" spans="1:58" ht="14.25" customHeight="1">
      <c r="A103" s="827" t="s">
        <v>444</v>
      </c>
    </row>
    <row r="104" spans="1:58" ht="14.25" customHeight="1">
      <c r="A104" s="827" t="s">
        <v>445</v>
      </c>
    </row>
    <row r="105" spans="1:58" ht="14.25" customHeight="1">
      <c r="A105" s="827" t="s">
        <v>446</v>
      </c>
    </row>
    <row r="106" spans="1:58" ht="14.25" customHeight="1">
      <c r="A106" s="827" t="s">
        <v>535</v>
      </c>
    </row>
    <row r="108" spans="1:58" ht="14.25" customHeight="1">
      <c r="A108" s="1034" t="s">
        <v>918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7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2.078125</v>
      </c>
    </row>
    <row r="6" spans="1:3">
      <c r="A6" t="s">
        <v>213</v>
      </c>
      <c r="B6" t="s">
        <v>16787</v>
      </c>
      <c r="C6" s="1167">
        <v>1.8638888888888892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1.3720238095238098</v>
      </c>
    </row>
    <row r="9" spans="1:3">
      <c r="A9" t="s">
        <v>213</v>
      </c>
      <c r="B9" t="s">
        <v>17282</v>
      </c>
      <c r="C9" s="1167">
        <v>1.875</v>
      </c>
    </row>
    <row r="10" spans="1:3">
      <c r="A10" t="s">
        <v>213</v>
      </c>
      <c r="B10" t="s">
        <v>17285</v>
      </c>
      <c r="C10" s="1167">
        <v>2.8525641025641026</v>
      </c>
    </row>
    <row r="11" spans="1:3">
      <c r="A11" t="s">
        <v>213</v>
      </c>
      <c r="B11" t="s">
        <v>17443</v>
      </c>
      <c r="C11" s="1167">
        <v>2.842592592592593</v>
      </c>
    </row>
    <row r="12" spans="1:3">
      <c r="A12" t="s">
        <v>213</v>
      </c>
      <c r="B12" t="s">
        <v>17446</v>
      </c>
      <c r="C12" s="1167">
        <v>1.587962962962963</v>
      </c>
    </row>
    <row r="13" spans="1:3">
      <c r="A13" t="s">
        <v>213</v>
      </c>
      <c r="B13" t="s">
        <v>17497</v>
      </c>
      <c r="C13" s="1167" t="e">
        <v>#DIV/0!</v>
      </c>
    </row>
    <row r="14" spans="1:3">
      <c r="A14" t="s">
        <v>213</v>
      </c>
      <c r="B14" t="s">
        <v>17510</v>
      </c>
      <c r="C14" s="1167" t="e">
        <v>#DIV/0!</v>
      </c>
    </row>
    <row r="15" spans="1:3">
      <c r="A15" t="s">
        <v>232</v>
      </c>
      <c r="B15" t="s">
        <v>640</v>
      </c>
      <c r="C15" s="1167" t="e">
        <v>#DIV/0!</v>
      </c>
    </row>
    <row r="16" spans="1:3">
      <c r="A16" t="s">
        <v>232</v>
      </c>
      <c r="B16" t="s">
        <v>16796</v>
      </c>
      <c r="C16" s="1167" t="e">
        <v>#DIV/0!</v>
      </c>
    </row>
    <row r="17" spans="1:3">
      <c r="A17" t="s">
        <v>232</v>
      </c>
      <c r="B17" t="s">
        <v>17336</v>
      </c>
      <c r="C17" s="1167">
        <v>4.7628205128205137</v>
      </c>
    </row>
    <row r="18" spans="1:3">
      <c r="A18" t="s">
        <v>243</v>
      </c>
      <c r="C18" s="1167" t="e">
        <v>#DIV/0!</v>
      </c>
    </row>
    <row r="19" spans="1:3">
      <c r="A19" t="s">
        <v>241</v>
      </c>
      <c r="B19" t="s">
        <v>640</v>
      </c>
      <c r="C19" s="1167" t="e">
        <v>#DIV/0!</v>
      </c>
    </row>
    <row r="20" spans="1:3">
      <c r="A20" t="s">
        <v>241</v>
      </c>
      <c r="B20" t="s">
        <v>386</v>
      </c>
      <c r="C20" s="1167" t="e">
        <v>#DIV/0!</v>
      </c>
    </row>
    <row r="21" spans="1:3">
      <c r="A21" t="s">
        <v>241</v>
      </c>
      <c r="B21" t="s">
        <v>16801</v>
      </c>
      <c r="C21" s="1167" t="e">
        <v>#DIV/0!</v>
      </c>
    </row>
    <row r="22" spans="1:3">
      <c r="A22" t="s">
        <v>236</v>
      </c>
      <c r="B22" t="s">
        <v>640</v>
      </c>
      <c r="C22" s="1167" t="e">
        <v>#DIV/0!</v>
      </c>
    </row>
    <row r="23" spans="1:3">
      <c r="A23" t="s">
        <v>236</v>
      </c>
      <c r="B23" t="s">
        <v>16751</v>
      </c>
      <c r="C23" s="1167">
        <v>4.958333333333333</v>
      </c>
    </row>
    <row r="24" spans="1:3">
      <c r="A24" t="s">
        <v>236</v>
      </c>
      <c r="B24" t="s">
        <v>16763</v>
      </c>
      <c r="C24" s="1167">
        <v>5.8981481481481479</v>
      </c>
    </row>
    <row r="25" spans="1:3">
      <c r="A25" t="s">
        <v>236</v>
      </c>
      <c r="B25" t="s">
        <v>16764</v>
      </c>
      <c r="C25" s="1167">
        <v>5.3888888888888893</v>
      </c>
    </row>
    <row r="26" spans="1:3">
      <c r="A26" t="s">
        <v>236</v>
      </c>
      <c r="B26" t="s">
        <v>16799</v>
      </c>
      <c r="C26" s="1167" t="e">
        <v>#DIV/0!</v>
      </c>
    </row>
    <row r="27" spans="1:3">
      <c r="A27" t="s">
        <v>236</v>
      </c>
      <c r="B27" t="s">
        <v>16818</v>
      </c>
      <c r="C27" s="1167" t="e">
        <v>#DIV/0!</v>
      </c>
    </row>
    <row r="28" spans="1:3">
      <c r="A28" t="s">
        <v>236</v>
      </c>
      <c r="B28" t="s">
        <v>17262</v>
      </c>
      <c r="C28" s="1167">
        <v>4.6015625</v>
      </c>
    </row>
    <row r="29" spans="1:3">
      <c r="A29" t="s">
        <v>236</v>
      </c>
      <c r="B29" t="s">
        <v>17287</v>
      </c>
      <c r="C29" s="1167">
        <v>4.5750000000000002</v>
      </c>
    </row>
    <row r="30" spans="1:3">
      <c r="A30" t="s">
        <v>236</v>
      </c>
      <c r="B30" t="s">
        <v>17288</v>
      </c>
      <c r="C30" s="1167">
        <v>4.990384615384615</v>
      </c>
    </row>
    <row r="31" spans="1:3">
      <c r="A31" t="s">
        <v>236</v>
      </c>
      <c r="B31" t="s">
        <v>17407</v>
      </c>
      <c r="C31" s="1167">
        <v>2.4375</v>
      </c>
    </row>
    <row r="32" spans="1:3">
      <c r="A32" t="s">
        <v>236</v>
      </c>
      <c r="B32" t="s">
        <v>17403</v>
      </c>
      <c r="C32" s="1167">
        <v>3.0763888888888893</v>
      </c>
    </row>
    <row r="33" spans="1:3">
      <c r="A33" t="s">
        <v>236</v>
      </c>
      <c r="B33" t="s">
        <v>17412</v>
      </c>
      <c r="C33" s="1167">
        <v>3.9351851851851851</v>
      </c>
    </row>
    <row r="34" spans="1:3">
      <c r="A34" t="s">
        <v>236</v>
      </c>
      <c r="B34" t="s">
        <v>17490</v>
      </c>
      <c r="C34" s="1167">
        <v>3</v>
      </c>
    </row>
    <row r="35" spans="1:3">
      <c r="A35" t="s">
        <v>236</v>
      </c>
      <c r="B35" t="s">
        <v>17499</v>
      </c>
      <c r="C35" s="1167">
        <v>6.791666666666667</v>
      </c>
    </row>
    <row r="36" spans="1:3">
      <c r="A36" t="s">
        <v>236</v>
      </c>
      <c r="B36" t="s">
        <v>17502</v>
      </c>
      <c r="C36" s="1167" t="e">
        <v>#DIV/0!</v>
      </c>
    </row>
    <row r="37" spans="1:3">
      <c r="A37" t="s">
        <v>70</v>
      </c>
      <c r="C37" s="1167">
        <v>3.4619472789115631</v>
      </c>
    </row>
  </sheetData>
  <phoneticPr fontId="11" type="noConversion"/>
  <conditionalFormatting pivot="1" sqref="C4:C17 C19:C36">
    <cfRule type="cellIs" dxfId="646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55" activePane="bottomLeft" state="frozen"/>
      <selection activeCell="L173" sqref="L173"/>
      <selection pane="bottomLeft" activeCell="F65" sqref="F65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7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330248</v>
      </c>
      <c r="P1" s="1244">
        <f>SUM(E:E,H:H,J:N)</f>
        <v>139447</v>
      </c>
    </row>
    <row r="2" spans="1:16" ht="17.25" customHeight="1">
      <c r="D2" s="1266" t="s">
        <v>17379</v>
      </c>
      <c r="E2" s="1271">
        <v>511</v>
      </c>
      <c r="F2" s="386">
        <v>511</v>
      </c>
      <c r="G2" s="1266"/>
      <c r="H2" s="1271"/>
      <c r="I2" s="386"/>
      <c r="J2" s="1249"/>
      <c r="K2" s="1246"/>
      <c r="L2" s="1246"/>
      <c r="M2" s="1246"/>
      <c r="N2" s="1246"/>
      <c r="O2" s="1247">
        <f>日報表!G187</f>
        <v>153133</v>
      </c>
      <c r="P2" s="1247">
        <f>日報表!G184</f>
        <v>886641</v>
      </c>
    </row>
    <row r="3" spans="1:16" ht="17.25" customHeight="1">
      <c r="D3" s="1266" t="s">
        <v>17399</v>
      </c>
      <c r="E3" s="1271">
        <v>1167</v>
      </c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17295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620</v>
      </c>
    </row>
    <row r="5" spans="1:16" ht="17.25" customHeight="1">
      <c r="D5" s="1266" t="s">
        <v>17304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17370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17313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17400</v>
      </c>
      <c r="E8" s="1270">
        <v>1330</v>
      </c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17391</v>
      </c>
      <c r="E9" s="1270"/>
      <c r="F9" s="386">
        <v>10800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17401</v>
      </c>
      <c r="E10" s="1270">
        <v>1410</v>
      </c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17522</v>
      </c>
      <c r="E11" s="1271">
        <v>1380</v>
      </c>
      <c r="F11" s="386"/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17314</v>
      </c>
      <c r="E12" s="1271">
        <v>2130</v>
      </c>
      <c r="F12" s="386">
        <v>2130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17523</v>
      </c>
      <c r="E13" s="1270">
        <v>1920</v>
      </c>
      <c r="F13" s="386"/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17463</v>
      </c>
      <c r="E14" s="1271">
        <v>750</v>
      </c>
      <c r="F14" s="386">
        <v>750</v>
      </c>
      <c r="G14" s="1266"/>
      <c r="H14" s="1271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17388</v>
      </c>
      <c r="E15" s="1270"/>
      <c r="F15" s="386">
        <v>13776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17371</v>
      </c>
      <c r="E16" s="1270">
        <v>1020</v>
      </c>
      <c r="F16" s="386">
        <v>1020</v>
      </c>
      <c r="G16" s="1266"/>
      <c r="H16" s="1270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17372</v>
      </c>
      <c r="E17" s="1270">
        <v>5640</v>
      </c>
      <c r="F17" s="386">
        <v>5640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17315</v>
      </c>
      <c r="E18" s="1270">
        <v>4230</v>
      </c>
      <c r="F18" s="386">
        <v>4230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17373</v>
      </c>
      <c r="E19" s="1270">
        <v>3090</v>
      </c>
      <c r="F19" s="386">
        <v>3090</v>
      </c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17351</v>
      </c>
      <c r="E20" s="1270">
        <v>1650</v>
      </c>
      <c r="F20" s="386">
        <v>1650</v>
      </c>
      <c r="G20" s="1266"/>
      <c r="H20" s="1271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17307</v>
      </c>
      <c r="E21" s="1270">
        <v>1500</v>
      </c>
      <c r="F21" s="386">
        <v>1500</v>
      </c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17438</v>
      </c>
      <c r="E22" s="1271">
        <v>687</v>
      </c>
      <c r="F22" s="386"/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17352</v>
      </c>
      <c r="E23" s="1270">
        <v>3993</v>
      </c>
      <c r="F23" s="386">
        <v>1350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17525</v>
      </c>
      <c r="E24" s="1270">
        <v>330</v>
      </c>
      <c r="F24" s="386"/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17439</v>
      </c>
      <c r="E25" s="1270">
        <v>2383</v>
      </c>
      <c r="F25" s="386"/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17339</v>
      </c>
      <c r="E26" s="1271">
        <v>60</v>
      </c>
      <c r="F26" s="386">
        <v>60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17380</v>
      </c>
      <c r="E27" s="1270">
        <v>1422</v>
      </c>
      <c r="F27" s="386">
        <v>1422</v>
      </c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17441</v>
      </c>
      <c r="E28" s="1270">
        <v>582</v>
      </c>
      <c r="F28" s="386"/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17458</v>
      </c>
      <c r="E29" s="1270">
        <v>750</v>
      </c>
      <c r="F29" s="386">
        <v>720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17322</v>
      </c>
      <c r="E30" s="1270"/>
      <c r="F30" s="386">
        <v>1265</v>
      </c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17357</v>
      </c>
      <c r="E31" s="1270">
        <v>150</v>
      </c>
      <c r="F31" s="386">
        <v>60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17402</v>
      </c>
      <c r="E32" s="1270">
        <v>2483</v>
      </c>
      <c r="F32" s="386">
        <v>2483</v>
      </c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17526</v>
      </c>
      <c r="E33" s="1270">
        <v>7890</v>
      </c>
      <c r="F33" s="386"/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17320</v>
      </c>
      <c r="E34" s="1271">
        <v>3216</v>
      </c>
      <c r="F34" s="386">
        <v>3216</v>
      </c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17323</v>
      </c>
      <c r="E35" s="1270">
        <v>10426</v>
      </c>
      <c r="F35" s="386">
        <v>6893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17440</v>
      </c>
      <c r="E36" s="1270">
        <v>3912</v>
      </c>
      <c r="F36" s="386"/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17374</v>
      </c>
      <c r="E37" s="1270">
        <v>1536</v>
      </c>
      <c r="F37" s="386">
        <v>1536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17398</v>
      </c>
      <c r="E38" s="1271">
        <v>3043</v>
      </c>
      <c r="F38" s="386"/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17375</v>
      </c>
      <c r="E39" s="1271">
        <v>5112</v>
      </c>
      <c r="F39" s="386">
        <v>4368</v>
      </c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17381</v>
      </c>
      <c r="E40" s="1270">
        <v>2096</v>
      </c>
      <c r="F40" s="386">
        <v>2096</v>
      </c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17476</v>
      </c>
      <c r="E41" s="1271"/>
      <c r="F41" s="386">
        <v>480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17321</v>
      </c>
      <c r="E42" s="1270">
        <v>216</v>
      </c>
      <c r="F42" s="386">
        <v>192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17468</v>
      </c>
      <c r="E43" s="1270">
        <v>24</v>
      </c>
      <c r="F43" s="386"/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17464</v>
      </c>
      <c r="E44" s="1270">
        <v>24</v>
      </c>
      <c r="F44" s="386"/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17392</v>
      </c>
      <c r="E45" s="1270">
        <v>420</v>
      </c>
      <c r="F45" s="386">
        <v>38490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17469</v>
      </c>
      <c r="E46" s="1271"/>
      <c r="F46" s="386">
        <v>12270</v>
      </c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17485</v>
      </c>
      <c r="E47" s="1270"/>
      <c r="F47" s="386">
        <v>33210</v>
      </c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17382</v>
      </c>
      <c r="E48" s="1270">
        <v>1348</v>
      </c>
      <c r="F48" s="386">
        <v>1347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17298</v>
      </c>
      <c r="E49" s="1270">
        <v>1416</v>
      </c>
      <c r="F49" s="386">
        <v>1416</v>
      </c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17299</v>
      </c>
      <c r="E50" s="1270">
        <v>1920</v>
      </c>
      <c r="F50" s="386">
        <v>1920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17358</v>
      </c>
      <c r="E51" s="1271">
        <v>3000</v>
      </c>
      <c r="F51" s="386">
        <v>2975</v>
      </c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17319</v>
      </c>
      <c r="E52" s="1270">
        <v>2410</v>
      </c>
      <c r="F52" s="386">
        <v>1800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17383</v>
      </c>
      <c r="E53" s="1270">
        <v>1275</v>
      </c>
      <c r="F53" s="386">
        <v>1275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17384</v>
      </c>
      <c r="E54" s="1270">
        <v>4530</v>
      </c>
      <c r="F54" s="386">
        <v>3854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17442</v>
      </c>
      <c r="E55" s="1270">
        <v>646</v>
      </c>
      <c r="F55" s="386"/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17334</v>
      </c>
      <c r="E56" s="1270"/>
      <c r="F56" s="386">
        <v>2451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16802</v>
      </c>
      <c r="E57" s="1270">
        <v>750</v>
      </c>
      <c r="F57" s="386">
        <v>750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17532</v>
      </c>
      <c r="E58" s="1270">
        <v>2627</v>
      </c>
      <c r="F58" s="386"/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17435</v>
      </c>
      <c r="E59" s="1270">
        <v>600</v>
      </c>
      <c r="F59" s="386">
        <v>570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17324</v>
      </c>
      <c r="E60" s="1270"/>
      <c r="F60" s="386">
        <v>503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17325</v>
      </c>
      <c r="E61" s="1270"/>
      <c r="F61" s="386">
        <v>208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17316</v>
      </c>
      <c r="E62" s="1270">
        <v>1680</v>
      </c>
      <c r="F62" s="386">
        <v>1680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17533</v>
      </c>
      <c r="E63" s="1270">
        <v>637</v>
      </c>
      <c r="F63" s="386">
        <v>18960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17470</v>
      </c>
      <c r="E64" s="1270">
        <v>363</v>
      </c>
      <c r="F64" s="386">
        <v>80703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17454</v>
      </c>
      <c r="E65" s="1270">
        <v>66</v>
      </c>
      <c r="F65" s="386">
        <v>66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17474</v>
      </c>
      <c r="E66" s="1270">
        <f>2278+3938</f>
        <v>6216</v>
      </c>
      <c r="F66" s="386">
        <v>5993</v>
      </c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17326</v>
      </c>
      <c r="E67" s="1270"/>
      <c r="F67" s="386">
        <v>2960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17327</v>
      </c>
      <c r="E68" s="1271"/>
      <c r="F68" s="386">
        <v>1913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17301</v>
      </c>
      <c r="E69" s="1270">
        <v>2010</v>
      </c>
      <c r="F69" s="386">
        <v>2010</v>
      </c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17385</v>
      </c>
      <c r="E70" s="1270">
        <v>1719</v>
      </c>
      <c r="F70" s="386">
        <v>1719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17481</v>
      </c>
      <c r="E71" s="1270">
        <v>28</v>
      </c>
      <c r="F71" s="386">
        <v>16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17317</v>
      </c>
      <c r="E72" s="1271">
        <v>3150</v>
      </c>
      <c r="F72" s="386">
        <v>3150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17386</v>
      </c>
      <c r="E73" s="1270">
        <v>3102</v>
      </c>
      <c r="F73" s="386">
        <v>3102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17318</v>
      </c>
      <c r="E74" s="1270">
        <v>3669</v>
      </c>
      <c r="F74" s="386">
        <v>3669</v>
      </c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 t="s">
        <v>17387</v>
      </c>
      <c r="E75" s="1270">
        <v>2424</v>
      </c>
      <c r="F75" s="386">
        <v>2424</v>
      </c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 t="s">
        <v>16816</v>
      </c>
      <c r="E76" s="1270">
        <v>12</v>
      </c>
      <c r="F76" s="386">
        <v>12</v>
      </c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 t="s">
        <v>17328</v>
      </c>
      <c r="E77" s="1270"/>
      <c r="F77" s="386">
        <v>409</v>
      </c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 t="s">
        <v>17329</v>
      </c>
      <c r="E78" s="1270">
        <v>528</v>
      </c>
      <c r="F78" s="386">
        <v>3377</v>
      </c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 t="s">
        <v>17330</v>
      </c>
      <c r="E79" s="1270"/>
      <c r="F79" s="386">
        <v>30</v>
      </c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 t="s">
        <v>17405</v>
      </c>
      <c r="E80" s="1270"/>
      <c r="F80" s="386">
        <v>3288</v>
      </c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 t="s">
        <v>17331</v>
      </c>
      <c r="E81" s="1271"/>
      <c r="F81" s="386">
        <v>645</v>
      </c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 t="s">
        <v>17332</v>
      </c>
      <c r="E82" s="1270"/>
      <c r="F82" s="386">
        <v>144</v>
      </c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 t="s">
        <v>17475</v>
      </c>
      <c r="E83" s="1271">
        <v>599</v>
      </c>
      <c r="F83" s="386">
        <v>585</v>
      </c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 t="s">
        <v>17303</v>
      </c>
      <c r="E84" s="1270">
        <v>3096</v>
      </c>
      <c r="F84" s="386">
        <v>3096</v>
      </c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 t="s">
        <v>17343</v>
      </c>
      <c r="E85" s="1270">
        <v>14</v>
      </c>
      <c r="F85" s="386">
        <v>14</v>
      </c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 t="s">
        <v>17376</v>
      </c>
      <c r="E86" s="1270">
        <v>17</v>
      </c>
      <c r="F86" s="386">
        <v>17</v>
      </c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 t="s">
        <v>17342</v>
      </c>
      <c r="E87" s="1271">
        <v>27</v>
      </c>
      <c r="F87" s="386">
        <v>27</v>
      </c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 t="s">
        <v>17377</v>
      </c>
      <c r="E88" s="1270">
        <v>54</v>
      </c>
      <c r="F88" s="386">
        <v>54</v>
      </c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 t="s">
        <v>17341</v>
      </c>
      <c r="E89" s="1271">
        <v>12</v>
      </c>
      <c r="F89" s="386">
        <v>12</v>
      </c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 t="s">
        <v>17378</v>
      </c>
      <c r="E90" s="1271">
        <v>19</v>
      </c>
      <c r="F90" s="386"/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 t="s">
        <v>17340</v>
      </c>
      <c r="E91" s="1270">
        <v>6</v>
      </c>
      <c r="F91" s="386">
        <v>6</v>
      </c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 t="s">
        <v>17389</v>
      </c>
      <c r="E92" s="1270"/>
      <c r="F92" s="386">
        <v>6</v>
      </c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 t="s">
        <v>17393</v>
      </c>
      <c r="E93" s="1270">
        <v>32</v>
      </c>
      <c r="F93" s="386">
        <v>19</v>
      </c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 t="s">
        <v>17333</v>
      </c>
      <c r="E94" s="1271"/>
      <c r="F94" s="386">
        <v>34</v>
      </c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 t="s">
        <v>17445</v>
      </c>
      <c r="E95" s="1270"/>
      <c r="F95" s="386">
        <v>611</v>
      </c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 t="s">
        <v>17390</v>
      </c>
      <c r="E96" s="1270"/>
      <c r="F96" s="386">
        <v>56</v>
      </c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 t="s">
        <v>17486</v>
      </c>
      <c r="E97" s="1270"/>
      <c r="F97" s="386">
        <v>134</v>
      </c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 t="s">
        <v>17487</v>
      </c>
      <c r="E98" s="1271"/>
      <c r="F98" s="386">
        <v>64</v>
      </c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 t="s">
        <v>17488</v>
      </c>
      <c r="E99" s="1270"/>
      <c r="F99" s="386">
        <v>57</v>
      </c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 t="s">
        <v>17489</v>
      </c>
      <c r="E100" s="1271"/>
      <c r="F100" s="386">
        <v>39</v>
      </c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 t="s">
        <v>17310</v>
      </c>
      <c r="E101" s="1270">
        <v>1320</v>
      </c>
      <c r="F101" s="386">
        <v>1320</v>
      </c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2:F101">
    <sortCondition ref="D2:D101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645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91" activePane="bottomLeft" state="frozen"/>
      <selection activeCell="L173" sqref="L173"/>
      <selection pane="bottomLeft" activeCell="H104" sqref="H104:I114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875" style="1253" bestFit="1" customWidth="1"/>
    <col min="9" max="9" width="12.5" style="1253" bestFit="1" customWidth="1"/>
    <col min="10" max="10" width="9" style="1253"/>
    <col min="11" max="11" width="12.87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17295</v>
      </c>
      <c r="I2" s="1628">
        <v>2736</v>
      </c>
      <c r="K2" s="176" t="s">
        <v>17295</v>
      </c>
      <c r="L2" s="1628">
        <v>2736</v>
      </c>
      <c r="N2" s="1371">
        <v>46174</v>
      </c>
      <c r="O2" s="1628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17296</v>
      </c>
      <c r="I3" s="1628">
        <v>4230</v>
      </c>
      <c r="K3" s="176" t="s">
        <v>17347</v>
      </c>
      <c r="L3" s="1628">
        <v>1368</v>
      </c>
      <c r="N3" s="1371">
        <v>46175</v>
      </c>
      <c r="O3" s="1628">
        <v>14154</v>
      </c>
      <c r="P3"/>
    </row>
    <row r="4" spans="1:16">
      <c r="A4" s="1378">
        <v>46174</v>
      </c>
      <c r="B4" s="623" t="s">
        <v>17295</v>
      </c>
      <c r="C4" s="623">
        <v>2736</v>
      </c>
      <c r="G4" s="1255">
        <v>46174</v>
      </c>
      <c r="H4" t="s">
        <v>17297</v>
      </c>
      <c r="I4" s="1628">
        <v>3216</v>
      </c>
      <c r="K4" s="176" t="s">
        <v>17305</v>
      </c>
      <c r="L4" s="1628">
        <v>3450</v>
      </c>
      <c r="N4" s="1371">
        <v>46176</v>
      </c>
      <c r="O4" s="1628">
        <v>26392</v>
      </c>
      <c r="P4"/>
    </row>
    <row r="5" spans="1:16">
      <c r="A5" s="1378">
        <v>46174</v>
      </c>
      <c r="B5" s="623" t="s">
        <v>17296</v>
      </c>
      <c r="C5" s="623">
        <v>4230</v>
      </c>
      <c r="D5" s="1260"/>
      <c r="G5" s="1255">
        <v>46174</v>
      </c>
      <c r="H5" t="s">
        <v>17298</v>
      </c>
      <c r="I5" s="1628">
        <v>1416</v>
      </c>
      <c r="K5" s="176" t="s">
        <v>17522</v>
      </c>
      <c r="L5" s="1628">
        <v>1380</v>
      </c>
      <c r="N5" s="1371">
        <v>46177</v>
      </c>
      <c r="O5" s="1628">
        <v>19251</v>
      </c>
      <c r="P5"/>
    </row>
    <row r="6" spans="1:16">
      <c r="A6" s="1378">
        <v>46174</v>
      </c>
      <c r="B6" s="623" t="s">
        <v>17297</v>
      </c>
      <c r="C6" s="623">
        <v>3216</v>
      </c>
      <c r="G6" s="1255">
        <v>46174</v>
      </c>
      <c r="H6" t="s">
        <v>17299</v>
      </c>
      <c r="I6" s="1628">
        <v>1920</v>
      </c>
      <c r="K6" s="176" t="s">
        <v>17306</v>
      </c>
      <c r="L6" s="1628">
        <v>2130</v>
      </c>
      <c r="N6" s="1371">
        <v>46178</v>
      </c>
      <c r="O6" s="1628">
        <v>3138</v>
      </c>
      <c r="P6"/>
    </row>
    <row r="7" spans="1:16">
      <c r="A7" s="1378">
        <v>46174</v>
      </c>
      <c r="B7" s="623" t="s">
        <v>17298</v>
      </c>
      <c r="C7" s="623">
        <v>1416</v>
      </c>
      <c r="G7" s="1255">
        <v>46174</v>
      </c>
      <c r="H7" t="s">
        <v>16812</v>
      </c>
      <c r="I7" s="1628">
        <v>1800</v>
      </c>
      <c r="K7" s="176" t="s">
        <v>17523</v>
      </c>
      <c r="L7" s="1628">
        <v>1920</v>
      </c>
      <c r="N7" s="1371">
        <v>46181</v>
      </c>
      <c r="O7" s="1628">
        <v>17206</v>
      </c>
      <c r="P7"/>
    </row>
    <row r="8" spans="1:16">
      <c r="A8" s="1378">
        <v>46174</v>
      </c>
      <c r="B8" s="623" t="s">
        <v>17299</v>
      </c>
      <c r="C8" s="623">
        <v>1920</v>
      </c>
      <c r="G8" s="1255">
        <v>46174</v>
      </c>
      <c r="H8" t="s">
        <v>16802</v>
      </c>
      <c r="I8" s="1628">
        <v>750</v>
      </c>
      <c r="K8" s="176" t="s">
        <v>17348</v>
      </c>
      <c r="L8" s="1628">
        <v>1020</v>
      </c>
      <c r="N8" s="1371">
        <v>46183</v>
      </c>
      <c r="O8" s="1628">
        <v>9729</v>
      </c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17300</v>
      </c>
      <c r="I9" s="1628">
        <v>1680</v>
      </c>
      <c r="K9" s="176" t="s">
        <v>17349</v>
      </c>
      <c r="L9" s="1628">
        <v>5640</v>
      </c>
      <c r="N9" s="1371">
        <v>46184</v>
      </c>
      <c r="O9" s="1628">
        <v>774</v>
      </c>
      <c r="P9"/>
    </row>
    <row r="10" spans="1:16">
      <c r="A10" s="1378">
        <v>46174</v>
      </c>
      <c r="B10" s="623" t="s">
        <v>17300</v>
      </c>
      <c r="C10" s="623">
        <v>1680</v>
      </c>
      <c r="G10" s="1255">
        <v>46174</v>
      </c>
      <c r="H10" t="s">
        <v>17301</v>
      </c>
      <c r="I10" s="1628">
        <v>2010</v>
      </c>
      <c r="K10" s="176" t="s">
        <v>17296</v>
      </c>
      <c r="L10" s="1628">
        <v>4230</v>
      </c>
      <c r="N10" s="1371">
        <v>46185</v>
      </c>
      <c r="O10" s="1628">
        <v>4537</v>
      </c>
      <c r="P10"/>
    </row>
    <row r="11" spans="1:16">
      <c r="A11" s="1378">
        <v>46174</v>
      </c>
      <c r="B11" s="623" t="s">
        <v>17301</v>
      </c>
      <c r="C11" s="623">
        <v>2010</v>
      </c>
      <c r="G11" s="1255">
        <v>46174</v>
      </c>
      <c r="H11" t="s">
        <v>17302</v>
      </c>
      <c r="I11" s="1628">
        <v>2373</v>
      </c>
      <c r="K11" s="176" t="s">
        <v>17350</v>
      </c>
      <c r="L11" s="1628">
        <v>3090</v>
      </c>
      <c r="N11" s="1371">
        <v>46188</v>
      </c>
      <c r="O11" s="1628">
        <v>5256</v>
      </c>
      <c r="P11"/>
    </row>
    <row r="12" spans="1:16">
      <c r="A12" s="1378">
        <v>46174</v>
      </c>
      <c r="B12" s="623" t="s">
        <v>17302</v>
      </c>
      <c r="C12" s="623">
        <v>2373</v>
      </c>
      <c r="G12" s="1255">
        <v>46174</v>
      </c>
      <c r="H12" t="s">
        <v>16816</v>
      </c>
      <c r="I12" s="1628">
        <v>12</v>
      </c>
      <c r="K12" s="176" t="s">
        <v>17351</v>
      </c>
      <c r="L12" s="1628">
        <v>1650</v>
      </c>
      <c r="N12" s="1371">
        <v>46189</v>
      </c>
      <c r="O12" s="1628">
        <v>720</v>
      </c>
      <c r="P12"/>
    </row>
    <row r="13" spans="1:16">
      <c r="A13" s="1378">
        <v>46174</v>
      </c>
      <c r="B13" s="623" t="s">
        <v>17303</v>
      </c>
      <c r="C13" s="623">
        <v>3096</v>
      </c>
      <c r="G13" s="1255">
        <v>46174</v>
      </c>
      <c r="H13" t="s">
        <v>17303</v>
      </c>
      <c r="I13" s="1628">
        <v>3096</v>
      </c>
      <c r="K13" s="176" t="s">
        <v>17307</v>
      </c>
      <c r="L13" s="1628">
        <v>1500</v>
      </c>
      <c r="N13" s="1371">
        <v>46190</v>
      </c>
      <c r="O13" s="1628">
        <v>26737</v>
      </c>
      <c r="P13"/>
    </row>
    <row r="14" spans="1:16">
      <c r="A14" s="1378">
        <v>46175</v>
      </c>
      <c r="B14" s="623" t="s">
        <v>17304</v>
      </c>
      <c r="C14" s="623">
        <v>2088</v>
      </c>
      <c r="G14" t="s">
        <v>17311</v>
      </c>
      <c r="H14"/>
      <c r="I14" s="1628">
        <v>25239</v>
      </c>
      <c r="K14" s="176" t="s">
        <v>17339</v>
      </c>
      <c r="L14" s="1628">
        <v>60</v>
      </c>
      <c r="N14" s="176" t="s">
        <v>211</v>
      </c>
      <c r="O14" s="1628"/>
      <c r="P14"/>
    </row>
    <row r="15" spans="1:16">
      <c r="A15" s="1378">
        <v>46175</v>
      </c>
      <c r="B15" s="623" t="s">
        <v>17305</v>
      </c>
      <c r="C15" s="623">
        <v>3450</v>
      </c>
      <c r="G15" s="1255">
        <v>46175</v>
      </c>
      <c r="H15" t="s">
        <v>17304</v>
      </c>
      <c r="I15" s="1628">
        <v>2088</v>
      </c>
      <c r="K15" s="176" t="s">
        <v>17526</v>
      </c>
      <c r="L15" s="1628">
        <v>7890</v>
      </c>
      <c r="N15" s="176" t="s">
        <v>70</v>
      </c>
      <c r="O15" s="1628">
        <v>153133</v>
      </c>
      <c r="P15"/>
    </row>
    <row r="16" spans="1:16">
      <c r="A16" s="1378">
        <v>46175</v>
      </c>
      <c r="B16" s="623" t="s">
        <v>17306</v>
      </c>
      <c r="C16" s="623">
        <v>2130</v>
      </c>
      <c r="G16" s="1255">
        <v>46175</v>
      </c>
      <c r="H16" t="s">
        <v>17305</v>
      </c>
      <c r="I16" s="1628">
        <v>3450</v>
      </c>
      <c r="K16" s="176" t="s">
        <v>17298</v>
      </c>
      <c r="L16" s="1628">
        <v>1416</v>
      </c>
      <c r="N16"/>
      <c r="O16"/>
      <c r="P16"/>
    </row>
    <row r="17" spans="1:16">
      <c r="A17" s="1378">
        <v>46175</v>
      </c>
      <c r="B17" s="623" t="s">
        <v>17307</v>
      </c>
      <c r="C17" s="623">
        <v>1500</v>
      </c>
      <c r="G17" s="1255">
        <v>46175</v>
      </c>
      <c r="H17" t="s">
        <v>17306</v>
      </c>
      <c r="I17" s="1628">
        <v>2130</v>
      </c>
      <c r="K17" s="176" t="s">
        <v>17299</v>
      </c>
      <c r="L17" s="1628">
        <v>1920</v>
      </c>
      <c r="N17"/>
      <c r="O17"/>
      <c r="P17"/>
    </row>
    <row r="18" spans="1:16">
      <c r="A18" s="1378">
        <v>46175</v>
      </c>
      <c r="B18" s="623" t="s">
        <v>17308</v>
      </c>
      <c r="C18" s="623">
        <v>216</v>
      </c>
      <c r="G18" s="1255">
        <v>46175</v>
      </c>
      <c r="H18" t="s">
        <v>17307</v>
      </c>
      <c r="I18" s="1628">
        <v>1500</v>
      </c>
      <c r="K18" s="176" t="s">
        <v>17358</v>
      </c>
      <c r="L18" s="1628">
        <v>2250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17308</v>
      </c>
      <c r="I19" s="1628">
        <v>216</v>
      </c>
      <c r="K19" s="176" t="s">
        <v>17460</v>
      </c>
      <c r="L19" s="1628">
        <v>750</v>
      </c>
      <c r="N19"/>
      <c r="O19"/>
    </row>
    <row r="20" spans="1:16">
      <c r="A20" s="1378">
        <v>46175</v>
      </c>
      <c r="B20" s="623" t="s">
        <v>17309</v>
      </c>
      <c r="C20" s="623">
        <v>3150</v>
      </c>
      <c r="G20" s="1255">
        <v>46175</v>
      </c>
      <c r="H20" t="s">
        <v>16821</v>
      </c>
      <c r="I20" s="1628">
        <v>300</v>
      </c>
      <c r="K20" s="176" t="s">
        <v>17300</v>
      </c>
      <c r="L20" s="1628">
        <v>1680</v>
      </c>
      <c r="N20"/>
      <c r="O20"/>
    </row>
    <row r="21" spans="1:16">
      <c r="A21" s="1378">
        <v>46175</v>
      </c>
      <c r="B21" s="623" t="s">
        <v>17310</v>
      </c>
      <c r="C21" s="623">
        <v>1320</v>
      </c>
      <c r="G21" s="1255">
        <v>46175</v>
      </c>
      <c r="H21" t="s">
        <v>17309</v>
      </c>
      <c r="I21" s="1628">
        <v>3150</v>
      </c>
      <c r="K21" s="176" t="s">
        <v>17301</v>
      </c>
      <c r="L21" s="1628">
        <v>2010</v>
      </c>
      <c r="N21"/>
      <c r="O21"/>
    </row>
    <row r="22" spans="1:16">
      <c r="A22" s="1378">
        <v>46176</v>
      </c>
      <c r="B22" s="623" t="s">
        <v>17338</v>
      </c>
      <c r="C22" s="623">
        <v>30</v>
      </c>
      <c r="G22" s="1255">
        <v>46175</v>
      </c>
      <c r="H22" t="s">
        <v>17310</v>
      </c>
      <c r="I22" s="1628">
        <v>1320</v>
      </c>
      <c r="K22" s="176" t="s">
        <v>17309</v>
      </c>
      <c r="L22" s="1628">
        <v>3150</v>
      </c>
      <c r="N22"/>
      <c r="O22"/>
    </row>
    <row r="23" spans="1:16">
      <c r="A23" s="1378">
        <v>46176</v>
      </c>
      <c r="B23" s="623" t="s">
        <v>17339</v>
      </c>
      <c r="C23" s="623">
        <v>60</v>
      </c>
      <c r="G23" t="s">
        <v>17312</v>
      </c>
      <c r="H23"/>
      <c r="I23" s="1628">
        <v>14154</v>
      </c>
      <c r="K23" s="176" t="s">
        <v>17355</v>
      </c>
      <c r="L23" s="1628">
        <v>1296</v>
      </c>
      <c r="N23"/>
      <c r="O23"/>
    </row>
    <row r="24" spans="1:16">
      <c r="A24" s="1378">
        <v>46176</v>
      </c>
      <c r="B24" s="623" t="s">
        <v>17340</v>
      </c>
      <c r="C24" s="623">
        <v>6</v>
      </c>
      <c r="G24" s="1255">
        <v>46176</v>
      </c>
      <c r="H24" t="s">
        <v>17347</v>
      </c>
      <c r="I24" s="1628">
        <v>1368</v>
      </c>
      <c r="K24" s="176" t="s">
        <v>17302</v>
      </c>
      <c r="L24" s="1628">
        <v>2373</v>
      </c>
      <c r="N24"/>
      <c r="O24"/>
    </row>
    <row r="25" spans="1:16">
      <c r="A25" s="1378">
        <v>46176</v>
      </c>
      <c r="B25" s="623" t="s">
        <v>17341</v>
      </c>
      <c r="C25" s="623">
        <v>12</v>
      </c>
      <c r="G25" s="1255">
        <v>46176</v>
      </c>
      <c r="H25" t="s">
        <v>17348</v>
      </c>
      <c r="I25" s="1628">
        <v>1020</v>
      </c>
      <c r="K25" s="176" t="s">
        <v>16816</v>
      </c>
      <c r="L25" s="1628">
        <v>12</v>
      </c>
      <c r="N25"/>
      <c r="O25"/>
    </row>
    <row r="26" spans="1:16">
      <c r="A26" s="1378">
        <v>46176</v>
      </c>
      <c r="B26" s="623" t="s">
        <v>17342</v>
      </c>
      <c r="C26" s="623">
        <v>27</v>
      </c>
      <c r="G26" s="1255">
        <v>46176</v>
      </c>
      <c r="H26" t="s">
        <v>17349</v>
      </c>
      <c r="I26" s="1628">
        <v>5640</v>
      </c>
      <c r="K26" s="176" t="s">
        <v>17303</v>
      </c>
      <c r="L26" s="1628">
        <v>3096</v>
      </c>
    </row>
    <row r="27" spans="1:16">
      <c r="A27" s="1378">
        <v>46176</v>
      </c>
      <c r="B27" s="623" t="s">
        <v>17343</v>
      </c>
      <c r="C27" s="623">
        <v>14</v>
      </c>
      <c r="G27" s="1255">
        <v>46176</v>
      </c>
      <c r="H27" t="s">
        <v>17350</v>
      </c>
      <c r="I27" s="1628">
        <v>3090</v>
      </c>
      <c r="K27" s="176" t="s">
        <v>17343</v>
      </c>
      <c r="L27" s="1628">
        <v>14</v>
      </c>
    </row>
    <row r="28" spans="1:16">
      <c r="A28" s="1378">
        <v>46176</v>
      </c>
      <c r="B28" s="623" t="s">
        <v>17344</v>
      </c>
      <c r="C28" s="623">
        <v>19</v>
      </c>
      <c r="G28" s="1255">
        <v>46176</v>
      </c>
      <c r="H28" t="s">
        <v>17351</v>
      </c>
      <c r="I28" s="1628">
        <v>1650</v>
      </c>
      <c r="K28" s="176" t="s">
        <v>17310</v>
      </c>
      <c r="L28" s="1628">
        <v>1320</v>
      </c>
    </row>
    <row r="29" spans="1:16">
      <c r="A29" s="1378">
        <v>46176</v>
      </c>
      <c r="B29" s="623" t="s">
        <v>17345</v>
      </c>
      <c r="C29" s="623">
        <v>54</v>
      </c>
      <c r="G29" s="1255">
        <v>46176</v>
      </c>
      <c r="H29" t="s">
        <v>17352</v>
      </c>
      <c r="I29" s="1628">
        <v>1350</v>
      </c>
      <c r="K29" s="176" t="s">
        <v>17359</v>
      </c>
      <c r="L29" s="1628">
        <v>511</v>
      </c>
    </row>
    <row r="30" spans="1:16">
      <c r="A30" s="1378">
        <v>46176</v>
      </c>
      <c r="B30" s="623" t="s">
        <v>17346</v>
      </c>
      <c r="C30" s="623">
        <v>17</v>
      </c>
      <c r="G30" s="1255">
        <v>46176</v>
      </c>
      <c r="H30" t="s">
        <v>17339</v>
      </c>
      <c r="I30" s="1628">
        <v>60</v>
      </c>
      <c r="K30" s="176" t="s">
        <v>17421</v>
      </c>
      <c r="L30" s="1628">
        <v>1167</v>
      </c>
    </row>
    <row r="31" spans="1:16">
      <c r="A31" s="1378">
        <v>46176</v>
      </c>
      <c r="B31" s="623" t="s">
        <v>17347</v>
      </c>
      <c r="C31" s="623">
        <v>1368</v>
      </c>
      <c r="G31" s="1255">
        <v>46176</v>
      </c>
      <c r="H31" t="s">
        <v>17357</v>
      </c>
      <c r="I31" s="1628">
        <v>150</v>
      </c>
      <c r="K31" s="176" t="s">
        <v>17422</v>
      </c>
      <c r="L31" s="1628">
        <v>1330</v>
      </c>
    </row>
    <row r="32" spans="1:16">
      <c r="A32" s="1378">
        <v>46176</v>
      </c>
      <c r="B32" s="623" t="s">
        <v>17348</v>
      </c>
      <c r="C32" s="623">
        <v>1020</v>
      </c>
      <c r="G32" s="1255">
        <v>46176</v>
      </c>
      <c r="H32" t="s">
        <v>17353</v>
      </c>
      <c r="I32" s="1628">
        <v>1536</v>
      </c>
      <c r="K32" s="176" t="s">
        <v>17423</v>
      </c>
      <c r="L32" s="1628">
        <v>1410</v>
      </c>
    </row>
    <row r="33" spans="1:12">
      <c r="A33" s="1378">
        <v>46176</v>
      </c>
      <c r="B33" s="623" t="s">
        <v>17349</v>
      </c>
      <c r="C33" s="623">
        <v>5640</v>
      </c>
      <c r="G33" s="1255">
        <v>46176</v>
      </c>
      <c r="H33" t="s">
        <v>17354</v>
      </c>
      <c r="I33" s="1628">
        <v>3840</v>
      </c>
      <c r="K33" s="176" t="s">
        <v>17428</v>
      </c>
      <c r="L33" s="1628">
        <v>2483</v>
      </c>
    </row>
    <row r="34" spans="1:12">
      <c r="A34" s="1378">
        <v>46176</v>
      </c>
      <c r="B34" s="623" t="s">
        <v>17350</v>
      </c>
      <c r="C34" s="623">
        <v>3090</v>
      </c>
      <c r="G34" s="1255">
        <v>46176</v>
      </c>
      <c r="H34" t="s">
        <v>17338</v>
      </c>
      <c r="I34" s="1628">
        <v>30</v>
      </c>
      <c r="K34" s="176" t="s">
        <v>17356</v>
      </c>
      <c r="L34" s="1628">
        <v>10426</v>
      </c>
    </row>
    <row r="35" spans="1:12">
      <c r="A35" s="1378">
        <v>46176</v>
      </c>
      <c r="B35" s="623" t="s">
        <v>17351</v>
      </c>
      <c r="C35" s="623">
        <v>1650</v>
      </c>
      <c r="G35" s="1255">
        <v>46176</v>
      </c>
      <c r="H35" t="s">
        <v>17355</v>
      </c>
      <c r="I35" s="1628">
        <v>1296</v>
      </c>
      <c r="K35" s="176" t="s">
        <v>17429</v>
      </c>
      <c r="L35" s="1628">
        <v>288</v>
      </c>
    </row>
    <row r="36" spans="1:12">
      <c r="A36" s="1378">
        <v>46176</v>
      </c>
      <c r="B36" s="623" t="s">
        <v>17352</v>
      </c>
      <c r="C36" s="623">
        <v>1350</v>
      </c>
      <c r="G36" s="1255">
        <v>46176</v>
      </c>
      <c r="H36" t="s">
        <v>17343</v>
      </c>
      <c r="I36" s="1628">
        <v>14</v>
      </c>
      <c r="K36" s="176" t="s">
        <v>17362</v>
      </c>
      <c r="L36" s="1628">
        <v>1348</v>
      </c>
    </row>
    <row r="37" spans="1:12">
      <c r="A37" s="1378">
        <v>46176</v>
      </c>
      <c r="B37" s="623" t="s">
        <v>17353</v>
      </c>
      <c r="C37" s="623">
        <v>1536</v>
      </c>
      <c r="G37" s="1255">
        <v>46176</v>
      </c>
      <c r="H37" t="s">
        <v>17342</v>
      </c>
      <c r="I37" s="1628">
        <v>27</v>
      </c>
      <c r="K37" s="176" t="s">
        <v>17456</v>
      </c>
      <c r="L37" s="1628">
        <v>6325</v>
      </c>
    </row>
    <row r="38" spans="1:12">
      <c r="A38" s="1378">
        <v>46176</v>
      </c>
      <c r="B38" s="623" t="s">
        <v>17354</v>
      </c>
      <c r="C38" s="623">
        <v>3840</v>
      </c>
      <c r="G38" s="1255">
        <v>46176</v>
      </c>
      <c r="H38" t="s">
        <v>17341</v>
      </c>
      <c r="I38" s="1628">
        <v>12</v>
      </c>
      <c r="K38" s="176" t="s">
        <v>17366</v>
      </c>
      <c r="L38" s="1628">
        <v>3102</v>
      </c>
    </row>
    <row r="39" spans="1:12">
      <c r="A39" s="1378">
        <v>46176</v>
      </c>
      <c r="B39" s="623" t="s">
        <v>17355</v>
      </c>
      <c r="C39" s="623">
        <v>1296</v>
      </c>
      <c r="G39" s="1255">
        <v>46176</v>
      </c>
      <c r="H39" t="s">
        <v>17340</v>
      </c>
      <c r="I39" s="1628">
        <v>6</v>
      </c>
      <c r="K39" s="176" t="s">
        <v>17367</v>
      </c>
      <c r="L39" s="1628">
        <v>2424</v>
      </c>
    </row>
    <row r="40" spans="1:12">
      <c r="A40" s="1378">
        <v>46176</v>
      </c>
      <c r="B40" s="623" t="s">
        <v>17356</v>
      </c>
      <c r="C40" s="623">
        <v>5213</v>
      </c>
      <c r="G40" s="1255">
        <v>46176</v>
      </c>
      <c r="H40" t="s">
        <v>17356</v>
      </c>
      <c r="I40" s="1628">
        <v>5213</v>
      </c>
      <c r="K40" s="176" t="s">
        <v>17344</v>
      </c>
      <c r="L40" s="1628">
        <v>19</v>
      </c>
    </row>
    <row r="41" spans="1:12">
      <c r="A41" s="1378">
        <v>46176</v>
      </c>
      <c r="B41" s="623" t="s">
        <v>17357</v>
      </c>
      <c r="C41" s="623">
        <v>150</v>
      </c>
      <c r="G41" s="1255">
        <v>46176</v>
      </c>
      <c r="H41" t="s">
        <v>17346</v>
      </c>
      <c r="I41" s="1628">
        <v>17</v>
      </c>
      <c r="K41" s="176" t="s">
        <v>211</v>
      </c>
      <c r="L41" s="1628"/>
    </row>
    <row r="42" spans="1:12">
      <c r="A42" s="1378">
        <v>46177</v>
      </c>
      <c r="B42" s="623" t="s">
        <v>17358</v>
      </c>
      <c r="C42" s="623">
        <v>750</v>
      </c>
      <c r="G42" s="1255">
        <v>46176</v>
      </c>
      <c r="H42" t="s">
        <v>17345</v>
      </c>
      <c r="I42" s="1628">
        <v>54</v>
      </c>
      <c r="K42" s="176" t="s">
        <v>17459</v>
      </c>
      <c r="L42" s="1628">
        <v>750</v>
      </c>
    </row>
    <row r="43" spans="1:12">
      <c r="A43" s="1378">
        <v>46177</v>
      </c>
      <c r="B43" s="623" t="s">
        <v>17358</v>
      </c>
      <c r="C43" s="623">
        <v>750</v>
      </c>
      <c r="G43" s="1255">
        <v>46176</v>
      </c>
      <c r="H43" t="s">
        <v>17344</v>
      </c>
      <c r="I43" s="1628">
        <v>19</v>
      </c>
      <c r="K43" s="176" t="s">
        <v>16802</v>
      </c>
      <c r="L43" s="1628">
        <v>750</v>
      </c>
    </row>
    <row r="44" spans="1:12">
      <c r="A44" s="1378">
        <v>46177</v>
      </c>
      <c r="B44" s="623" t="s">
        <v>17359</v>
      </c>
      <c r="C44" s="623">
        <v>511</v>
      </c>
      <c r="G44" t="s">
        <v>17368</v>
      </c>
      <c r="H44"/>
      <c r="I44" s="1628">
        <v>26392</v>
      </c>
      <c r="K44" s="176" t="s">
        <v>17338</v>
      </c>
      <c r="L44" s="1628">
        <v>30</v>
      </c>
    </row>
    <row r="45" spans="1:12">
      <c r="A45" s="1378">
        <v>46177</v>
      </c>
      <c r="B45" s="623" t="s">
        <v>17360</v>
      </c>
      <c r="C45" s="623">
        <v>1422</v>
      </c>
      <c r="G45" s="1255">
        <v>46177</v>
      </c>
      <c r="H45" t="s">
        <v>17358</v>
      </c>
      <c r="I45" s="1628">
        <v>1500</v>
      </c>
      <c r="K45" s="176" t="s">
        <v>17419</v>
      </c>
      <c r="L45" s="1628">
        <v>390</v>
      </c>
    </row>
    <row r="46" spans="1:12">
      <c r="A46" s="1378">
        <v>46177</v>
      </c>
      <c r="B46" s="623" t="s">
        <v>17361</v>
      </c>
      <c r="C46" s="623">
        <v>2096</v>
      </c>
      <c r="G46" s="1255">
        <v>46177</v>
      </c>
      <c r="H46" t="s">
        <v>17359</v>
      </c>
      <c r="I46" s="1628">
        <v>511</v>
      </c>
      <c r="K46" s="176" t="s">
        <v>17525</v>
      </c>
      <c r="L46" s="1628">
        <v>330</v>
      </c>
    </row>
    <row r="47" spans="1:12">
      <c r="A47" s="1378">
        <v>46177</v>
      </c>
      <c r="B47" s="623" t="s">
        <v>17362</v>
      </c>
      <c r="C47" s="623">
        <v>1348</v>
      </c>
      <c r="G47" s="1255">
        <v>46177</v>
      </c>
      <c r="H47" t="s">
        <v>17360</v>
      </c>
      <c r="I47" s="1628">
        <v>1422</v>
      </c>
      <c r="K47" s="176" t="s">
        <v>17304</v>
      </c>
      <c r="L47" s="1628">
        <v>2088</v>
      </c>
    </row>
    <row r="48" spans="1:12">
      <c r="A48" s="1378">
        <v>46177</v>
      </c>
      <c r="B48" s="623" t="s">
        <v>17363</v>
      </c>
      <c r="C48" s="623">
        <v>1275</v>
      </c>
      <c r="G48" s="1255">
        <v>46177</v>
      </c>
      <c r="H48" t="s">
        <v>17361</v>
      </c>
      <c r="I48" s="1628">
        <v>2096</v>
      </c>
      <c r="K48" s="176" t="s">
        <v>17454</v>
      </c>
      <c r="L48" s="1628">
        <v>66</v>
      </c>
    </row>
    <row r="49" spans="1:12">
      <c r="A49" s="1378">
        <v>46177</v>
      </c>
      <c r="B49" s="623" t="s">
        <v>17364</v>
      </c>
      <c r="C49" s="623">
        <v>3854</v>
      </c>
      <c r="G49" s="1255">
        <v>46177</v>
      </c>
      <c r="H49" t="s">
        <v>17362</v>
      </c>
      <c r="I49" s="1628">
        <v>1348</v>
      </c>
      <c r="K49" s="176" t="s">
        <v>16812</v>
      </c>
      <c r="L49" s="1628">
        <v>1800</v>
      </c>
    </row>
    <row r="50" spans="1:12">
      <c r="A50" s="1378">
        <v>46177</v>
      </c>
      <c r="B50" s="623" t="s">
        <v>17365</v>
      </c>
      <c r="C50" s="623">
        <v>1719</v>
      </c>
      <c r="G50" s="1255">
        <v>46177</v>
      </c>
      <c r="H50" t="s">
        <v>17363</v>
      </c>
      <c r="I50" s="1628">
        <v>1275</v>
      </c>
      <c r="K50" s="176" t="s">
        <v>17395</v>
      </c>
      <c r="L50" s="1628">
        <v>33</v>
      </c>
    </row>
    <row r="51" spans="1:12">
      <c r="A51" s="1378">
        <v>46177</v>
      </c>
      <c r="B51" s="623" t="s">
        <v>17366</v>
      </c>
      <c r="C51" s="623">
        <v>3102</v>
      </c>
      <c r="G51" s="1255">
        <v>46177</v>
      </c>
      <c r="H51" t="s">
        <v>17364</v>
      </c>
      <c r="I51" s="1628">
        <v>3854</v>
      </c>
      <c r="K51" s="176" t="s">
        <v>17394</v>
      </c>
      <c r="L51" s="1628">
        <v>30</v>
      </c>
    </row>
    <row r="52" spans="1:12">
      <c r="A52" s="1378">
        <v>46177</v>
      </c>
      <c r="B52" s="623" t="s">
        <v>17367</v>
      </c>
      <c r="C52" s="623">
        <v>2424</v>
      </c>
      <c r="G52" s="1255">
        <v>46177</v>
      </c>
      <c r="H52" t="s">
        <v>17365</v>
      </c>
      <c r="I52" s="1628">
        <v>1719</v>
      </c>
      <c r="K52" s="176" t="s">
        <v>17528</v>
      </c>
      <c r="L52" s="1628">
        <v>744</v>
      </c>
    </row>
    <row r="53" spans="1:12">
      <c r="A53" s="1378">
        <v>46178</v>
      </c>
      <c r="B53" s="623" t="s">
        <v>17393</v>
      </c>
      <c r="C53" s="623">
        <v>32</v>
      </c>
      <c r="G53" s="1255">
        <v>46177</v>
      </c>
      <c r="H53" t="s">
        <v>17366</v>
      </c>
      <c r="I53" s="1628">
        <v>3102</v>
      </c>
      <c r="K53" s="176" t="s">
        <v>17461</v>
      </c>
      <c r="L53" s="1628">
        <v>1545</v>
      </c>
    </row>
    <row r="54" spans="1:12">
      <c r="A54" s="1378">
        <v>46178</v>
      </c>
      <c r="B54" s="623" t="s">
        <v>17394</v>
      </c>
      <c r="C54" s="623">
        <v>30</v>
      </c>
      <c r="G54" s="1255">
        <v>46177</v>
      </c>
      <c r="H54" t="s">
        <v>17367</v>
      </c>
      <c r="I54" s="1628">
        <v>2424</v>
      </c>
      <c r="K54" s="176" t="s">
        <v>17396</v>
      </c>
      <c r="L54" s="1628">
        <v>3043</v>
      </c>
    </row>
    <row r="55" spans="1:12">
      <c r="A55" s="1378">
        <v>46178</v>
      </c>
      <c r="B55" s="623" t="s">
        <v>17395</v>
      </c>
      <c r="C55" s="623">
        <v>33</v>
      </c>
      <c r="G55" t="s">
        <v>17369</v>
      </c>
      <c r="H55"/>
      <c r="I55" s="1628">
        <v>19251</v>
      </c>
      <c r="K55" s="176" t="s">
        <v>17417</v>
      </c>
      <c r="L55" s="1628">
        <v>30</v>
      </c>
    </row>
    <row r="56" spans="1:12">
      <c r="A56" s="1378">
        <v>46178</v>
      </c>
      <c r="B56" s="623" t="s">
        <v>17396</v>
      </c>
      <c r="C56" s="623">
        <v>3043</v>
      </c>
      <c r="G56" s="1255">
        <v>46178</v>
      </c>
      <c r="H56" t="s">
        <v>17395</v>
      </c>
      <c r="I56" s="1628">
        <v>33</v>
      </c>
      <c r="K56" s="176" t="s">
        <v>16821</v>
      </c>
      <c r="L56" s="1628">
        <v>300</v>
      </c>
    </row>
    <row r="57" spans="1:12">
      <c r="A57" s="1378">
        <v>46181</v>
      </c>
      <c r="B57" s="623" t="s">
        <v>17417</v>
      </c>
      <c r="C57" s="623">
        <v>30</v>
      </c>
      <c r="G57" s="1255">
        <v>46178</v>
      </c>
      <c r="H57" t="s">
        <v>17394</v>
      </c>
      <c r="I57" s="1628">
        <v>30</v>
      </c>
      <c r="K57" s="176" t="s">
        <v>17297</v>
      </c>
      <c r="L57" s="1628">
        <v>3216</v>
      </c>
    </row>
    <row r="58" spans="1:12">
      <c r="A58" s="1378">
        <v>46181</v>
      </c>
      <c r="B58" s="623" t="s">
        <v>17418</v>
      </c>
      <c r="C58" s="623">
        <v>528</v>
      </c>
      <c r="G58" s="1255">
        <v>46178</v>
      </c>
      <c r="H58" t="s">
        <v>17393</v>
      </c>
      <c r="I58" s="1628">
        <v>32</v>
      </c>
      <c r="K58" s="176" t="s">
        <v>17308</v>
      </c>
      <c r="L58" s="1628">
        <v>216</v>
      </c>
    </row>
    <row r="59" spans="1:12">
      <c r="A59" s="1378">
        <v>46181</v>
      </c>
      <c r="B59" s="623" t="s">
        <v>17419</v>
      </c>
      <c r="C59" s="623">
        <v>120</v>
      </c>
      <c r="G59" s="1255">
        <v>46178</v>
      </c>
      <c r="H59" t="s">
        <v>17396</v>
      </c>
      <c r="I59" s="1628">
        <v>3043</v>
      </c>
      <c r="K59" s="176" t="s">
        <v>17340</v>
      </c>
      <c r="L59" s="1628">
        <v>6</v>
      </c>
    </row>
    <row r="60" spans="1:12">
      <c r="A60" s="1378">
        <v>46181</v>
      </c>
      <c r="B60" s="623" t="s">
        <v>17419</v>
      </c>
      <c r="C60" s="623">
        <v>270</v>
      </c>
      <c r="G60" t="s">
        <v>17397</v>
      </c>
      <c r="H60"/>
      <c r="I60" s="1628">
        <v>3138</v>
      </c>
      <c r="K60" s="176" t="s">
        <v>17341</v>
      </c>
      <c r="L60" s="1628">
        <v>12</v>
      </c>
    </row>
    <row r="61" spans="1:12">
      <c r="A61" s="1378">
        <v>46181</v>
      </c>
      <c r="B61" s="623" t="s">
        <v>17420</v>
      </c>
      <c r="C61" s="623">
        <v>750</v>
      </c>
      <c r="G61" s="1255">
        <v>46181</v>
      </c>
      <c r="H61" t="s">
        <v>17419</v>
      </c>
      <c r="I61" s="1628">
        <v>390</v>
      </c>
      <c r="K61" s="176" t="s">
        <v>17342</v>
      </c>
      <c r="L61" s="1628">
        <v>27</v>
      </c>
    </row>
    <row r="62" spans="1:12">
      <c r="A62" s="1378">
        <v>46181</v>
      </c>
      <c r="B62" s="623" t="s">
        <v>17421</v>
      </c>
      <c r="C62" s="623">
        <v>1167</v>
      </c>
      <c r="G62" s="1255">
        <v>46181</v>
      </c>
      <c r="H62" t="s">
        <v>17435</v>
      </c>
      <c r="I62" s="1628">
        <v>600</v>
      </c>
      <c r="K62" s="176" t="s">
        <v>17345</v>
      </c>
      <c r="L62" s="1628">
        <v>54</v>
      </c>
    </row>
    <row r="63" spans="1:12">
      <c r="A63" s="1378">
        <v>46181</v>
      </c>
      <c r="B63" s="623" t="s">
        <v>17422</v>
      </c>
      <c r="C63" s="623">
        <v>1330</v>
      </c>
      <c r="G63" s="1255">
        <v>46181</v>
      </c>
      <c r="H63" t="s">
        <v>17420</v>
      </c>
      <c r="I63" s="1628">
        <v>750</v>
      </c>
      <c r="K63" s="176" t="s">
        <v>17346</v>
      </c>
      <c r="L63" s="1628">
        <v>17</v>
      </c>
    </row>
    <row r="64" spans="1:12">
      <c r="A64" s="1378">
        <v>46181</v>
      </c>
      <c r="B64" s="623" t="s">
        <v>17423</v>
      </c>
      <c r="C64" s="623">
        <v>1410</v>
      </c>
      <c r="G64" s="1255">
        <v>46181</v>
      </c>
      <c r="H64" t="s">
        <v>17417</v>
      </c>
      <c r="I64" s="1628">
        <v>30</v>
      </c>
      <c r="K64" s="176" t="s">
        <v>17352</v>
      </c>
      <c r="L64" s="1628">
        <v>1350</v>
      </c>
    </row>
    <row r="65" spans="1:12">
      <c r="A65" s="1378">
        <v>46181</v>
      </c>
      <c r="B65" s="623" t="s">
        <v>17424</v>
      </c>
      <c r="C65" s="623">
        <v>687</v>
      </c>
      <c r="G65" s="1255">
        <v>46181</v>
      </c>
      <c r="H65" t="s">
        <v>17434</v>
      </c>
      <c r="I65" s="1628">
        <v>330</v>
      </c>
      <c r="K65" s="176" t="s">
        <v>17353</v>
      </c>
      <c r="L65" s="1628">
        <v>1536</v>
      </c>
    </row>
    <row r="66" spans="1:12">
      <c r="A66" s="1378">
        <v>46181</v>
      </c>
      <c r="B66" s="623" t="s">
        <v>17425</v>
      </c>
      <c r="C66" s="623">
        <v>963</v>
      </c>
      <c r="G66" s="1255">
        <v>46181</v>
      </c>
      <c r="H66" t="s">
        <v>17436</v>
      </c>
      <c r="I66" s="1628">
        <v>825</v>
      </c>
      <c r="K66" s="176" t="s">
        <v>17354</v>
      </c>
      <c r="L66" s="1628">
        <v>3840</v>
      </c>
    </row>
    <row r="67" spans="1:12">
      <c r="A67" s="1378">
        <v>46181</v>
      </c>
      <c r="B67" s="623" t="s">
        <v>17426</v>
      </c>
      <c r="C67" s="623">
        <v>2383</v>
      </c>
      <c r="G67" s="1255">
        <v>46181</v>
      </c>
      <c r="H67" t="s">
        <v>17418</v>
      </c>
      <c r="I67" s="1628">
        <v>528</v>
      </c>
      <c r="K67" s="176" t="s">
        <v>17357</v>
      </c>
      <c r="L67" s="1628">
        <v>150</v>
      </c>
    </row>
    <row r="68" spans="1:12">
      <c r="A68" s="1378">
        <v>46181</v>
      </c>
      <c r="B68" s="623" t="s">
        <v>17427</v>
      </c>
      <c r="C68" s="623">
        <v>582</v>
      </c>
      <c r="G68" s="1255">
        <v>46181</v>
      </c>
      <c r="H68" t="s">
        <v>17421</v>
      </c>
      <c r="I68" s="1628">
        <v>1167</v>
      </c>
      <c r="K68" s="176" t="s">
        <v>17360</v>
      </c>
      <c r="L68" s="1628">
        <v>1422</v>
      </c>
    </row>
    <row r="69" spans="1:12">
      <c r="A69" s="1378">
        <v>46181</v>
      </c>
      <c r="B69" s="623" t="s">
        <v>17428</v>
      </c>
      <c r="C69" s="623">
        <v>2483</v>
      </c>
      <c r="G69" s="1255">
        <v>46181</v>
      </c>
      <c r="H69" t="s">
        <v>17422</v>
      </c>
      <c r="I69" s="1628">
        <v>1330</v>
      </c>
      <c r="K69" s="176" t="s">
        <v>17361</v>
      </c>
      <c r="L69" s="1628">
        <v>2096</v>
      </c>
    </row>
    <row r="70" spans="1:12">
      <c r="A70" s="1378">
        <v>46181</v>
      </c>
      <c r="B70" s="623" t="s">
        <v>17429</v>
      </c>
      <c r="C70" s="623">
        <v>288</v>
      </c>
      <c r="G70" s="1255">
        <v>46181</v>
      </c>
      <c r="H70" t="s">
        <v>17423</v>
      </c>
      <c r="I70" s="1628">
        <v>1410</v>
      </c>
      <c r="K70" s="176" t="s">
        <v>17363</v>
      </c>
      <c r="L70" s="1628">
        <v>1275</v>
      </c>
    </row>
    <row r="71" spans="1:12">
      <c r="A71" s="1378">
        <v>46181</v>
      </c>
      <c r="B71" s="623" t="s">
        <v>17430</v>
      </c>
      <c r="C71" s="623">
        <v>528</v>
      </c>
      <c r="G71" s="1255">
        <v>46181</v>
      </c>
      <c r="H71" t="s">
        <v>17424</v>
      </c>
      <c r="I71" s="1628">
        <v>687</v>
      </c>
      <c r="K71" s="176" t="s">
        <v>17364</v>
      </c>
      <c r="L71" s="1628">
        <v>3854</v>
      </c>
    </row>
    <row r="72" spans="1:12">
      <c r="A72" s="1378">
        <v>46181</v>
      </c>
      <c r="B72" s="623" t="s">
        <v>17431</v>
      </c>
      <c r="C72" s="623">
        <v>610</v>
      </c>
      <c r="G72" s="1255">
        <v>46181</v>
      </c>
      <c r="H72" t="s">
        <v>17425</v>
      </c>
      <c r="I72" s="1628">
        <v>963</v>
      </c>
      <c r="K72" s="176" t="s">
        <v>17365</v>
      </c>
      <c r="L72" s="1628">
        <v>1719</v>
      </c>
    </row>
    <row r="73" spans="1:12">
      <c r="A73" s="1378">
        <v>46181</v>
      </c>
      <c r="B73" s="623" t="s">
        <v>17432</v>
      </c>
      <c r="C73" s="623">
        <v>676</v>
      </c>
      <c r="G73" s="1255">
        <v>46181</v>
      </c>
      <c r="H73" t="s">
        <v>17426</v>
      </c>
      <c r="I73" s="1628">
        <v>2383</v>
      </c>
      <c r="K73" s="176" t="s">
        <v>17393</v>
      </c>
      <c r="L73" s="1628">
        <v>32</v>
      </c>
    </row>
    <row r="74" spans="1:12">
      <c r="A74" s="1378">
        <v>46181</v>
      </c>
      <c r="B74" s="623" t="s">
        <v>17433</v>
      </c>
      <c r="C74" s="623">
        <v>646</v>
      </c>
      <c r="G74" s="1255">
        <v>46181</v>
      </c>
      <c r="H74" t="s">
        <v>17427</v>
      </c>
      <c r="I74" s="1628">
        <v>582</v>
      </c>
      <c r="K74" s="176" t="s">
        <v>17418</v>
      </c>
      <c r="L74" s="1628">
        <v>528</v>
      </c>
    </row>
    <row r="75" spans="1:12">
      <c r="A75" s="1378">
        <v>46181</v>
      </c>
      <c r="B75" s="623" t="s">
        <v>17434</v>
      </c>
      <c r="C75" s="623">
        <v>330</v>
      </c>
      <c r="G75" s="1255">
        <v>46181</v>
      </c>
      <c r="H75" t="s">
        <v>17428</v>
      </c>
      <c r="I75" s="1628">
        <v>2483</v>
      </c>
      <c r="K75" s="176" t="s">
        <v>17420</v>
      </c>
      <c r="L75" s="1628">
        <v>750</v>
      </c>
    </row>
    <row r="76" spans="1:12">
      <c r="A76" s="1378">
        <v>46181</v>
      </c>
      <c r="B76" s="623" t="s">
        <v>17435</v>
      </c>
      <c r="C76" s="623">
        <v>600</v>
      </c>
      <c r="G76" s="1255">
        <v>46181</v>
      </c>
      <c r="H76" t="s">
        <v>17429</v>
      </c>
      <c r="I76" s="1628">
        <v>288</v>
      </c>
      <c r="K76" s="176" t="s">
        <v>17424</v>
      </c>
      <c r="L76" s="1628">
        <v>687</v>
      </c>
    </row>
    <row r="77" spans="1:12">
      <c r="A77" s="1378">
        <v>46181</v>
      </c>
      <c r="B77" s="623" t="s">
        <v>17436</v>
      </c>
      <c r="C77" s="623">
        <v>825</v>
      </c>
      <c r="G77" s="1255">
        <v>46181</v>
      </c>
      <c r="H77" t="s">
        <v>17430</v>
      </c>
      <c r="I77" s="1628">
        <v>528</v>
      </c>
      <c r="K77" s="176" t="s">
        <v>17425</v>
      </c>
      <c r="L77" s="1628">
        <v>963</v>
      </c>
    </row>
    <row r="78" spans="1:12">
      <c r="A78" s="1378">
        <v>46183</v>
      </c>
      <c r="B78" s="623" t="s">
        <v>17454</v>
      </c>
      <c r="C78" s="623">
        <v>66</v>
      </c>
      <c r="G78" s="1255">
        <v>46181</v>
      </c>
      <c r="H78" t="s">
        <v>17431</v>
      </c>
      <c r="I78" s="1628">
        <v>610</v>
      </c>
      <c r="K78" s="176" t="s">
        <v>17426</v>
      </c>
      <c r="L78" s="1628">
        <v>2383</v>
      </c>
    </row>
    <row r="79" spans="1:12">
      <c r="A79" s="1378">
        <v>46183</v>
      </c>
      <c r="B79" s="623" t="s">
        <v>17455</v>
      </c>
      <c r="C79" s="623">
        <v>24</v>
      </c>
      <c r="G79" s="1255">
        <v>46181</v>
      </c>
      <c r="H79" t="s">
        <v>17432</v>
      </c>
      <c r="I79" s="1628">
        <v>676</v>
      </c>
      <c r="K79" s="176" t="s">
        <v>17427</v>
      </c>
      <c r="L79" s="1628">
        <v>582</v>
      </c>
    </row>
    <row r="80" spans="1:12">
      <c r="A80" s="1378">
        <v>46183</v>
      </c>
      <c r="B80" s="623" t="s">
        <v>17456</v>
      </c>
      <c r="C80" s="623">
        <v>6325</v>
      </c>
      <c r="G80" s="1255">
        <v>46181</v>
      </c>
      <c r="H80" t="s">
        <v>17433</v>
      </c>
      <c r="I80" s="1628">
        <v>646</v>
      </c>
      <c r="K80" s="176" t="s">
        <v>17430</v>
      </c>
      <c r="L80" s="1628">
        <v>528</v>
      </c>
    </row>
    <row r="81" spans="1:12">
      <c r="A81" s="1378">
        <v>46183</v>
      </c>
      <c r="B81" s="623" t="s">
        <v>17457</v>
      </c>
      <c r="C81" s="623">
        <v>239</v>
      </c>
      <c r="G81" t="s">
        <v>17437</v>
      </c>
      <c r="H81"/>
      <c r="I81" s="1628">
        <v>17206</v>
      </c>
      <c r="K81" s="176" t="s">
        <v>17431</v>
      </c>
      <c r="L81" s="1628">
        <v>610</v>
      </c>
    </row>
    <row r="82" spans="1:12">
      <c r="A82" s="1378">
        <v>46183</v>
      </c>
      <c r="B82" s="623" t="s">
        <v>17458</v>
      </c>
      <c r="C82" s="623">
        <v>750</v>
      </c>
      <c r="G82" s="1255">
        <v>46183</v>
      </c>
      <c r="H82" t="s">
        <v>17459</v>
      </c>
      <c r="I82" s="1628">
        <v>750</v>
      </c>
      <c r="K82" s="176" t="s">
        <v>17432</v>
      </c>
      <c r="L82" s="1628">
        <v>676</v>
      </c>
    </row>
    <row r="83" spans="1:12">
      <c r="A83" s="1378">
        <v>46183</v>
      </c>
      <c r="B83" s="623" t="s">
        <v>17459</v>
      </c>
      <c r="C83" s="623">
        <v>750</v>
      </c>
      <c r="G83" s="1255">
        <v>46183</v>
      </c>
      <c r="H83" t="s">
        <v>17458</v>
      </c>
      <c r="I83" s="1628">
        <v>750</v>
      </c>
      <c r="K83" s="176" t="s">
        <v>17433</v>
      </c>
      <c r="L83" s="1628">
        <v>646</v>
      </c>
    </row>
    <row r="84" spans="1:12">
      <c r="A84" s="1378">
        <v>46183</v>
      </c>
      <c r="B84" s="623" t="s">
        <v>17460</v>
      </c>
      <c r="C84" s="623">
        <v>750</v>
      </c>
      <c r="G84" s="1255">
        <v>46183</v>
      </c>
      <c r="H84" t="s">
        <v>17455</v>
      </c>
      <c r="I84" s="1628">
        <v>24</v>
      </c>
      <c r="K84" s="176" t="s">
        <v>17434</v>
      </c>
      <c r="L84" s="1628">
        <v>330</v>
      </c>
    </row>
    <row r="85" spans="1:12">
      <c r="A85" s="1378">
        <v>46183</v>
      </c>
      <c r="B85" s="623" t="s">
        <v>17461</v>
      </c>
      <c r="C85" s="623">
        <v>825</v>
      </c>
      <c r="G85" s="1255">
        <v>46183</v>
      </c>
      <c r="H85" t="s">
        <v>17460</v>
      </c>
      <c r="I85" s="1628">
        <v>750</v>
      </c>
      <c r="K85" s="176" t="s">
        <v>17435</v>
      </c>
      <c r="L85" s="1628">
        <v>600</v>
      </c>
    </row>
    <row r="86" spans="1:12">
      <c r="A86" s="1378">
        <v>46184</v>
      </c>
      <c r="B86" s="623" t="s">
        <v>17466</v>
      </c>
      <c r="C86" s="623">
        <v>24</v>
      </c>
      <c r="G86" s="1255">
        <v>46183</v>
      </c>
      <c r="H86" t="s">
        <v>17454</v>
      </c>
      <c r="I86" s="1628">
        <v>66</v>
      </c>
      <c r="K86" s="176" t="s">
        <v>17436</v>
      </c>
      <c r="L86" s="1628">
        <v>825</v>
      </c>
    </row>
    <row r="87" spans="1:12">
      <c r="A87" s="1378">
        <v>46184</v>
      </c>
      <c r="B87" s="623" t="s">
        <v>17358</v>
      </c>
      <c r="C87" s="623">
        <v>750</v>
      </c>
      <c r="G87" s="1255">
        <v>46183</v>
      </c>
      <c r="H87" t="s">
        <v>17461</v>
      </c>
      <c r="I87" s="1628">
        <v>825</v>
      </c>
      <c r="K87" s="176" t="s">
        <v>17455</v>
      </c>
      <c r="L87" s="1628">
        <v>24</v>
      </c>
    </row>
    <row r="88" spans="1:12">
      <c r="A88" s="1378">
        <v>46185</v>
      </c>
      <c r="B88" s="623" t="s">
        <v>17471</v>
      </c>
      <c r="C88" s="623">
        <v>3938</v>
      </c>
      <c r="G88" s="1255">
        <v>46183</v>
      </c>
      <c r="H88" t="s">
        <v>17456</v>
      </c>
      <c r="I88" s="1628">
        <v>6325</v>
      </c>
      <c r="K88" s="176" t="s">
        <v>17457</v>
      </c>
      <c r="L88" s="1628">
        <v>239</v>
      </c>
    </row>
    <row r="89" spans="1:12">
      <c r="A89" s="1378">
        <v>46185</v>
      </c>
      <c r="B89" s="623" t="s">
        <v>17472</v>
      </c>
      <c r="C89" s="623">
        <v>599</v>
      </c>
      <c r="G89" s="1255">
        <v>46183</v>
      </c>
      <c r="H89" t="s">
        <v>17457</v>
      </c>
      <c r="I89" s="1628">
        <v>239</v>
      </c>
      <c r="K89" s="176" t="s">
        <v>17458</v>
      </c>
      <c r="L89" s="1628">
        <v>750</v>
      </c>
    </row>
    <row r="90" spans="1:12">
      <c r="A90" s="1378">
        <v>46188</v>
      </c>
      <c r="B90" s="623" t="s">
        <v>17481</v>
      </c>
      <c r="C90" s="623">
        <v>4</v>
      </c>
      <c r="G90" t="s">
        <v>17462</v>
      </c>
      <c r="H90"/>
      <c r="I90" s="1628">
        <v>9729</v>
      </c>
      <c r="K90" s="176" t="s">
        <v>17466</v>
      </c>
      <c r="L90" s="1628">
        <v>24</v>
      </c>
    </row>
    <row r="91" spans="1:12">
      <c r="A91" s="1378">
        <v>46188</v>
      </c>
      <c r="B91" s="623" t="s">
        <v>17482</v>
      </c>
      <c r="C91" s="623">
        <v>2200</v>
      </c>
      <c r="G91" s="1255">
        <v>46184</v>
      </c>
      <c r="H91" t="s">
        <v>17466</v>
      </c>
      <c r="I91" s="1628">
        <v>24</v>
      </c>
      <c r="K91" s="176" t="s">
        <v>17471</v>
      </c>
      <c r="L91" s="1628">
        <v>6216</v>
      </c>
    </row>
    <row r="92" spans="1:12">
      <c r="A92" s="1378">
        <v>46188</v>
      </c>
      <c r="B92" s="623" t="s">
        <v>17483</v>
      </c>
      <c r="C92" s="623">
        <v>750</v>
      </c>
      <c r="G92" s="1255">
        <v>46184</v>
      </c>
      <c r="H92" t="s">
        <v>17358</v>
      </c>
      <c r="I92" s="1628">
        <v>750</v>
      </c>
      <c r="K92" s="176" t="s">
        <v>17472</v>
      </c>
      <c r="L92" s="1628">
        <v>599</v>
      </c>
    </row>
    <row r="93" spans="1:12">
      <c r="A93" s="1378">
        <v>46188</v>
      </c>
      <c r="B93" s="623" t="s">
        <v>17471</v>
      </c>
      <c r="C93" s="623">
        <v>2278</v>
      </c>
      <c r="G93" t="s">
        <v>17467</v>
      </c>
      <c r="H93"/>
      <c r="I93" s="1628">
        <v>774</v>
      </c>
      <c r="K93" s="176" t="s">
        <v>17481</v>
      </c>
      <c r="L93" s="1628">
        <v>28</v>
      </c>
    </row>
    <row r="94" spans="1:12">
      <c r="A94" s="1378">
        <v>46188</v>
      </c>
      <c r="B94" s="623" t="s">
        <v>17481</v>
      </c>
      <c r="C94" s="623">
        <v>24</v>
      </c>
      <c r="G94" s="1255">
        <v>46185</v>
      </c>
      <c r="H94" t="s">
        <v>17471</v>
      </c>
      <c r="I94" s="1628">
        <v>3938</v>
      </c>
      <c r="K94" s="176" t="s">
        <v>17482</v>
      </c>
      <c r="L94" s="1628">
        <v>2200</v>
      </c>
    </row>
    <row r="95" spans="1:12">
      <c r="A95" s="1378">
        <v>46189</v>
      </c>
      <c r="B95" s="623" t="s">
        <v>17461</v>
      </c>
      <c r="C95" s="623">
        <v>720</v>
      </c>
      <c r="G95" s="1255">
        <v>46185</v>
      </c>
      <c r="H95" t="s">
        <v>17472</v>
      </c>
      <c r="I95" s="1628">
        <v>599</v>
      </c>
      <c r="K95" s="176" t="s">
        <v>17483</v>
      </c>
      <c r="L95" s="1628">
        <v>750</v>
      </c>
    </row>
    <row r="96" spans="1:12">
      <c r="A96" s="1378">
        <v>46190</v>
      </c>
      <c r="B96" s="623" t="s">
        <v>17356</v>
      </c>
      <c r="C96" s="623">
        <v>5213</v>
      </c>
      <c r="G96" t="s">
        <v>17473</v>
      </c>
      <c r="H96"/>
      <c r="I96" s="1628">
        <v>4537</v>
      </c>
      <c r="K96" s="176" t="s">
        <v>17521</v>
      </c>
      <c r="L96" s="1628">
        <v>2627</v>
      </c>
    </row>
    <row r="97" spans="1:12">
      <c r="A97" s="1378">
        <v>46190</v>
      </c>
      <c r="B97" s="623" t="s">
        <v>17521</v>
      </c>
      <c r="C97" s="623">
        <v>2627</v>
      </c>
      <c r="G97" s="1255">
        <v>46188</v>
      </c>
      <c r="H97" t="s">
        <v>17482</v>
      </c>
      <c r="I97" s="1628">
        <v>2200</v>
      </c>
      <c r="K97" s="176" t="s">
        <v>17524</v>
      </c>
      <c r="L97" s="1628">
        <v>1680</v>
      </c>
    </row>
    <row r="98" spans="1:12">
      <c r="A98" s="1378">
        <v>46190</v>
      </c>
      <c r="B98" s="623" t="s">
        <v>17522</v>
      </c>
      <c r="C98" s="623">
        <v>1380</v>
      </c>
      <c r="G98" s="1255">
        <v>46188</v>
      </c>
      <c r="H98" t="s">
        <v>17483</v>
      </c>
      <c r="I98" s="1628">
        <v>750</v>
      </c>
      <c r="K98" s="176" t="s">
        <v>17527</v>
      </c>
      <c r="L98" s="1628">
        <v>3624</v>
      </c>
    </row>
    <row r="99" spans="1:12">
      <c r="A99" s="1378">
        <v>46190</v>
      </c>
      <c r="B99" s="623" t="s">
        <v>17523</v>
      </c>
      <c r="C99" s="623">
        <v>1920</v>
      </c>
      <c r="G99" s="1255">
        <v>46188</v>
      </c>
      <c r="H99" t="s">
        <v>17481</v>
      </c>
      <c r="I99" s="1628">
        <v>28</v>
      </c>
      <c r="K99" s="176" t="s">
        <v>17529</v>
      </c>
      <c r="L99" s="1628">
        <v>637</v>
      </c>
    </row>
    <row r="100" spans="1:12">
      <c r="A100" s="1378">
        <v>46190</v>
      </c>
      <c r="B100" s="623" t="s">
        <v>17524</v>
      </c>
      <c r="C100" s="623">
        <v>1680</v>
      </c>
      <c r="G100" s="1255">
        <v>46188</v>
      </c>
      <c r="H100" t="s">
        <v>17471</v>
      </c>
      <c r="I100" s="1628">
        <v>2278</v>
      </c>
      <c r="K100" s="176" t="s">
        <v>17530</v>
      </c>
      <c r="L100" s="1628">
        <v>692</v>
      </c>
    </row>
    <row r="101" spans="1:12">
      <c r="A101" s="1378">
        <v>46190</v>
      </c>
      <c r="B101" s="623" t="s">
        <v>17525</v>
      </c>
      <c r="C101" s="623">
        <v>330</v>
      </c>
      <c r="G101" t="s">
        <v>17484</v>
      </c>
      <c r="H101"/>
      <c r="I101" s="1628">
        <v>5256</v>
      </c>
      <c r="K101" s="176" t="s">
        <v>70</v>
      </c>
      <c r="L101" s="1628">
        <v>153133</v>
      </c>
    </row>
    <row r="102" spans="1:12">
      <c r="A102" s="1378">
        <v>46190</v>
      </c>
      <c r="B102" s="623" t="s">
        <v>17526</v>
      </c>
      <c r="C102" s="623">
        <v>7890</v>
      </c>
      <c r="G102" s="1255">
        <v>46189</v>
      </c>
      <c r="H102" t="s">
        <v>17461</v>
      </c>
      <c r="I102" s="1628">
        <v>720</v>
      </c>
      <c r="K102"/>
      <c r="L102"/>
    </row>
    <row r="103" spans="1:12">
      <c r="A103" s="1378">
        <v>46190</v>
      </c>
      <c r="B103" s="623" t="s">
        <v>17527</v>
      </c>
      <c r="C103" s="623">
        <v>3624</v>
      </c>
      <c r="G103" t="s">
        <v>17496</v>
      </c>
      <c r="H103"/>
      <c r="I103" s="1628">
        <v>720</v>
      </c>
      <c r="K103"/>
      <c r="L103"/>
    </row>
    <row r="104" spans="1:12">
      <c r="A104" s="1378">
        <v>46190</v>
      </c>
      <c r="B104" s="623" t="s">
        <v>17528</v>
      </c>
      <c r="C104" s="623">
        <v>744</v>
      </c>
      <c r="G104" s="1255">
        <v>46190</v>
      </c>
      <c r="H104" t="s">
        <v>17522</v>
      </c>
      <c r="I104" s="1628">
        <v>1380</v>
      </c>
      <c r="K104"/>
      <c r="L104"/>
    </row>
    <row r="105" spans="1:12">
      <c r="A105" s="1378">
        <v>46190</v>
      </c>
      <c r="B105" s="623" t="s">
        <v>17529</v>
      </c>
      <c r="C105" s="623">
        <v>637</v>
      </c>
      <c r="G105" s="1255">
        <v>46190</v>
      </c>
      <c r="H105" t="s">
        <v>17523</v>
      </c>
      <c r="I105" s="1628">
        <v>1920</v>
      </c>
      <c r="K105"/>
      <c r="L105"/>
    </row>
    <row r="106" spans="1:12">
      <c r="A106" s="1378">
        <v>46190</v>
      </c>
      <c r="B106" s="623" t="s">
        <v>17530</v>
      </c>
      <c r="C106" s="623">
        <v>692</v>
      </c>
      <c r="G106" s="1255">
        <v>46190</v>
      </c>
      <c r="H106" t="s">
        <v>17524</v>
      </c>
      <c r="I106" s="1628">
        <v>1680</v>
      </c>
      <c r="K106"/>
      <c r="L106"/>
    </row>
    <row r="107" spans="1:12">
      <c r="A107" s="1378"/>
      <c r="B107" s="623"/>
      <c r="C107" s="623"/>
      <c r="G107" s="1255">
        <v>46190</v>
      </c>
      <c r="H107" t="s">
        <v>17525</v>
      </c>
      <c r="I107" s="1628">
        <v>330</v>
      </c>
      <c r="K107"/>
      <c r="L107"/>
    </row>
    <row r="108" spans="1:12">
      <c r="A108" s="1378"/>
      <c r="B108" s="623"/>
      <c r="C108" s="623"/>
      <c r="G108" s="1255">
        <v>46190</v>
      </c>
      <c r="H108" t="s">
        <v>17526</v>
      </c>
      <c r="I108" s="1628">
        <v>7890</v>
      </c>
      <c r="K108"/>
      <c r="L108"/>
    </row>
    <row r="109" spans="1:12">
      <c r="A109" s="1378"/>
      <c r="B109" s="623"/>
      <c r="C109" s="623"/>
      <c r="G109" s="1255">
        <v>46190</v>
      </c>
      <c r="H109" t="s">
        <v>17527</v>
      </c>
      <c r="I109" s="1628">
        <v>3624</v>
      </c>
      <c r="K109"/>
      <c r="L109"/>
    </row>
    <row r="110" spans="1:12">
      <c r="A110" s="1378"/>
      <c r="B110" s="623"/>
      <c r="C110" s="623"/>
      <c r="G110" s="1255">
        <v>46190</v>
      </c>
      <c r="H110" t="s">
        <v>17528</v>
      </c>
      <c r="I110" s="1628">
        <v>744</v>
      </c>
      <c r="K110"/>
      <c r="L110"/>
    </row>
    <row r="111" spans="1:12">
      <c r="A111" s="1378"/>
      <c r="B111" s="623"/>
      <c r="C111" s="623"/>
      <c r="G111" s="1255">
        <v>46190</v>
      </c>
      <c r="H111" t="s">
        <v>17356</v>
      </c>
      <c r="I111" s="1628">
        <v>5213</v>
      </c>
      <c r="K111"/>
      <c r="L111"/>
    </row>
    <row r="112" spans="1:12">
      <c r="A112" s="1378"/>
      <c r="B112" s="623"/>
      <c r="C112" s="623"/>
      <c r="G112" s="1255">
        <v>46190</v>
      </c>
      <c r="H112" t="s">
        <v>17521</v>
      </c>
      <c r="I112" s="1628">
        <v>2627</v>
      </c>
      <c r="K112"/>
      <c r="L112"/>
    </row>
    <row r="113" spans="1:12">
      <c r="A113" s="1378"/>
      <c r="B113" s="623"/>
      <c r="C113" s="623"/>
      <c r="G113" s="1255">
        <v>46190</v>
      </c>
      <c r="H113" t="s">
        <v>17529</v>
      </c>
      <c r="I113" s="1628">
        <v>637</v>
      </c>
      <c r="K113"/>
      <c r="L113"/>
    </row>
    <row r="114" spans="1:12">
      <c r="A114" s="1378"/>
      <c r="B114" s="623"/>
      <c r="C114" s="623"/>
      <c r="G114" s="1255">
        <v>46190</v>
      </c>
      <c r="H114" t="s">
        <v>17530</v>
      </c>
      <c r="I114" s="1628">
        <v>692</v>
      </c>
      <c r="K114"/>
      <c r="L114"/>
    </row>
    <row r="115" spans="1:12">
      <c r="A115" s="1378"/>
      <c r="B115" s="623"/>
      <c r="C115" s="623"/>
      <c r="G115" t="s">
        <v>17531</v>
      </c>
      <c r="H115"/>
      <c r="I115" s="1628">
        <v>26737</v>
      </c>
      <c r="K115"/>
      <c r="L115"/>
    </row>
    <row r="116" spans="1:12">
      <c r="A116" s="1378"/>
      <c r="B116" s="623"/>
      <c r="C116" s="623"/>
      <c r="G116" t="s">
        <v>211</v>
      </c>
      <c r="H116" t="s">
        <v>211</v>
      </c>
      <c r="I116" s="1628"/>
      <c r="K116"/>
      <c r="L116"/>
    </row>
    <row r="117" spans="1:12">
      <c r="A117" s="1378"/>
      <c r="B117" s="623"/>
      <c r="C117" s="623"/>
      <c r="G117" t="s">
        <v>16066</v>
      </c>
      <c r="H117"/>
      <c r="I117" s="1628"/>
      <c r="K117"/>
      <c r="L117"/>
    </row>
    <row r="118" spans="1:12">
      <c r="A118" s="1378"/>
      <c r="B118" s="623"/>
      <c r="C118" s="623"/>
      <c r="G118" t="s">
        <v>70</v>
      </c>
      <c r="H118"/>
      <c r="I118" s="1628">
        <v>153133</v>
      </c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9" sqref="B19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886641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>
        <v>6564</v>
      </c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B17" s="1114">
        <v>1512</v>
      </c>
      <c r="C17" s="1118"/>
      <c r="E17" s="1118"/>
    </row>
    <row r="18" spans="1:5">
      <c r="A18" s="1114">
        <v>15</v>
      </c>
      <c r="B18" s="1114">
        <v>2719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7184</v>
      </c>
      <c r="C35" s="1118">
        <f>SUM(C4:C34)</f>
        <v>6564</v>
      </c>
      <c r="D35" s="1119">
        <f>SUM(D4:D34)</f>
        <v>0</v>
      </c>
      <c r="E35" s="1118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13" activePane="bottomRight" state="frozen"/>
      <selection pane="topRight" activeCell="W1" sqref="W1"/>
      <selection pane="bottomLeft" activeCell="A5" sqref="A5"/>
      <selection pane="bottomRight" activeCell="I18" sqref="I18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886641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27" t="s">
        <v>537</v>
      </c>
      <c r="AA1" s="1405" t="s">
        <v>538</v>
      </c>
      <c r="AB1" s="1405"/>
      <c r="AC1" s="1405"/>
      <c r="AD1" s="1405"/>
      <c r="AE1" s="1405"/>
      <c r="AF1" s="1527" t="s">
        <v>539</v>
      </c>
      <c r="AG1" s="1529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斷絲!BG8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153133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528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528"/>
      <c r="AG2" s="1530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18" t="s">
        <v>544</v>
      </c>
      <c r="AR2" s="1519"/>
      <c r="AS2" s="1519"/>
      <c r="AT2" s="1519"/>
      <c r="AU2" s="1519"/>
      <c r="AV2" s="1519"/>
      <c r="AW2" s="1519"/>
      <c r="AX2" s="1519"/>
      <c r="AY2" s="1520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斷絲!BG9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斷絲!BG10</f>
        <v>3.4580555555555552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20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20" si="3">(IF(AA4="","",SUM(AA4:AE4)))</f>
        <v>80209</v>
      </c>
      <c r="AG4" s="1301">
        <f t="shared" ref="AG4:AG20" si="4">(IF(U4="","",SUM(AG3+Z4-AF4)))</f>
        <v>2844323</v>
      </c>
      <c r="AH4" s="834">
        <f t="shared" ref="AH4:AI19" si="5">IF(AG4="","",AH3+U4-AA4)</f>
        <v>2299578</v>
      </c>
      <c r="AI4" s="1392">
        <f t="shared" si="5"/>
        <v>0</v>
      </c>
      <c r="AJ4" s="832">
        <f t="shared" ref="AJ4:AJ20" si="6">IF(AG4="","",AJ3+W4-AC4)</f>
        <v>423491</v>
      </c>
      <c r="AK4" s="832">
        <f t="shared" ref="AK4:AK20" si="7">IF(AG4="","",AK3+X4-AD4)</f>
        <v>86628</v>
      </c>
      <c r="AL4" s="835">
        <f t="shared" ref="AL4:AL20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斷絲!BG11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斷絲!BG12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斷絲!BG13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斷絲!BG14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800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1.1368157790030125E-2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>
        <f t="shared" si="0"/>
        <v>1.2620771046420141</v>
      </c>
      <c r="D9" s="1278">
        <f t="shared" si="1"/>
        <v>1.4708497246262786</v>
      </c>
      <c r="E9" s="1279">
        <f>斷絲!BG15</f>
        <v>3.6862037037037041</v>
      </c>
      <c r="F9" s="1280">
        <v>0.98747941150284901</v>
      </c>
      <c r="G9" s="1280">
        <v>0.98685897435897441</v>
      </c>
      <c r="H9" s="1280"/>
      <c r="I9" s="1280">
        <v>0.99534699964387452</v>
      </c>
      <c r="J9" s="1284"/>
      <c r="K9" s="1282">
        <v>8</v>
      </c>
      <c r="L9" s="1286">
        <v>48</v>
      </c>
      <c r="M9" s="1286">
        <v>57</v>
      </c>
      <c r="N9" s="1286">
        <v>36</v>
      </c>
      <c r="O9" s="1286">
        <v>0</v>
      </c>
      <c r="P9" s="1286"/>
      <c r="S9" s="1365">
        <v>800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2.1243826013064952E-2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>
        <f t="shared" si="0"/>
        <v>1</v>
      </c>
      <c r="D10" s="1278">
        <f t="shared" si="1"/>
        <v>0.7330462863293864</v>
      </c>
      <c r="E10" s="1279">
        <f>斷絲!BG16</f>
        <v>4.119378306878307</v>
      </c>
      <c r="F10" s="1280">
        <v>0.99181301193019955</v>
      </c>
      <c r="G10" s="1280">
        <v>0.99753605769230769</v>
      </c>
      <c r="H10" s="1280"/>
      <c r="I10" s="1280">
        <v>0.99776165674603168</v>
      </c>
      <c r="J10" s="1284"/>
      <c r="K10" s="1282">
        <v>9</v>
      </c>
      <c r="L10" s="1285"/>
      <c r="M10" s="1285"/>
      <c r="N10" s="1285"/>
      <c r="O10" s="1285"/>
      <c r="P10" s="1285"/>
      <c r="S10" s="1365">
        <v>800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1.8176034897987005E-2</v>
      </c>
      <c r="AT10" s="755">
        <f>IF(AFK!GM12=0,"",AFK!GM12)</f>
        <v>12.5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>
        <f t="shared" si="0"/>
        <v>0.32070785470350821</v>
      </c>
      <c r="D11" s="1287">
        <f t="shared" si="1"/>
        <v>0.32070785470350821</v>
      </c>
      <c r="E11" s="1288">
        <f>斷絲!BG17</f>
        <v>4.5111111111111111</v>
      </c>
      <c r="F11" s="1316">
        <v>0.99182914886039886</v>
      </c>
      <c r="G11" s="1316">
        <v>0.98932291666666672</v>
      </c>
      <c r="H11" s="1316"/>
      <c r="I11" s="1316">
        <v>0.99640981125356121</v>
      </c>
      <c r="J11" s="1284"/>
      <c r="K11" s="1289">
        <v>10</v>
      </c>
      <c r="L11" s="1290"/>
      <c r="M11" s="1290"/>
      <c r="N11" s="1290"/>
      <c r="O11" s="1290"/>
      <c r="P11" s="1290"/>
      <c r="S11" s="1365">
        <v>800</v>
      </c>
      <c r="T11" s="1395">
        <f t="shared" si="17"/>
        <v>46181</v>
      </c>
      <c r="U11" s="1162">
        <v>36999</v>
      </c>
      <c r="V11" s="1162"/>
      <c r="W11" s="1162">
        <v>-5307</v>
      </c>
      <c r="X11" s="1162">
        <v>-6662</v>
      </c>
      <c r="Y11" s="1162">
        <v>0</v>
      </c>
      <c r="Z11" s="833">
        <f t="shared" si="2"/>
        <v>25030</v>
      </c>
      <c r="AA11" s="832">
        <v>53850</v>
      </c>
      <c r="AB11" s="832"/>
      <c r="AC11" s="832">
        <v>1326</v>
      </c>
      <c r="AD11" s="832">
        <v>1434</v>
      </c>
      <c r="AE11" s="832">
        <v>0</v>
      </c>
      <c r="AF11" s="833">
        <f t="shared" si="3"/>
        <v>56610</v>
      </c>
      <c r="AG11" s="1301">
        <f t="shared" si="4"/>
        <v>2899663</v>
      </c>
      <c r="AH11" s="834">
        <f t="shared" si="5"/>
        <v>2365464</v>
      </c>
      <c r="AI11" s="1392">
        <f t="shared" si="5"/>
        <v>0</v>
      </c>
      <c r="AJ11" s="832">
        <f t="shared" si="6"/>
        <v>424143</v>
      </c>
      <c r="AK11" s="832">
        <f t="shared" si="7"/>
        <v>74571</v>
      </c>
      <c r="AL11" s="835">
        <f t="shared" si="8"/>
        <v>35485</v>
      </c>
      <c r="AM11" s="834">
        <v>-390</v>
      </c>
      <c r="AN11" s="835">
        <v>0</v>
      </c>
      <c r="AO11" s="1105"/>
      <c r="AP11" s="752">
        <f t="shared" si="9"/>
        <v>46181</v>
      </c>
      <c r="AQ11" s="753">
        <f t="shared" si="18"/>
        <v>1.2620771046420141</v>
      </c>
      <c r="AR11" s="754">
        <f t="shared" si="14"/>
        <v>1.4708497246262786</v>
      </c>
      <c r="AS11" s="754">
        <f t="shared" si="10"/>
        <v>3.1961646024770272E-2</v>
      </c>
      <c r="AT11" s="755">
        <f>IF(AFK!GM13=0,"",AFK!GM13)</f>
        <v>12.5</v>
      </c>
      <c r="AU11" s="756">
        <f t="shared" si="15"/>
        <v>25420</v>
      </c>
      <c r="AV11" s="756">
        <f t="shared" si="16"/>
        <v>-390</v>
      </c>
      <c r="AW11" s="756">
        <f t="shared" si="11"/>
        <v>25030</v>
      </c>
      <c r="AX11" s="756">
        <f t="shared" si="12"/>
        <v>56610</v>
      </c>
      <c r="AY11" s="757">
        <f t="shared" si="13"/>
        <v>2899663</v>
      </c>
    </row>
    <row r="12" spans="1:51" ht="21.75" customHeight="1">
      <c r="A12" s="488"/>
      <c r="B12" s="1293">
        <v>11</v>
      </c>
      <c r="C12" s="1291">
        <f t="shared" si="0"/>
        <v>0.99294294470603428</v>
      </c>
      <c r="D12" s="1291">
        <f t="shared" si="1"/>
        <v>0.9339854162018717</v>
      </c>
      <c r="E12" s="1292">
        <f>斷絲!BG18</f>
        <v>3.7749999999999999</v>
      </c>
      <c r="F12" s="1317">
        <v>0.99256076388888892</v>
      </c>
      <c r="G12" s="1318">
        <v>0.99096554487179489</v>
      </c>
      <c r="H12" s="1318"/>
      <c r="I12" s="1318">
        <v>0.99650707799145299</v>
      </c>
      <c r="J12" s="1284"/>
      <c r="K12" s="1293">
        <v>11</v>
      </c>
      <c r="L12" s="1294">
        <v>36</v>
      </c>
      <c r="M12" s="1294">
        <v>47</v>
      </c>
      <c r="N12" s="1294">
        <v>30</v>
      </c>
      <c r="O12" s="1294">
        <v>0</v>
      </c>
      <c r="P12" s="1294"/>
      <c r="S12" s="1365">
        <v>800</v>
      </c>
      <c r="T12" s="1395">
        <f t="shared" si="17"/>
        <v>46182</v>
      </c>
      <c r="U12" s="1162">
        <v>2043</v>
      </c>
      <c r="V12" s="1162"/>
      <c r="W12" s="1393">
        <v>744</v>
      </c>
      <c r="X12" s="1162">
        <v>0</v>
      </c>
      <c r="Y12" s="1162">
        <v>0</v>
      </c>
      <c r="Z12" s="833">
        <f t="shared" si="2"/>
        <v>2787</v>
      </c>
      <c r="AA12" s="832">
        <v>67176</v>
      </c>
      <c r="AB12" s="832"/>
      <c r="AC12" s="832">
        <v>1153</v>
      </c>
      <c r="AD12" s="832">
        <v>0</v>
      </c>
      <c r="AE12" s="832">
        <v>0</v>
      </c>
      <c r="AF12" s="833">
        <f t="shared" si="3"/>
        <v>68329</v>
      </c>
      <c r="AG12" s="1301">
        <f t="shared" si="4"/>
        <v>2834121</v>
      </c>
      <c r="AH12" s="1394">
        <f t="shared" si="5"/>
        <v>2300331</v>
      </c>
      <c r="AI12" s="832">
        <f t="shared" si="5"/>
        <v>0</v>
      </c>
      <c r="AJ12" s="832">
        <f t="shared" si="6"/>
        <v>423734</v>
      </c>
      <c r="AK12" s="832">
        <f t="shared" si="7"/>
        <v>74571</v>
      </c>
      <c r="AL12" s="835">
        <f t="shared" si="8"/>
        <v>35485</v>
      </c>
      <c r="AM12" s="834">
        <v>0</v>
      </c>
      <c r="AN12" s="835">
        <v>0</v>
      </c>
      <c r="AO12" s="1105"/>
      <c r="AP12" s="752">
        <f t="shared" si="9"/>
        <v>46182</v>
      </c>
      <c r="AQ12" s="753">
        <f t="shared" si="18"/>
        <v>1</v>
      </c>
      <c r="AR12" s="754">
        <f t="shared" si="14"/>
        <v>0.7330462863293864</v>
      </c>
      <c r="AS12" s="754">
        <f t="shared" si="10"/>
        <v>0.28704700394689631</v>
      </c>
      <c r="AT12" s="755">
        <f>IF(AFK!GM14=0,"",AFK!GM14)</f>
        <v>13.5</v>
      </c>
      <c r="AU12" s="756">
        <f t="shared" si="15"/>
        <v>2787</v>
      </c>
      <c r="AV12" s="756">
        <f t="shared" si="16"/>
        <v>0</v>
      </c>
      <c r="AW12" s="756">
        <f t="shared" si="11"/>
        <v>2787</v>
      </c>
      <c r="AX12" s="756">
        <f t="shared" si="12"/>
        <v>68329</v>
      </c>
      <c r="AY12" s="757">
        <f t="shared" si="13"/>
        <v>2834121</v>
      </c>
    </row>
    <row r="13" spans="1:51" ht="21.75" customHeight="1">
      <c r="B13" s="1282">
        <v>12</v>
      </c>
      <c r="C13" s="1278">
        <f t="shared" si="0"/>
        <v>0.9710455051017941</v>
      </c>
      <c r="D13" s="1278">
        <f t="shared" si="1"/>
        <v>0.96273997775521059</v>
      </c>
      <c r="E13" s="1279">
        <f>斷絲!BG19</f>
        <v>3.0222222222222221</v>
      </c>
      <c r="F13" s="1280">
        <v>0.9887807158119658</v>
      </c>
      <c r="G13" s="1280">
        <v>0.98768028846153844</v>
      </c>
      <c r="H13" s="1280"/>
      <c r="I13" s="1280">
        <v>0.99396501068376053</v>
      </c>
      <c r="J13" s="1284"/>
      <c r="K13" s="1282">
        <v>12</v>
      </c>
      <c r="L13" s="1283"/>
      <c r="M13" s="1283"/>
      <c r="N13" s="1283"/>
      <c r="O13" s="1283"/>
      <c r="P13" s="1283"/>
      <c r="S13" s="1365">
        <v>800</v>
      </c>
      <c r="T13" s="1395">
        <f t="shared" si="17"/>
        <v>46183</v>
      </c>
      <c r="U13" s="1162">
        <v>-3099</v>
      </c>
      <c r="V13" s="1162"/>
      <c r="W13" s="1162">
        <v>0</v>
      </c>
      <c r="X13" s="1162">
        <v>0</v>
      </c>
      <c r="Y13" s="1162">
        <v>-6564</v>
      </c>
      <c r="Z13" s="833">
        <f>(IF(U13="","",SUM(U13:Y13)))</f>
        <v>-9663</v>
      </c>
      <c r="AA13" s="832">
        <v>63356</v>
      </c>
      <c r="AB13" s="832"/>
      <c r="AC13" s="832">
        <v>2455</v>
      </c>
      <c r="AD13" s="832">
        <v>0</v>
      </c>
      <c r="AE13" s="832">
        <v>0</v>
      </c>
      <c r="AF13" s="833">
        <f>(IF(AA13="","",SUM(AA13:AE13)))</f>
        <v>65811</v>
      </c>
      <c r="AG13" s="1301">
        <f t="shared" si="4"/>
        <v>2758647</v>
      </c>
      <c r="AH13" s="834">
        <f t="shared" si="5"/>
        <v>2233876</v>
      </c>
      <c r="AI13" s="836">
        <f t="shared" si="5"/>
        <v>0</v>
      </c>
      <c r="AJ13" s="832">
        <f t="shared" si="6"/>
        <v>421279</v>
      </c>
      <c r="AK13" s="832">
        <f t="shared" si="7"/>
        <v>74571</v>
      </c>
      <c r="AL13" s="835">
        <f t="shared" si="8"/>
        <v>28921</v>
      </c>
      <c r="AM13" s="834">
        <v>0</v>
      </c>
      <c r="AN13" s="835">
        <v>0</v>
      </c>
      <c r="AO13" s="1105"/>
      <c r="AP13" s="752">
        <f t="shared" si="9"/>
        <v>46183</v>
      </c>
      <c r="AQ13" s="753">
        <f t="shared" si="18"/>
        <v>0.32070785470350821</v>
      </c>
      <c r="AR13" s="754">
        <f t="shared" si="14"/>
        <v>0.32070785470350821</v>
      </c>
      <c r="AS13" s="754">
        <f t="shared" si="10"/>
        <v>-8.2790023802131837E-2</v>
      </c>
      <c r="AT13" s="755">
        <f>IF(AFK!GM15=0,"",AFK!GM15)</f>
        <v>13.5</v>
      </c>
      <c r="AU13" s="756">
        <f t="shared" si="15"/>
        <v>-9663</v>
      </c>
      <c r="AV13" s="756">
        <f t="shared" si="16"/>
        <v>0</v>
      </c>
      <c r="AW13" s="756">
        <f t="shared" si="11"/>
        <v>-9663</v>
      </c>
      <c r="AX13" s="756">
        <f t="shared" si="12"/>
        <v>65811</v>
      </c>
      <c r="AY13" s="757">
        <f t="shared" si="13"/>
        <v>2758647</v>
      </c>
    </row>
    <row r="14" spans="1:51" ht="21.75" customHeight="1">
      <c r="B14" s="1282">
        <v>13</v>
      </c>
      <c r="C14" s="1278">
        <f t="shared" si="0"/>
        <v>0.96022716334584657</v>
      </c>
      <c r="D14" s="1278">
        <f t="shared" si="1"/>
        <v>0.88897872750024065</v>
      </c>
      <c r="E14" s="1279">
        <f>斷絲!BG20</f>
        <v>3.1078703703703705</v>
      </c>
      <c r="F14" s="1280">
        <v>0.99335993144586909</v>
      </c>
      <c r="G14" s="1280">
        <v>0.98685897435897441</v>
      </c>
      <c r="H14" s="1280"/>
      <c r="I14" s="1280">
        <v>0.9909668803418803</v>
      </c>
      <c r="J14" s="1284"/>
      <c r="K14" s="1282">
        <v>13</v>
      </c>
      <c r="L14" s="1286"/>
      <c r="M14" s="1286"/>
      <c r="N14" s="1286"/>
      <c r="O14" s="1286"/>
      <c r="P14" s="1286"/>
      <c r="S14" s="1365">
        <v>800</v>
      </c>
      <c r="T14" s="1395">
        <f t="shared" si="17"/>
        <v>46184</v>
      </c>
      <c r="U14" s="1162">
        <v>130397</v>
      </c>
      <c r="V14" s="1162"/>
      <c r="W14" s="1162">
        <v>5021</v>
      </c>
      <c r="X14" s="1162">
        <v>601</v>
      </c>
      <c r="Y14" s="1162">
        <v>0</v>
      </c>
      <c r="Z14" s="833">
        <f>(IF(U14="","",SUM(U14:Y14)))</f>
        <v>136019</v>
      </c>
      <c r="AA14" s="832">
        <v>72414</v>
      </c>
      <c r="AB14" s="832"/>
      <c r="AC14" s="832">
        <v>4368</v>
      </c>
      <c r="AD14" s="832">
        <v>0</v>
      </c>
      <c r="AE14" s="832">
        <v>0</v>
      </c>
      <c r="AF14" s="833">
        <f>(IF(AA14="","",SUM(AA14:AE14)))</f>
        <v>76782</v>
      </c>
      <c r="AG14" s="1301">
        <f t="shared" si="4"/>
        <v>2817884</v>
      </c>
      <c r="AH14" s="834">
        <f t="shared" si="5"/>
        <v>2291859</v>
      </c>
      <c r="AI14" s="832">
        <f t="shared" si="5"/>
        <v>0</v>
      </c>
      <c r="AJ14" s="832">
        <f t="shared" si="6"/>
        <v>421932</v>
      </c>
      <c r="AK14" s="832">
        <f t="shared" si="7"/>
        <v>75172</v>
      </c>
      <c r="AL14" s="835">
        <f t="shared" si="8"/>
        <v>28921</v>
      </c>
      <c r="AM14" s="834">
        <f>44280+6576</f>
        <v>50856</v>
      </c>
      <c r="AN14" s="835">
        <v>0</v>
      </c>
      <c r="AO14" s="1105"/>
      <c r="AP14" s="752">
        <f t="shared" si="9"/>
        <v>46184</v>
      </c>
      <c r="AQ14" s="753">
        <f t="shared" si="18"/>
        <v>0.99294294470603428</v>
      </c>
      <c r="AR14" s="754">
        <f t="shared" si="14"/>
        <v>0.9339854162018717</v>
      </c>
      <c r="AS14" s="754">
        <f t="shared" si="10"/>
        <v>5.8815312566626718E-3</v>
      </c>
      <c r="AT14" s="755">
        <f>IF(AFK!GM16=0,"",AFK!GM16)</f>
        <v>13.5</v>
      </c>
      <c r="AU14" s="756">
        <f t="shared" si="15"/>
        <v>85163</v>
      </c>
      <c r="AV14" s="756">
        <f t="shared" si="16"/>
        <v>50856</v>
      </c>
      <c r="AW14" s="756">
        <f t="shared" si="11"/>
        <v>136019</v>
      </c>
      <c r="AX14" s="756">
        <f t="shared" si="12"/>
        <v>76782</v>
      </c>
      <c r="AY14" s="757">
        <f t="shared" si="13"/>
        <v>2817884</v>
      </c>
    </row>
    <row r="15" spans="1:51" ht="21.75" customHeight="1">
      <c r="B15" s="1282">
        <v>14</v>
      </c>
      <c r="C15" s="1278">
        <f t="shared" si="0"/>
        <v>0.91438987424732721</v>
      </c>
      <c r="D15" s="1278">
        <f t="shared" si="1"/>
        <v>0.84762216851677386</v>
      </c>
      <c r="E15" s="1279">
        <f>斷絲!BG21</f>
        <v>3.4046296296296297</v>
      </c>
      <c r="F15" s="1280">
        <v>0.99000957086894592</v>
      </c>
      <c r="G15" s="1280">
        <v>0.98521634615384612</v>
      </c>
      <c r="H15" s="1280"/>
      <c r="I15" s="1280">
        <v>0.98232305021367528</v>
      </c>
      <c r="J15" s="1284"/>
      <c r="K15" s="1282">
        <v>14</v>
      </c>
      <c r="L15" s="1283"/>
      <c r="M15" s="1283"/>
      <c r="N15" s="1283"/>
      <c r="O15" s="1283"/>
      <c r="P15" s="1283"/>
      <c r="S15" s="1365">
        <v>2000</v>
      </c>
      <c r="T15" s="1395">
        <f t="shared" si="17"/>
        <v>46185</v>
      </c>
      <c r="U15" s="1162">
        <v>105014</v>
      </c>
      <c r="V15" s="1162"/>
      <c r="W15" s="1162">
        <v>687</v>
      </c>
      <c r="X15" s="1162">
        <v>2395</v>
      </c>
      <c r="Y15" s="1162">
        <v>0</v>
      </c>
      <c r="Z15" s="833">
        <f t="shared" si="2"/>
        <v>108096</v>
      </c>
      <c r="AA15" s="832">
        <v>90809</v>
      </c>
      <c r="AB15" s="832"/>
      <c r="AC15" s="832">
        <v>1470</v>
      </c>
      <c r="AD15" s="832">
        <v>0</v>
      </c>
      <c r="AE15" s="832">
        <v>0</v>
      </c>
      <c r="AF15" s="833">
        <f t="shared" si="3"/>
        <v>92279</v>
      </c>
      <c r="AG15" s="1301">
        <f t="shared" si="4"/>
        <v>2833701</v>
      </c>
      <c r="AH15" s="834">
        <f t="shared" si="5"/>
        <v>2306064</v>
      </c>
      <c r="AI15" s="832">
        <f t="shared" si="5"/>
        <v>0</v>
      </c>
      <c r="AJ15" s="832">
        <f t="shared" si="6"/>
        <v>421149</v>
      </c>
      <c r="AK15" s="832">
        <f t="shared" si="7"/>
        <v>77567</v>
      </c>
      <c r="AL15" s="835">
        <f t="shared" si="8"/>
        <v>28921</v>
      </c>
      <c r="AM15" s="834">
        <f>23580+1800</f>
        <v>25380</v>
      </c>
      <c r="AN15" s="835">
        <v>0</v>
      </c>
      <c r="AO15" s="1105"/>
      <c r="AP15" s="752">
        <f t="shared" si="9"/>
        <v>46185</v>
      </c>
      <c r="AQ15" s="753">
        <f t="shared" si="18"/>
        <v>0.9710455051017941</v>
      </c>
      <c r="AR15" s="754">
        <f t="shared" si="14"/>
        <v>0.96273997775521059</v>
      </c>
      <c r="AS15" s="754">
        <f t="shared" si="10"/>
        <v>1.8502072232089994E-2</v>
      </c>
      <c r="AT15" s="755">
        <f>IF(AFK!GM17=0,"",AFK!GM17)</f>
        <v>13.5</v>
      </c>
      <c r="AU15" s="756">
        <f t="shared" si="15"/>
        <v>82716</v>
      </c>
      <c r="AV15" s="756">
        <f t="shared" si="16"/>
        <v>25380</v>
      </c>
      <c r="AW15" s="756">
        <f t="shared" si="11"/>
        <v>108096</v>
      </c>
      <c r="AX15" s="756">
        <f t="shared" si="12"/>
        <v>92279</v>
      </c>
      <c r="AY15" s="757">
        <f t="shared" si="13"/>
        <v>2833701</v>
      </c>
    </row>
    <row r="16" spans="1:51" ht="21.75" customHeight="1">
      <c r="B16" s="1282">
        <v>15</v>
      </c>
      <c r="C16" s="1278">
        <f t="shared" si="0"/>
        <v>0.87594113620807668</v>
      </c>
      <c r="D16" s="1278">
        <f t="shared" si="1"/>
        <v>0.80758042436687205</v>
      </c>
      <c r="E16" s="1279">
        <f>斷絲!BG22</f>
        <v>3.1005555555555553</v>
      </c>
      <c r="F16" s="1280">
        <v>0.99525741185897443</v>
      </c>
      <c r="G16" s="1280">
        <v>0.98193108974358978</v>
      </c>
      <c r="H16" s="1280"/>
      <c r="I16" s="1280">
        <v>0.9909668803418803</v>
      </c>
      <c r="J16" s="1284"/>
      <c r="K16" s="1282">
        <v>15</v>
      </c>
      <c r="L16" s="1283">
        <v>45</v>
      </c>
      <c r="M16" s="1283">
        <v>67</v>
      </c>
      <c r="N16" s="1283">
        <v>34</v>
      </c>
      <c r="O16" s="1283">
        <v>0</v>
      </c>
      <c r="P16" s="1283"/>
      <c r="S16" s="1365">
        <v>2000</v>
      </c>
      <c r="T16" s="1395">
        <f t="shared" si="17"/>
        <v>46186</v>
      </c>
      <c r="U16" s="1162">
        <v>46178</v>
      </c>
      <c r="V16" s="1162"/>
      <c r="W16" s="1162">
        <v>3701</v>
      </c>
      <c r="X16" s="1162">
        <v>2066</v>
      </c>
      <c r="Y16" s="1162">
        <v>0</v>
      </c>
      <c r="Z16" s="833">
        <f t="shared" si="2"/>
        <v>51945</v>
      </c>
      <c r="AA16" s="832">
        <v>0</v>
      </c>
      <c r="AB16" s="832"/>
      <c r="AC16" s="832">
        <v>0</v>
      </c>
      <c r="AD16" s="832">
        <v>0</v>
      </c>
      <c r="AE16" s="832">
        <v>0</v>
      </c>
      <c r="AF16" s="833">
        <f t="shared" si="3"/>
        <v>0</v>
      </c>
      <c r="AG16" s="1301">
        <f t="shared" si="4"/>
        <v>2885646</v>
      </c>
      <c r="AH16" s="834">
        <f t="shared" si="5"/>
        <v>2352242</v>
      </c>
      <c r="AI16" s="832">
        <f t="shared" si="5"/>
        <v>0</v>
      </c>
      <c r="AJ16" s="832">
        <f t="shared" si="6"/>
        <v>424850</v>
      </c>
      <c r="AK16" s="832">
        <f t="shared" si="7"/>
        <v>79633</v>
      </c>
      <c r="AL16" s="835">
        <f t="shared" si="8"/>
        <v>28921</v>
      </c>
      <c r="AM16" s="834">
        <v>0</v>
      </c>
      <c r="AN16" s="835">
        <v>0</v>
      </c>
      <c r="AO16" s="1105"/>
      <c r="AP16" s="752">
        <f t="shared" si="9"/>
        <v>46186</v>
      </c>
      <c r="AQ16" s="753">
        <f t="shared" si="18"/>
        <v>0.96022716334584657</v>
      </c>
      <c r="AR16" s="754">
        <f t="shared" si="14"/>
        <v>0.88897872750024065</v>
      </c>
      <c r="AS16" s="754">
        <f t="shared" si="10"/>
        <v>3.8502262007892966E-2</v>
      </c>
      <c r="AT16" s="755">
        <f>IF(AFK!GM18=0,"",AFK!GM18)</f>
        <v>13</v>
      </c>
      <c r="AU16" s="756">
        <f t="shared" si="15"/>
        <v>51945</v>
      </c>
      <c r="AV16" s="756">
        <f t="shared" si="16"/>
        <v>0</v>
      </c>
      <c r="AW16" s="756">
        <f t="shared" si="11"/>
        <v>51945</v>
      </c>
      <c r="AX16" s="756">
        <f t="shared" si="12"/>
        <v>0</v>
      </c>
      <c r="AY16" s="757">
        <f t="shared" si="13"/>
        <v>2885646</v>
      </c>
    </row>
    <row r="17" spans="1:51" ht="21.75" customHeight="1">
      <c r="B17" s="1282">
        <v>16</v>
      </c>
      <c r="C17" s="1278">
        <f t="shared" si="0"/>
        <v>0.9878207175556265</v>
      </c>
      <c r="D17" s="1278">
        <f t="shared" si="1"/>
        <v>0.94129671031619289</v>
      </c>
      <c r="E17" s="1279">
        <f>斷絲!BG23</f>
        <v>2.7446666666666668</v>
      </c>
      <c r="F17" s="1280">
        <v>0.99257745726495727</v>
      </c>
      <c r="G17" s="1280">
        <v>0.9934294871794872</v>
      </c>
      <c r="H17" s="1280"/>
      <c r="I17" s="1280">
        <v>0.99496394230769225</v>
      </c>
      <c r="J17" s="1284"/>
      <c r="K17" s="1282">
        <v>16</v>
      </c>
      <c r="L17" s="1283"/>
      <c r="M17" s="1283"/>
      <c r="N17" s="1283"/>
      <c r="O17" s="1283"/>
      <c r="P17" s="1283"/>
      <c r="S17" s="1365">
        <v>2600</v>
      </c>
      <c r="T17" s="1395">
        <f t="shared" si="17"/>
        <v>46187</v>
      </c>
      <c r="U17" s="1162">
        <v>41386</v>
      </c>
      <c r="V17" s="1162"/>
      <c r="W17" s="1162">
        <v>3260</v>
      </c>
      <c r="X17" s="1162">
        <v>2668</v>
      </c>
      <c r="Y17" s="1162">
        <v>1512</v>
      </c>
      <c r="Z17" s="833">
        <f t="shared" si="2"/>
        <v>48826</v>
      </c>
      <c r="AA17" s="832">
        <v>0</v>
      </c>
      <c r="AB17" s="832"/>
      <c r="AC17" s="832">
        <v>0</v>
      </c>
      <c r="AD17" s="832">
        <v>0</v>
      </c>
      <c r="AE17" s="832">
        <v>0</v>
      </c>
      <c r="AF17" s="833">
        <f t="shared" si="3"/>
        <v>0</v>
      </c>
      <c r="AG17" s="1301">
        <f t="shared" si="4"/>
        <v>2934472</v>
      </c>
      <c r="AH17" s="834">
        <f t="shared" si="5"/>
        <v>2393628</v>
      </c>
      <c r="AI17" s="832">
        <f t="shared" si="5"/>
        <v>0</v>
      </c>
      <c r="AJ17" s="832">
        <f t="shared" si="6"/>
        <v>428110</v>
      </c>
      <c r="AK17" s="832">
        <f t="shared" si="7"/>
        <v>82301</v>
      </c>
      <c r="AL17" s="835">
        <f t="shared" si="8"/>
        <v>30433</v>
      </c>
      <c r="AM17" s="834">
        <v>0</v>
      </c>
      <c r="AN17" s="835">
        <v>0</v>
      </c>
      <c r="AO17" s="1105"/>
      <c r="AP17" s="752">
        <f t="shared" si="9"/>
        <v>46187</v>
      </c>
      <c r="AQ17" s="753">
        <f t="shared" si="18"/>
        <v>0.91438987424732721</v>
      </c>
      <c r="AR17" s="754">
        <f t="shared" si="14"/>
        <v>0.84762216851677386</v>
      </c>
      <c r="AS17" s="754">
        <f t="shared" si="10"/>
        <v>5.3250317453815588E-2</v>
      </c>
      <c r="AT17" s="755">
        <f>IF(AFK!GM19=0,"",AFK!GM19)</f>
        <v>12</v>
      </c>
      <c r="AU17" s="756">
        <f t="shared" si="15"/>
        <v>48826</v>
      </c>
      <c r="AV17" s="756">
        <f t="shared" si="16"/>
        <v>0</v>
      </c>
      <c r="AW17" s="756">
        <f t="shared" si="11"/>
        <v>48826</v>
      </c>
      <c r="AX17" s="756">
        <f t="shared" si="12"/>
        <v>0</v>
      </c>
      <c r="AY17" s="757">
        <f t="shared" si="13"/>
        <v>2934472</v>
      </c>
    </row>
    <row r="18" spans="1:51" ht="21.75" customHeight="1">
      <c r="B18" s="1282">
        <v>17</v>
      </c>
      <c r="C18" s="1278">
        <f t="shared" si="0"/>
        <v>0.91769290724863606</v>
      </c>
      <c r="D18" s="1278">
        <f t="shared" si="1"/>
        <v>1.2104442712392829</v>
      </c>
      <c r="E18" s="1279">
        <f>斷絲!BG24</f>
        <v>2.6796666666666669</v>
      </c>
      <c r="F18" s="1315">
        <v>0.99029113247863254</v>
      </c>
      <c r="G18" s="1315"/>
      <c r="H18" s="1280"/>
      <c r="I18" s="1280">
        <v>0.99873864850427341</v>
      </c>
      <c r="J18" s="1284"/>
      <c r="K18" s="1282">
        <v>17</v>
      </c>
      <c r="L18" s="1283"/>
      <c r="M18" s="1283"/>
      <c r="N18" s="1283"/>
      <c r="O18" s="1283"/>
      <c r="P18" s="1283"/>
      <c r="S18" s="1365">
        <v>2600</v>
      </c>
      <c r="T18" s="1395">
        <f t="shared" si="17"/>
        <v>46188</v>
      </c>
      <c r="U18" s="1162">
        <v>54319</v>
      </c>
      <c r="V18" s="1162"/>
      <c r="W18" s="1162">
        <v>3196</v>
      </c>
      <c r="X18" s="1162">
        <v>3081</v>
      </c>
      <c r="Y18" s="1162">
        <v>2719</v>
      </c>
      <c r="Z18" s="833">
        <f t="shared" si="2"/>
        <v>63315</v>
      </c>
      <c r="AA18" s="832">
        <v>35993</v>
      </c>
      <c r="AB18" s="832"/>
      <c r="AC18" s="832">
        <v>437</v>
      </c>
      <c r="AD18" s="832">
        <v>4235</v>
      </c>
      <c r="AE18" s="832">
        <v>0</v>
      </c>
      <c r="AF18" s="833">
        <f t="shared" si="3"/>
        <v>40665</v>
      </c>
      <c r="AG18" s="1301">
        <f t="shared" si="4"/>
        <v>2957122</v>
      </c>
      <c r="AH18" s="834">
        <f t="shared" si="5"/>
        <v>2411954</v>
      </c>
      <c r="AI18" s="832">
        <f t="shared" si="5"/>
        <v>0</v>
      </c>
      <c r="AJ18" s="832">
        <f t="shared" si="6"/>
        <v>430869</v>
      </c>
      <c r="AK18" s="832">
        <f t="shared" si="7"/>
        <v>81147</v>
      </c>
      <c r="AL18" s="835">
        <f t="shared" si="8"/>
        <v>33152</v>
      </c>
      <c r="AM18" s="834">
        <v>16563</v>
      </c>
      <c r="AN18" s="835">
        <v>0</v>
      </c>
      <c r="AO18" s="1105"/>
      <c r="AP18" s="752">
        <f t="shared" si="9"/>
        <v>46188</v>
      </c>
      <c r="AQ18" s="753">
        <f t="shared" si="18"/>
        <v>0.87594113620807668</v>
      </c>
      <c r="AR18" s="754">
        <f t="shared" si="14"/>
        <v>0.80758042436687205</v>
      </c>
      <c r="AS18" s="754">
        <f t="shared" si="10"/>
        <v>4.1064518676458973E-2</v>
      </c>
      <c r="AT18" s="755">
        <f>IF(AFK!GM20=0,"",AFK!GM20)</f>
        <v>12</v>
      </c>
      <c r="AU18" s="756">
        <f t="shared" si="15"/>
        <v>46752</v>
      </c>
      <c r="AV18" s="756">
        <f t="shared" si="16"/>
        <v>16563</v>
      </c>
      <c r="AW18" s="756">
        <f t="shared" si="11"/>
        <v>63315</v>
      </c>
      <c r="AX18" s="756">
        <f t="shared" si="12"/>
        <v>40665</v>
      </c>
      <c r="AY18" s="757">
        <f t="shared" si="13"/>
        <v>2957122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斷絲!BG25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>
        <v>2600</v>
      </c>
      <c r="T19" s="1395">
        <f t="shared" si="17"/>
        <v>46189</v>
      </c>
      <c r="U19" s="1162">
        <v>75708</v>
      </c>
      <c r="V19" s="1162"/>
      <c r="W19" s="1162">
        <v>2185</v>
      </c>
      <c r="X19" s="1162">
        <v>572</v>
      </c>
      <c r="Y19" s="1162">
        <v>0</v>
      </c>
      <c r="Z19" s="833">
        <f t="shared" si="2"/>
        <v>78465</v>
      </c>
      <c r="AA19" s="832">
        <v>66365</v>
      </c>
      <c r="AB19" s="832"/>
      <c r="AC19" s="832">
        <v>791</v>
      </c>
      <c r="AD19" s="832">
        <v>0</v>
      </c>
      <c r="AE19" s="832">
        <v>0</v>
      </c>
      <c r="AF19" s="833">
        <f t="shared" si="3"/>
        <v>67156</v>
      </c>
      <c r="AG19" s="1301">
        <f t="shared" si="4"/>
        <v>2968431</v>
      </c>
      <c r="AH19" s="834">
        <f t="shared" si="5"/>
        <v>2421297</v>
      </c>
      <c r="AI19" s="832">
        <f t="shared" si="5"/>
        <v>0</v>
      </c>
      <c r="AJ19" s="832">
        <f t="shared" si="6"/>
        <v>432263</v>
      </c>
      <c r="AK19" s="832">
        <f t="shared" si="7"/>
        <v>81719</v>
      </c>
      <c r="AL19" s="835">
        <f t="shared" si="8"/>
        <v>33152</v>
      </c>
      <c r="AM19" s="834">
        <v>31500</v>
      </c>
      <c r="AN19" s="835">
        <v>0</v>
      </c>
      <c r="AO19" s="1105"/>
      <c r="AP19" s="752">
        <f t="shared" ref="AP19:AP34" si="19">AP18+1</f>
        <v>46189</v>
      </c>
      <c r="AQ19" s="753">
        <f t="shared" si="18"/>
        <v>0.9878207175556265</v>
      </c>
      <c r="AR19" s="754">
        <f t="shared" si="14"/>
        <v>0.94129671031619289</v>
      </c>
      <c r="AS19" s="754">
        <f t="shared" si="10"/>
        <v>3.3135793028738932E-2</v>
      </c>
      <c r="AT19" s="755">
        <f>IF(AFK!GM21=0,"",AFK!GM21)</f>
        <v>13</v>
      </c>
      <c r="AU19" s="756">
        <f t="shared" si="15"/>
        <v>46965</v>
      </c>
      <c r="AV19" s="756">
        <f t="shared" si="16"/>
        <v>31500</v>
      </c>
      <c r="AW19" s="756">
        <f t="shared" si="11"/>
        <v>78465</v>
      </c>
      <c r="AX19" s="756">
        <f t="shared" si="12"/>
        <v>67156</v>
      </c>
      <c r="AY19" s="757">
        <f t="shared" si="13"/>
        <v>2968431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斷絲!BG26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>
        <v>2600</v>
      </c>
      <c r="T20" s="1395">
        <f t="shared" si="17"/>
        <v>46190</v>
      </c>
      <c r="U20" s="1163">
        <v>48405</v>
      </c>
      <c r="V20" s="1162"/>
      <c r="W20" s="1162">
        <v>-6271</v>
      </c>
      <c r="X20" s="1162">
        <v>1584</v>
      </c>
      <c r="Y20" s="1162">
        <v>0</v>
      </c>
      <c r="Z20" s="833">
        <f t="shared" si="2"/>
        <v>43718</v>
      </c>
      <c r="AA20" s="836">
        <v>163647</v>
      </c>
      <c r="AB20" s="832"/>
      <c r="AC20" s="832">
        <v>6080</v>
      </c>
      <c r="AD20" s="832">
        <v>0</v>
      </c>
      <c r="AE20" s="832">
        <v>0</v>
      </c>
      <c r="AF20" s="833">
        <f t="shared" si="3"/>
        <v>169727</v>
      </c>
      <c r="AG20" s="1301">
        <f t="shared" si="4"/>
        <v>2842422</v>
      </c>
      <c r="AH20" s="834">
        <f t="shared" ref="AH20:AI20" si="20">IF(AG20="","",AH19+U20-AA20)</f>
        <v>2306055</v>
      </c>
      <c r="AI20" s="832">
        <f t="shared" si="20"/>
        <v>0</v>
      </c>
      <c r="AJ20" s="832">
        <f t="shared" si="6"/>
        <v>419912</v>
      </c>
      <c r="AK20" s="832">
        <f t="shared" si="7"/>
        <v>83303</v>
      </c>
      <c r="AL20" s="835">
        <f t="shared" si="8"/>
        <v>33152</v>
      </c>
      <c r="AM20" s="834">
        <f>17310+7800</f>
        <v>25110</v>
      </c>
      <c r="AN20" s="835">
        <v>-637</v>
      </c>
      <c r="AO20" s="1105"/>
      <c r="AP20" s="752">
        <f t="shared" si="19"/>
        <v>46190</v>
      </c>
      <c r="AQ20" s="753">
        <f t="shared" si="18"/>
        <v>0.91769290724863606</v>
      </c>
      <c r="AR20" s="754">
        <f t="shared" si="14"/>
        <v>1.2104442712392829</v>
      </c>
      <c r="AS20" s="754">
        <f t="shared" si="10"/>
        <v>5.9472071000503224E-2</v>
      </c>
      <c r="AT20" s="755">
        <f>IF(AFK!GM22=0,"",AFK!GM22)</f>
        <v>14</v>
      </c>
      <c r="AU20" s="756">
        <f t="shared" si="15"/>
        <v>19245</v>
      </c>
      <c r="AV20" s="756">
        <f t="shared" si="16"/>
        <v>24473</v>
      </c>
      <c r="AW20" s="756">
        <f t="shared" si="11"/>
        <v>43718</v>
      </c>
      <c r="AX20" s="756">
        <f t="shared" si="12"/>
        <v>169727</v>
      </c>
      <c r="AY20" s="757">
        <f t="shared" si="13"/>
        <v>2842422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斷絲!BG27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斷絲!BG28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斷絲!BG29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斷絲!BG30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斷絲!BG31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斷絲!BG32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斷絲!BG33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斷絲!BG34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斷絲!BG35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斷絲!BG36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斷絲!BG37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斷絲!BG38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40.200000000000003</v>
      </c>
      <c r="M33" s="495">
        <f>AVERAGE(M2:M32)</f>
        <v>50</v>
      </c>
      <c r="N33" s="495">
        <f>AVERAGE(N2:N32)</f>
        <v>26.8</v>
      </c>
      <c r="O33" s="495">
        <f>AVERAGE(O2:O32)</f>
        <v>0.6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24000</v>
      </c>
      <c r="T35" s="929" t="s">
        <v>552</v>
      </c>
      <c r="U35" s="930">
        <f>SUM(U4:U34)</f>
        <v>838958</v>
      </c>
      <c r="V35" s="930">
        <f>SUM(V4:V33)</f>
        <v>0</v>
      </c>
      <c r="W35" s="930">
        <f>SUM(W4:W34)</f>
        <v>28545</v>
      </c>
      <c r="X35" s="930">
        <f>SUM(X4:X34)</f>
        <v>18518</v>
      </c>
      <c r="Y35" s="930">
        <f>SUM(Y4:Y34)</f>
        <v>620</v>
      </c>
      <c r="Z35" s="931">
        <f>SUM(U35:Y35)</f>
        <v>886641</v>
      </c>
      <c r="AA35" s="930">
        <f>SUM(AA4:AA34)</f>
        <v>859445</v>
      </c>
      <c r="AB35" s="930">
        <f>SUM(AB4:AB34)</f>
        <v>0</v>
      </c>
      <c r="AC35" s="930">
        <f>SUM(AC4:AC34)</f>
        <v>28122</v>
      </c>
      <c r="AD35" s="930">
        <f>SUM(AD4:AD34)</f>
        <v>15089</v>
      </c>
      <c r="AE35" s="930">
        <f>SUM(AE4:AE34)</f>
        <v>0</v>
      </c>
      <c r="AF35" s="932">
        <f>SUM(AA35:AE35)</f>
        <v>902656</v>
      </c>
      <c r="AG35" s="933">
        <f>AG3+Z35-AF35</f>
        <v>2842422</v>
      </c>
      <c r="AH35" s="1505">
        <f t="shared" ref="AH35:AL35" si="21">SUM(AH4:AH34)</f>
        <v>39485924</v>
      </c>
      <c r="AI35" s="1506">
        <f t="shared" si="21"/>
        <v>0</v>
      </c>
      <c r="AJ35" s="1506">
        <f t="shared" si="21"/>
        <v>7216327</v>
      </c>
      <c r="AK35" s="1506">
        <f t="shared" si="21"/>
        <v>1372929</v>
      </c>
      <c r="AL35" s="1507">
        <f t="shared" si="21"/>
        <v>559784</v>
      </c>
      <c r="AM35" s="934">
        <f>SUM(AM4:AM34)</f>
        <v>207426</v>
      </c>
      <c r="AN35" s="1109">
        <f>SUM(AN4:AN34)</f>
        <v>-637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0.97184975553502817</v>
      </c>
      <c r="AR35" s="936">
        <f t="shared" si="14"/>
        <v>0.92892570735983715</v>
      </c>
      <c r="AS35" s="952">
        <f>IF(ISERROR(S35/(Z35-AM37)),"",(S35/(Z35-AM37)))</f>
        <v>3.5301800980213342E-2</v>
      </c>
      <c r="AT35" s="937">
        <f>日報表!D184</f>
        <v>12.235294117647058</v>
      </c>
      <c r="AU35" s="938">
        <f t="shared" si="15"/>
        <v>679852</v>
      </c>
      <c r="AV35" s="938">
        <f t="shared" si="16"/>
        <v>206789</v>
      </c>
      <c r="AW35" s="938">
        <f>SUM(AW4:AW34)</f>
        <v>886641</v>
      </c>
      <c r="AX35" s="938">
        <f>SUM(AX4:AX34)</f>
        <v>902656</v>
      </c>
      <c r="AY35" s="939">
        <f>AG35</f>
        <v>2842422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0.94622062367970805</v>
      </c>
      <c r="V36" s="941">
        <f>V35/Z35</f>
        <v>0</v>
      </c>
      <c r="W36" s="941">
        <f>W35/Z35</f>
        <v>3.2194540969794988E-2</v>
      </c>
      <c r="X36" s="941">
        <f>X35/Z35</f>
        <v>2.0885566988217329E-2</v>
      </c>
      <c r="Y36" s="941">
        <f>Y35/Z35</f>
        <v>6.9926836227966001E-4</v>
      </c>
      <c r="Z36" s="942">
        <f>SUM(U37,Z35)</f>
        <v>886641</v>
      </c>
      <c r="AA36" s="941">
        <f>AA35/AF35</f>
        <v>0.95212905026942707</v>
      </c>
      <c r="AB36" s="941">
        <f>AB35/AF35</f>
        <v>0</v>
      </c>
      <c r="AC36" s="941">
        <f>AC35/AF35</f>
        <v>3.1154725609756097E-2</v>
      </c>
      <c r="AD36" s="941">
        <f>AD35/AF35</f>
        <v>1.6716224120816789E-2</v>
      </c>
      <c r="AE36" s="941">
        <f>AE35/AF35</f>
        <v>0</v>
      </c>
      <c r="AF36" s="943">
        <f>SUM(AA35:AE35)/AF35</f>
        <v>1</v>
      </c>
      <c r="AG36" s="944">
        <f>SUM(AG35,U37)</f>
        <v>2842422</v>
      </c>
      <c r="AH36" s="945">
        <f>AH35/$AG$35</f>
        <v>13.891647334561863</v>
      </c>
      <c r="AI36" s="946" t="e">
        <f>AI34/$D$36</f>
        <v>#DIV/0!</v>
      </c>
      <c r="AJ36" s="943">
        <f>AJ35/$AG$35</f>
        <v>2.5387950839108337</v>
      </c>
      <c r="AK36" s="943">
        <f>AK35/$AG$35</f>
        <v>0.48301378190852728</v>
      </c>
      <c r="AL36" s="947">
        <f>AL35/$AG$35</f>
        <v>0.19693908926964399</v>
      </c>
      <c r="AM36" s="1376" t="s">
        <v>16212</v>
      </c>
      <c r="AN36" s="1377"/>
      <c r="AO36" s="1108"/>
      <c r="AP36" s="1146" t="s">
        <v>15374</v>
      </c>
      <c r="AQ36" s="1147">
        <f>AK53</f>
        <v>0.97841516464950307</v>
      </c>
      <c r="AR36" s="1148">
        <f>AK54</f>
        <v>0.94622062367970805</v>
      </c>
      <c r="AS36" s="1149">
        <f>S35/(Z36-AM37)</f>
        <v>3.5301800980213342E-2</v>
      </c>
      <c r="AT36" s="1353" t="s">
        <v>16164</v>
      </c>
      <c r="AU36" s="1354">
        <f>AT35/28</f>
        <v>0.43697478991596633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52155.352941176468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206789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3.5301800980213342E-2</v>
      </c>
    </row>
    <row r="39" spans="1:51" ht="21.75" customHeight="1">
      <c r="AS39" s="1443" t="s">
        <v>275</v>
      </c>
      <c r="AT39" s="1444">
        <f>AT35</f>
        <v>12.235294117647058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0.43697478991596633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2">T5</f>
        <v>46175</v>
      </c>
      <c r="U42" s="841">
        <f>_xlfn.XLOOKUP(T42,退現!$N:$N,退現!$O:$O,0)</f>
        <v>14154</v>
      </c>
      <c r="V42" s="842"/>
      <c r="W42" s="843">
        <f t="shared" ref="W42:W68" si="23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2"/>
        <v>46176</v>
      </c>
      <c r="U43" s="841">
        <f>_xlfn.XLOOKUP(T43,退現!$N:$N,退現!$O:$O,0)</f>
        <v>26392</v>
      </c>
      <c r="V43" s="842"/>
      <c r="W43" s="843">
        <f t="shared" si="23"/>
        <v>14383</v>
      </c>
      <c r="AF43" s="705" t="s">
        <v>567</v>
      </c>
      <c r="AG43" s="768">
        <f>U35</f>
        <v>838958</v>
      </c>
      <c r="AH43" s="769">
        <f>-AM35</f>
        <v>-207426</v>
      </c>
      <c r="AI43" s="769"/>
      <c r="AJ43" s="770">
        <f>SUM(AG43:AH43)</f>
        <v>631532</v>
      </c>
      <c r="AK43" s="771">
        <f>AJ43/AJ48</f>
        <v>0.92892570735983715</v>
      </c>
      <c r="AL43" s="772">
        <f>AG43/AG48</f>
        <v>0.94622062367970805</v>
      </c>
      <c r="AM43" s="773"/>
      <c r="AN43" s="773"/>
      <c r="AO43" s="773"/>
      <c r="AP43" s="773"/>
    </row>
    <row r="44" spans="1:51" ht="21.75" customHeight="1">
      <c r="S44" s="732"/>
      <c r="T44" s="1395">
        <f t="shared" si="22"/>
        <v>46177</v>
      </c>
      <c r="U44" s="841">
        <f>_xlfn.XLOOKUP(T44,退現!$N:$N,退現!$O:$O,0)</f>
        <v>19251</v>
      </c>
      <c r="V44" s="842"/>
      <c r="W44" s="843">
        <f t="shared" si="23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2"/>
        <v>46178</v>
      </c>
      <c r="U45" s="841">
        <f>_xlfn.XLOOKUP(T45,退現!$N:$N,退現!$O:$O,0)</f>
        <v>3138</v>
      </c>
      <c r="V45" s="842"/>
      <c r="W45" s="843">
        <f t="shared" si="23"/>
        <v>49896</v>
      </c>
      <c r="AF45" s="705" t="s">
        <v>569</v>
      </c>
      <c r="AG45" s="768">
        <f>W35</f>
        <v>28545</v>
      </c>
      <c r="AH45" s="769">
        <f>-AN35</f>
        <v>637</v>
      </c>
      <c r="AI45" s="769"/>
      <c r="AJ45" s="770">
        <f>SUM(AG45:AH45)</f>
        <v>29182</v>
      </c>
      <c r="AK45" s="771">
        <f>AJ45/AJ48</f>
        <v>4.2924048175191069E-2</v>
      </c>
      <c r="AL45" s="772">
        <f>AG45/AG48</f>
        <v>3.2194540969794988E-2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2"/>
        <v>46179</v>
      </c>
      <c r="U46" s="841">
        <f>_xlfn.XLOOKUP(T46,退現!$N:$N,退現!$O:$O,0)</f>
        <v>0</v>
      </c>
      <c r="V46" s="842"/>
      <c r="W46" s="843">
        <f t="shared" si="23"/>
        <v>37658</v>
      </c>
      <c r="AF46" s="705" t="s">
        <v>570</v>
      </c>
      <c r="AG46" s="768">
        <f>X35</f>
        <v>18518</v>
      </c>
      <c r="AH46" s="769">
        <v>0</v>
      </c>
      <c r="AI46" s="769"/>
      <c r="AJ46" s="770">
        <f>SUM(AG46:AH46)</f>
        <v>18518</v>
      </c>
      <c r="AK46" s="771">
        <f>AJ46/AJ48</f>
        <v>2.7238281272982945E-2</v>
      </c>
      <c r="AL46" s="772">
        <f>AG46/AG48</f>
        <v>2.0885566988217329E-2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2"/>
        <v>46180</v>
      </c>
      <c r="U47" s="841">
        <f>_xlfn.XLOOKUP(T47,退現!$N:$N,退現!$O:$O,0)</f>
        <v>0</v>
      </c>
      <c r="V47" s="842"/>
      <c r="W47" s="843">
        <f t="shared" si="23"/>
        <v>44014</v>
      </c>
      <c r="AF47" s="705" t="s">
        <v>571</v>
      </c>
      <c r="AG47" s="768">
        <f>Y35</f>
        <v>620</v>
      </c>
      <c r="AH47" s="769">
        <v>0</v>
      </c>
      <c r="AI47" s="769"/>
      <c r="AJ47" s="770">
        <f>SUM(AG47:AH47)</f>
        <v>620</v>
      </c>
      <c r="AK47" s="771">
        <f>AJ47/AJ48</f>
        <v>9.1196319198884465E-4</v>
      </c>
      <c r="AL47" s="772">
        <f>AG47/AG48</f>
        <v>6.9926836227966001E-4</v>
      </c>
      <c r="AM47" s="773"/>
      <c r="AN47" s="773"/>
      <c r="AO47" s="773"/>
      <c r="AP47" s="773"/>
    </row>
    <row r="48" spans="1:51" ht="21.75" customHeight="1">
      <c r="S48" s="732"/>
      <c r="T48" s="1395">
        <f t="shared" si="22"/>
        <v>46181</v>
      </c>
      <c r="U48" s="841">
        <f>_xlfn.XLOOKUP(T48,退現!$N:$N,退現!$O:$O,0)</f>
        <v>17206</v>
      </c>
      <c r="V48" s="842"/>
      <c r="W48" s="843">
        <f t="shared" si="23"/>
        <v>25420</v>
      </c>
      <c r="AF48" s="705" t="s">
        <v>572</v>
      </c>
      <c r="AG48" s="768">
        <f>SUM(AG43:AG47)</f>
        <v>886641</v>
      </c>
      <c r="AH48" s="769">
        <f>SUM(AH43:AH47)</f>
        <v>-206789</v>
      </c>
      <c r="AI48" s="769"/>
      <c r="AJ48" s="770">
        <f>SUM(AJ43:AJ47)</f>
        <v>679852</v>
      </c>
      <c r="AK48" s="771">
        <f>SUM(AK43:AK47)</f>
        <v>0.99999999999999989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2"/>
        <v>46182</v>
      </c>
      <c r="U49" s="841">
        <f>_xlfn.XLOOKUP(T49,退現!$N:$N,退現!$O:$O,0)</f>
        <v>0</v>
      </c>
      <c r="V49" s="22"/>
      <c r="W49" s="843">
        <f t="shared" si="23"/>
        <v>2787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2"/>
        <v>46183</v>
      </c>
      <c r="U50" s="841">
        <f>_xlfn.XLOOKUP(T50,退現!$N:$N,退現!$O:$O,0)</f>
        <v>9729</v>
      </c>
      <c r="V50" s="22"/>
      <c r="W50" s="843">
        <f t="shared" si="23"/>
        <v>-9663</v>
      </c>
      <c r="AF50" s="708"/>
      <c r="AG50" s="709"/>
      <c r="AH50" s="1521" t="s">
        <v>573</v>
      </c>
      <c r="AI50" s="710"/>
      <c r="AJ50" s="711" t="s">
        <v>574</v>
      </c>
      <c r="AK50" s="712">
        <f>SUM(AK43:AK45)</f>
        <v>0.97184975553502817</v>
      </c>
      <c r="AL50" s="713">
        <f>AK50-AK53</f>
        <v>-6.5654091144748961E-3</v>
      </c>
      <c r="AM50" s="714">
        <v>0.98</v>
      </c>
      <c r="AN50" s="1523" t="s">
        <v>575</v>
      </c>
      <c r="AO50" s="1106"/>
      <c r="AP50" s="713"/>
    </row>
    <row r="51" spans="19:42" ht="21.75" customHeight="1" thickBot="1">
      <c r="S51" s="733"/>
      <c r="T51" s="1395">
        <f t="shared" si="22"/>
        <v>46184</v>
      </c>
      <c r="U51" s="841">
        <f>_xlfn.XLOOKUP(T51,退現!$N:$N,退現!$O:$O,0)</f>
        <v>774</v>
      </c>
      <c r="V51" s="22"/>
      <c r="W51" s="843">
        <f t="shared" si="23"/>
        <v>85163</v>
      </c>
      <c r="AF51" s="708"/>
      <c r="AG51" s="715"/>
      <c r="AH51" s="1522"/>
      <c r="AI51" s="716"/>
      <c r="AJ51" s="717" t="s">
        <v>576</v>
      </c>
      <c r="AK51" s="712">
        <f>SUM(AK43+AK44)</f>
        <v>0.92892570735983715</v>
      </c>
      <c r="AL51" s="713">
        <f>AK51-AK54</f>
        <v>-1.7294916319870901E-2</v>
      </c>
      <c r="AM51" s="718">
        <v>0.93400000000000005</v>
      </c>
      <c r="AN51" s="1524"/>
      <c r="AO51" s="1106"/>
      <c r="AP51" s="713"/>
    </row>
    <row r="52" spans="19:42" ht="21.75" customHeight="1" thickBot="1">
      <c r="S52" s="730"/>
      <c r="T52" s="1395">
        <f t="shared" si="22"/>
        <v>46185</v>
      </c>
      <c r="U52" s="841">
        <f>_xlfn.XLOOKUP(T52,退現!$N:$N,退現!$O:$O,0)</f>
        <v>4537</v>
      </c>
      <c r="V52" s="22"/>
      <c r="W52" s="843">
        <f t="shared" si="23"/>
        <v>82716</v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2"/>
        <v>46186</v>
      </c>
      <c r="U53" s="841">
        <f>_xlfn.XLOOKUP(T53,退現!$N:$N,退現!$O:$O,0)</f>
        <v>0</v>
      </c>
      <c r="V53" s="22"/>
      <c r="W53" s="843">
        <f t="shared" si="23"/>
        <v>51945</v>
      </c>
      <c r="AH53" s="1525" t="s">
        <v>577</v>
      </c>
      <c r="AI53" s="720"/>
      <c r="AJ53" s="721" t="s">
        <v>578</v>
      </c>
      <c r="AK53" s="722">
        <f>SUM(AL43:AL45)</f>
        <v>0.97841516464950307</v>
      </c>
      <c r="AL53" s="713">
        <f>AK53-AM53</f>
        <v>2.4151646495030876E-3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2"/>
        <v>46187</v>
      </c>
      <c r="U54" s="841">
        <f>_xlfn.XLOOKUP(T54,退現!$N:$N,退現!$O:$O,0)</f>
        <v>0</v>
      </c>
      <c r="V54" s="22"/>
      <c r="W54" s="843">
        <f t="shared" si="23"/>
        <v>48826</v>
      </c>
      <c r="AH54" s="1526"/>
      <c r="AI54" s="725"/>
      <c r="AJ54" s="726" t="s">
        <v>580</v>
      </c>
      <c r="AK54" s="722">
        <f>SUM(AL43+AL44)</f>
        <v>0.94622062367970805</v>
      </c>
      <c r="AL54" s="713">
        <f>AK54-AM54</f>
        <v>3.0220623679708014E-2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2"/>
        <v>46188</v>
      </c>
      <c r="U55" s="841">
        <f>_xlfn.XLOOKUP(T55,退現!$N:$N,退現!$O:$O,0)</f>
        <v>5256</v>
      </c>
      <c r="V55" s="22"/>
      <c r="W55" s="843">
        <f t="shared" si="23"/>
        <v>46752</v>
      </c>
      <c r="AP55" s="704"/>
    </row>
    <row r="56" spans="19:42" ht="21.75" customHeight="1">
      <c r="S56" s="730"/>
      <c r="T56" s="1395">
        <f t="shared" si="22"/>
        <v>46189</v>
      </c>
      <c r="U56" s="841">
        <f>_xlfn.XLOOKUP(T56,退現!$N:$N,退現!$O:$O,0)</f>
        <v>720</v>
      </c>
      <c r="V56" s="22"/>
      <c r="W56" s="843">
        <f t="shared" si="23"/>
        <v>46965</v>
      </c>
      <c r="AP56" s="704"/>
    </row>
    <row r="57" spans="19:42" ht="21.75" customHeight="1">
      <c r="S57" s="730"/>
      <c r="T57" s="1395">
        <f t="shared" si="22"/>
        <v>46190</v>
      </c>
      <c r="U57" s="841">
        <f>_xlfn.XLOOKUP(T57,退現!$N:$N,退現!$O:$O,0)</f>
        <v>26737</v>
      </c>
      <c r="V57" s="22"/>
      <c r="W57" s="843">
        <f t="shared" si="23"/>
        <v>19245</v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2"/>
        <v>46191</v>
      </c>
      <c r="U58" s="841">
        <f>_xlfn.XLOOKUP(T58,退現!$N:$N,退現!$O:$O,0)</f>
        <v>0</v>
      </c>
      <c r="V58" s="22"/>
      <c r="W58" s="843" t="str">
        <f t="shared" si="23"/>
        <v/>
      </c>
      <c r="AF58" s="775" t="s">
        <v>583</v>
      </c>
      <c r="AG58" s="776">
        <f>Z35</f>
        <v>886641</v>
      </c>
      <c r="AP58" s="704"/>
    </row>
    <row r="59" spans="19:42" ht="21.75" customHeight="1">
      <c r="S59" s="730"/>
      <c r="T59" s="1395">
        <f t="shared" si="22"/>
        <v>46192</v>
      </c>
      <c r="U59" s="841">
        <f>_xlfn.XLOOKUP(T59,退現!$N:$N,退現!$O:$O,0)</f>
        <v>0</v>
      </c>
      <c r="V59" s="22"/>
      <c r="W59" s="843" t="str">
        <f t="shared" si="23"/>
        <v/>
      </c>
      <c r="AF59" s="775" t="s">
        <v>584</v>
      </c>
      <c r="AG59" s="777">
        <f>AF35</f>
        <v>902656</v>
      </c>
      <c r="AP59" s="704"/>
    </row>
    <row r="60" spans="19:42" ht="21.75" customHeight="1">
      <c r="S60" s="730"/>
      <c r="T60" s="1395">
        <f t="shared" si="22"/>
        <v>46193</v>
      </c>
      <c r="U60" s="841">
        <f>_xlfn.XLOOKUP(T60,退現!$N:$N,退現!$O:$O,0)</f>
        <v>0</v>
      </c>
      <c r="V60" s="22"/>
      <c r="W60" s="843" t="str">
        <f t="shared" si="23"/>
        <v/>
      </c>
      <c r="AF60" s="775" t="s">
        <v>585</v>
      </c>
      <c r="AG60" s="777">
        <f>AG35</f>
        <v>2842422</v>
      </c>
      <c r="AP60" s="704"/>
    </row>
    <row r="61" spans="19:42" ht="21.75" customHeight="1">
      <c r="S61" s="730"/>
      <c r="T61" s="1395">
        <f t="shared" si="22"/>
        <v>46194</v>
      </c>
      <c r="U61" s="841">
        <f>_xlfn.XLOOKUP(T61,退現!$N:$N,退現!$O:$O,0)</f>
        <v>0</v>
      </c>
      <c r="V61" s="22"/>
      <c r="W61" s="843" t="str">
        <f t="shared" si="23"/>
        <v/>
      </c>
      <c r="AF61" s="775" t="s">
        <v>586</v>
      </c>
      <c r="AG61" s="778">
        <f>AM37</f>
        <v>206789</v>
      </c>
      <c r="AP61" s="704"/>
    </row>
    <row r="62" spans="19:42" ht="21.75" customHeight="1">
      <c r="S62" s="730"/>
      <c r="T62" s="1395">
        <f t="shared" si="22"/>
        <v>46195</v>
      </c>
      <c r="U62" s="841">
        <f>_xlfn.XLOOKUP(T62,退現!$N:$N,退現!$O:$O,0)</f>
        <v>0</v>
      </c>
      <c r="V62" s="22"/>
      <c r="W62" s="843" t="str">
        <f t="shared" si="23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2"/>
        <v>46196</v>
      </c>
      <c r="U63" s="841">
        <f>_xlfn.XLOOKUP(T63,退現!$N:$N,退現!$O:$O,0)</f>
        <v>0</v>
      </c>
      <c r="V63" s="22"/>
      <c r="W63" s="843" t="str">
        <f t="shared" si="23"/>
        <v/>
      </c>
      <c r="AF63" s="779" t="s">
        <v>588</v>
      </c>
      <c r="AG63" s="780"/>
      <c r="AP63" s="704"/>
    </row>
    <row r="64" spans="19:42" ht="21.75" customHeight="1">
      <c r="T64" s="1395">
        <f t="shared" si="22"/>
        <v>46197</v>
      </c>
      <c r="U64" s="841">
        <f>_xlfn.XLOOKUP(T64,退現!$N:$N,退現!$O:$O,0)</f>
        <v>0</v>
      </c>
      <c r="V64" s="22"/>
      <c r="W64" s="843" t="str">
        <f t="shared" si="23"/>
        <v/>
      </c>
    </row>
    <row r="65" spans="20:23" ht="21.75" customHeight="1">
      <c r="T65" s="1395">
        <f t="shared" si="22"/>
        <v>46198</v>
      </c>
      <c r="U65" s="841">
        <f>_xlfn.XLOOKUP(T65,退現!$N:$N,退現!$O:$O,0)</f>
        <v>0</v>
      </c>
      <c r="V65" s="22"/>
      <c r="W65" s="843" t="str">
        <f t="shared" si="23"/>
        <v/>
      </c>
    </row>
    <row r="66" spans="20:23" ht="21.75" customHeight="1">
      <c r="T66" s="1395">
        <f t="shared" si="22"/>
        <v>46199</v>
      </c>
      <c r="U66" s="841">
        <f>_xlfn.XLOOKUP(T66,退現!$N:$N,退現!$O:$O,0)</f>
        <v>0</v>
      </c>
      <c r="V66" s="22"/>
      <c r="W66" s="843" t="str">
        <f t="shared" si="23"/>
        <v/>
      </c>
    </row>
    <row r="67" spans="20:23" ht="21.75" customHeight="1">
      <c r="T67" s="1395">
        <f t="shared" si="22"/>
        <v>46200</v>
      </c>
      <c r="U67" s="841">
        <f>_xlfn.XLOOKUP(T67,退現!$N:$N,退現!$O:$O,0)</f>
        <v>0</v>
      </c>
      <c r="V67" s="22"/>
      <c r="W67" s="843" t="str">
        <f t="shared" si="23"/>
        <v/>
      </c>
    </row>
    <row r="68" spans="20:23" ht="21.75" customHeight="1">
      <c r="T68" s="1395">
        <f t="shared" si="22"/>
        <v>46201</v>
      </c>
      <c r="U68" s="841">
        <f>_xlfn.XLOOKUP(T68,退現!$N:$N,退現!$O:$O,0)</f>
        <v>0</v>
      </c>
      <c r="V68" s="22"/>
      <c r="W68" s="843" t="str">
        <f t="shared" si="23"/>
        <v/>
      </c>
    </row>
    <row r="69" spans="20:23" ht="21.75" customHeight="1">
      <c r="T69" s="1395">
        <f t="shared" si="22"/>
        <v>46202</v>
      </c>
      <c r="U69" s="841">
        <f>_xlfn.XLOOKUP(T69,退現!$N:$N,退現!$O:$O,0)</f>
        <v>0</v>
      </c>
      <c r="V69" s="22"/>
      <c r="W69" s="843" t="str">
        <f t="shared" ref="W69:W71" si="24">(IF(Z32="","",(Z32-(AM32+AN32))))</f>
        <v/>
      </c>
    </row>
    <row r="70" spans="20:23" ht="21.75" customHeight="1">
      <c r="T70" s="1395">
        <f t="shared" si="22"/>
        <v>46203</v>
      </c>
      <c r="U70" s="841">
        <f>_xlfn.XLOOKUP(T70,退現!$N:$N,退現!$O:$O,0)</f>
        <v>0</v>
      </c>
      <c r="V70" s="22"/>
      <c r="W70" s="843" t="str">
        <f t="shared" si="24"/>
        <v/>
      </c>
    </row>
    <row r="71" spans="20:23" ht="21.75" customHeight="1">
      <c r="T71" s="1395">
        <f t="shared" si="22"/>
        <v>46204</v>
      </c>
      <c r="U71" s="841">
        <f>_xlfn.XLOOKUP(T71,退現!$N:$N,退現!$O:$O,0)</f>
        <v>0</v>
      </c>
      <c r="V71" s="22"/>
      <c r="W71" s="843" t="str">
        <f t="shared" si="24"/>
        <v/>
      </c>
    </row>
    <row r="73" spans="20:23" ht="21.75" customHeight="1">
      <c r="T73" s="781" t="s">
        <v>589</v>
      </c>
      <c r="U73" s="782">
        <f>SUM(U41:U71)</f>
        <v>153133</v>
      </c>
      <c r="V73" s="783"/>
      <c r="W73" s="782">
        <f>SUM(W41:W71)</f>
        <v>679852</v>
      </c>
    </row>
    <row r="74" spans="20:23" ht="21.75" customHeight="1">
      <c r="T74" s="784" t="s">
        <v>590</v>
      </c>
      <c r="U74" s="785">
        <f>AVERAGE(U41:U71)</f>
        <v>4939.7741935483873</v>
      </c>
      <c r="V74" s="786"/>
      <c r="W74" s="787">
        <f>AVERAGE(W41:W71)</f>
        <v>39991.294117647056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P14" activePane="bottomRight" state="frozen"/>
      <selection pane="topRight" activeCell="I1" sqref="I1"/>
      <selection pane="bottomLeft" activeCell="A14" sqref="A14"/>
      <selection pane="bottomRight" activeCell="BD27" sqref="BD27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6" t="s">
        <v>253</v>
      </c>
      <c r="AA4" s="545" t="s">
        <v>232</v>
      </c>
      <c r="AB4" s="542"/>
      <c r="AC4" s="542"/>
      <c r="AD4" s="542"/>
      <c r="AE4" s="542"/>
      <c r="AF4" s="546" t="s">
        <v>254</v>
      </c>
      <c r="AG4" s="545" t="s">
        <v>243</v>
      </c>
      <c r="AH4" s="545" t="s">
        <v>241</v>
      </c>
      <c r="AI4" s="542"/>
      <c r="AJ4" s="542"/>
      <c r="AK4" s="546" t="s">
        <v>16052</v>
      </c>
      <c r="AL4" s="545" t="s">
        <v>236</v>
      </c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7" t="s">
        <v>255</v>
      </c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2"/>
      <c r="H5" s="545" t="s">
        <v>218</v>
      </c>
      <c r="I5" s="545" t="s">
        <v>219</v>
      </c>
      <c r="J5" s="545" t="s">
        <v>220</v>
      </c>
      <c r="K5" s="545" t="s">
        <v>221</v>
      </c>
      <c r="L5" s="545" t="s">
        <v>222</v>
      </c>
      <c r="M5" s="542"/>
      <c r="N5" s="545" t="s">
        <v>223</v>
      </c>
      <c r="O5" s="545" t="s">
        <v>224</v>
      </c>
      <c r="P5" s="542"/>
      <c r="Q5" s="545" t="s">
        <v>225</v>
      </c>
      <c r="R5" s="542"/>
      <c r="S5" s="545" t="s">
        <v>226</v>
      </c>
      <c r="T5" s="545" t="s">
        <v>227</v>
      </c>
      <c r="U5" s="542"/>
      <c r="V5" s="545" t="s">
        <v>228</v>
      </c>
      <c r="W5" s="542"/>
      <c r="X5" s="545" t="s">
        <v>229</v>
      </c>
      <c r="Y5" s="545" t="s">
        <v>230</v>
      </c>
      <c r="Z5" s="548"/>
      <c r="AA5" s="545" t="s">
        <v>231</v>
      </c>
      <c r="AB5" s="545" t="s">
        <v>233</v>
      </c>
      <c r="AC5" s="542"/>
      <c r="AD5" s="542"/>
      <c r="AE5" s="545" t="s">
        <v>234</v>
      </c>
      <c r="AF5" s="548"/>
      <c r="AG5" s="544"/>
      <c r="AH5" s="545" t="s">
        <v>240</v>
      </c>
      <c r="AI5" s="542"/>
      <c r="AJ5" s="545" t="s">
        <v>242</v>
      </c>
      <c r="AK5" s="548"/>
      <c r="AL5" s="545" t="s">
        <v>235</v>
      </c>
      <c r="AM5" s="542"/>
      <c r="AN5" s="545" t="s">
        <v>237</v>
      </c>
      <c r="AO5" s="542"/>
      <c r="AP5" s="542"/>
      <c r="AQ5" s="545" t="s">
        <v>238</v>
      </c>
      <c r="AR5" s="542"/>
      <c r="AS5" s="542"/>
      <c r="AT5" s="542"/>
      <c r="AU5" s="545" t="s">
        <v>239</v>
      </c>
      <c r="AV5" s="542"/>
      <c r="AW5" s="542"/>
      <c r="AX5" s="542"/>
      <c r="AY5" s="542"/>
      <c r="AZ5" s="542"/>
      <c r="BA5" s="545" t="s">
        <v>389</v>
      </c>
      <c r="BB5" s="542"/>
      <c r="BC5" s="545" t="s">
        <v>418</v>
      </c>
      <c r="BD5" s="549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17443</v>
      </c>
      <c r="H6" s="545" t="s">
        <v>17260</v>
      </c>
      <c r="I6" s="545" t="s">
        <v>16766</v>
      </c>
      <c r="J6" s="545" t="s">
        <v>640</v>
      </c>
      <c r="K6" s="545" t="s">
        <v>16787</v>
      </c>
      <c r="L6" s="545" t="s">
        <v>640</v>
      </c>
      <c r="M6" s="545" t="s">
        <v>17282</v>
      </c>
      <c r="N6" s="545" t="s">
        <v>640</v>
      </c>
      <c r="O6" s="545" t="s">
        <v>640</v>
      </c>
      <c r="P6" s="545" t="s">
        <v>17510</v>
      </c>
      <c r="Q6" s="545" t="s">
        <v>640</v>
      </c>
      <c r="R6" s="545" t="s">
        <v>17285</v>
      </c>
      <c r="S6" s="545" t="s">
        <v>640</v>
      </c>
      <c r="T6" s="545" t="s">
        <v>640</v>
      </c>
      <c r="U6" s="545" t="s">
        <v>17497</v>
      </c>
      <c r="V6" s="545" t="s">
        <v>640</v>
      </c>
      <c r="W6" s="545" t="s">
        <v>17446</v>
      </c>
      <c r="X6" s="545" t="s">
        <v>640</v>
      </c>
      <c r="Y6" s="545" t="s">
        <v>640</v>
      </c>
      <c r="Z6" s="548"/>
      <c r="AA6" s="545" t="s">
        <v>640</v>
      </c>
      <c r="AB6" s="545" t="s">
        <v>640</v>
      </c>
      <c r="AC6" s="545" t="s">
        <v>16796</v>
      </c>
      <c r="AD6" s="545" t="s">
        <v>17336</v>
      </c>
      <c r="AE6" s="545" t="s">
        <v>640</v>
      </c>
      <c r="AF6" s="548"/>
      <c r="AG6" s="544"/>
      <c r="AH6" s="545" t="s">
        <v>640</v>
      </c>
      <c r="AI6" s="545" t="s">
        <v>16801</v>
      </c>
      <c r="AJ6" s="545" t="s">
        <v>386</v>
      </c>
      <c r="AK6" s="548"/>
      <c r="AL6" s="545" t="s">
        <v>640</v>
      </c>
      <c r="AM6" s="545" t="s">
        <v>17287</v>
      </c>
      <c r="AN6" s="545" t="s">
        <v>640</v>
      </c>
      <c r="AO6" s="545" t="s">
        <v>17288</v>
      </c>
      <c r="AP6" s="545" t="s">
        <v>17502</v>
      </c>
      <c r="AQ6" s="545" t="s">
        <v>640</v>
      </c>
      <c r="AR6" s="545" t="s">
        <v>16763</v>
      </c>
      <c r="AS6" s="545" t="s">
        <v>16764</v>
      </c>
      <c r="AT6" s="545" t="s">
        <v>17499</v>
      </c>
      <c r="AU6" s="545" t="s">
        <v>640</v>
      </c>
      <c r="AV6" s="545" t="s">
        <v>16751</v>
      </c>
      <c r="AW6" s="545" t="s">
        <v>16818</v>
      </c>
      <c r="AX6" s="545" t="s">
        <v>17407</v>
      </c>
      <c r="AY6" s="545" t="s">
        <v>17412</v>
      </c>
      <c r="AZ6" s="545" t="s">
        <v>17490</v>
      </c>
      <c r="BA6" s="545" t="s">
        <v>16799</v>
      </c>
      <c r="BB6" s="545" t="s">
        <v>17403</v>
      </c>
      <c r="BC6" s="545" t="s">
        <v>17262</v>
      </c>
      <c r="BD6" s="549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474</v>
      </c>
      <c r="H7" s="545" t="s">
        <v>17335</v>
      </c>
      <c r="I7" s="545" t="s">
        <v>1472</v>
      </c>
      <c r="J7" s="544"/>
      <c r="K7" s="545" t="s">
        <v>624</v>
      </c>
      <c r="L7" s="544"/>
      <c r="M7" s="545" t="s">
        <v>17283</v>
      </c>
      <c r="N7" s="544"/>
      <c r="O7" s="544"/>
      <c r="P7" s="545" t="s">
        <v>8522</v>
      </c>
      <c r="Q7" s="544"/>
      <c r="R7" s="545" t="s">
        <v>17231</v>
      </c>
      <c r="S7" s="544"/>
      <c r="T7" s="544"/>
      <c r="U7" s="545" t="s">
        <v>8447</v>
      </c>
      <c r="V7" s="544"/>
      <c r="W7" s="545" t="s">
        <v>17447</v>
      </c>
      <c r="X7" s="544"/>
      <c r="Y7" s="544"/>
      <c r="Z7" s="548"/>
      <c r="AA7" s="544"/>
      <c r="AB7" s="544"/>
      <c r="AC7" s="545" t="s">
        <v>16740</v>
      </c>
      <c r="AD7" s="545" t="s">
        <v>16740</v>
      </c>
      <c r="AE7" s="544"/>
      <c r="AF7" s="548"/>
      <c r="AG7" s="544"/>
      <c r="AH7" s="544"/>
      <c r="AI7" s="545" t="s">
        <v>16121</v>
      </c>
      <c r="AJ7" s="544"/>
      <c r="AK7" s="548"/>
      <c r="AL7" s="544"/>
      <c r="AM7" s="545" t="s">
        <v>16740</v>
      </c>
      <c r="AN7" s="544"/>
      <c r="AO7" s="545" t="s">
        <v>16740</v>
      </c>
      <c r="AP7" s="545" t="s">
        <v>16740</v>
      </c>
      <c r="AQ7" s="544"/>
      <c r="AR7" s="545" t="s">
        <v>16740</v>
      </c>
      <c r="AS7" s="545" t="s">
        <v>16740</v>
      </c>
      <c r="AT7" s="545" t="s">
        <v>16740</v>
      </c>
      <c r="AU7" s="544"/>
      <c r="AV7" s="545" t="s">
        <v>16744</v>
      </c>
      <c r="AW7" s="545" t="s">
        <v>16819</v>
      </c>
      <c r="AX7" s="545" t="s">
        <v>420</v>
      </c>
      <c r="AY7" s="545" t="s">
        <v>16744</v>
      </c>
      <c r="AZ7" s="545" t="s">
        <v>17491</v>
      </c>
      <c r="BA7" s="545" t="s">
        <v>16740</v>
      </c>
      <c r="BB7" s="545" t="s">
        <v>16740</v>
      </c>
      <c r="BC7" s="545" t="s">
        <v>16740</v>
      </c>
      <c r="BD7" s="549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16817</v>
      </c>
      <c r="H8" s="545" t="s">
        <v>17276</v>
      </c>
      <c r="I8" s="545" t="s">
        <v>16217</v>
      </c>
      <c r="J8" s="544"/>
      <c r="K8" s="545" t="s">
        <v>16747</v>
      </c>
      <c r="L8" s="544"/>
      <c r="M8" s="545" t="s">
        <v>17284</v>
      </c>
      <c r="N8" s="544"/>
      <c r="O8" s="544"/>
      <c r="P8" s="545" t="s">
        <v>17515</v>
      </c>
      <c r="Q8" s="544"/>
      <c r="R8" s="545" t="s">
        <v>17286</v>
      </c>
      <c r="S8" s="544"/>
      <c r="T8" s="544"/>
      <c r="U8" s="545" t="s">
        <v>17498</v>
      </c>
      <c r="V8" s="544"/>
      <c r="W8" s="545" t="s">
        <v>17448</v>
      </c>
      <c r="X8" s="544"/>
      <c r="Y8" s="544"/>
      <c r="Z8" s="548"/>
      <c r="AA8" s="544"/>
      <c r="AB8" s="544"/>
      <c r="AC8" s="545" t="s">
        <v>16784</v>
      </c>
      <c r="AD8" s="545" t="s">
        <v>17289</v>
      </c>
      <c r="AE8" s="544"/>
      <c r="AF8" s="548"/>
      <c r="AG8" s="544"/>
      <c r="AH8" s="544"/>
      <c r="AI8" s="545" t="s">
        <v>16805</v>
      </c>
      <c r="AJ8" s="544"/>
      <c r="AK8" s="548"/>
      <c r="AL8" s="544"/>
      <c r="AM8" s="545" t="s">
        <v>17269</v>
      </c>
      <c r="AN8" s="544"/>
      <c r="AO8" s="545" t="s">
        <v>17289</v>
      </c>
      <c r="AP8" s="545" t="s">
        <v>17504</v>
      </c>
      <c r="AQ8" s="544"/>
      <c r="AR8" s="545" t="s">
        <v>16771</v>
      </c>
      <c r="AS8" s="545" t="s">
        <v>16771</v>
      </c>
      <c r="AT8" s="545" t="s">
        <v>17500</v>
      </c>
      <c r="AU8" s="544"/>
      <c r="AV8" s="545" t="s">
        <v>16754</v>
      </c>
      <c r="AW8" s="545" t="s">
        <v>16820</v>
      </c>
      <c r="AX8" s="545" t="s">
        <v>420</v>
      </c>
      <c r="AY8" s="545" t="s">
        <v>17414</v>
      </c>
      <c r="AZ8" s="545" t="s">
        <v>17492</v>
      </c>
      <c r="BA8" s="545" t="s">
        <v>16790</v>
      </c>
      <c r="BB8" s="545" t="s">
        <v>17269</v>
      </c>
      <c r="BC8" s="545" t="s">
        <v>17269</v>
      </c>
      <c r="BD8" s="549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600</v>
      </c>
      <c r="I9" s="545">
        <v>630</v>
      </c>
      <c r="J9" s="544"/>
      <c r="K9" s="545">
        <v>600</v>
      </c>
      <c r="L9" s="544"/>
      <c r="M9" s="545">
        <v>575</v>
      </c>
      <c r="N9" s="544"/>
      <c r="O9" s="544"/>
      <c r="P9" s="545">
        <v>550</v>
      </c>
      <c r="Q9" s="544"/>
      <c r="R9" s="545">
        <v>650</v>
      </c>
      <c r="S9" s="544"/>
      <c r="T9" s="544"/>
      <c r="U9" s="545">
        <v>600</v>
      </c>
      <c r="V9" s="544"/>
      <c r="W9" s="545">
        <v>550</v>
      </c>
      <c r="X9" s="544"/>
      <c r="Y9" s="544"/>
      <c r="Z9" s="548"/>
      <c r="AA9" s="544"/>
      <c r="AB9" s="544"/>
      <c r="AC9" s="545">
        <v>600</v>
      </c>
      <c r="AD9" s="545">
        <v>600</v>
      </c>
      <c r="AE9" s="544"/>
      <c r="AF9" s="548"/>
      <c r="AG9" s="544"/>
      <c r="AH9" s="544"/>
      <c r="AI9" s="545">
        <v>600</v>
      </c>
      <c r="AJ9" s="544"/>
      <c r="AK9" s="548"/>
      <c r="AL9" s="544"/>
      <c r="AM9" s="545">
        <v>700</v>
      </c>
      <c r="AN9" s="544"/>
      <c r="AO9" s="545">
        <v>700</v>
      </c>
      <c r="AP9" s="545">
        <v>700</v>
      </c>
      <c r="AQ9" s="544"/>
      <c r="AR9" s="545">
        <v>670</v>
      </c>
      <c r="AS9" s="545">
        <v>670</v>
      </c>
      <c r="AT9" s="545">
        <v>670</v>
      </c>
      <c r="AU9" s="544"/>
      <c r="AV9" s="545">
        <v>550</v>
      </c>
      <c r="AW9" s="545">
        <v>550</v>
      </c>
      <c r="AX9" s="545" t="s">
        <v>420</v>
      </c>
      <c r="AY9" s="545">
        <v>550</v>
      </c>
      <c r="AZ9" s="545">
        <v>650</v>
      </c>
      <c r="BA9" s="545">
        <v>700</v>
      </c>
      <c r="BB9" s="545">
        <v>700</v>
      </c>
      <c r="BC9" s="545">
        <v>700</v>
      </c>
      <c r="BD9" s="54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16144</v>
      </c>
      <c r="H10" s="545" t="s">
        <v>15907</v>
      </c>
      <c r="I10" s="545" t="s">
        <v>629</v>
      </c>
      <c r="J10" s="544"/>
      <c r="K10" s="545" t="s">
        <v>476</v>
      </c>
      <c r="L10" s="544"/>
      <c r="M10" s="545" t="s">
        <v>468</v>
      </c>
      <c r="N10" s="544"/>
      <c r="O10" s="544"/>
      <c r="P10" s="545" t="s">
        <v>628</v>
      </c>
      <c r="Q10" s="544"/>
      <c r="R10" s="545" t="s">
        <v>16749</v>
      </c>
      <c r="S10" s="544"/>
      <c r="T10" s="544"/>
      <c r="U10" s="545" t="s">
        <v>3222</v>
      </c>
      <c r="V10" s="544"/>
      <c r="W10" s="545" t="s">
        <v>16736</v>
      </c>
      <c r="X10" s="544"/>
      <c r="Y10" s="544"/>
      <c r="Z10" s="548"/>
      <c r="AA10" s="544"/>
      <c r="AB10" s="544"/>
      <c r="AC10" s="545" t="s">
        <v>1385</v>
      </c>
      <c r="AD10" s="545" t="s">
        <v>7798</v>
      </c>
      <c r="AE10" s="544"/>
      <c r="AF10" s="548"/>
      <c r="AG10" s="544"/>
      <c r="AH10" s="544"/>
      <c r="AI10" s="545" t="s">
        <v>487</v>
      </c>
      <c r="AJ10" s="544"/>
      <c r="AK10" s="548"/>
      <c r="AL10" s="544"/>
      <c r="AM10" s="545" t="s">
        <v>1032</v>
      </c>
      <c r="AN10" s="544"/>
      <c r="AO10" s="545" t="s">
        <v>957</v>
      </c>
      <c r="AP10" s="545" t="s">
        <v>654</v>
      </c>
      <c r="AQ10" s="544"/>
      <c r="AR10" s="545" t="s">
        <v>655</v>
      </c>
      <c r="AS10" s="545" t="s">
        <v>721</v>
      </c>
      <c r="AT10" s="545" t="s">
        <v>886</v>
      </c>
      <c r="AU10" s="544"/>
      <c r="AV10" s="545" t="s">
        <v>792</v>
      </c>
      <c r="AW10" s="545" t="s">
        <v>625</v>
      </c>
      <c r="AX10" s="545"/>
      <c r="AY10" s="545" t="s">
        <v>877</v>
      </c>
      <c r="AZ10" s="545" t="s">
        <v>17493</v>
      </c>
      <c r="BA10" s="545" t="s">
        <v>785</v>
      </c>
      <c r="BB10" s="545" t="s">
        <v>840</v>
      </c>
      <c r="BC10" s="545" t="s">
        <v>812</v>
      </c>
      <c r="BD10" s="549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/>
      <c r="I11" s="551">
        <v>1</v>
      </c>
      <c r="J11" s="551"/>
      <c r="K11" s="551">
        <v>0.99161992521367526</v>
      </c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2">
        <v>0.99629740918803422</v>
      </c>
      <c r="AA11" s="551"/>
      <c r="AB11" s="551"/>
      <c r="AC11" s="551"/>
      <c r="AD11" s="551"/>
      <c r="AE11" s="551"/>
      <c r="AF11" s="552"/>
      <c r="AG11" s="551"/>
      <c r="AH11" s="551"/>
      <c r="AI11" s="551"/>
      <c r="AJ11" s="551"/>
      <c r="AK11" s="552"/>
      <c r="AL11" s="551"/>
      <c r="AM11" s="551"/>
      <c r="AN11" s="551"/>
      <c r="AO11" s="551"/>
      <c r="AP11" s="551"/>
      <c r="AQ11" s="551"/>
      <c r="AR11" s="551">
        <v>1</v>
      </c>
      <c r="AS11" s="551">
        <v>1</v>
      </c>
      <c r="AT11" s="551"/>
      <c r="AU11" s="551"/>
      <c r="AV11" s="551"/>
      <c r="AW11" s="551"/>
      <c r="AX11" s="551"/>
      <c r="AY11" s="551"/>
      <c r="AZ11" s="551"/>
      <c r="BA11" s="551"/>
      <c r="BB11" s="551"/>
      <c r="BC11" s="551"/>
      <c r="BD11" s="553">
        <v>1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/>
      <c r="H12" s="629">
        <v>0.96911057692307689</v>
      </c>
      <c r="I12" s="629">
        <v>0.994140625</v>
      </c>
      <c r="J12" s="629"/>
      <c r="K12" s="629">
        <v>0.9849158653846154</v>
      </c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29"/>
      <c r="Y12" s="629"/>
      <c r="Z12" s="630">
        <v>0.98567791800213678</v>
      </c>
      <c r="AA12" s="629"/>
      <c r="AB12" s="629"/>
      <c r="AC12" s="629"/>
      <c r="AD12" s="629"/>
      <c r="AE12" s="629"/>
      <c r="AF12" s="630"/>
      <c r="AG12" s="629"/>
      <c r="AH12" s="629"/>
      <c r="AI12" s="629"/>
      <c r="AJ12" s="629"/>
      <c r="AK12" s="630"/>
      <c r="AL12" s="629"/>
      <c r="AM12" s="629"/>
      <c r="AN12" s="629"/>
      <c r="AO12" s="629"/>
      <c r="AP12" s="629"/>
      <c r="AQ12" s="629"/>
      <c r="AR12" s="629">
        <v>0.99922208867521367</v>
      </c>
      <c r="AS12" s="629">
        <v>0.9984708867521368</v>
      </c>
      <c r="AT12" s="629"/>
      <c r="AU12" s="629"/>
      <c r="AV12" s="629">
        <v>0.9926549145299145</v>
      </c>
      <c r="AW12" s="629"/>
      <c r="AX12" s="629"/>
      <c r="AY12" s="629"/>
      <c r="AZ12" s="629"/>
      <c r="BA12" s="629"/>
      <c r="BB12" s="629"/>
      <c r="BC12" s="629">
        <v>0.99670138888888893</v>
      </c>
      <c r="BD12" s="631">
        <v>0.9967623197115385</v>
      </c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/>
      <c r="H13" s="629">
        <v>0.98970352564102559</v>
      </c>
      <c r="I13" s="629">
        <v>0.99609375</v>
      </c>
      <c r="J13" s="629"/>
      <c r="K13" s="629">
        <v>0.99497195512820513</v>
      </c>
      <c r="L13" s="629"/>
      <c r="M13" s="629">
        <v>0.94759615384615381</v>
      </c>
      <c r="N13" s="629"/>
      <c r="O13" s="629"/>
      <c r="P13" s="629"/>
      <c r="Q13" s="629"/>
      <c r="R13" s="629">
        <v>0.99685496794871797</v>
      </c>
      <c r="S13" s="629"/>
      <c r="T13" s="629"/>
      <c r="U13" s="629"/>
      <c r="V13" s="629"/>
      <c r="W13" s="629"/>
      <c r="X13" s="629"/>
      <c r="Y13" s="629"/>
      <c r="Z13" s="630">
        <v>0.98708210915242167</v>
      </c>
      <c r="AA13" s="629"/>
      <c r="AB13" s="629"/>
      <c r="AC13" s="629"/>
      <c r="AD13" s="629"/>
      <c r="AE13" s="629"/>
      <c r="AF13" s="630"/>
      <c r="AG13" s="629"/>
      <c r="AH13" s="629"/>
      <c r="AI13" s="629"/>
      <c r="AJ13" s="629"/>
      <c r="AK13" s="630"/>
      <c r="AL13" s="629"/>
      <c r="AM13" s="629">
        <v>1</v>
      </c>
      <c r="AN13" s="629"/>
      <c r="AO13" s="629">
        <v>0.9868055555555556</v>
      </c>
      <c r="AP13" s="629"/>
      <c r="AQ13" s="629"/>
      <c r="AR13" s="629">
        <v>1</v>
      </c>
      <c r="AS13" s="629">
        <v>0.9984708867521368</v>
      </c>
      <c r="AT13" s="629"/>
      <c r="AU13" s="629"/>
      <c r="AV13" s="629">
        <v>0.98971688034188032</v>
      </c>
      <c r="AW13" s="629"/>
      <c r="AX13" s="629"/>
      <c r="AY13" s="629"/>
      <c r="AZ13" s="629"/>
      <c r="BA13" s="629"/>
      <c r="BB13" s="629"/>
      <c r="BC13" s="629">
        <v>0.99917534722222223</v>
      </c>
      <c r="BD13" s="631">
        <v>0.99569477831196573</v>
      </c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/>
      <c r="H14" s="629">
        <v>0.99656784188034186</v>
      </c>
      <c r="I14" s="629">
        <v>0.990234375</v>
      </c>
      <c r="J14" s="629"/>
      <c r="K14" s="629">
        <v>0.99497195512820513</v>
      </c>
      <c r="L14" s="629"/>
      <c r="M14" s="629">
        <v>0.96069711538461533</v>
      </c>
      <c r="N14" s="629"/>
      <c r="O14" s="629"/>
      <c r="P14" s="629"/>
      <c r="Q14" s="629"/>
      <c r="R14" s="629">
        <v>0.98427483974358976</v>
      </c>
      <c r="S14" s="629"/>
      <c r="T14" s="629"/>
      <c r="U14" s="629"/>
      <c r="V14" s="629"/>
      <c r="W14" s="629"/>
      <c r="X14" s="629"/>
      <c r="Y14" s="629"/>
      <c r="Z14" s="630">
        <v>0.98779102118945872</v>
      </c>
      <c r="AA14" s="629"/>
      <c r="AB14" s="629"/>
      <c r="AC14" s="629"/>
      <c r="AD14" s="629">
        <v>0.9934294871794872</v>
      </c>
      <c r="AE14" s="629"/>
      <c r="AF14" s="630">
        <v>0.9934294871794872</v>
      </c>
      <c r="AG14" s="629"/>
      <c r="AH14" s="629"/>
      <c r="AI14" s="629"/>
      <c r="AJ14" s="629"/>
      <c r="AK14" s="630"/>
      <c r="AL14" s="629"/>
      <c r="AM14" s="629">
        <v>1</v>
      </c>
      <c r="AN14" s="629"/>
      <c r="AO14" s="629">
        <v>0.99340277777777775</v>
      </c>
      <c r="AP14" s="629"/>
      <c r="AQ14" s="629"/>
      <c r="AR14" s="629">
        <v>1</v>
      </c>
      <c r="AS14" s="629">
        <v>0.9992354433760684</v>
      </c>
      <c r="AT14" s="629"/>
      <c r="AU14" s="629"/>
      <c r="AV14" s="629">
        <v>0.9926549145299145</v>
      </c>
      <c r="AW14" s="629"/>
      <c r="AX14" s="629"/>
      <c r="AY14" s="629"/>
      <c r="AZ14" s="629"/>
      <c r="BA14" s="629"/>
      <c r="BB14" s="629"/>
      <c r="BC14" s="629">
        <v>0.9868055555555556</v>
      </c>
      <c r="BD14" s="631">
        <v>0.99534978187321943</v>
      </c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/>
      <c r="H15" s="629">
        <v>0.99656784188034186</v>
      </c>
      <c r="I15" s="629">
        <v>1</v>
      </c>
      <c r="J15" s="629"/>
      <c r="K15" s="629">
        <v>0.98826789529914527</v>
      </c>
      <c r="L15" s="629"/>
      <c r="M15" s="629">
        <v>1</v>
      </c>
      <c r="N15" s="629"/>
      <c r="O15" s="629"/>
      <c r="P15" s="629"/>
      <c r="Q15" s="629"/>
      <c r="R15" s="629">
        <v>0.99056490384615381</v>
      </c>
      <c r="S15" s="629"/>
      <c r="T15" s="629"/>
      <c r="U15" s="629"/>
      <c r="V15" s="629"/>
      <c r="W15" s="629"/>
      <c r="X15" s="629"/>
      <c r="Y15" s="629"/>
      <c r="Z15" s="630">
        <v>0.99544549056267806</v>
      </c>
      <c r="AA15" s="629"/>
      <c r="AB15" s="629"/>
      <c r="AC15" s="629"/>
      <c r="AD15" s="629">
        <v>0.99507211538461537</v>
      </c>
      <c r="AE15" s="629"/>
      <c r="AF15" s="630">
        <v>0.99507211538461537</v>
      </c>
      <c r="AG15" s="629"/>
      <c r="AH15" s="629"/>
      <c r="AI15" s="629"/>
      <c r="AJ15" s="629"/>
      <c r="AK15" s="630"/>
      <c r="AL15" s="629"/>
      <c r="AM15" s="629">
        <v>0.99835069444444446</v>
      </c>
      <c r="AN15" s="629"/>
      <c r="AO15" s="629">
        <v>1</v>
      </c>
      <c r="AP15" s="629"/>
      <c r="AQ15" s="629"/>
      <c r="AR15" s="629">
        <v>0.99844417735042734</v>
      </c>
      <c r="AS15" s="629">
        <v>0.99770633012820509</v>
      </c>
      <c r="AT15" s="629"/>
      <c r="AU15" s="629"/>
      <c r="AV15" s="629">
        <v>0.99559294871794868</v>
      </c>
      <c r="AW15" s="629"/>
      <c r="AX15" s="629"/>
      <c r="AY15" s="629"/>
      <c r="AZ15" s="629"/>
      <c r="BA15" s="629"/>
      <c r="BB15" s="629"/>
      <c r="BC15" s="629">
        <v>1</v>
      </c>
      <c r="BD15" s="631">
        <v>0.99834902510683765</v>
      </c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/>
      <c r="H16" s="629">
        <v>0.99313568376068373</v>
      </c>
      <c r="I16" s="629">
        <v>0.998046875</v>
      </c>
      <c r="J16" s="629"/>
      <c r="K16" s="629">
        <v>0.99161992521367526</v>
      </c>
      <c r="L16" s="629"/>
      <c r="M16" s="629">
        <v>1</v>
      </c>
      <c r="N16" s="629"/>
      <c r="O16" s="629"/>
      <c r="P16" s="629"/>
      <c r="Q16" s="629"/>
      <c r="R16" s="629">
        <v>0.99213741987179482</v>
      </c>
      <c r="S16" s="629"/>
      <c r="T16" s="629"/>
      <c r="U16" s="629"/>
      <c r="V16" s="629"/>
      <c r="W16" s="629"/>
      <c r="X16" s="629"/>
      <c r="Y16" s="629"/>
      <c r="Z16" s="630">
        <v>0.99536870103276354</v>
      </c>
      <c r="AA16" s="629"/>
      <c r="AB16" s="629"/>
      <c r="AC16" s="629"/>
      <c r="AD16" s="629">
        <v>0.98685897435897441</v>
      </c>
      <c r="AE16" s="629"/>
      <c r="AF16" s="630">
        <v>0.98685897435897441</v>
      </c>
      <c r="AG16" s="629"/>
      <c r="AH16" s="629"/>
      <c r="AI16" s="629"/>
      <c r="AJ16" s="629"/>
      <c r="AK16" s="630"/>
      <c r="AL16" s="629"/>
      <c r="AM16" s="629">
        <v>0.99670138888888893</v>
      </c>
      <c r="AN16" s="629"/>
      <c r="AO16" s="629">
        <v>0.96783854166666672</v>
      </c>
      <c r="AP16" s="629"/>
      <c r="AQ16" s="629"/>
      <c r="AR16" s="629">
        <v>1</v>
      </c>
      <c r="AS16" s="629">
        <v>1</v>
      </c>
      <c r="AT16" s="629"/>
      <c r="AU16" s="629"/>
      <c r="AV16" s="629"/>
      <c r="AW16" s="629"/>
      <c r="AX16" s="629"/>
      <c r="AY16" s="629"/>
      <c r="AZ16" s="629"/>
      <c r="BA16" s="629"/>
      <c r="BB16" s="629">
        <v>1</v>
      </c>
      <c r="BC16" s="629">
        <v>1</v>
      </c>
      <c r="BD16" s="631">
        <v>0.99408998842592589</v>
      </c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/>
      <c r="H17" s="629">
        <v>0.99313568376068373</v>
      </c>
      <c r="I17" s="629">
        <v>1</v>
      </c>
      <c r="J17" s="629"/>
      <c r="K17" s="629">
        <v>0.99497195512820513</v>
      </c>
      <c r="L17" s="629"/>
      <c r="M17" s="629">
        <v>0.99563301282051286</v>
      </c>
      <c r="N17" s="629"/>
      <c r="O17" s="629"/>
      <c r="P17" s="629"/>
      <c r="Q17" s="629"/>
      <c r="R17" s="629">
        <v>0.98427483974358976</v>
      </c>
      <c r="S17" s="629"/>
      <c r="T17" s="629"/>
      <c r="U17" s="629"/>
      <c r="V17" s="629"/>
      <c r="W17" s="629"/>
      <c r="X17" s="629"/>
      <c r="Y17" s="629"/>
      <c r="Z17" s="630">
        <v>0.99421463230056972</v>
      </c>
      <c r="AA17" s="629"/>
      <c r="AB17" s="629"/>
      <c r="AC17" s="629"/>
      <c r="AD17" s="629">
        <v>0.98932291666666672</v>
      </c>
      <c r="AE17" s="629"/>
      <c r="AF17" s="630">
        <v>0.98932291666666672</v>
      </c>
      <c r="AG17" s="629"/>
      <c r="AH17" s="629"/>
      <c r="AI17" s="629"/>
      <c r="AJ17" s="629"/>
      <c r="AK17" s="630"/>
      <c r="AL17" s="629"/>
      <c r="AM17" s="629">
        <v>0.99422743055555551</v>
      </c>
      <c r="AN17" s="629"/>
      <c r="AO17" s="629">
        <v>0.98020833333333335</v>
      </c>
      <c r="AP17" s="629"/>
      <c r="AQ17" s="629"/>
      <c r="AR17" s="629">
        <v>1</v>
      </c>
      <c r="AS17" s="629">
        <v>1</v>
      </c>
      <c r="AT17" s="629"/>
      <c r="AU17" s="629"/>
      <c r="AV17" s="629"/>
      <c r="AW17" s="629"/>
      <c r="AX17" s="629"/>
      <c r="AY17" s="629"/>
      <c r="AZ17" s="629"/>
      <c r="BA17" s="629"/>
      <c r="BB17" s="629">
        <v>1</v>
      </c>
      <c r="BC17" s="629">
        <v>0.99175347222222221</v>
      </c>
      <c r="BD17" s="631">
        <v>0.99436487268518514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46181</v>
      </c>
      <c r="B18" s="629"/>
      <c r="C18" s="629"/>
      <c r="D18" s="629"/>
      <c r="E18" s="629"/>
      <c r="F18" s="629"/>
      <c r="G18" s="629">
        <v>1</v>
      </c>
      <c r="H18" s="629">
        <v>0.98970352564102559</v>
      </c>
      <c r="I18" s="629">
        <v>0.9921875</v>
      </c>
      <c r="J18" s="629"/>
      <c r="K18" s="629">
        <v>0.99329594017094014</v>
      </c>
      <c r="L18" s="629"/>
      <c r="M18" s="629">
        <v>0.96069711538461533</v>
      </c>
      <c r="N18" s="629"/>
      <c r="O18" s="629"/>
      <c r="P18" s="629"/>
      <c r="Q18" s="629"/>
      <c r="R18" s="629">
        <v>0.9889923878205128</v>
      </c>
      <c r="S18" s="629"/>
      <c r="T18" s="629"/>
      <c r="U18" s="629"/>
      <c r="V18" s="629"/>
      <c r="W18" s="629"/>
      <c r="X18" s="629"/>
      <c r="Y18" s="629"/>
      <c r="Z18" s="630">
        <v>0.98747941150284901</v>
      </c>
      <c r="AA18" s="629"/>
      <c r="AB18" s="629"/>
      <c r="AC18" s="629"/>
      <c r="AD18" s="629">
        <v>0.98685897435897441</v>
      </c>
      <c r="AE18" s="629"/>
      <c r="AF18" s="630">
        <v>0.98685897435897441</v>
      </c>
      <c r="AG18" s="629"/>
      <c r="AH18" s="629"/>
      <c r="AI18" s="629"/>
      <c r="AJ18" s="629"/>
      <c r="AK18" s="630"/>
      <c r="AL18" s="629"/>
      <c r="AM18" s="629">
        <v>0.99257812499999998</v>
      </c>
      <c r="AN18" s="629"/>
      <c r="AO18" s="629">
        <v>0.99175347222222221</v>
      </c>
      <c r="AP18" s="629"/>
      <c r="AQ18" s="629"/>
      <c r="AR18" s="629">
        <v>1</v>
      </c>
      <c r="AS18" s="629">
        <v>0.9984708867521368</v>
      </c>
      <c r="AT18" s="629"/>
      <c r="AU18" s="629"/>
      <c r="AV18" s="629"/>
      <c r="AW18" s="629"/>
      <c r="AX18" s="629"/>
      <c r="AY18" s="629"/>
      <c r="AZ18" s="629"/>
      <c r="BA18" s="629"/>
      <c r="BB18" s="629">
        <v>0.98927951388888891</v>
      </c>
      <c r="BC18" s="629">
        <v>1</v>
      </c>
      <c r="BD18" s="631">
        <v>0.99534699964387452</v>
      </c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46182</v>
      </c>
      <c r="B19" s="629"/>
      <c r="C19" s="629"/>
      <c r="D19" s="629"/>
      <c r="E19" s="629"/>
      <c r="F19" s="629"/>
      <c r="G19" s="629">
        <v>0.98635149572649572</v>
      </c>
      <c r="H19" s="629"/>
      <c r="I19" s="629">
        <v>0.998046875</v>
      </c>
      <c r="J19" s="629"/>
      <c r="K19" s="629">
        <v>0.99664797008547013</v>
      </c>
      <c r="L19" s="629"/>
      <c r="M19" s="629">
        <v>1</v>
      </c>
      <c r="N19" s="629"/>
      <c r="O19" s="629"/>
      <c r="P19" s="629"/>
      <c r="Q19" s="629"/>
      <c r="R19" s="629">
        <v>0.97169471153846154</v>
      </c>
      <c r="S19" s="629"/>
      <c r="T19" s="629"/>
      <c r="U19" s="629"/>
      <c r="V19" s="629"/>
      <c r="W19" s="629">
        <v>0.99813701923076925</v>
      </c>
      <c r="X19" s="629"/>
      <c r="Y19" s="629"/>
      <c r="Z19" s="630">
        <v>0.99181301193019955</v>
      </c>
      <c r="AA19" s="629"/>
      <c r="AB19" s="629"/>
      <c r="AC19" s="629"/>
      <c r="AD19" s="629">
        <v>0.99753605769230769</v>
      </c>
      <c r="AE19" s="629"/>
      <c r="AF19" s="630">
        <v>0.99753605769230769</v>
      </c>
      <c r="AG19" s="629"/>
      <c r="AH19" s="629"/>
      <c r="AI19" s="629"/>
      <c r="AJ19" s="629"/>
      <c r="AK19" s="630"/>
      <c r="AL19" s="629"/>
      <c r="AM19" s="629">
        <v>0.99340277777777775</v>
      </c>
      <c r="AN19" s="629"/>
      <c r="AO19" s="629">
        <v>0.99257812499999998</v>
      </c>
      <c r="AP19" s="629"/>
      <c r="AQ19" s="629"/>
      <c r="AR19" s="629">
        <v>1</v>
      </c>
      <c r="AS19" s="629">
        <v>1</v>
      </c>
      <c r="AT19" s="629"/>
      <c r="AU19" s="629"/>
      <c r="AV19" s="629"/>
      <c r="AW19" s="629"/>
      <c r="AX19" s="629"/>
      <c r="AY19" s="629">
        <v>1</v>
      </c>
      <c r="AZ19" s="629"/>
      <c r="BA19" s="629"/>
      <c r="BB19" s="629">
        <v>0.99835069444444446</v>
      </c>
      <c r="BC19" s="629">
        <v>1</v>
      </c>
      <c r="BD19" s="631">
        <v>0.99776165674603168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46183</v>
      </c>
      <c r="B20" s="629"/>
      <c r="C20" s="629"/>
      <c r="D20" s="629"/>
      <c r="E20" s="629"/>
      <c r="F20" s="629"/>
      <c r="G20" s="629">
        <v>0.99317574786324792</v>
      </c>
      <c r="H20" s="629"/>
      <c r="I20" s="629">
        <v>0.994140625</v>
      </c>
      <c r="J20" s="629"/>
      <c r="K20" s="629">
        <v>0.99329594017094014</v>
      </c>
      <c r="L20" s="629"/>
      <c r="M20" s="629">
        <v>0.98253205128205123</v>
      </c>
      <c r="N20" s="629"/>
      <c r="O20" s="629"/>
      <c r="P20" s="629"/>
      <c r="Q20" s="629"/>
      <c r="R20" s="629">
        <v>0.99528245192307696</v>
      </c>
      <c r="S20" s="629"/>
      <c r="T20" s="629"/>
      <c r="U20" s="629"/>
      <c r="V20" s="629"/>
      <c r="W20" s="629">
        <v>0.99254807692307689</v>
      </c>
      <c r="X20" s="629"/>
      <c r="Y20" s="629"/>
      <c r="Z20" s="630">
        <v>0.99182914886039886</v>
      </c>
      <c r="AA20" s="629"/>
      <c r="AB20" s="629"/>
      <c r="AC20" s="629"/>
      <c r="AD20" s="629">
        <v>0.98932291666666672</v>
      </c>
      <c r="AE20" s="629"/>
      <c r="AF20" s="630">
        <v>0.98932291666666672</v>
      </c>
      <c r="AG20" s="629"/>
      <c r="AH20" s="629"/>
      <c r="AI20" s="629"/>
      <c r="AJ20" s="629"/>
      <c r="AK20" s="630"/>
      <c r="AL20" s="629"/>
      <c r="AM20" s="629">
        <v>0.99505208333333328</v>
      </c>
      <c r="AN20" s="629"/>
      <c r="AO20" s="629">
        <v>1</v>
      </c>
      <c r="AP20" s="629"/>
      <c r="AQ20" s="629"/>
      <c r="AR20" s="629">
        <v>1</v>
      </c>
      <c r="AS20" s="629"/>
      <c r="AT20" s="629"/>
      <c r="AU20" s="629"/>
      <c r="AV20" s="629"/>
      <c r="AW20" s="629"/>
      <c r="AX20" s="629"/>
      <c r="AY20" s="629">
        <v>0.9883547008547009</v>
      </c>
      <c r="AZ20" s="629"/>
      <c r="BA20" s="629"/>
      <c r="BB20" s="629">
        <v>0.99505208333333328</v>
      </c>
      <c r="BC20" s="629">
        <v>1</v>
      </c>
      <c r="BD20" s="631">
        <v>0.99640981125356121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46184</v>
      </c>
      <c r="B21" s="629"/>
      <c r="C21" s="629"/>
      <c r="D21" s="629"/>
      <c r="E21" s="629"/>
      <c r="F21" s="629"/>
      <c r="G21" s="629">
        <v>0.98976362179487176</v>
      </c>
      <c r="H21" s="629">
        <v>0.99313568376068373</v>
      </c>
      <c r="I21" s="629">
        <v>0.984375</v>
      </c>
      <c r="J21" s="629"/>
      <c r="K21" s="629">
        <v>0.99832398504273501</v>
      </c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>
        <v>0.99720552884615388</v>
      </c>
      <c r="X21" s="629"/>
      <c r="Y21" s="629"/>
      <c r="Z21" s="630">
        <v>0.99256076388888892</v>
      </c>
      <c r="AA21" s="629"/>
      <c r="AB21" s="629"/>
      <c r="AC21" s="629"/>
      <c r="AD21" s="629">
        <v>0.99096554487179489</v>
      </c>
      <c r="AE21" s="629"/>
      <c r="AF21" s="630">
        <v>0.99096554487179489</v>
      </c>
      <c r="AG21" s="629"/>
      <c r="AH21" s="629"/>
      <c r="AI21" s="629"/>
      <c r="AJ21" s="629"/>
      <c r="AK21" s="630"/>
      <c r="AL21" s="629"/>
      <c r="AM21" s="629">
        <v>0.99505208333333328</v>
      </c>
      <c r="AN21" s="629"/>
      <c r="AO21" s="629">
        <v>0.99505208333333328</v>
      </c>
      <c r="AP21" s="629"/>
      <c r="AQ21" s="629"/>
      <c r="AR21" s="629"/>
      <c r="AS21" s="629"/>
      <c r="AT21" s="629"/>
      <c r="AU21" s="629"/>
      <c r="AV21" s="629"/>
      <c r="AW21" s="629"/>
      <c r="AX21" s="629"/>
      <c r="AY21" s="629">
        <v>0.9949051816239316</v>
      </c>
      <c r="AZ21" s="629"/>
      <c r="BA21" s="629"/>
      <c r="BB21" s="629">
        <v>1</v>
      </c>
      <c r="BC21" s="629">
        <v>0.9975260416666667</v>
      </c>
      <c r="BD21" s="631">
        <v>0.99650707799145299</v>
      </c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46185</v>
      </c>
      <c r="B22" s="629"/>
      <c r="C22" s="629"/>
      <c r="D22" s="629"/>
      <c r="E22" s="629"/>
      <c r="F22" s="629"/>
      <c r="G22" s="629">
        <v>0.98293936965811968</v>
      </c>
      <c r="H22" s="629">
        <v>0.98283920940170943</v>
      </c>
      <c r="I22" s="629">
        <v>0.990234375</v>
      </c>
      <c r="J22" s="629"/>
      <c r="K22" s="629">
        <v>1</v>
      </c>
      <c r="L22" s="629"/>
      <c r="M22" s="629"/>
      <c r="N22" s="629"/>
      <c r="O22" s="629"/>
      <c r="P22" s="629"/>
      <c r="Q22" s="629"/>
      <c r="R22" s="629"/>
      <c r="S22" s="629"/>
      <c r="T22" s="629"/>
      <c r="U22" s="629"/>
      <c r="V22" s="629"/>
      <c r="W22" s="629">
        <v>0.98789062500000002</v>
      </c>
      <c r="X22" s="629"/>
      <c r="Y22" s="629"/>
      <c r="Z22" s="630">
        <v>0.9887807158119658</v>
      </c>
      <c r="AA22" s="629"/>
      <c r="AB22" s="629"/>
      <c r="AC22" s="629"/>
      <c r="AD22" s="629">
        <v>0.98768028846153844</v>
      </c>
      <c r="AE22" s="629"/>
      <c r="AF22" s="630">
        <v>0.98768028846153844</v>
      </c>
      <c r="AG22" s="629"/>
      <c r="AH22" s="629"/>
      <c r="AI22" s="629"/>
      <c r="AJ22" s="629"/>
      <c r="AK22" s="630"/>
      <c r="AL22" s="629"/>
      <c r="AM22" s="629">
        <v>0.99422743055555551</v>
      </c>
      <c r="AN22" s="629"/>
      <c r="AO22" s="629">
        <v>0.99257812499999998</v>
      </c>
      <c r="AP22" s="629"/>
      <c r="AQ22" s="629"/>
      <c r="AR22" s="629"/>
      <c r="AS22" s="629"/>
      <c r="AT22" s="629"/>
      <c r="AU22" s="629"/>
      <c r="AV22" s="629"/>
      <c r="AW22" s="629"/>
      <c r="AX22" s="629"/>
      <c r="AY22" s="629">
        <v>0.99126602564102562</v>
      </c>
      <c r="AZ22" s="629"/>
      <c r="BA22" s="629"/>
      <c r="BB22" s="629">
        <v>1</v>
      </c>
      <c r="BC22" s="629">
        <v>0.99175347222222221</v>
      </c>
      <c r="BD22" s="631">
        <v>0.99396501068376053</v>
      </c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46186</v>
      </c>
      <c r="B23" s="629"/>
      <c r="C23" s="629"/>
      <c r="D23" s="629"/>
      <c r="E23" s="629"/>
      <c r="F23" s="629"/>
      <c r="G23" s="629">
        <v>1</v>
      </c>
      <c r="H23" s="629">
        <v>1</v>
      </c>
      <c r="I23" s="629">
        <v>0.982421875</v>
      </c>
      <c r="J23" s="629"/>
      <c r="K23" s="629">
        <v>1</v>
      </c>
      <c r="L23" s="629"/>
      <c r="M23" s="629"/>
      <c r="N23" s="629"/>
      <c r="O23" s="629"/>
      <c r="P23" s="629"/>
      <c r="Q23" s="629"/>
      <c r="R23" s="629">
        <v>0.97960069444444442</v>
      </c>
      <c r="S23" s="629"/>
      <c r="T23" s="629"/>
      <c r="U23" s="629"/>
      <c r="V23" s="629"/>
      <c r="W23" s="629">
        <v>0.99813701923076925</v>
      </c>
      <c r="X23" s="629"/>
      <c r="Y23" s="629"/>
      <c r="Z23" s="630">
        <v>0.99335993144586909</v>
      </c>
      <c r="AA23" s="629"/>
      <c r="AB23" s="629"/>
      <c r="AC23" s="629"/>
      <c r="AD23" s="629">
        <v>0.98685897435897441</v>
      </c>
      <c r="AE23" s="629"/>
      <c r="AF23" s="630">
        <v>0.98685897435897441</v>
      </c>
      <c r="AG23" s="629"/>
      <c r="AH23" s="629"/>
      <c r="AI23" s="629"/>
      <c r="AJ23" s="629"/>
      <c r="AK23" s="630"/>
      <c r="AL23" s="629"/>
      <c r="AM23" s="629">
        <v>0.98185763888888888</v>
      </c>
      <c r="AN23" s="629"/>
      <c r="AO23" s="629">
        <v>0.99670138888888893</v>
      </c>
      <c r="AP23" s="629"/>
      <c r="AQ23" s="629"/>
      <c r="AR23" s="629"/>
      <c r="AS23" s="629"/>
      <c r="AT23" s="629"/>
      <c r="AU23" s="629"/>
      <c r="AV23" s="629"/>
      <c r="AW23" s="629"/>
      <c r="AX23" s="629"/>
      <c r="AY23" s="629">
        <v>0.98617120726495722</v>
      </c>
      <c r="AZ23" s="629"/>
      <c r="BA23" s="629"/>
      <c r="BB23" s="629">
        <v>0.99835069444444446</v>
      </c>
      <c r="BC23" s="629">
        <v>0.99175347222222221</v>
      </c>
      <c r="BD23" s="631">
        <v>0.9909668803418803</v>
      </c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46187</v>
      </c>
      <c r="B24" s="629"/>
      <c r="C24" s="629"/>
      <c r="D24" s="629"/>
      <c r="E24" s="629"/>
      <c r="F24" s="629"/>
      <c r="G24" s="629">
        <v>1</v>
      </c>
      <c r="H24" s="629">
        <v>0.98798744658119653</v>
      </c>
      <c r="I24" s="629">
        <v>0.98828125</v>
      </c>
      <c r="J24" s="629"/>
      <c r="K24" s="629">
        <v>0.99497195512820513</v>
      </c>
      <c r="L24" s="629"/>
      <c r="M24" s="629"/>
      <c r="N24" s="629"/>
      <c r="O24" s="629"/>
      <c r="P24" s="629"/>
      <c r="Q24" s="629"/>
      <c r="R24" s="629">
        <v>0.98744658119658124</v>
      </c>
      <c r="S24" s="629"/>
      <c r="T24" s="629"/>
      <c r="U24" s="629"/>
      <c r="V24" s="629"/>
      <c r="W24" s="629">
        <v>0.98137019230769229</v>
      </c>
      <c r="X24" s="629"/>
      <c r="Y24" s="629"/>
      <c r="Z24" s="630">
        <v>0.99000957086894592</v>
      </c>
      <c r="AA24" s="629"/>
      <c r="AB24" s="629"/>
      <c r="AC24" s="629"/>
      <c r="AD24" s="629">
        <v>0.98521634615384612</v>
      </c>
      <c r="AE24" s="629"/>
      <c r="AF24" s="630">
        <v>0.98521634615384612</v>
      </c>
      <c r="AG24" s="629"/>
      <c r="AH24" s="629"/>
      <c r="AI24" s="629"/>
      <c r="AJ24" s="629"/>
      <c r="AK24" s="630"/>
      <c r="AL24" s="629"/>
      <c r="AM24" s="629">
        <v>0.98927951388888891</v>
      </c>
      <c r="AN24" s="629"/>
      <c r="AO24" s="629">
        <v>0.93237847222222225</v>
      </c>
      <c r="AP24" s="629"/>
      <c r="AQ24" s="629"/>
      <c r="AR24" s="629"/>
      <c r="AS24" s="629"/>
      <c r="AT24" s="629"/>
      <c r="AU24" s="629"/>
      <c r="AV24" s="629"/>
      <c r="AW24" s="629"/>
      <c r="AX24" s="629"/>
      <c r="AY24" s="629">
        <v>0.9949051816239316</v>
      </c>
      <c r="AZ24" s="629"/>
      <c r="BA24" s="629"/>
      <c r="BB24" s="629">
        <v>0.99670138888888893</v>
      </c>
      <c r="BC24" s="629">
        <v>0.99835069444444446</v>
      </c>
      <c r="BD24" s="631">
        <v>0.98232305021367528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46188</v>
      </c>
      <c r="B25" s="629"/>
      <c r="C25" s="629"/>
      <c r="D25" s="629"/>
      <c r="E25" s="629"/>
      <c r="F25" s="629"/>
      <c r="G25" s="629">
        <v>0.99317574786324792</v>
      </c>
      <c r="H25" s="629">
        <v>0.99313568376068373</v>
      </c>
      <c r="I25" s="629">
        <v>0.990234375</v>
      </c>
      <c r="J25" s="629"/>
      <c r="K25" s="629">
        <v>1</v>
      </c>
      <c r="L25" s="629"/>
      <c r="M25" s="629"/>
      <c r="N25" s="629"/>
      <c r="O25" s="629"/>
      <c r="P25" s="629"/>
      <c r="Q25" s="629"/>
      <c r="R25" s="629">
        <v>0.99686164529914534</v>
      </c>
      <c r="S25" s="629"/>
      <c r="T25" s="629"/>
      <c r="U25" s="629"/>
      <c r="V25" s="629"/>
      <c r="W25" s="629">
        <v>0.99813701923076925</v>
      </c>
      <c r="X25" s="629"/>
      <c r="Y25" s="629"/>
      <c r="Z25" s="630">
        <v>0.99525741185897443</v>
      </c>
      <c r="AA25" s="629"/>
      <c r="AB25" s="629"/>
      <c r="AC25" s="629"/>
      <c r="AD25" s="629">
        <v>0.98193108974358978</v>
      </c>
      <c r="AE25" s="629"/>
      <c r="AF25" s="630">
        <v>0.98193108974358978</v>
      </c>
      <c r="AG25" s="629"/>
      <c r="AH25" s="629"/>
      <c r="AI25" s="629"/>
      <c r="AJ25" s="629"/>
      <c r="AK25" s="630"/>
      <c r="AL25" s="629"/>
      <c r="AM25" s="629">
        <v>0.99010416666666667</v>
      </c>
      <c r="AN25" s="629"/>
      <c r="AO25" s="629">
        <v>0.98268229166666665</v>
      </c>
      <c r="AP25" s="629"/>
      <c r="AQ25" s="629"/>
      <c r="AR25" s="629"/>
      <c r="AS25" s="629"/>
      <c r="AT25" s="629"/>
      <c r="AU25" s="629"/>
      <c r="AV25" s="629"/>
      <c r="AW25" s="629"/>
      <c r="AX25" s="629"/>
      <c r="AY25" s="629">
        <v>0.98617120726495722</v>
      </c>
      <c r="AZ25" s="629"/>
      <c r="BA25" s="629"/>
      <c r="BB25" s="629">
        <v>0.99917534722222223</v>
      </c>
      <c r="BC25" s="629">
        <v>0.99670138888888893</v>
      </c>
      <c r="BD25" s="631">
        <v>0.9909668803418803</v>
      </c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46189</v>
      </c>
      <c r="B26" s="629"/>
      <c r="C26" s="629"/>
      <c r="D26" s="629"/>
      <c r="E26" s="629"/>
      <c r="F26" s="629"/>
      <c r="G26" s="629">
        <v>0.99658787393162396</v>
      </c>
      <c r="H26" s="629">
        <v>0.98627136752136757</v>
      </c>
      <c r="I26" s="629">
        <v>0.9921875</v>
      </c>
      <c r="J26" s="629"/>
      <c r="K26" s="629"/>
      <c r="L26" s="629"/>
      <c r="M26" s="629"/>
      <c r="N26" s="629"/>
      <c r="O26" s="629"/>
      <c r="P26" s="629"/>
      <c r="Q26" s="629"/>
      <c r="R26" s="629">
        <v>0.99529246794871795</v>
      </c>
      <c r="S26" s="629"/>
      <c r="T26" s="629"/>
      <c r="U26" s="629"/>
      <c r="V26" s="629"/>
      <c r="W26" s="629">
        <v>0.99254807692307689</v>
      </c>
      <c r="X26" s="629"/>
      <c r="Y26" s="629"/>
      <c r="Z26" s="630">
        <v>0.99257745726495727</v>
      </c>
      <c r="AA26" s="629"/>
      <c r="AB26" s="629"/>
      <c r="AC26" s="629"/>
      <c r="AD26" s="629">
        <v>0.9934294871794872</v>
      </c>
      <c r="AE26" s="629"/>
      <c r="AF26" s="630">
        <v>0.9934294871794872</v>
      </c>
      <c r="AG26" s="629"/>
      <c r="AH26" s="629"/>
      <c r="AI26" s="629"/>
      <c r="AJ26" s="629"/>
      <c r="AK26" s="630"/>
      <c r="AL26" s="629"/>
      <c r="AM26" s="629">
        <v>1</v>
      </c>
      <c r="AN26" s="629"/>
      <c r="AO26" s="629"/>
      <c r="AP26" s="629"/>
      <c r="AQ26" s="629"/>
      <c r="AR26" s="629"/>
      <c r="AS26" s="629"/>
      <c r="AT26" s="629"/>
      <c r="AU26" s="629"/>
      <c r="AV26" s="629"/>
      <c r="AW26" s="629"/>
      <c r="AX26" s="629"/>
      <c r="AY26" s="629">
        <v>0.98471554487179491</v>
      </c>
      <c r="AZ26" s="629">
        <v>1</v>
      </c>
      <c r="BA26" s="629"/>
      <c r="BB26" s="629">
        <v>1</v>
      </c>
      <c r="BC26" s="629">
        <v>0.99010416666666667</v>
      </c>
      <c r="BD26" s="631">
        <v>0.99496394230769225</v>
      </c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46190</v>
      </c>
      <c r="B27" s="629"/>
      <c r="C27" s="629"/>
      <c r="D27" s="629"/>
      <c r="E27" s="629"/>
      <c r="F27" s="629"/>
      <c r="G27" s="629"/>
      <c r="H27" s="629">
        <v>0.99656784188034186</v>
      </c>
      <c r="I27" s="629"/>
      <c r="J27" s="629"/>
      <c r="K27" s="629"/>
      <c r="L27" s="629"/>
      <c r="M27" s="629"/>
      <c r="N27" s="629"/>
      <c r="O27" s="629"/>
      <c r="P27" s="629"/>
      <c r="Q27" s="629"/>
      <c r="R27" s="629">
        <v>0.97803151709401714</v>
      </c>
      <c r="S27" s="629"/>
      <c r="T27" s="629"/>
      <c r="U27" s="629"/>
      <c r="V27" s="629"/>
      <c r="W27" s="629">
        <v>0.9962740384615385</v>
      </c>
      <c r="X27" s="629"/>
      <c r="Y27" s="629"/>
      <c r="Z27" s="630">
        <v>0.99029113247863254</v>
      </c>
      <c r="AA27" s="629"/>
      <c r="AB27" s="629"/>
      <c r="AC27" s="629"/>
      <c r="AD27" s="629"/>
      <c r="AE27" s="629"/>
      <c r="AF27" s="630"/>
      <c r="AG27" s="629"/>
      <c r="AH27" s="629"/>
      <c r="AI27" s="629"/>
      <c r="AJ27" s="629"/>
      <c r="AK27" s="630"/>
      <c r="AL27" s="629"/>
      <c r="AM27" s="629">
        <v>1</v>
      </c>
      <c r="AN27" s="629"/>
      <c r="AO27" s="629"/>
      <c r="AP27" s="629"/>
      <c r="AQ27" s="629"/>
      <c r="AR27" s="629"/>
      <c r="AS27" s="629"/>
      <c r="AT27" s="629">
        <v>1</v>
      </c>
      <c r="AU27" s="629"/>
      <c r="AV27" s="629"/>
      <c r="AW27" s="629"/>
      <c r="AX27" s="629"/>
      <c r="AY27" s="629">
        <v>0.99781650641025643</v>
      </c>
      <c r="AZ27" s="629"/>
      <c r="BA27" s="629"/>
      <c r="BB27" s="629">
        <v>0.99835069444444446</v>
      </c>
      <c r="BC27" s="629">
        <v>0.9975260416666667</v>
      </c>
      <c r="BD27" s="631">
        <v>0.99873864850427341</v>
      </c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554" t="s">
        <v>70</v>
      </c>
      <c r="B28" s="555"/>
      <c r="C28" s="555"/>
      <c r="D28" s="555"/>
      <c r="E28" s="555"/>
      <c r="F28" s="555">
        <v>0.99727230235042719</v>
      </c>
      <c r="G28" s="555">
        <v>0.99355487298195633</v>
      </c>
      <c r="H28" s="555">
        <v>0.99056156517094018</v>
      </c>
      <c r="I28" s="555">
        <v>0.9931640625</v>
      </c>
      <c r="J28" s="555"/>
      <c r="K28" s="555">
        <v>0.99452501780626779</v>
      </c>
      <c r="L28" s="555"/>
      <c r="M28" s="555">
        <v>0.98089443108974361</v>
      </c>
      <c r="N28" s="555"/>
      <c r="O28" s="555"/>
      <c r="P28" s="555"/>
      <c r="Q28" s="555"/>
      <c r="R28" s="555">
        <v>0.98779303295529242</v>
      </c>
      <c r="S28" s="555"/>
      <c r="T28" s="555"/>
      <c r="U28" s="555"/>
      <c r="V28" s="555"/>
      <c r="W28" s="555">
        <v>0.99358306623931647</v>
      </c>
      <c r="X28" s="555"/>
      <c r="Y28" s="555"/>
      <c r="Z28" s="556">
        <v>0.99153818270404814</v>
      </c>
      <c r="AA28" s="555"/>
      <c r="AB28" s="555"/>
      <c r="AC28" s="555"/>
      <c r="AD28" s="555">
        <v>0.98957562869822491</v>
      </c>
      <c r="AE28" s="555"/>
      <c r="AF28" s="556">
        <v>0.98957562869822491</v>
      </c>
      <c r="AG28" s="555"/>
      <c r="AH28" s="555"/>
      <c r="AI28" s="555"/>
      <c r="AJ28" s="555"/>
      <c r="AK28" s="556"/>
      <c r="AL28" s="555"/>
      <c r="AM28" s="555">
        <v>0.99472222222222217</v>
      </c>
      <c r="AN28" s="555"/>
      <c r="AO28" s="555">
        <v>0.98553685897435883</v>
      </c>
      <c r="AP28" s="555"/>
      <c r="AQ28" s="555"/>
      <c r="AR28" s="555">
        <v>0.9997666266025641</v>
      </c>
      <c r="AS28" s="555">
        <v>0.99915049264007605</v>
      </c>
      <c r="AT28" s="555">
        <v>1</v>
      </c>
      <c r="AU28" s="555"/>
      <c r="AV28" s="555">
        <v>0.99265491452991439</v>
      </c>
      <c r="AW28" s="555"/>
      <c r="AX28" s="555"/>
      <c r="AY28" s="555">
        <v>0.99158950617283947</v>
      </c>
      <c r="AZ28" s="555">
        <v>1</v>
      </c>
      <c r="BA28" s="555"/>
      <c r="BB28" s="555">
        <v>0.99793836805555569</v>
      </c>
      <c r="BC28" s="555">
        <v>0.99613444010416652</v>
      </c>
      <c r="BD28" s="557">
        <v>0.9947907763532764</v>
      </c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0.99518124833066224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0.99518124833066224</v>
      </c>
      <c r="AE6" s="1095">
        <v>0.99299999999999999</v>
      </c>
      <c r="AF6" s="1098">
        <f t="shared" si="3"/>
        <v>0.99692174521415333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0.99056156517094018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0.99056156517094018</v>
      </c>
      <c r="AE7" s="1095">
        <v>0.99299999999999999</v>
      </c>
      <c r="AF7" s="1098">
        <f t="shared" si="3"/>
        <v>0.99684150984167263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0.9931640625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0.9931640625</v>
      </c>
      <c r="AE8" s="1095">
        <v>0.99299999999999999</v>
      </c>
      <c r="AF8" s="1098">
        <f t="shared" si="3"/>
        <v>0.99145879301497797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0.99518124833066224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0.99056156517094018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0.99452501780626779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0.99452501780626779</v>
      </c>
      <c r="AE10" s="1095">
        <v>0.99299999999999999</v>
      </c>
      <c r="AF10" s="1098">
        <f t="shared" si="3"/>
        <v>0.99509718970053296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0.9931640625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0.98089443108974361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0.99452501780626779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0.98089443108974361</v>
      </c>
      <c r="AE13" s="1095">
        <v>0.99299999999999999</v>
      </c>
      <c r="AF13" s="1098">
        <f t="shared" ref="AF13:AF22" si="13">IFERROR(AVERAGEIF(Y13:AD13,"&lt;&gt;0"),"")</f>
        <v>0.99273106101109421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0.98089443108974361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0.98779303295529253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0.98779303295529253</v>
      </c>
      <c r="AE16" s="1095">
        <v>0.99299999999999999</v>
      </c>
      <c r="AF16" s="1098">
        <f t="shared" si="13"/>
        <v>0.99465276174497985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0.98779303295529253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0.99358306623931625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0.99358306623931625</v>
      </c>
      <c r="AE19" s="1095">
        <v>0.99299999999999999</v>
      </c>
      <c r="AF19" s="1098">
        <f t="shared" si="13"/>
        <v>0.99151241167154003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>
        <v>0.99358306623931625</v>
      </c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0.99081463201317466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0.99081463201317466</v>
      </c>
      <c r="AE22" s="1095">
        <v>0.99299999999999999</v>
      </c>
      <c r="AF22" s="1098">
        <f t="shared" si="13"/>
        <v>0.99515568953519573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0.98957562869822491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0.98957562869822491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0.98957562869822491</v>
      </c>
      <c r="AE26" s="1095">
        <v>0.99099999999999999</v>
      </c>
      <c r="AF26" s="1098">
        <f t="shared" si="29"/>
        <v>0.98979294906037696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0.99472222222222206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0.98553685897435883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0.98957562869822491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0.98957562869822491</v>
      </c>
      <c r="AE28" s="1095">
        <v>0.99099999999999999</v>
      </c>
      <c r="AF28" s="1098">
        <f t="shared" si="29"/>
        <v>0.98889121117623979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0.99950103498931619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0.99249465811965809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0.99793836805555569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0.99613444010416652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0.99291560655123789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0.99472222222222206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0.99472222222222206</v>
      </c>
      <c r="AE33" s="1095">
        <v>0.997</v>
      </c>
      <c r="AF33" s="1098">
        <f t="shared" ref="AF33:AF39" si="44">IFERROR(AVERAGEIF(Y33:AD33,"&lt;&gt;0"),"")</f>
        <v>0.99624113840611994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0.98553685897435883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0.98553685897435883</v>
      </c>
      <c r="AE34" s="1095">
        <v>0.997</v>
      </c>
      <c r="AF34" s="1098">
        <f t="shared" si="44"/>
        <v>0.99453674618671029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0.99950103498931619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0.99950103498931619</v>
      </c>
      <c r="AE35" s="1095">
        <v>0.997</v>
      </c>
      <c r="AF35" s="1098">
        <f t="shared" si="44"/>
        <v>0.99758040504442702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0.99249465811965809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0.99249465811965809</v>
      </c>
      <c r="AE36" s="1095">
        <v>0.997</v>
      </c>
      <c r="AF36" s="1098">
        <f t="shared" si="44"/>
        <v>0.99388424513165818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0.99793836805555569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0.99793836805555569</v>
      </c>
      <c r="AE37" s="1095">
        <v>0.997</v>
      </c>
      <c r="AF37" s="1098">
        <f t="shared" si="44"/>
        <v>0.99709024768861687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0.99613444010416652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0.99613444010416652</v>
      </c>
      <c r="AE38" s="1095">
        <v>0.997</v>
      </c>
      <c r="AF38" s="1098">
        <f t="shared" si="44"/>
        <v>0.99397819982852875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0.99438793041087958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0.99438793041087958</v>
      </c>
      <c r="AE39" s="1095">
        <v>0.997</v>
      </c>
      <c r="AF39" s="1098">
        <f t="shared" si="44"/>
        <v>0.99555183038101014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76.021428571428572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632">
        <v>46181</v>
      </c>
      <c r="B13" s="633"/>
      <c r="C13" s="634"/>
      <c r="D13" s="634"/>
      <c r="E13" s="634"/>
      <c r="F13" s="634">
        <v>84.793333333333337</v>
      </c>
      <c r="G13" s="634">
        <v>89.18</v>
      </c>
      <c r="H13" s="634">
        <v>92.665000000000006</v>
      </c>
      <c r="I13" s="634"/>
      <c r="J13" s="634">
        <v>84.88333333333334</v>
      </c>
      <c r="K13" s="634">
        <v>92.915000000000006</v>
      </c>
      <c r="L13" s="634"/>
      <c r="M13" s="634"/>
      <c r="N13" s="634">
        <v>91.306666666666658</v>
      </c>
      <c r="O13" s="634"/>
      <c r="P13" s="634"/>
      <c r="Q13" s="634"/>
      <c r="R13" s="634"/>
      <c r="S13" s="634"/>
      <c r="T13" s="635">
        <v>89.290555555555557</v>
      </c>
      <c r="U13" s="633"/>
      <c r="V13" s="634">
        <v>68.8</v>
      </c>
      <c r="W13" s="634"/>
      <c r="X13" s="635">
        <v>68.8</v>
      </c>
      <c r="Y13" s="633"/>
      <c r="Z13" s="634"/>
      <c r="AA13" s="635"/>
      <c r="AB13" s="633">
        <v>90.433333333333337</v>
      </c>
      <c r="AC13" s="634">
        <v>82.7</v>
      </c>
      <c r="AD13" s="634">
        <v>80.083333333333343</v>
      </c>
      <c r="AE13" s="634">
        <v>58.666666666666671</v>
      </c>
      <c r="AF13" s="634">
        <v>80.083333333333329</v>
      </c>
      <c r="AG13" s="634">
        <v>85.5</v>
      </c>
      <c r="AH13" s="635">
        <v>79.649999999999991</v>
      </c>
      <c r="AI13" s="636">
        <v>83.006666666666675</v>
      </c>
      <c r="AJ13" s="319"/>
      <c r="AK13" s="319"/>
    </row>
    <row r="14" spans="1:40">
      <c r="A14" s="632">
        <v>46182</v>
      </c>
      <c r="B14" s="633"/>
      <c r="C14" s="634"/>
      <c r="D14" s="634"/>
      <c r="E14" s="634"/>
      <c r="F14" s="634">
        <v>87.458333333333343</v>
      </c>
      <c r="G14" s="634"/>
      <c r="H14" s="634">
        <v>92.526666666666657</v>
      </c>
      <c r="I14" s="634"/>
      <c r="J14" s="634">
        <v>86.775000000000006</v>
      </c>
      <c r="K14" s="634">
        <v>95.001666666666665</v>
      </c>
      <c r="L14" s="634"/>
      <c r="M14" s="634"/>
      <c r="N14" s="634">
        <v>91.495000000000005</v>
      </c>
      <c r="O14" s="634"/>
      <c r="P14" s="634"/>
      <c r="Q14" s="634">
        <v>80.618333333333325</v>
      </c>
      <c r="R14" s="634"/>
      <c r="S14" s="634"/>
      <c r="T14" s="635">
        <v>88.979166666666671</v>
      </c>
      <c r="U14" s="633"/>
      <c r="V14" s="634">
        <v>64.349999999999994</v>
      </c>
      <c r="W14" s="634"/>
      <c r="X14" s="635">
        <v>64.349999999999994</v>
      </c>
      <c r="Y14" s="633"/>
      <c r="Z14" s="634"/>
      <c r="AA14" s="635"/>
      <c r="AB14" s="633">
        <v>87.95</v>
      </c>
      <c r="AC14" s="634">
        <v>84.05</v>
      </c>
      <c r="AD14" s="634">
        <v>57.191666666666663</v>
      </c>
      <c r="AE14" s="634">
        <v>82.4</v>
      </c>
      <c r="AF14" s="634">
        <v>85.333333333333343</v>
      </c>
      <c r="AG14" s="634">
        <v>71.766666666666666</v>
      </c>
      <c r="AH14" s="635">
        <v>75.126190476190473</v>
      </c>
      <c r="AI14" s="636">
        <v>80.293452380952388</v>
      </c>
    </row>
    <row r="15" spans="1:40">
      <c r="A15" s="632">
        <v>46183</v>
      </c>
      <c r="B15" s="633"/>
      <c r="C15" s="634"/>
      <c r="D15" s="634"/>
      <c r="E15" s="634"/>
      <c r="F15" s="634">
        <v>89.326666666666654</v>
      </c>
      <c r="G15" s="634"/>
      <c r="H15" s="634">
        <v>93.533333333333346</v>
      </c>
      <c r="I15" s="634"/>
      <c r="J15" s="634">
        <v>88.125</v>
      </c>
      <c r="K15" s="634"/>
      <c r="L15" s="634"/>
      <c r="M15" s="634"/>
      <c r="N15" s="634">
        <v>89.99</v>
      </c>
      <c r="O15" s="634"/>
      <c r="P15" s="634"/>
      <c r="Q15" s="634">
        <v>87.571666666666658</v>
      </c>
      <c r="R15" s="634"/>
      <c r="S15" s="634"/>
      <c r="T15" s="635">
        <v>89.709333333333333</v>
      </c>
      <c r="U15" s="633"/>
      <c r="V15" s="634">
        <v>68</v>
      </c>
      <c r="W15" s="634"/>
      <c r="X15" s="635">
        <v>68</v>
      </c>
      <c r="Y15" s="633"/>
      <c r="Z15" s="634"/>
      <c r="AA15" s="635"/>
      <c r="AB15" s="633">
        <v>86.283333333333346</v>
      </c>
      <c r="AC15" s="634">
        <v>87.75</v>
      </c>
      <c r="AD15" s="634"/>
      <c r="AE15" s="634">
        <v>90.733333333333334</v>
      </c>
      <c r="AF15" s="634">
        <v>88.733333333333334</v>
      </c>
      <c r="AG15" s="634">
        <v>84.55</v>
      </c>
      <c r="AH15" s="635">
        <v>87.610000000000014</v>
      </c>
      <c r="AI15" s="636">
        <v>86.781515151515137</v>
      </c>
    </row>
    <row r="16" spans="1:40">
      <c r="A16" s="632">
        <v>46184</v>
      </c>
      <c r="B16" s="633"/>
      <c r="C16" s="634"/>
      <c r="D16" s="634"/>
      <c r="E16" s="634"/>
      <c r="F16" s="634">
        <v>89.551666666666662</v>
      </c>
      <c r="G16" s="634">
        <v>96.231666666666655</v>
      </c>
      <c r="H16" s="634">
        <v>94.13333333333334</v>
      </c>
      <c r="I16" s="634"/>
      <c r="J16" s="634">
        <v>88.821666666666658</v>
      </c>
      <c r="K16" s="634"/>
      <c r="L16" s="634"/>
      <c r="M16" s="634"/>
      <c r="N16" s="634"/>
      <c r="O16" s="634"/>
      <c r="P16" s="634"/>
      <c r="Q16" s="634">
        <v>89.653333333333336</v>
      </c>
      <c r="R16" s="634"/>
      <c r="S16" s="634"/>
      <c r="T16" s="635">
        <v>91.678333333333327</v>
      </c>
      <c r="U16" s="633"/>
      <c r="V16" s="634">
        <v>70.2</v>
      </c>
      <c r="W16" s="634"/>
      <c r="X16" s="635">
        <v>70.2</v>
      </c>
      <c r="Y16" s="633"/>
      <c r="Z16" s="634"/>
      <c r="AA16" s="635"/>
      <c r="AB16" s="633">
        <v>93.333333333333343</v>
      </c>
      <c r="AC16" s="634">
        <v>90.9</v>
      </c>
      <c r="AD16" s="634"/>
      <c r="AE16" s="634">
        <v>89.533333333333346</v>
      </c>
      <c r="AF16" s="634">
        <v>89.033333333333346</v>
      </c>
      <c r="AG16" s="634">
        <v>92.9</v>
      </c>
      <c r="AH16" s="635">
        <v>91.140000000000015</v>
      </c>
      <c r="AI16" s="636">
        <v>89.481060606060609</v>
      </c>
    </row>
    <row r="17" spans="1:35">
      <c r="A17" s="632">
        <v>46185</v>
      </c>
      <c r="B17" s="633"/>
      <c r="C17" s="634"/>
      <c r="D17" s="634"/>
      <c r="E17" s="634"/>
      <c r="F17" s="634">
        <v>90.108333333333334</v>
      </c>
      <c r="G17" s="634">
        <v>95.458333333333343</v>
      </c>
      <c r="H17" s="634">
        <v>93.893333333333345</v>
      </c>
      <c r="I17" s="634"/>
      <c r="J17" s="634">
        <v>89.678333333333342</v>
      </c>
      <c r="K17" s="634"/>
      <c r="L17" s="634"/>
      <c r="M17" s="634"/>
      <c r="N17" s="634"/>
      <c r="O17" s="634"/>
      <c r="P17" s="634"/>
      <c r="Q17" s="634">
        <v>90.373333333333335</v>
      </c>
      <c r="R17" s="634"/>
      <c r="S17" s="634"/>
      <c r="T17" s="635">
        <v>91.902333333333345</v>
      </c>
      <c r="U17" s="633"/>
      <c r="V17" s="634">
        <v>68.599999999999994</v>
      </c>
      <c r="W17" s="634"/>
      <c r="X17" s="635">
        <v>68.599999999999994</v>
      </c>
      <c r="Y17" s="633"/>
      <c r="Z17" s="634"/>
      <c r="AA17" s="635"/>
      <c r="AB17" s="633">
        <v>93.05</v>
      </c>
      <c r="AC17" s="634">
        <v>91.2</v>
      </c>
      <c r="AD17" s="634"/>
      <c r="AE17" s="634">
        <v>86.433333333333337</v>
      </c>
      <c r="AF17" s="634">
        <v>91.333333333333343</v>
      </c>
      <c r="AG17" s="634">
        <v>93.033333333333346</v>
      </c>
      <c r="AH17" s="635">
        <v>91.01</v>
      </c>
      <c r="AI17" s="636">
        <v>89.378333333333345</v>
      </c>
    </row>
    <row r="18" spans="1:35">
      <c r="A18" s="632">
        <v>46186</v>
      </c>
      <c r="B18" s="633"/>
      <c r="C18" s="634"/>
      <c r="D18" s="634"/>
      <c r="E18" s="634"/>
      <c r="F18" s="634">
        <v>89.291666666666657</v>
      </c>
      <c r="G18" s="634">
        <v>97.36666666666666</v>
      </c>
      <c r="H18" s="634">
        <v>93.761666666666656</v>
      </c>
      <c r="I18" s="634"/>
      <c r="J18" s="634">
        <v>89.858333333333334</v>
      </c>
      <c r="K18" s="634"/>
      <c r="L18" s="634"/>
      <c r="M18" s="634"/>
      <c r="N18" s="634">
        <v>93.206666666666663</v>
      </c>
      <c r="O18" s="634"/>
      <c r="P18" s="634"/>
      <c r="Q18" s="634">
        <v>89.99</v>
      </c>
      <c r="R18" s="634"/>
      <c r="S18" s="634"/>
      <c r="T18" s="635">
        <v>92.245833333333323</v>
      </c>
      <c r="U18" s="633"/>
      <c r="V18" s="634">
        <v>67.2</v>
      </c>
      <c r="W18" s="634"/>
      <c r="X18" s="635">
        <v>67.2</v>
      </c>
      <c r="Y18" s="633"/>
      <c r="Z18" s="634"/>
      <c r="AA18" s="635"/>
      <c r="AB18" s="633">
        <v>93.333333333333343</v>
      </c>
      <c r="AC18" s="634">
        <v>89.583333333333343</v>
      </c>
      <c r="AD18" s="634"/>
      <c r="AE18" s="634">
        <v>90.163333333333341</v>
      </c>
      <c r="AF18" s="634">
        <v>90.6</v>
      </c>
      <c r="AG18" s="634">
        <v>93.05</v>
      </c>
      <c r="AH18" s="635">
        <v>91.346000000000018</v>
      </c>
      <c r="AI18" s="636">
        <v>89.783749999999998</v>
      </c>
    </row>
    <row r="19" spans="1:35">
      <c r="A19" s="632">
        <v>46187</v>
      </c>
      <c r="B19" s="633"/>
      <c r="C19" s="634"/>
      <c r="D19" s="634"/>
      <c r="E19" s="634"/>
      <c r="F19" s="634">
        <v>89.156666666666666</v>
      </c>
      <c r="G19" s="634">
        <v>96.516666666666666</v>
      </c>
      <c r="H19" s="634">
        <v>93.238333333333344</v>
      </c>
      <c r="I19" s="634"/>
      <c r="J19" s="634">
        <v>89.671666666666667</v>
      </c>
      <c r="K19" s="634"/>
      <c r="L19" s="634"/>
      <c r="M19" s="634"/>
      <c r="N19" s="634">
        <v>93.688333333333333</v>
      </c>
      <c r="O19" s="634"/>
      <c r="P19" s="634"/>
      <c r="Q19" s="634">
        <v>89.851666666666659</v>
      </c>
      <c r="R19" s="634"/>
      <c r="S19" s="634"/>
      <c r="T19" s="635">
        <v>92.020555555555561</v>
      </c>
      <c r="U19" s="633"/>
      <c r="V19" s="634">
        <v>64.333333333333329</v>
      </c>
      <c r="W19" s="634"/>
      <c r="X19" s="635">
        <v>64.333333333333329</v>
      </c>
      <c r="Y19" s="633"/>
      <c r="Z19" s="634"/>
      <c r="AA19" s="635"/>
      <c r="AB19" s="633">
        <v>92.583333333333343</v>
      </c>
      <c r="AC19" s="634">
        <v>86.13333333333334</v>
      </c>
      <c r="AD19" s="634"/>
      <c r="AE19" s="634">
        <v>91.033333333333346</v>
      </c>
      <c r="AF19" s="634">
        <v>89.516666666666666</v>
      </c>
      <c r="AG19" s="634">
        <v>95.666666666666657</v>
      </c>
      <c r="AH19" s="635">
        <v>90.986666666666679</v>
      </c>
      <c r="AI19" s="636">
        <v>89.282500000000013</v>
      </c>
    </row>
    <row r="20" spans="1:35">
      <c r="A20" s="632">
        <v>46188</v>
      </c>
      <c r="B20" s="633"/>
      <c r="C20" s="634"/>
      <c r="D20" s="634"/>
      <c r="E20" s="634"/>
      <c r="F20" s="634">
        <v>89.071666666666658</v>
      </c>
      <c r="G20" s="634">
        <v>95.356666666666655</v>
      </c>
      <c r="H20" s="634">
        <v>93.956666666666663</v>
      </c>
      <c r="I20" s="634"/>
      <c r="J20" s="634">
        <v>83.351666666666659</v>
      </c>
      <c r="K20" s="634"/>
      <c r="L20" s="634"/>
      <c r="M20" s="634"/>
      <c r="N20" s="634">
        <v>91.148333333333341</v>
      </c>
      <c r="O20" s="634"/>
      <c r="P20" s="634"/>
      <c r="Q20" s="634">
        <v>87.973333333333343</v>
      </c>
      <c r="R20" s="634"/>
      <c r="S20" s="634"/>
      <c r="T20" s="635">
        <v>90.143055555555563</v>
      </c>
      <c r="U20" s="633"/>
      <c r="V20" s="634">
        <v>62.166666666666671</v>
      </c>
      <c r="W20" s="634"/>
      <c r="X20" s="635">
        <v>62.166666666666671</v>
      </c>
      <c r="Y20" s="633"/>
      <c r="Z20" s="634"/>
      <c r="AA20" s="635"/>
      <c r="AB20" s="633">
        <v>86.55</v>
      </c>
      <c r="AC20" s="634">
        <v>89.35</v>
      </c>
      <c r="AD20" s="634"/>
      <c r="AE20" s="634">
        <v>90.433333333333337</v>
      </c>
      <c r="AF20" s="634">
        <v>88.13333333333334</v>
      </c>
      <c r="AG20" s="634">
        <v>90.016666666666666</v>
      </c>
      <c r="AH20" s="635">
        <v>88.896666666666661</v>
      </c>
      <c r="AI20" s="636">
        <v>87.29236111111112</v>
      </c>
    </row>
    <row r="21" spans="1:35">
      <c r="A21" s="632">
        <v>46189</v>
      </c>
      <c r="B21" s="633"/>
      <c r="C21" s="634"/>
      <c r="D21" s="634"/>
      <c r="E21" s="634"/>
      <c r="F21" s="634">
        <v>90.673333333333346</v>
      </c>
      <c r="G21" s="634">
        <v>95.308333333333337</v>
      </c>
      <c r="H21" s="634">
        <v>92.728333333333339</v>
      </c>
      <c r="I21" s="634"/>
      <c r="J21" s="634"/>
      <c r="K21" s="634"/>
      <c r="L21" s="634"/>
      <c r="M21" s="634"/>
      <c r="N21" s="634">
        <v>92.056666666666658</v>
      </c>
      <c r="O21" s="634"/>
      <c r="P21" s="634"/>
      <c r="Q21" s="634">
        <v>90.218333333333334</v>
      </c>
      <c r="R21" s="634"/>
      <c r="S21" s="634"/>
      <c r="T21" s="635">
        <v>92.197000000000003</v>
      </c>
      <c r="U21" s="633"/>
      <c r="V21" s="634">
        <v>56.56666666666667</v>
      </c>
      <c r="W21" s="634"/>
      <c r="X21" s="635">
        <v>56.56666666666667</v>
      </c>
      <c r="Y21" s="633"/>
      <c r="Z21" s="634"/>
      <c r="AA21" s="635"/>
      <c r="AB21" s="633">
        <v>91.816666666666663</v>
      </c>
      <c r="AC21" s="634"/>
      <c r="AD21" s="634"/>
      <c r="AE21" s="634">
        <v>58.258333333333333</v>
      </c>
      <c r="AF21" s="634">
        <v>87.65</v>
      </c>
      <c r="AG21" s="634">
        <v>95.066666666666663</v>
      </c>
      <c r="AH21" s="635">
        <v>78.210000000000008</v>
      </c>
      <c r="AI21" s="636">
        <v>82.600151515151524</v>
      </c>
    </row>
    <row r="22" spans="1:35">
      <c r="A22" s="632">
        <v>46190</v>
      </c>
      <c r="B22" s="633"/>
      <c r="C22" s="634"/>
      <c r="D22" s="634"/>
      <c r="E22" s="634"/>
      <c r="F22" s="634"/>
      <c r="G22" s="634">
        <v>95.208333333333343</v>
      </c>
      <c r="H22" s="634"/>
      <c r="I22" s="634"/>
      <c r="J22" s="634"/>
      <c r="K22" s="634"/>
      <c r="L22" s="634"/>
      <c r="M22" s="634"/>
      <c r="N22" s="634">
        <v>91.371666666666655</v>
      </c>
      <c r="O22" s="634"/>
      <c r="P22" s="634"/>
      <c r="Q22" s="634">
        <v>88.928333333333342</v>
      </c>
      <c r="R22" s="634"/>
      <c r="S22" s="634"/>
      <c r="T22" s="635">
        <v>91.836111111111109</v>
      </c>
      <c r="U22" s="633"/>
      <c r="V22" s="634"/>
      <c r="W22" s="634"/>
      <c r="X22" s="635"/>
      <c r="Y22" s="633"/>
      <c r="Z22" s="634"/>
      <c r="AA22" s="635"/>
      <c r="AB22" s="633">
        <v>88.36666666666666</v>
      </c>
      <c r="AC22" s="634"/>
      <c r="AD22" s="634">
        <v>82.733333333333334</v>
      </c>
      <c r="AE22" s="634">
        <v>86.733333333333334</v>
      </c>
      <c r="AF22" s="634">
        <v>86.716666666666654</v>
      </c>
      <c r="AG22" s="634">
        <v>93.9</v>
      </c>
      <c r="AH22" s="635">
        <v>87.689999999999984</v>
      </c>
      <c r="AI22" s="636">
        <v>89.244791666666671</v>
      </c>
    </row>
    <row r="23" spans="1:35">
      <c r="A23" s="574" t="s">
        <v>70</v>
      </c>
      <c r="B23" s="575"/>
      <c r="C23" s="576"/>
      <c r="D23" s="576"/>
      <c r="E23" s="576"/>
      <c r="F23" s="576">
        <v>90.033020833333339</v>
      </c>
      <c r="G23" s="576">
        <v>95.085571428571441</v>
      </c>
      <c r="H23" s="576">
        <v>92.936145833333313</v>
      </c>
      <c r="I23" s="576"/>
      <c r="J23" s="576">
        <v>88.404333333333341</v>
      </c>
      <c r="K23" s="576">
        <v>93.213523809523807</v>
      </c>
      <c r="L23" s="576"/>
      <c r="M23" s="576"/>
      <c r="N23" s="576">
        <v>90.540897435897449</v>
      </c>
      <c r="O23" s="576"/>
      <c r="P23" s="576"/>
      <c r="Q23" s="576">
        <v>88.353148148148165</v>
      </c>
      <c r="R23" s="576"/>
      <c r="S23" s="576"/>
      <c r="T23" s="577">
        <v>91.216381481481477</v>
      </c>
      <c r="U23" s="575"/>
      <c r="V23" s="576">
        <v>65.850000000000009</v>
      </c>
      <c r="W23" s="576"/>
      <c r="X23" s="577">
        <v>65.850000000000009</v>
      </c>
      <c r="Y23" s="575"/>
      <c r="Z23" s="576"/>
      <c r="AA23" s="577"/>
      <c r="AB23" s="575">
        <v>87.616666666666646</v>
      </c>
      <c r="AC23" s="576">
        <v>86.621794871794862</v>
      </c>
      <c r="AD23" s="576">
        <v>79.538771929824563</v>
      </c>
      <c r="AE23" s="576">
        <v>79.032222222222217</v>
      </c>
      <c r="AF23" s="576">
        <v>86.430555555555557</v>
      </c>
      <c r="AG23" s="576">
        <v>88.490625000000009</v>
      </c>
      <c r="AH23" s="577">
        <v>84.163082437276003</v>
      </c>
      <c r="AI23" s="578">
        <v>86.187198979591827</v>
      </c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8">
        <v>46181</v>
      </c>
      <c r="B14" s="583"/>
      <c r="C14" s="479">
        <v>20956.838400000001</v>
      </c>
      <c r="D14" s="583">
        <v>8</v>
      </c>
      <c r="E14" s="479">
        <v>153909.33120000002</v>
      </c>
      <c r="F14" s="583">
        <v>6</v>
      </c>
      <c r="G14" s="479">
        <v>139385.83680000002</v>
      </c>
      <c r="H14" s="583">
        <v>24</v>
      </c>
      <c r="I14" s="479">
        <v>0</v>
      </c>
      <c r="J14" s="583">
        <v>38</v>
      </c>
      <c r="K14" s="584">
        <v>314252.00639999995</v>
      </c>
    </row>
    <row r="15" spans="1:11">
      <c r="A15" s="538">
        <v>46182</v>
      </c>
      <c r="B15" s="583"/>
      <c r="C15" s="479">
        <v>20956.838400000001</v>
      </c>
      <c r="D15" s="583">
        <v>8</v>
      </c>
      <c r="E15" s="479">
        <v>153909.33120000002</v>
      </c>
      <c r="F15" s="583">
        <v>6</v>
      </c>
      <c r="G15" s="479">
        <v>139385.83680000002</v>
      </c>
      <c r="H15" s="583">
        <v>24</v>
      </c>
      <c r="I15" s="479">
        <v>0</v>
      </c>
      <c r="J15" s="583">
        <v>38</v>
      </c>
      <c r="K15" s="584">
        <v>314252.00639999995</v>
      </c>
    </row>
    <row r="16" spans="1:11">
      <c r="A16" s="538">
        <v>46183</v>
      </c>
      <c r="B16" s="583"/>
      <c r="C16" s="479">
        <v>20956.838400000001</v>
      </c>
      <c r="D16" s="583">
        <v>8</v>
      </c>
      <c r="E16" s="479">
        <v>153909.33120000002</v>
      </c>
      <c r="F16" s="583">
        <v>6</v>
      </c>
      <c r="G16" s="479">
        <v>139385.83680000002</v>
      </c>
      <c r="H16" s="583">
        <v>24</v>
      </c>
      <c r="I16" s="479">
        <v>0</v>
      </c>
      <c r="J16" s="583">
        <v>38</v>
      </c>
      <c r="K16" s="584">
        <v>314252.00639999995</v>
      </c>
    </row>
    <row r="17" spans="1:11">
      <c r="A17" s="538">
        <v>46184</v>
      </c>
      <c r="B17" s="583"/>
      <c r="C17" s="479"/>
      <c r="D17" s="583">
        <v>8</v>
      </c>
      <c r="E17" s="479">
        <v>158223.97440000001</v>
      </c>
      <c r="F17" s="583">
        <v>6</v>
      </c>
      <c r="G17" s="479">
        <v>139385.83680000002</v>
      </c>
      <c r="H17" s="583">
        <v>17</v>
      </c>
      <c r="I17" s="479">
        <v>0</v>
      </c>
      <c r="J17" s="583">
        <v>31</v>
      </c>
      <c r="K17" s="584">
        <v>297609.81119999994</v>
      </c>
    </row>
    <row r="18" spans="1:11">
      <c r="A18" s="538">
        <v>46185</v>
      </c>
      <c r="B18" s="583"/>
      <c r="C18" s="479"/>
      <c r="D18" s="583">
        <v>8</v>
      </c>
      <c r="E18" s="479">
        <v>158223.97440000001</v>
      </c>
      <c r="F18" s="583">
        <v>6</v>
      </c>
      <c r="G18" s="479">
        <v>139385.83680000002</v>
      </c>
      <c r="H18" s="583">
        <v>17</v>
      </c>
      <c r="I18" s="479">
        <v>0</v>
      </c>
      <c r="J18" s="583">
        <v>31</v>
      </c>
      <c r="K18" s="584">
        <v>297609.81119999994</v>
      </c>
    </row>
    <row r="19" spans="1:11">
      <c r="A19" s="538">
        <v>46186</v>
      </c>
      <c r="B19" s="583"/>
      <c r="C19" s="479"/>
      <c r="D19" s="583">
        <v>7</v>
      </c>
      <c r="E19" s="479">
        <v>137267.136</v>
      </c>
      <c r="F19" s="583">
        <v>6</v>
      </c>
      <c r="G19" s="479">
        <v>139385.83680000002</v>
      </c>
      <c r="H19" s="583">
        <v>17</v>
      </c>
      <c r="I19" s="479">
        <v>0</v>
      </c>
      <c r="J19" s="583">
        <v>30</v>
      </c>
      <c r="K19" s="584">
        <v>276652.97279999999</v>
      </c>
    </row>
    <row r="20" spans="1:11">
      <c r="A20" s="538">
        <v>46187</v>
      </c>
      <c r="B20" s="583"/>
      <c r="C20" s="479"/>
      <c r="D20" s="583">
        <v>7</v>
      </c>
      <c r="E20" s="479">
        <v>137267.136</v>
      </c>
      <c r="F20" s="583">
        <v>6</v>
      </c>
      <c r="G20" s="479">
        <v>139385.83680000002</v>
      </c>
      <c r="H20" s="583">
        <v>17</v>
      </c>
      <c r="I20" s="479">
        <v>0</v>
      </c>
      <c r="J20" s="583">
        <v>30</v>
      </c>
      <c r="K20" s="584">
        <v>276652.97279999999</v>
      </c>
    </row>
    <row r="21" spans="1:11">
      <c r="A21" s="538">
        <v>46188</v>
      </c>
      <c r="B21" s="583"/>
      <c r="C21" s="479">
        <v>41439.340799999998</v>
      </c>
      <c r="D21" s="583">
        <v>6</v>
      </c>
      <c r="E21" s="479">
        <v>128294.1504</v>
      </c>
      <c r="F21" s="583">
        <v>6</v>
      </c>
      <c r="G21" s="479">
        <v>107391.74400000001</v>
      </c>
      <c r="H21" s="583">
        <v>17</v>
      </c>
      <c r="I21" s="479">
        <v>0</v>
      </c>
      <c r="J21" s="583">
        <v>29</v>
      </c>
      <c r="K21" s="584">
        <v>277125.23519999994</v>
      </c>
    </row>
    <row r="22" spans="1:11">
      <c r="A22" s="538">
        <v>46189</v>
      </c>
      <c r="B22" s="583"/>
      <c r="C22" s="479">
        <v>41439.340799999998</v>
      </c>
      <c r="D22" s="583">
        <v>7</v>
      </c>
      <c r="E22" s="479">
        <v>148018.23359999998</v>
      </c>
      <c r="F22" s="583">
        <v>7</v>
      </c>
      <c r="G22" s="479">
        <v>132046.848</v>
      </c>
      <c r="H22" s="583">
        <v>15</v>
      </c>
      <c r="I22" s="479">
        <v>0</v>
      </c>
      <c r="J22" s="583">
        <v>29</v>
      </c>
      <c r="K22" s="584">
        <v>321504.42239999992</v>
      </c>
    </row>
    <row r="23" spans="1:11">
      <c r="A23" s="538">
        <v>46190</v>
      </c>
      <c r="B23" s="583"/>
      <c r="C23" s="479">
        <v>41439.340799999998</v>
      </c>
      <c r="D23" s="583">
        <v>8</v>
      </c>
      <c r="E23" s="479">
        <v>162186.10560000001</v>
      </c>
      <c r="F23" s="583">
        <v>7</v>
      </c>
      <c r="G23" s="479">
        <v>132046.848</v>
      </c>
      <c r="H23" s="583">
        <v>14</v>
      </c>
      <c r="I23" s="479">
        <v>0</v>
      </c>
      <c r="J23" s="583">
        <v>29</v>
      </c>
      <c r="K23" s="584">
        <v>335672.2943999999</v>
      </c>
    </row>
    <row r="24" spans="1:11">
      <c r="A24" s="539" t="s">
        <v>70</v>
      </c>
      <c r="B24" s="585"/>
      <c r="C24" s="586">
        <v>372139.66080000007</v>
      </c>
      <c r="D24" s="585">
        <v>121</v>
      </c>
      <c r="E24" s="586">
        <v>2248378.0416000015</v>
      </c>
      <c r="F24" s="585">
        <v>107</v>
      </c>
      <c r="G24" s="586">
        <v>2330211.628800001</v>
      </c>
      <c r="H24" s="585">
        <v>358</v>
      </c>
      <c r="I24" s="586">
        <v>0</v>
      </c>
      <c r="J24" s="585">
        <v>586</v>
      </c>
      <c r="K24" s="587">
        <v>4950729.331199999</v>
      </c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589" activePane="bottomRight" state="frozen"/>
      <selection pane="topRight" activeCell="L1" sqref="L1"/>
      <selection pane="bottomLeft" activeCell="A10" sqref="A10"/>
      <selection pane="bottomRight" activeCell="AL514" sqref="AL514:AS60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17335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17335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17335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17336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17335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17406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17336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17407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17335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17406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17336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17407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17403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17335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17336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17407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17403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12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17335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17336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17407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L262" s="176" t="s">
        <v>127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 t="s">
        <v>127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17403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12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>
      <c r="A275" s="175">
        <v>46181</v>
      </c>
      <c r="B275" s="176" t="s">
        <v>212</v>
      </c>
      <c r="C275" s="176" t="s">
        <v>640</v>
      </c>
      <c r="E275" s="176" t="s">
        <v>420</v>
      </c>
      <c r="F275" s="176" t="s">
        <v>420</v>
      </c>
      <c r="G275" s="176" t="s">
        <v>420</v>
      </c>
      <c r="H275" s="176" t="s">
        <v>420</v>
      </c>
      <c r="I275" s="176" t="s">
        <v>420</v>
      </c>
      <c r="L275" s="176" t="s">
        <v>640</v>
      </c>
      <c r="P275" s="176" t="s">
        <v>640</v>
      </c>
      <c r="T275" s="176" t="s">
        <v>640</v>
      </c>
      <c r="X275" s="176" t="s">
        <v>640</v>
      </c>
      <c r="Z275" s="176" t="s">
        <v>420</v>
      </c>
      <c r="AA275" s="176" t="s">
        <v>640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213</v>
      </c>
      <c r="AG275" s="176">
        <v>1</v>
      </c>
      <c r="AH275" s="176" t="s">
        <v>656</v>
      </c>
      <c r="AI275" s="176" t="s">
        <v>656</v>
      </c>
      <c r="AJ275" s="176" t="s">
        <v>656</v>
      </c>
      <c r="AK275" s="176" t="s">
        <v>656</v>
      </c>
      <c r="AL275" s="1191" t="s">
        <v>420</v>
      </c>
      <c r="AM275" s="176" t="s">
        <v>420</v>
      </c>
      <c r="AN275" s="176" t="s">
        <v>420</v>
      </c>
      <c r="AO275" s="176" t="s">
        <v>420</v>
      </c>
      <c r="AP275" s="176">
        <v>24</v>
      </c>
      <c r="AQ275" s="176">
        <v>216</v>
      </c>
      <c r="AR275" s="176" t="s">
        <v>420</v>
      </c>
      <c r="AS275" s="193" t="s">
        <v>420</v>
      </c>
    </row>
    <row r="276" spans="1:45" ht="16.5" customHeight="1">
      <c r="A276" s="175">
        <v>46181</v>
      </c>
      <c r="B276" s="176" t="s">
        <v>214</v>
      </c>
      <c r="C276" s="176" t="s">
        <v>640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640</v>
      </c>
      <c r="P276" s="176" t="s">
        <v>640</v>
      </c>
      <c r="T276" s="176" t="s">
        <v>640</v>
      </c>
      <c r="X276" s="176" t="s">
        <v>640</v>
      </c>
      <c r="Z276" s="176" t="s">
        <v>420</v>
      </c>
      <c r="AA276" s="176" t="s">
        <v>640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213</v>
      </c>
      <c r="AG276" s="176">
        <v>1</v>
      </c>
      <c r="AH276" s="176" t="s">
        <v>656</v>
      </c>
      <c r="AI276" s="176" t="s">
        <v>656</v>
      </c>
      <c r="AJ276" s="176" t="s">
        <v>656</v>
      </c>
      <c r="AK276" s="176" t="s">
        <v>656</v>
      </c>
      <c r="AL276" s="119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46181</v>
      </c>
      <c r="B277" s="176" t="s">
        <v>215</v>
      </c>
      <c r="C277" s="176" t="s">
        <v>640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640</v>
      </c>
      <c r="P277" s="176" t="s">
        <v>640</v>
      </c>
      <c r="T277" s="176" t="s">
        <v>640</v>
      </c>
      <c r="X277" s="176" t="s">
        <v>640</v>
      </c>
      <c r="Z277" s="176" t="s">
        <v>420</v>
      </c>
      <c r="AA277" s="176" t="s">
        <v>640</v>
      </c>
      <c r="AB277" s="176" t="s">
        <v>420</v>
      </c>
      <c r="AC277" s="176" t="s">
        <v>420</v>
      </c>
      <c r="AD277" s="176" t="s">
        <v>420</v>
      </c>
      <c r="AE277" s="176" t="s">
        <v>420</v>
      </c>
      <c r="AF277" s="176" t="s">
        <v>213</v>
      </c>
      <c r="AG277" s="176">
        <v>1</v>
      </c>
      <c r="AH277" s="176" t="s">
        <v>656</v>
      </c>
      <c r="AI277" s="176" t="s">
        <v>656</v>
      </c>
      <c r="AJ277" s="176" t="s">
        <v>656</v>
      </c>
      <c r="AK277" s="176" t="s">
        <v>656</v>
      </c>
      <c r="AL277" s="119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46181</v>
      </c>
      <c r="B278" s="176" t="s">
        <v>216</v>
      </c>
      <c r="C278" s="176" t="s">
        <v>640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640</v>
      </c>
      <c r="P278" s="176" t="s">
        <v>640</v>
      </c>
      <c r="T278" s="176" t="s">
        <v>640</v>
      </c>
      <c r="X278" s="176" t="s">
        <v>640</v>
      </c>
      <c r="Z278" s="176" t="s">
        <v>420</v>
      </c>
      <c r="AA278" s="176" t="s">
        <v>640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213</v>
      </c>
      <c r="AG278" s="176">
        <v>1</v>
      </c>
      <c r="AH278" s="176" t="s">
        <v>648</v>
      </c>
      <c r="AI278" s="176" t="s">
        <v>656</v>
      </c>
      <c r="AJ278" s="176" t="s">
        <v>656</v>
      </c>
      <c r="AK278" s="176" t="s">
        <v>656</v>
      </c>
      <c r="AL278" s="119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46181</v>
      </c>
      <c r="B279" s="176" t="s">
        <v>217</v>
      </c>
      <c r="C279" s="176" t="s">
        <v>17443</v>
      </c>
      <c r="E279" s="176" t="s">
        <v>474</v>
      </c>
      <c r="F279" s="176" t="s">
        <v>16817</v>
      </c>
      <c r="G279" s="176">
        <v>600</v>
      </c>
      <c r="H279" s="176" t="s">
        <v>16144</v>
      </c>
      <c r="I279" s="176">
        <v>5</v>
      </c>
      <c r="J279" s="176">
        <v>4</v>
      </c>
      <c r="K279" s="176">
        <v>0</v>
      </c>
      <c r="L279" s="176">
        <v>8595</v>
      </c>
      <c r="M279" s="176">
        <v>8741</v>
      </c>
      <c r="R279" s="176">
        <v>40</v>
      </c>
      <c r="S279" s="176">
        <v>0</v>
      </c>
      <c r="T279" s="176">
        <v>8203</v>
      </c>
      <c r="U279" s="176">
        <v>8522</v>
      </c>
      <c r="V279" s="176">
        <v>41</v>
      </c>
      <c r="W279" s="176">
        <v>0</v>
      </c>
      <c r="X279" s="176">
        <v>8814</v>
      </c>
      <c r="Y279" s="176">
        <v>8001</v>
      </c>
      <c r="Z279" s="176">
        <v>1.4090019569471623</v>
      </c>
      <c r="AA279" s="176">
        <v>28.333333333333332</v>
      </c>
      <c r="AB279" s="176">
        <v>1</v>
      </c>
      <c r="AC279" s="176">
        <v>84.793333333333337</v>
      </c>
      <c r="AD279" s="176">
        <v>3.5416666666666665</v>
      </c>
      <c r="AE279" s="176">
        <v>3.5416666666666665</v>
      </c>
      <c r="AF279" s="176" t="s">
        <v>213</v>
      </c>
      <c r="AG279" s="176">
        <v>1</v>
      </c>
      <c r="AH279" s="176" t="s">
        <v>644</v>
      </c>
      <c r="AI279" s="176" t="s">
        <v>639</v>
      </c>
      <c r="AJ279" s="176" t="s">
        <v>639</v>
      </c>
      <c r="AK279" s="176" t="s">
        <v>638</v>
      </c>
      <c r="AL279" s="1191" t="s">
        <v>252</v>
      </c>
      <c r="AM279" s="176" t="s">
        <v>126</v>
      </c>
      <c r="AN279" s="176">
        <v>0.91100000000000003</v>
      </c>
      <c r="AO279" s="176">
        <v>0.6</v>
      </c>
      <c r="AP279" s="176">
        <v>24</v>
      </c>
      <c r="AQ279" s="176">
        <v>216</v>
      </c>
      <c r="AR279" s="176">
        <v>1.6</v>
      </c>
      <c r="AS279" s="193">
        <v>7556.1984000000011</v>
      </c>
    </row>
    <row r="280" spans="1:45" ht="16.5" customHeight="1">
      <c r="A280" s="175">
        <v>46181</v>
      </c>
      <c r="B280" s="176" t="s">
        <v>218</v>
      </c>
      <c r="C280" s="176" t="s">
        <v>17260</v>
      </c>
      <c r="E280" s="176" t="s">
        <v>17335</v>
      </c>
      <c r="F280" s="176" t="s">
        <v>17276</v>
      </c>
      <c r="G280" s="176">
        <v>600</v>
      </c>
      <c r="H280" s="176" t="s">
        <v>15907</v>
      </c>
      <c r="I280" s="176">
        <v>5</v>
      </c>
      <c r="J280" s="176">
        <v>0</v>
      </c>
      <c r="K280" s="176">
        <v>0</v>
      </c>
      <c r="L280" s="176">
        <v>9283</v>
      </c>
      <c r="M280" s="176">
        <v>9679</v>
      </c>
      <c r="R280" s="176">
        <v>26</v>
      </c>
      <c r="S280" s="176">
        <v>6</v>
      </c>
      <c r="T280" s="176">
        <v>8718</v>
      </c>
      <c r="U280" s="176">
        <v>7992</v>
      </c>
      <c r="X280" s="176" t="s">
        <v>635</v>
      </c>
      <c r="Z280" s="176">
        <v>2.8015564202334629</v>
      </c>
      <c r="AA280" s="176">
        <v>4.333333333333333</v>
      </c>
      <c r="AB280" s="176">
        <v>0.98970352564102559</v>
      </c>
      <c r="AC280" s="176">
        <v>89.18</v>
      </c>
      <c r="AD280" s="176">
        <v>0.54166666666666663</v>
      </c>
      <c r="AE280" s="176">
        <v>0.41666666666666669</v>
      </c>
      <c r="AF280" s="176" t="s">
        <v>213</v>
      </c>
      <c r="AG280" s="176">
        <v>0.5</v>
      </c>
      <c r="AH280" s="176" t="s">
        <v>644</v>
      </c>
      <c r="AI280" s="176" t="s">
        <v>639</v>
      </c>
      <c r="AJ280" s="176" t="s">
        <v>639</v>
      </c>
      <c r="AK280" s="176" t="s">
        <v>638</v>
      </c>
      <c r="AL280" s="1191" t="s">
        <v>251</v>
      </c>
      <c r="AM280" s="176" t="s">
        <v>126</v>
      </c>
      <c r="AN280" s="176">
        <v>0.91100000000000003</v>
      </c>
      <c r="AO280" s="176">
        <v>1.7</v>
      </c>
      <c r="AP280" s="176">
        <v>24</v>
      </c>
      <c r="AQ280" s="176">
        <v>216</v>
      </c>
      <c r="AR280" s="176">
        <v>2.7</v>
      </c>
      <c r="AS280" s="193">
        <v>12751.084800000001</v>
      </c>
    </row>
    <row r="281" spans="1:45" ht="16.5" customHeight="1">
      <c r="A281" s="175">
        <v>46181</v>
      </c>
      <c r="B281" s="176" t="s">
        <v>219</v>
      </c>
      <c r="C281" s="176" t="s">
        <v>16766</v>
      </c>
      <c r="D281" s="176" t="s">
        <v>16769</v>
      </c>
      <c r="E281" s="176" t="s">
        <v>1472</v>
      </c>
      <c r="F281" s="176" t="s">
        <v>16217</v>
      </c>
      <c r="G281" s="176">
        <v>630</v>
      </c>
      <c r="H281" s="176" t="s">
        <v>629</v>
      </c>
      <c r="I281" s="176">
        <v>2</v>
      </c>
      <c r="J281" s="176">
        <v>8</v>
      </c>
      <c r="K281" s="176">
        <v>0</v>
      </c>
      <c r="L281" s="176">
        <v>9337</v>
      </c>
      <c r="M281" s="176">
        <v>9305</v>
      </c>
      <c r="R281" s="176">
        <v>10</v>
      </c>
      <c r="S281" s="176">
        <v>2</v>
      </c>
      <c r="T281" s="176">
        <v>9223</v>
      </c>
      <c r="U281" s="176">
        <v>9209</v>
      </c>
      <c r="V281" s="176">
        <v>16</v>
      </c>
      <c r="W281" s="176">
        <v>2</v>
      </c>
      <c r="X281" s="176">
        <v>9291</v>
      </c>
      <c r="Y281" s="176">
        <v>9234</v>
      </c>
      <c r="Z281" s="176">
        <v>2.4615384615384617</v>
      </c>
      <c r="AA281" s="176">
        <v>11.333333333333334</v>
      </c>
      <c r="AB281" s="176">
        <v>0.9921875</v>
      </c>
      <c r="AC281" s="176">
        <v>92.665000000000006</v>
      </c>
      <c r="AD281" s="176">
        <v>1.4166666666666667</v>
      </c>
      <c r="AE281" s="176">
        <v>1.25</v>
      </c>
      <c r="AF281" s="176" t="s">
        <v>213</v>
      </c>
      <c r="AG281" s="176">
        <v>1</v>
      </c>
      <c r="AH281" s="176" t="s">
        <v>644</v>
      </c>
      <c r="AI281" s="176" t="s">
        <v>639</v>
      </c>
      <c r="AJ281" s="176" t="s">
        <v>639</v>
      </c>
      <c r="AK281" s="176" t="s">
        <v>638</v>
      </c>
      <c r="AL281" s="1191" t="s">
        <v>251</v>
      </c>
      <c r="AM281" s="176" t="s">
        <v>951</v>
      </c>
      <c r="AN281" s="176">
        <v>0.56200000000000006</v>
      </c>
      <c r="AO281" s="176">
        <v>1.1000000000000001</v>
      </c>
      <c r="AP281" s="176">
        <v>24</v>
      </c>
      <c r="AQ281" s="176">
        <v>216</v>
      </c>
      <c r="AR281" s="176">
        <v>2.1</v>
      </c>
      <c r="AS281" s="193">
        <v>6118.1568000000007</v>
      </c>
    </row>
    <row r="282" spans="1:45" ht="16.5" customHeight="1">
      <c r="A282" s="175">
        <v>46181</v>
      </c>
      <c r="B282" s="176" t="s">
        <v>220</v>
      </c>
      <c r="C282" s="176" t="s">
        <v>640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640</v>
      </c>
      <c r="P282" s="176" t="s">
        <v>640</v>
      </c>
      <c r="T282" s="176" t="s">
        <v>640</v>
      </c>
      <c r="X282" s="176" t="s">
        <v>640</v>
      </c>
      <c r="Z282" s="176" t="s">
        <v>420</v>
      </c>
      <c r="AA282" s="176" t="s">
        <v>640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213</v>
      </c>
      <c r="AG282" s="176">
        <v>1</v>
      </c>
      <c r="AH282" s="176" t="s">
        <v>648</v>
      </c>
      <c r="AI282" s="176" t="s">
        <v>648</v>
      </c>
      <c r="AJ282" s="176" t="s">
        <v>648</v>
      </c>
      <c r="AK282" s="176" t="s">
        <v>648</v>
      </c>
      <c r="AL282" s="119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46181</v>
      </c>
      <c r="B283" s="176" t="s">
        <v>221</v>
      </c>
      <c r="C283" s="176" t="s">
        <v>16787</v>
      </c>
      <c r="E283" s="176" t="s">
        <v>624</v>
      </c>
      <c r="F283" s="176" t="s">
        <v>16747</v>
      </c>
      <c r="G283" s="176">
        <v>600</v>
      </c>
      <c r="H283" s="176" t="s">
        <v>476</v>
      </c>
      <c r="I283" s="176">
        <v>5</v>
      </c>
      <c r="J283" s="176">
        <v>20</v>
      </c>
      <c r="K283" s="176">
        <v>1</v>
      </c>
      <c r="L283" s="176">
        <v>8535</v>
      </c>
      <c r="M283" s="176">
        <v>8424</v>
      </c>
      <c r="R283" s="176">
        <v>23</v>
      </c>
      <c r="S283" s="176">
        <v>2</v>
      </c>
      <c r="T283" s="176">
        <v>8574</v>
      </c>
      <c r="U283" s="176">
        <v>8187</v>
      </c>
      <c r="V283" s="176">
        <v>17</v>
      </c>
      <c r="W283" s="176">
        <v>1</v>
      </c>
      <c r="X283" s="176">
        <v>8670</v>
      </c>
      <c r="Y283" s="176">
        <v>8540</v>
      </c>
      <c r="Z283" s="176">
        <v>2.8685258964143427</v>
      </c>
      <c r="AA283" s="176">
        <v>20</v>
      </c>
      <c r="AB283" s="176">
        <v>0.99329594017094014</v>
      </c>
      <c r="AC283" s="176">
        <v>84.88333333333334</v>
      </c>
      <c r="AD283" s="176">
        <v>2.5</v>
      </c>
      <c r="AE283" s="176">
        <v>2.3333333333333335</v>
      </c>
      <c r="AF283" s="176" t="s">
        <v>213</v>
      </c>
      <c r="AG283" s="176">
        <v>1</v>
      </c>
      <c r="AH283" s="176" t="s">
        <v>644</v>
      </c>
      <c r="AI283" s="176" t="s">
        <v>639</v>
      </c>
      <c r="AJ283" s="176" t="s">
        <v>639</v>
      </c>
      <c r="AK283" s="176" t="s">
        <v>638</v>
      </c>
      <c r="AL283" s="1191" t="s">
        <v>251</v>
      </c>
      <c r="AM283" s="176" t="s">
        <v>126</v>
      </c>
      <c r="AN283" s="176">
        <v>0.91100000000000003</v>
      </c>
      <c r="AO283" s="176">
        <v>3</v>
      </c>
      <c r="AP283" s="176">
        <v>24</v>
      </c>
      <c r="AQ283" s="176">
        <v>216</v>
      </c>
      <c r="AR283" s="176">
        <v>4</v>
      </c>
      <c r="AS283" s="193">
        <v>18890.495999999999</v>
      </c>
    </row>
    <row r="284" spans="1:45" ht="16.5" customHeight="1">
      <c r="A284" s="175">
        <v>46181</v>
      </c>
      <c r="B284" s="176" t="s">
        <v>222</v>
      </c>
      <c r="C284" s="176" t="s">
        <v>17282</v>
      </c>
      <c r="E284" s="176" t="s">
        <v>17283</v>
      </c>
      <c r="F284" s="176" t="s">
        <v>17284</v>
      </c>
      <c r="G284" s="176">
        <v>575</v>
      </c>
      <c r="H284" s="176" t="s">
        <v>468</v>
      </c>
      <c r="I284" s="176">
        <v>4</v>
      </c>
      <c r="J284" s="176">
        <v>13</v>
      </c>
      <c r="K284" s="176">
        <v>0</v>
      </c>
      <c r="L284" s="176">
        <v>9117</v>
      </c>
      <c r="M284" s="176">
        <v>9571</v>
      </c>
      <c r="R284" s="176">
        <v>25</v>
      </c>
      <c r="S284" s="176">
        <v>3</v>
      </c>
      <c r="T284" s="176">
        <v>9431</v>
      </c>
      <c r="U284" s="176">
        <v>9134</v>
      </c>
      <c r="V284" s="176">
        <v>37</v>
      </c>
      <c r="W284" s="176">
        <v>6</v>
      </c>
      <c r="X284" s="176">
        <v>9404</v>
      </c>
      <c r="Y284" s="176">
        <v>9092</v>
      </c>
      <c r="Z284" s="176">
        <v>1.1009174311926606</v>
      </c>
      <c r="AA284" s="176">
        <v>25</v>
      </c>
      <c r="AB284" s="176">
        <v>0.96069711538461533</v>
      </c>
      <c r="AC284" s="176">
        <v>92.915000000000006</v>
      </c>
      <c r="AD284" s="176">
        <v>3.125</v>
      </c>
      <c r="AE284" s="176">
        <v>2.75</v>
      </c>
      <c r="AF284" s="176" t="s">
        <v>213</v>
      </c>
      <c r="AG284" s="176">
        <v>1</v>
      </c>
      <c r="AH284" s="176" t="s">
        <v>644</v>
      </c>
      <c r="AI284" s="176" t="s">
        <v>639</v>
      </c>
      <c r="AJ284" s="176" t="s">
        <v>639</v>
      </c>
      <c r="AK284" s="176" t="s">
        <v>638</v>
      </c>
      <c r="AL284" s="1191" t="s">
        <v>251</v>
      </c>
      <c r="AM284" s="176" t="s">
        <v>126</v>
      </c>
      <c r="AN284" s="176">
        <v>0.91100000000000003</v>
      </c>
      <c r="AO284" s="176">
        <v>0.9</v>
      </c>
      <c r="AP284" s="176">
        <v>24</v>
      </c>
      <c r="AQ284" s="176">
        <v>216</v>
      </c>
      <c r="AR284" s="176">
        <v>1.9</v>
      </c>
      <c r="AS284" s="193">
        <v>8972.9856</v>
      </c>
    </row>
    <row r="285" spans="1:45" ht="16.5" customHeight="1">
      <c r="A285" s="175">
        <v>46181</v>
      </c>
      <c r="B285" s="176" t="s">
        <v>223</v>
      </c>
      <c r="C285" s="176" t="s">
        <v>640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640</v>
      </c>
      <c r="P285" s="176" t="s">
        <v>640</v>
      </c>
      <c r="T285" s="176" t="s">
        <v>640</v>
      </c>
      <c r="X285" s="176" t="s">
        <v>640</v>
      </c>
      <c r="Z285" s="176" t="s">
        <v>420</v>
      </c>
      <c r="AA285" s="176" t="s">
        <v>640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213</v>
      </c>
      <c r="AG285" s="176">
        <v>1</v>
      </c>
      <c r="AH285" s="176" t="s">
        <v>648</v>
      </c>
      <c r="AI285" s="176" t="s">
        <v>648</v>
      </c>
      <c r="AJ285" s="176" t="s">
        <v>648</v>
      </c>
      <c r="AK285" s="176" t="s">
        <v>648</v>
      </c>
      <c r="AL285" s="119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46181</v>
      </c>
      <c r="B286" s="176" t="s">
        <v>224</v>
      </c>
      <c r="C286" s="176" t="s">
        <v>640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640</v>
      </c>
      <c r="P286" s="176" t="s">
        <v>640</v>
      </c>
      <c r="T286" s="176" t="s">
        <v>640</v>
      </c>
      <c r="X286" s="176" t="s">
        <v>640</v>
      </c>
      <c r="Z286" s="176" t="s">
        <v>420</v>
      </c>
      <c r="AA286" s="176" t="s">
        <v>640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648</v>
      </c>
      <c r="AI286" s="176" t="s">
        <v>648</v>
      </c>
      <c r="AJ286" s="176" t="s">
        <v>648</v>
      </c>
      <c r="AK286" s="176" t="s">
        <v>648</v>
      </c>
      <c r="AL286" s="119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46181</v>
      </c>
      <c r="B287" s="176" t="s">
        <v>225</v>
      </c>
      <c r="C287" s="176" t="s">
        <v>17285</v>
      </c>
      <c r="E287" s="176" t="s">
        <v>17231</v>
      </c>
      <c r="F287" s="176" t="s">
        <v>17286</v>
      </c>
      <c r="G287" s="176">
        <v>650</v>
      </c>
      <c r="H287" s="176" t="s">
        <v>16749</v>
      </c>
      <c r="I287" s="176">
        <v>5</v>
      </c>
      <c r="J287" s="176">
        <v>13</v>
      </c>
      <c r="K287" s="176">
        <v>3</v>
      </c>
      <c r="L287" s="176">
        <v>9185</v>
      </c>
      <c r="M287" s="176">
        <v>8914</v>
      </c>
      <c r="R287" s="176">
        <v>18</v>
      </c>
      <c r="S287" s="176">
        <v>3</v>
      </c>
      <c r="T287" s="176">
        <v>9433</v>
      </c>
      <c r="U287" s="176">
        <v>9168</v>
      </c>
      <c r="V287" s="176">
        <v>18</v>
      </c>
      <c r="W287" s="176">
        <v>1</v>
      </c>
      <c r="X287" s="176">
        <v>9013</v>
      </c>
      <c r="Y287" s="176">
        <v>9071</v>
      </c>
      <c r="Z287" s="176">
        <v>3.0573248407643314</v>
      </c>
      <c r="AA287" s="176">
        <v>16.333333333333332</v>
      </c>
      <c r="AB287" s="176">
        <v>0.9889923878205128</v>
      </c>
      <c r="AC287" s="176">
        <v>91.306666666666658</v>
      </c>
      <c r="AD287" s="176">
        <v>2.0416666666666665</v>
      </c>
      <c r="AE287" s="176">
        <v>1.75</v>
      </c>
      <c r="AF287" s="176" t="s">
        <v>213</v>
      </c>
      <c r="AG287" s="176">
        <v>1</v>
      </c>
      <c r="AH287" s="176" t="s">
        <v>824</v>
      </c>
      <c r="AI287" s="176" t="s">
        <v>643</v>
      </c>
      <c r="AJ287" s="176" t="s">
        <v>643</v>
      </c>
      <c r="AK287" s="176" t="s">
        <v>645</v>
      </c>
      <c r="AL287" s="1191" t="s">
        <v>252</v>
      </c>
      <c r="AM287" s="176" t="s">
        <v>126</v>
      </c>
      <c r="AN287" s="176">
        <v>0.91100000000000003</v>
      </c>
      <c r="AO287" s="176">
        <v>3</v>
      </c>
      <c r="AP287" s="176">
        <v>24</v>
      </c>
      <c r="AQ287" s="176">
        <v>216</v>
      </c>
      <c r="AR287" s="176">
        <v>4</v>
      </c>
      <c r="AS287" s="193">
        <v>18890.495999999999</v>
      </c>
    </row>
    <row r="288" spans="1:45" ht="16.5" customHeight="1">
      <c r="A288" s="175">
        <v>46181</v>
      </c>
      <c r="B288" s="176" t="s">
        <v>226</v>
      </c>
      <c r="C288" s="176" t="s">
        <v>640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640</v>
      </c>
      <c r="P288" s="176" t="s">
        <v>640</v>
      </c>
      <c r="T288" s="176" t="s">
        <v>640</v>
      </c>
      <c r="X288" s="176" t="s">
        <v>640</v>
      </c>
      <c r="Z288" s="176" t="s">
        <v>420</v>
      </c>
      <c r="AA288" s="176" t="s">
        <v>640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648</v>
      </c>
      <c r="AI288" s="176" t="s">
        <v>648</v>
      </c>
      <c r="AJ288" s="176" t="s">
        <v>648</v>
      </c>
      <c r="AK288" s="176" t="s">
        <v>648</v>
      </c>
      <c r="AL288" s="119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46181</v>
      </c>
      <c r="B289" s="176" t="s">
        <v>227</v>
      </c>
      <c r="C289" s="176" t="s">
        <v>640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640</v>
      </c>
      <c r="P289" s="176" t="s">
        <v>640</v>
      </c>
      <c r="T289" s="176" t="s">
        <v>640</v>
      </c>
      <c r="X289" s="176" t="s">
        <v>640</v>
      </c>
      <c r="Z289" s="176" t="s">
        <v>420</v>
      </c>
      <c r="AA289" s="176" t="s">
        <v>640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648</v>
      </c>
      <c r="AI289" s="176" t="s">
        <v>648</v>
      </c>
      <c r="AJ289" s="176" t="s">
        <v>648</v>
      </c>
      <c r="AK289" s="176" t="s">
        <v>648</v>
      </c>
      <c r="AL289" s="119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46181</v>
      </c>
      <c r="B290" s="176" t="s">
        <v>228</v>
      </c>
      <c r="C290" s="176" t="s">
        <v>17446</v>
      </c>
      <c r="E290" s="176" t="s">
        <v>17447</v>
      </c>
      <c r="F290" s="176" t="s">
        <v>17448</v>
      </c>
      <c r="G290" s="176">
        <v>550</v>
      </c>
      <c r="H290" s="176" t="s">
        <v>16736</v>
      </c>
      <c r="I290" s="176">
        <v>5</v>
      </c>
      <c r="L290" s="176" t="s">
        <v>650</v>
      </c>
      <c r="P290" s="176" t="s">
        <v>650</v>
      </c>
      <c r="T290" s="176" t="s">
        <v>479</v>
      </c>
      <c r="V290" s="176">
        <v>40</v>
      </c>
      <c r="W290" s="176">
        <v>6</v>
      </c>
      <c r="X290" s="176">
        <v>6780</v>
      </c>
      <c r="Y290" s="176">
        <v>6871</v>
      </c>
      <c r="Z290" s="176">
        <v>5.161290322580645</v>
      </c>
      <c r="AA290" s="176" t="s">
        <v>650</v>
      </c>
      <c r="AB290" s="176" t="s">
        <v>420</v>
      </c>
      <c r="AC290" s="176" t="s">
        <v>420</v>
      </c>
      <c r="AD290" s="176" t="s">
        <v>420</v>
      </c>
      <c r="AE290" s="176" t="s">
        <v>420</v>
      </c>
      <c r="AF290" s="176" t="s">
        <v>213</v>
      </c>
      <c r="AG290" s="176">
        <v>0.5</v>
      </c>
      <c r="AH290" s="176" t="s">
        <v>648</v>
      </c>
      <c r="AI290" s="176" t="s">
        <v>648</v>
      </c>
      <c r="AJ290" s="176" t="s">
        <v>648</v>
      </c>
      <c r="AK290" s="176" t="s">
        <v>638</v>
      </c>
      <c r="AL290" s="1191" t="s">
        <v>251</v>
      </c>
      <c r="AM290" s="176" t="s">
        <v>651</v>
      </c>
      <c r="AN290" s="176">
        <v>1.859</v>
      </c>
      <c r="AO290" s="176">
        <v>2.8</v>
      </c>
      <c r="AP290" s="176">
        <v>24</v>
      </c>
      <c r="AQ290" s="176">
        <v>216</v>
      </c>
      <c r="AR290" s="176">
        <v>3.8</v>
      </c>
      <c r="AS290" s="193">
        <v>36620.8128</v>
      </c>
    </row>
    <row r="291" spans="1:45" ht="16.5" customHeight="1">
      <c r="A291" s="175">
        <v>46181</v>
      </c>
      <c r="B291" s="176" t="s">
        <v>229</v>
      </c>
      <c r="C291" s="176" t="s">
        <v>640</v>
      </c>
      <c r="E291" s="176" t="s">
        <v>420</v>
      </c>
      <c r="F291" s="176" t="s">
        <v>420</v>
      </c>
      <c r="G291" s="176" t="s">
        <v>420</v>
      </c>
      <c r="H291" s="176" t="s">
        <v>420</v>
      </c>
      <c r="I291" s="176" t="s">
        <v>420</v>
      </c>
      <c r="L291" s="176" t="s">
        <v>640</v>
      </c>
      <c r="P291" s="176" t="s">
        <v>640</v>
      </c>
      <c r="T291" s="176" t="s">
        <v>640</v>
      </c>
      <c r="X291" s="176" t="s">
        <v>640</v>
      </c>
      <c r="Z291" s="176" t="s">
        <v>420</v>
      </c>
      <c r="AA291" s="176" t="s">
        <v>640</v>
      </c>
      <c r="AB291" s="176" t="s">
        <v>420</v>
      </c>
      <c r="AC291" s="176" t="s">
        <v>420</v>
      </c>
      <c r="AD291" s="176" t="s">
        <v>420</v>
      </c>
      <c r="AE291" s="176" t="s">
        <v>420</v>
      </c>
      <c r="AF291" s="176" t="s">
        <v>213</v>
      </c>
      <c r="AG291" s="176">
        <v>1</v>
      </c>
      <c r="AH291" s="176" t="s">
        <v>648</v>
      </c>
      <c r="AI291" s="176" t="s">
        <v>648</v>
      </c>
      <c r="AJ291" s="176" t="s">
        <v>648</v>
      </c>
      <c r="AK291" s="176" t="s">
        <v>648</v>
      </c>
      <c r="AL291" s="1191" t="s">
        <v>420</v>
      </c>
      <c r="AM291" s="176" t="s">
        <v>420</v>
      </c>
      <c r="AN291" s="176" t="s">
        <v>420</v>
      </c>
      <c r="AO291" s="176" t="s">
        <v>420</v>
      </c>
      <c r="AP291" s="176">
        <v>24</v>
      </c>
      <c r="AQ291" s="176">
        <v>216</v>
      </c>
      <c r="AR291" s="176" t="s">
        <v>420</v>
      </c>
      <c r="AS291" s="193" t="s">
        <v>420</v>
      </c>
    </row>
    <row r="292" spans="1:45" ht="16.5" customHeight="1">
      <c r="A292" s="175">
        <v>46181</v>
      </c>
      <c r="B292" s="176" t="s">
        <v>230</v>
      </c>
      <c r="C292" s="176" t="s">
        <v>640</v>
      </c>
      <c r="E292" s="176" t="s">
        <v>420</v>
      </c>
      <c r="F292" s="176" t="s">
        <v>420</v>
      </c>
      <c r="G292" s="176" t="s">
        <v>420</v>
      </c>
      <c r="H292" s="176" t="s">
        <v>420</v>
      </c>
      <c r="I292" s="176" t="s">
        <v>420</v>
      </c>
      <c r="L292" s="176" t="s">
        <v>640</v>
      </c>
      <c r="P292" s="176" t="s">
        <v>640</v>
      </c>
      <c r="T292" s="176" t="s">
        <v>640</v>
      </c>
      <c r="X292" s="176" t="s">
        <v>640</v>
      </c>
      <c r="Z292" s="176" t="s">
        <v>420</v>
      </c>
      <c r="AA292" s="176" t="s">
        <v>640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648</v>
      </c>
      <c r="AI292" s="176" t="s">
        <v>648</v>
      </c>
      <c r="AJ292" s="176" t="s">
        <v>648</v>
      </c>
      <c r="AK292" s="176" t="s">
        <v>648</v>
      </c>
      <c r="AL292" s="1191" t="s">
        <v>420</v>
      </c>
      <c r="AM292" s="176" t="s">
        <v>420</v>
      </c>
      <c r="AN292" s="176" t="s">
        <v>420</v>
      </c>
      <c r="AO292" s="176" t="s">
        <v>420</v>
      </c>
      <c r="AP292" s="176">
        <v>24</v>
      </c>
      <c r="AQ292" s="176">
        <v>216</v>
      </c>
      <c r="AR292" s="176" t="s">
        <v>420</v>
      </c>
      <c r="AS292" s="193" t="s">
        <v>420</v>
      </c>
    </row>
    <row r="293" spans="1:45" ht="16.5" customHeight="1">
      <c r="A293" s="175">
        <v>46181</v>
      </c>
      <c r="B293" s="176" t="s">
        <v>231</v>
      </c>
      <c r="C293" s="176" t="s">
        <v>640</v>
      </c>
      <c r="E293" s="176" t="s">
        <v>420</v>
      </c>
      <c r="F293" s="176" t="s">
        <v>420</v>
      </c>
      <c r="G293" s="176" t="s">
        <v>420</v>
      </c>
      <c r="H293" s="176" t="s">
        <v>420</v>
      </c>
      <c r="I293" s="176" t="s">
        <v>420</v>
      </c>
      <c r="L293" s="176" t="s">
        <v>640</v>
      </c>
      <c r="P293" s="176" t="s">
        <v>640</v>
      </c>
      <c r="T293" s="176" t="s">
        <v>640</v>
      </c>
      <c r="X293" s="176" t="s">
        <v>640</v>
      </c>
      <c r="Z293" s="176" t="s">
        <v>420</v>
      </c>
      <c r="AA293" s="176" t="s">
        <v>640</v>
      </c>
      <c r="AB293" s="176" t="s">
        <v>420</v>
      </c>
      <c r="AC293" s="176" t="s">
        <v>420</v>
      </c>
      <c r="AD293" s="176" t="s">
        <v>420</v>
      </c>
      <c r="AE293" s="176" t="s">
        <v>420</v>
      </c>
      <c r="AF293" s="176" t="s">
        <v>232</v>
      </c>
      <c r="AG293" s="176">
        <v>1</v>
      </c>
      <c r="AH293" s="176" t="s">
        <v>648</v>
      </c>
      <c r="AI293" s="176" t="s">
        <v>648</v>
      </c>
      <c r="AJ293" s="176" t="s">
        <v>648</v>
      </c>
      <c r="AK293" s="176" t="s">
        <v>648</v>
      </c>
      <c r="AL293" s="1191" t="s">
        <v>420</v>
      </c>
      <c r="AM293" s="176" t="s">
        <v>420</v>
      </c>
      <c r="AN293" s="176" t="s">
        <v>420</v>
      </c>
      <c r="AO293" s="176" t="s">
        <v>420</v>
      </c>
      <c r="AP293" s="176">
        <v>24</v>
      </c>
      <c r="AQ293" s="176">
        <v>216</v>
      </c>
      <c r="AR293" s="176" t="s">
        <v>420</v>
      </c>
      <c r="AS293" s="193" t="s">
        <v>420</v>
      </c>
    </row>
    <row r="294" spans="1:45" ht="16.5" customHeight="1">
      <c r="A294" s="175">
        <v>46181</v>
      </c>
      <c r="B294" s="176" t="s">
        <v>233</v>
      </c>
      <c r="C294" s="176" t="s">
        <v>17336</v>
      </c>
      <c r="D294" s="176" t="s">
        <v>641</v>
      </c>
      <c r="E294" s="176" t="s">
        <v>16740</v>
      </c>
      <c r="F294" s="176" t="s">
        <v>17289</v>
      </c>
      <c r="G294" s="176">
        <v>600</v>
      </c>
      <c r="H294" s="176" t="s">
        <v>7798</v>
      </c>
      <c r="I294" s="176">
        <v>5.5</v>
      </c>
      <c r="J294" s="176">
        <v>15</v>
      </c>
      <c r="K294" s="176">
        <v>3</v>
      </c>
      <c r="L294" s="176">
        <v>6870</v>
      </c>
      <c r="R294" s="176">
        <v>39</v>
      </c>
      <c r="S294" s="176">
        <v>1</v>
      </c>
      <c r="T294" s="176">
        <v>7130</v>
      </c>
      <c r="V294" s="176">
        <v>34</v>
      </c>
      <c r="W294" s="176">
        <v>12</v>
      </c>
      <c r="X294" s="176">
        <v>6640</v>
      </c>
      <c r="Z294" s="176">
        <v>5.8536585365853666</v>
      </c>
      <c r="AA294" s="176">
        <v>29.333333333333332</v>
      </c>
      <c r="AB294" s="176">
        <v>0.98685897435897441</v>
      </c>
      <c r="AC294" s="176">
        <v>68.8</v>
      </c>
      <c r="AD294" s="176">
        <v>3.6666666666666665</v>
      </c>
      <c r="AE294" s="176">
        <v>3</v>
      </c>
      <c r="AF294" s="176" t="s">
        <v>232</v>
      </c>
      <c r="AG294" s="176">
        <v>1</v>
      </c>
      <c r="AH294" s="176" t="s">
        <v>824</v>
      </c>
      <c r="AI294" s="176" t="s">
        <v>646</v>
      </c>
      <c r="AJ294" s="176" t="s">
        <v>646</v>
      </c>
      <c r="AK294" s="176" t="s">
        <v>645</v>
      </c>
      <c r="AL294" s="1191" t="s">
        <v>251</v>
      </c>
      <c r="AM294" s="176" t="s">
        <v>651</v>
      </c>
      <c r="AN294" s="176">
        <v>1.859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29874.873599999999</v>
      </c>
    </row>
    <row r="295" spans="1:45" ht="16.5" customHeight="1">
      <c r="A295" s="175">
        <v>46181</v>
      </c>
      <c r="B295" s="176" t="s">
        <v>234</v>
      </c>
      <c r="C295" s="176" t="s">
        <v>640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640</v>
      </c>
      <c r="P295" s="176" t="s">
        <v>640</v>
      </c>
      <c r="T295" s="176" t="s">
        <v>640</v>
      </c>
      <c r="X295" s="176" t="s">
        <v>640</v>
      </c>
      <c r="Z295" s="176" t="s">
        <v>420</v>
      </c>
      <c r="AA295" s="176" t="s">
        <v>640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232</v>
      </c>
      <c r="AG295" s="176">
        <v>1</v>
      </c>
      <c r="AH295" s="176" t="s">
        <v>648</v>
      </c>
      <c r="AI295" s="176" t="s">
        <v>648</v>
      </c>
      <c r="AJ295" s="176" t="s">
        <v>648</v>
      </c>
      <c r="AK295" s="176" t="s">
        <v>648</v>
      </c>
      <c r="AL295" s="119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46181</v>
      </c>
      <c r="B296" s="176" t="s">
        <v>235</v>
      </c>
      <c r="C296" s="176" t="s">
        <v>17287</v>
      </c>
      <c r="D296" s="176" t="s">
        <v>641</v>
      </c>
      <c r="E296" s="176" t="s">
        <v>16740</v>
      </c>
      <c r="F296" s="176" t="s">
        <v>17269</v>
      </c>
      <c r="G296" s="176">
        <v>700</v>
      </c>
      <c r="H296" s="176" t="s">
        <v>1032</v>
      </c>
      <c r="I296" s="176">
        <v>5.5</v>
      </c>
      <c r="J296" s="176">
        <v>47</v>
      </c>
      <c r="K296" s="176">
        <v>0</v>
      </c>
      <c r="L296" s="176">
        <v>8800</v>
      </c>
      <c r="M296" s="176">
        <v>8330</v>
      </c>
      <c r="R296" s="176">
        <v>44</v>
      </c>
      <c r="S296" s="176">
        <v>3</v>
      </c>
      <c r="T296" s="176">
        <v>9440</v>
      </c>
      <c r="U296" s="176">
        <v>8890</v>
      </c>
      <c r="V296" s="176">
        <v>36</v>
      </c>
      <c r="W296" s="176">
        <v>6</v>
      </c>
      <c r="X296" s="176">
        <v>9540</v>
      </c>
      <c r="Y296" s="176">
        <v>9260</v>
      </c>
      <c r="Z296" s="176">
        <v>5.8299595141700413</v>
      </c>
      <c r="AA296" s="176">
        <v>42.333333333333336</v>
      </c>
      <c r="AB296" s="176">
        <v>0.99257812499999998</v>
      </c>
      <c r="AC296" s="176">
        <v>90.433333333333337</v>
      </c>
      <c r="AD296" s="176">
        <v>5.291666666666667</v>
      </c>
      <c r="AE296" s="176">
        <v>4.916666666666667</v>
      </c>
      <c r="AF296" s="176" t="s">
        <v>236</v>
      </c>
      <c r="AG296" s="176">
        <v>1</v>
      </c>
      <c r="AH296" s="176" t="s">
        <v>15346</v>
      </c>
      <c r="AI296" s="176" t="s">
        <v>647</v>
      </c>
      <c r="AJ296" s="176" t="s">
        <v>647</v>
      </c>
      <c r="AK296" s="176" t="s">
        <v>15890</v>
      </c>
      <c r="AL296" s="1191" t="s">
        <v>252</v>
      </c>
      <c r="AM296" s="176" t="s">
        <v>462</v>
      </c>
      <c r="AN296" s="176">
        <v>1.1890000000000001</v>
      </c>
      <c r="AO296" s="176">
        <v>3</v>
      </c>
      <c r="AP296" s="176">
        <v>24</v>
      </c>
      <c r="AQ296" s="176">
        <v>216</v>
      </c>
      <c r="AR296" s="176">
        <v>4</v>
      </c>
      <c r="AS296" s="193">
        <v>24655.103999999999</v>
      </c>
    </row>
    <row r="297" spans="1:45" ht="16.5" customHeight="1">
      <c r="A297" s="175">
        <v>46181</v>
      </c>
      <c r="B297" s="176" t="s">
        <v>237</v>
      </c>
      <c r="C297" s="176" t="s">
        <v>17288</v>
      </c>
      <c r="D297" s="176" t="s">
        <v>641</v>
      </c>
      <c r="E297" s="176" t="s">
        <v>16740</v>
      </c>
      <c r="F297" s="176" t="s">
        <v>17289</v>
      </c>
      <c r="G297" s="176">
        <v>700</v>
      </c>
      <c r="H297" s="176" t="s">
        <v>957</v>
      </c>
      <c r="I297" s="176">
        <v>5.5</v>
      </c>
      <c r="J297" s="176">
        <v>0</v>
      </c>
      <c r="K297" s="176">
        <v>0</v>
      </c>
      <c r="L297" s="176">
        <v>7360</v>
      </c>
      <c r="M297" s="176">
        <v>7500</v>
      </c>
      <c r="R297" s="176">
        <v>62</v>
      </c>
      <c r="S297" s="176">
        <v>10</v>
      </c>
      <c r="T297" s="176">
        <v>9070</v>
      </c>
      <c r="U297" s="176">
        <v>8430</v>
      </c>
      <c r="V297" s="176">
        <v>23</v>
      </c>
      <c r="W297" s="176">
        <v>0</v>
      </c>
      <c r="X297" s="176">
        <v>7820</v>
      </c>
      <c r="Y297" s="176">
        <v>9440</v>
      </c>
      <c r="Z297" s="176">
        <v>5.8299595141700413</v>
      </c>
      <c r="AA297" s="176">
        <v>28.333333333333332</v>
      </c>
      <c r="AB297" s="176">
        <v>0.99175347222222221</v>
      </c>
      <c r="AC297" s="176">
        <v>82.7</v>
      </c>
      <c r="AD297" s="176">
        <v>3.5416666666666665</v>
      </c>
      <c r="AE297" s="176">
        <v>3.125</v>
      </c>
      <c r="AF297" s="176" t="s">
        <v>236</v>
      </c>
      <c r="AG297" s="176">
        <v>1</v>
      </c>
      <c r="AH297" s="176" t="s">
        <v>15346</v>
      </c>
      <c r="AI297" s="176" t="s">
        <v>647</v>
      </c>
      <c r="AJ297" s="176" t="s">
        <v>647</v>
      </c>
      <c r="AK297" s="176" t="s">
        <v>844</v>
      </c>
      <c r="AL297" s="1191" t="s">
        <v>251</v>
      </c>
      <c r="AM297" s="176" t="s">
        <v>462</v>
      </c>
      <c r="AN297" s="176">
        <v>1.1890000000000001</v>
      </c>
      <c r="AO297" s="176">
        <v>2.9</v>
      </c>
      <c r="AP297" s="176">
        <v>24</v>
      </c>
      <c r="AQ297" s="176">
        <v>216</v>
      </c>
      <c r="AR297" s="176">
        <v>3.9</v>
      </c>
      <c r="AS297" s="193">
        <v>24038.7264</v>
      </c>
    </row>
    <row r="298" spans="1:45" ht="16.5" customHeight="1">
      <c r="A298" s="175">
        <v>46181</v>
      </c>
      <c r="B298" s="176" t="s">
        <v>238</v>
      </c>
      <c r="C298" s="176" t="s">
        <v>16764</v>
      </c>
      <c r="E298" s="176" t="s">
        <v>16740</v>
      </c>
      <c r="F298" s="176" t="s">
        <v>16771</v>
      </c>
      <c r="G298" s="176">
        <v>670</v>
      </c>
      <c r="H298" s="176" t="s">
        <v>721</v>
      </c>
      <c r="I298" s="176">
        <v>5</v>
      </c>
      <c r="J298" s="176">
        <v>34</v>
      </c>
      <c r="K298" s="176">
        <v>0</v>
      </c>
      <c r="L298" s="176">
        <v>7310</v>
      </c>
      <c r="R298" s="176">
        <v>29</v>
      </c>
      <c r="S298" s="176">
        <v>0</v>
      </c>
      <c r="T298" s="176">
        <v>7310</v>
      </c>
      <c r="V298" s="176">
        <v>31</v>
      </c>
      <c r="W298" s="176">
        <v>2</v>
      </c>
      <c r="X298" s="176">
        <v>8700</v>
      </c>
      <c r="Z298" s="176">
        <v>6.2882096069868991</v>
      </c>
      <c r="AA298" s="176">
        <v>62.666666666666664</v>
      </c>
      <c r="AB298" s="176">
        <v>0.9984708867521368</v>
      </c>
      <c r="AC298" s="176">
        <v>77.733333333333334</v>
      </c>
      <c r="AD298" s="176">
        <v>7.833333333333333</v>
      </c>
      <c r="AE298" s="176">
        <v>7.666666666666667</v>
      </c>
      <c r="AF298" s="176" t="s">
        <v>236</v>
      </c>
      <c r="AG298" s="176">
        <v>2</v>
      </c>
      <c r="AH298" s="176" t="s">
        <v>659</v>
      </c>
      <c r="AI298" s="176" t="s">
        <v>660</v>
      </c>
      <c r="AJ298" s="176" t="s">
        <v>660</v>
      </c>
      <c r="AK298" s="176" t="s">
        <v>15890</v>
      </c>
      <c r="AL298" s="1191" t="s">
        <v>251</v>
      </c>
      <c r="AM298" s="176" t="s">
        <v>462</v>
      </c>
      <c r="AN298" s="176">
        <v>1.1890000000000001</v>
      </c>
      <c r="AO298" s="176">
        <v>1.7</v>
      </c>
      <c r="AP298" s="176">
        <v>24</v>
      </c>
      <c r="AQ298" s="176">
        <v>216</v>
      </c>
      <c r="AR298" s="176">
        <v>2.7</v>
      </c>
      <c r="AS298" s="193">
        <v>16642.195200000002</v>
      </c>
    </row>
    <row r="299" spans="1:45" ht="16.5" customHeight="1">
      <c r="A299" s="175">
        <v>46181</v>
      </c>
      <c r="B299" s="176" t="s">
        <v>238</v>
      </c>
      <c r="C299" s="176" t="s">
        <v>16763</v>
      </c>
      <c r="E299" s="176" t="s">
        <v>16740</v>
      </c>
      <c r="F299" s="176" t="s">
        <v>16771</v>
      </c>
      <c r="G299" s="176">
        <v>670</v>
      </c>
      <c r="H299" s="176" t="s">
        <v>655</v>
      </c>
      <c r="I299" s="176">
        <v>5</v>
      </c>
      <c r="J299" s="176">
        <v>30</v>
      </c>
      <c r="K299" s="176">
        <v>0</v>
      </c>
      <c r="M299" s="176">
        <v>7870</v>
      </c>
      <c r="R299" s="176">
        <v>29</v>
      </c>
      <c r="S299" s="176">
        <v>0</v>
      </c>
      <c r="U299" s="176">
        <v>8800</v>
      </c>
      <c r="V299" s="176">
        <v>18</v>
      </c>
      <c r="W299" s="176">
        <v>0</v>
      </c>
      <c r="Y299" s="176">
        <v>8060</v>
      </c>
      <c r="Z299" s="176">
        <v>6.1802575107296125</v>
      </c>
      <c r="AA299" s="176">
        <v>51.333333333333336</v>
      </c>
      <c r="AB299" s="176">
        <v>1</v>
      </c>
      <c r="AC299" s="176">
        <v>82.433333333333337</v>
      </c>
      <c r="AD299" s="176">
        <v>6.416666666666667</v>
      </c>
      <c r="AE299" s="176">
        <v>6.416666666666667</v>
      </c>
      <c r="AF299" s="176" t="s">
        <v>236</v>
      </c>
      <c r="AG299" s="176">
        <v>2</v>
      </c>
      <c r="AH299" s="176" t="s">
        <v>659</v>
      </c>
      <c r="AI299" s="176" t="s">
        <v>660</v>
      </c>
      <c r="AJ299" s="176" t="s">
        <v>660</v>
      </c>
      <c r="AK299" s="176" t="s">
        <v>15890</v>
      </c>
      <c r="AM299" s="176" t="s">
        <v>462</v>
      </c>
      <c r="AN299" s="176">
        <v>1.1890000000000001</v>
      </c>
      <c r="AO299" s="176">
        <v>2.4</v>
      </c>
      <c r="AP299" s="176">
        <v>24</v>
      </c>
      <c r="AQ299" s="176">
        <v>216</v>
      </c>
      <c r="AR299" s="176">
        <v>3.4</v>
      </c>
      <c r="AS299" s="193">
        <v>20956.838400000001</v>
      </c>
    </row>
    <row r="300" spans="1:45" ht="16.5" customHeight="1">
      <c r="A300" s="175">
        <v>46181</v>
      </c>
      <c r="B300" s="176" t="s">
        <v>239</v>
      </c>
      <c r="C300" s="176" t="s">
        <v>17407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J300" s="176">
        <v>15</v>
      </c>
      <c r="K300" s="176">
        <v>0</v>
      </c>
      <c r="L300" s="176">
        <v>5560</v>
      </c>
      <c r="R300" s="176">
        <v>14</v>
      </c>
      <c r="S300" s="176">
        <v>0</v>
      </c>
      <c r="T300" s="176">
        <v>5740</v>
      </c>
      <c r="V300" s="176">
        <v>18</v>
      </c>
      <c r="W300" s="176">
        <v>0</v>
      </c>
      <c r="X300" s="176">
        <v>6300</v>
      </c>
      <c r="Z300" s="176" t="s">
        <v>420</v>
      </c>
      <c r="AA300" s="176">
        <v>31.333333333333332</v>
      </c>
      <c r="AB300" s="176" t="s">
        <v>420</v>
      </c>
      <c r="AC300" s="176">
        <v>58.666666666666671</v>
      </c>
      <c r="AD300" s="176">
        <v>3.9166666666666665</v>
      </c>
      <c r="AE300" s="176">
        <v>3.9166666666666665</v>
      </c>
      <c r="AF300" s="176" t="s">
        <v>236</v>
      </c>
      <c r="AG300" s="176">
        <v>2</v>
      </c>
      <c r="AH300" s="176" t="s">
        <v>15346</v>
      </c>
      <c r="AI300" s="176" t="s">
        <v>647</v>
      </c>
      <c r="AJ300" s="176" t="s">
        <v>647</v>
      </c>
      <c r="AK300" s="176" t="s">
        <v>844</v>
      </c>
      <c r="AL300" s="119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46181</v>
      </c>
      <c r="B301" s="176" t="s">
        <v>239</v>
      </c>
      <c r="C301" s="176" t="s">
        <v>17412</v>
      </c>
      <c r="D301" s="176" t="s">
        <v>641</v>
      </c>
      <c r="E301" s="176" t="s">
        <v>16744</v>
      </c>
      <c r="F301" s="176" t="s">
        <v>17414</v>
      </c>
      <c r="G301" s="176">
        <v>550</v>
      </c>
      <c r="H301" s="176" t="s">
        <v>877</v>
      </c>
      <c r="I301" s="176">
        <v>5.5</v>
      </c>
      <c r="L301" s="176" t="s">
        <v>650</v>
      </c>
      <c r="P301" s="176" t="s">
        <v>650</v>
      </c>
      <c r="T301" s="176" t="s">
        <v>479</v>
      </c>
      <c r="V301" s="176">
        <v>0</v>
      </c>
      <c r="W301" s="176">
        <v>0</v>
      </c>
      <c r="Y301" s="176">
        <v>6300</v>
      </c>
      <c r="Z301" s="176">
        <v>6.6055045871559646</v>
      </c>
      <c r="AA301" s="176" t="s">
        <v>650</v>
      </c>
      <c r="AB301" s="176" t="s">
        <v>420</v>
      </c>
      <c r="AC301" s="176" t="s">
        <v>420</v>
      </c>
      <c r="AD301" s="176" t="s">
        <v>420</v>
      </c>
      <c r="AE301" s="176" t="s">
        <v>420</v>
      </c>
      <c r="AF301" s="176" t="s">
        <v>236</v>
      </c>
      <c r="AG301" s="176">
        <v>2</v>
      </c>
      <c r="AH301" s="176" t="s">
        <v>15346</v>
      </c>
      <c r="AI301" s="176" t="s">
        <v>647</v>
      </c>
      <c r="AJ301" s="176" t="s">
        <v>647</v>
      </c>
      <c r="AK301" s="176" t="s">
        <v>844</v>
      </c>
      <c r="AL301" s="1191" t="s">
        <v>252</v>
      </c>
      <c r="AM301" s="176" t="s">
        <v>651</v>
      </c>
      <c r="AN301" s="176">
        <v>1.859</v>
      </c>
      <c r="AO301" s="176">
        <v>3.3</v>
      </c>
      <c r="AP301" s="176">
        <v>24</v>
      </c>
      <c r="AQ301" s="176">
        <v>216</v>
      </c>
      <c r="AR301" s="176">
        <v>4.3</v>
      </c>
      <c r="AS301" s="193">
        <v>41439.340799999998</v>
      </c>
    </row>
    <row r="302" spans="1:45" ht="16.5" customHeight="1">
      <c r="A302" s="175">
        <v>46181</v>
      </c>
      <c r="B302" s="176" t="s">
        <v>389</v>
      </c>
      <c r="C302" s="176" t="s">
        <v>17403</v>
      </c>
      <c r="D302" s="176" t="s">
        <v>641</v>
      </c>
      <c r="E302" s="176" t="s">
        <v>16740</v>
      </c>
      <c r="F302" s="176" t="s">
        <v>17269</v>
      </c>
      <c r="G302" s="176">
        <v>700</v>
      </c>
      <c r="H302" s="176" t="s">
        <v>840</v>
      </c>
      <c r="I302" s="176">
        <v>5.5</v>
      </c>
      <c r="J302" s="176">
        <v>25</v>
      </c>
      <c r="K302" s="176">
        <v>0</v>
      </c>
      <c r="L302" s="176">
        <v>7310</v>
      </c>
      <c r="M302" s="176">
        <v>9170</v>
      </c>
      <c r="R302" s="176">
        <v>25</v>
      </c>
      <c r="S302" s="176">
        <v>0</v>
      </c>
      <c r="T302" s="176">
        <v>6020</v>
      </c>
      <c r="U302" s="176">
        <v>8800</v>
      </c>
      <c r="V302" s="176">
        <v>41</v>
      </c>
      <c r="W302" s="176">
        <v>13</v>
      </c>
      <c r="X302" s="176">
        <v>7310</v>
      </c>
      <c r="Y302" s="176">
        <v>9440</v>
      </c>
      <c r="Z302" s="176">
        <v>5.8299595141700413</v>
      </c>
      <c r="AA302" s="176">
        <v>30.333333333333332</v>
      </c>
      <c r="AB302" s="176">
        <v>0.98927951388888891</v>
      </c>
      <c r="AC302" s="176">
        <v>80.083333333333329</v>
      </c>
      <c r="AD302" s="176">
        <v>3.7916666666666665</v>
      </c>
      <c r="AE302" s="176">
        <v>3.25</v>
      </c>
      <c r="AF302" s="176" t="s">
        <v>236</v>
      </c>
      <c r="AG302" s="176">
        <v>1</v>
      </c>
      <c r="AH302" s="176" t="s">
        <v>659</v>
      </c>
      <c r="AI302" s="176" t="s">
        <v>660</v>
      </c>
      <c r="AJ302" s="176" t="s">
        <v>660</v>
      </c>
      <c r="AK302" s="176" t="s">
        <v>15890</v>
      </c>
      <c r="AL302" s="1191" t="s">
        <v>252</v>
      </c>
      <c r="AM302" s="176" t="s">
        <v>462</v>
      </c>
      <c r="AN302" s="176">
        <v>1.1890000000000001</v>
      </c>
      <c r="AO302" s="176">
        <v>2.8</v>
      </c>
      <c r="AP302" s="176">
        <v>24</v>
      </c>
      <c r="AQ302" s="176">
        <v>216</v>
      </c>
      <c r="AR302" s="176">
        <v>3.8</v>
      </c>
      <c r="AS302" s="193">
        <v>23422.3488</v>
      </c>
    </row>
    <row r="303" spans="1:45" ht="16.5" customHeight="1">
      <c r="A303" s="175">
        <v>46181</v>
      </c>
      <c r="B303" s="176" t="s">
        <v>418</v>
      </c>
      <c r="C303" s="176" t="s">
        <v>17262</v>
      </c>
      <c r="D303" s="176" t="s">
        <v>641</v>
      </c>
      <c r="E303" s="176" t="s">
        <v>16740</v>
      </c>
      <c r="F303" s="176" t="s">
        <v>17269</v>
      </c>
      <c r="G303" s="176">
        <v>700</v>
      </c>
      <c r="H303" s="176" t="s">
        <v>812</v>
      </c>
      <c r="I303" s="176">
        <v>5.5</v>
      </c>
      <c r="J303" s="176">
        <v>28</v>
      </c>
      <c r="K303" s="176">
        <v>0</v>
      </c>
      <c r="L303" s="176">
        <v>8610</v>
      </c>
      <c r="M303" s="176">
        <v>7960</v>
      </c>
      <c r="R303" s="176">
        <v>41</v>
      </c>
      <c r="S303" s="176">
        <v>0</v>
      </c>
      <c r="T303" s="176">
        <v>9170</v>
      </c>
      <c r="U303" s="176">
        <v>8060</v>
      </c>
      <c r="V303" s="176">
        <v>23</v>
      </c>
      <c r="W303" s="176">
        <v>0</v>
      </c>
      <c r="X303" s="176">
        <v>8330</v>
      </c>
      <c r="Y303" s="176">
        <v>9170</v>
      </c>
      <c r="Z303" s="176">
        <v>5.8299595141700413</v>
      </c>
      <c r="AA303" s="176">
        <v>30.666666666666668</v>
      </c>
      <c r="AB303" s="176">
        <v>1</v>
      </c>
      <c r="AC303" s="176">
        <v>85.5</v>
      </c>
      <c r="AD303" s="176">
        <v>3.8333333333333335</v>
      </c>
      <c r="AE303" s="176">
        <v>3.8333333333333335</v>
      </c>
      <c r="AF303" s="176" t="s">
        <v>236</v>
      </c>
      <c r="AG303" s="176">
        <v>1</v>
      </c>
      <c r="AH303" s="176" t="s">
        <v>659</v>
      </c>
      <c r="AI303" s="176" t="s">
        <v>660</v>
      </c>
      <c r="AJ303" s="176" t="s">
        <v>660</v>
      </c>
      <c r="AK303" s="176" t="s">
        <v>844</v>
      </c>
      <c r="AL303" s="1191" t="s">
        <v>252</v>
      </c>
      <c r="AM303" s="176" t="s">
        <v>462</v>
      </c>
      <c r="AN303" s="176">
        <v>1.1890000000000001</v>
      </c>
      <c r="AO303" s="176">
        <v>2.8</v>
      </c>
      <c r="AP303" s="176">
        <v>24</v>
      </c>
      <c r="AQ303" s="176">
        <v>216</v>
      </c>
      <c r="AR303" s="176">
        <v>3.8</v>
      </c>
      <c r="AS303" s="193">
        <v>23422.3488</v>
      </c>
    </row>
    <row r="304" spans="1:45" ht="16.5" customHeight="1">
      <c r="A304" s="175">
        <v>46181</v>
      </c>
      <c r="B304" s="176" t="s">
        <v>240</v>
      </c>
      <c r="C304" s="176" t="s">
        <v>640</v>
      </c>
      <c r="E304" s="176" t="s">
        <v>420</v>
      </c>
      <c r="F304" s="176" t="s">
        <v>420</v>
      </c>
      <c r="G304" s="176" t="s">
        <v>420</v>
      </c>
      <c r="H304" s="176" t="s">
        <v>420</v>
      </c>
      <c r="I304" s="176" t="s">
        <v>420</v>
      </c>
      <c r="L304" s="176" t="s">
        <v>640</v>
      </c>
      <c r="P304" s="176" t="s">
        <v>640</v>
      </c>
      <c r="T304" s="176" t="s">
        <v>640</v>
      </c>
      <c r="X304" s="176" t="s">
        <v>640</v>
      </c>
      <c r="Z304" s="176" t="s">
        <v>420</v>
      </c>
      <c r="AA304" s="176" t="s">
        <v>640</v>
      </c>
      <c r="AB304" s="176" t="s">
        <v>420</v>
      </c>
      <c r="AC304" s="176" t="s">
        <v>420</v>
      </c>
      <c r="AD304" s="176" t="s">
        <v>420</v>
      </c>
      <c r="AE304" s="176" t="s">
        <v>420</v>
      </c>
      <c r="AF304" s="176" t="s">
        <v>241</v>
      </c>
      <c r="AG304" s="176">
        <v>12</v>
      </c>
      <c r="AH304" s="176" t="s">
        <v>824</v>
      </c>
      <c r="AI304" s="176" t="s">
        <v>643</v>
      </c>
      <c r="AJ304" s="176" t="s">
        <v>643</v>
      </c>
      <c r="AK304" s="176" t="s">
        <v>648</v>
      </c>
      <c r="AL304" s="1191" t="s">
        <v>420</v>
      </c>
      <c r="AM304" s="176" t="s">
        <v>420</v>
      </c>
      <c r="AN304" s="176" t="s">
        <v>420</v>
      </c>
      <c r="AO304" s="176" t="s">
        <v>420</v>
      </c>
      <c r="AP304" s="176">
        <v>24</v>
      </c>
      <c r="AQ304" s="176">
        <v>216</v>
      </c>
      <c r="AR304" s="176" t="s">
        <v>420</v>
      </c>
      <c r="AS304" s="193" t="s">
        <v>420</v>
      </c>
    </row>
    <row r="305" spans="1:45" ht="16.5" customHeight="1">
      <c r="A305" s="175">
        <v>46181</v>
      </c>
      <c r="B305" s="176" t="s">
        <v>242</v>
      </c>
      <c r="C305" s="176" t="s">
        <v>386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386</v>
      </c>
      <c r="P305" s="176" t="s">
        <v>386</v>
      </c>
      <c r="T305" s="176" t="s">
        <v>386</v>
      </c>
      <c r="X305" s="176" t="s">
        <v>386</v>
      </c>
      <c r="Z305" s="176" t="s">
        <v>420</v>
      </c>
      <c r="AA305" s="176" t="s">
        <v>386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241</v>
      </c>
      <c r="AG305" s="176">
        <v>5</v>
      </c>
      <c r="AH305" s="176" t="s">
        <v>824</v>
      </c>
      <c r="AI305" s="176" t="s">
        <v>643</v>
      </c>
      <c r="AJ305" s="176" t="s">
        <v>643</v>
      </c>
      <c r="AK305" s="176" t="s">
        <v>648</v>
      </c>
      <c r="AL305" s="119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46181</v>
      </c>
      <c r="B306" s="176" t="s">
        <v>16092</v>
      </c>
      <c r="C306" s="176" t="s">
        <v>16203</v>
      </c>
      <c r="E306" s="176" t="s">
        <v>420</v>
      </c>
      <c r="F306" s="176" t="s">
        <v>420</v>
      </c>
      <c r="G306" s="176" t="s">
        <v>420</v>
      </c>
      <c r="H306" s="176" t="s">
        <v>420</v>
      </c>
      <c r="I306" s="176" t="s">
        <v>420</v>
      </c>
      <c r="L306" s="176" t="s">
        <v>640</v>
      </c>
      <c r="P306" s="176" t="s">
        <v>640</v>
      </c>
      <c r="T306" s="176" t="s">
        <v>640</v>
      </c>
      <c r="X306" s="176" t="s">
        <v>640</v>
      </c>
      <c r="Z306" s="176" t="s">
        <v>420</v>
      </c>
      <c r="AA306" s="176" t="s">
        <v>640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243</v>
      </c>
      <c r="AG306" s="176">
        <v>1</v>
      </c>
      <c r="AH306" s="176" t="s">
        <v>648</v>
      </c>
      <c r="AI306" s="176" t="s">
        <v>648</v>
      </c>
      <c r="AJ306" s="176" t="s">
        <v>648</v>
      </c>
      <c r="AK306" s="176" t="s">
        <v>648</v>
      </c>
      <c r="AL306" s="1191" t="s">
        <v>420</v>
      </c>
      <c r="AM306" s="176" t="s">
        <v>420</v>
      </c>
      <c r="AN306" s="176" t="s">
        <v>420</v>
      </c>
      <c r="AO306" s="176" t="s">
        <v>420</v>
      </c>
      <c r="AP306" s="176">
        <v>24</v>
      </c>
      <c r="AQ306" s="176">
        <v>216</v>
      </c>
      <c r="AR306" s="176" t="s">
        <v>420</v>
      </c>
      <c r="AS306" s="193" t="s">
        <v>420</v>
      </c>
    </row>
    <row r="307" spans="1:45" ht="16.5" customHeight="1">
      <c r="A307" s="175">
        <v>46181</v>
      </c>
      <c r="B307" s="176" t="s">
        <v>244</v>
      </c>
      <c r="C307" s="176" t="s">
        <v>16203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640</v>
      </c>
      <c r="P307" s="176" t="s">
        <v>640</v>
      </c>
      <c r="T307" s="176" t="s">
        <v>640</v>
      </c>
      <c r="X307" s="176" t="s">
        <v>640</v>
      </c>
      <c r="Z307" s="176" t="s">
        <v>420</v>
      </c>
      <c r="AA307" s="176" t="s">
        <v>640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243</v>
      </c>
      <c r="AG307" s="176">
        <v>1</v>
      </c>
      <c r="AH307" s="176" t="s">
        <v>648</v>
      </c>
      <c r="AI307" s="176" t="s">
        <v>648</v>
      </c>
      <c r="AJ307" s="176" t="s">
        <v>648</v>
      </c>
      <c r="AK307" s="176" t="s">
        <v>648</v>
      </c>
      <c r="AL307" s="119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46181</v>
      </c>
      <c r="B308" s="176" t="s">
        <v>245</v>
      </c>
      <c r="C308" s="176" t="s">
        <v>16203</v>
      </c>
      <c r="E308" s="176" t="s">
        <v>420</v>
      </c>
      <c r="F308" s="176" t="s">
        <v>420</v>
      </c>
      <c r="G308" s="176" t="s">
        <v>420</v>
      </c>
      <c r="H308" s="176" t="s">
        <v>420</v>
      </c>
      <c r="I308" s="176" t="s">
        <v>420</v>
      </c>
      <c r="L308" s="176" t="s">
        <v>640</v>
      </c>
      <c r="P308" s="176" t="s">
        <v>640</v>
      </c>
      <c r="T308" s="176" t="s">
        <v>640</v>
      </c>
      <c r="X308" s="176" t="s">
        <v>640</v>
      </c>
      <c r="Z308" s="176" t="s">
        <v>420</v>
      </c>
      <c r="AA308" s="176" t="s">
        <v>640</v>
      </c>
      <c r="AB308" s="176" t="s">
        <v>420</v>
      </c>
      <c r="AC308" s="176" t="s">
        <v>420</v>
      </c>
      <c r="AD308" s="176" t="s">
        <v>420</v>
      </c>
      <c r="AE308" s="176" t="s">
        <v>420</v>
      </c>
      <c r="AF308" s="176" t="s">
        <v>243</v>
      </c>
      <c r="AG308" s="176">
        <v>1</v>
      </c>
      <c r="AH308" s="176" t="s">
        <v>648</v>
      </c>
      <c r="AI308" s="176" t="s">
        <v>648</v>
      </c>
      <c r="AJ308" s="176" t="s">
        <v>648</v>
      </c>
      <c r="AK308" s="176" t="s">
        <v>648</v>
      </c>
      <c r="AL308" s="1191" t="s">
        <v>420</v>
      </c>
      <c r="AM308" s="176" t="s">
        <v>420</v>
      </c>
      <c r="AN308" s="176" t="s">
        <v>420</v>
      </c>
      <c r="AO308" s="176" t="s">
        <v>420</v>
      </c>
      <c r="AP308" s="176">
        <v>24</v>
      </c>
      <c r="AQ308" s="176">
        <v>216</v>
      </c>
      <c r="AR308" s="176" t="s">
        <v>420</v>
      </c>
      <c r="AS308" s="193" t="s">
        <v>420</v>
      </c>
    </row>
    <row r="309" spans="1:45" ht="16.5" customHeight="1">
      <c r="A309" s="175">
        <v>46181</v>
      </c>
      <c r="B309" s="176" t="s">
        <v>246</v>
      </c>
      <c r="C309" s="176" t="s">
        <v>16203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640</v>
      </c>
      <c r="P309" s="176" t="s">
        <v>640</v>
      </c>
      <c r="T309" s="176" t="s">
        <v>640</v>
      </c>
      <c r="X309" s="176" t="s">
        <v>640</v>
      </c>
      <c r="Z309" s="176" t="s">
        <v>420</v>
      </c>
      <c r="AA309" s="176" t="s">
        <v>640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243</v>
      </c>
      <c r="AG309" s="176">
        <v>1</v>
      </c>
      <c r="AH309" s="176" t="s">
        <v>648</v>
      </c>
      <c r="AI309" s="176" t="s">
        <v>648</v>
      </c>
      <c r="AJ309" s="176" t="s">
        <v>648</v>
      </c>
      <c r="AK309" s="176" t="s">
        <v>648</v>
      </c>
      <c r="AL309" s="119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46181</v>
      </c>
      <c r="B310" s="176" t="s">
        <v>247</v>
      </c>
      <c r="C310" s="176" t="s">
        <v>16203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640</v>
      </c>
      <c r="P310" s="176" t="s">
        <v>640</v>
      </c>
      <c r="T310" s="176" t="s">
        <v>640</v>
      </c>
      <c r="X310" s="176" t="s">
        <v>640</v>
      </c>
      <c r="Z310" s="176" t="s">
        <v>420</v>
      </c>
      <c r="AA310" s="176" t="s">
        <v>640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243</v>
      </c>
      <c r="AG310" s="176">
        <v>1</v>
      </c>
      <c r="AH310" s="176" t="s">
        <v>648</v>
      </c>
      <c r="AI310" s="176" t="s">
        <v>648</v>
      </c>
      <c r="AJ310" s="176" t="s">
        <v>648</v>
      </c>
      <c r="AK310" s="176" t="s">
        <v>648</v>
      </c>
      <c r="AL310" s="119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46181</v>
      </c>
      <c r="B311" s="176" t="s">
        <v>248</v>
      </c>
      <c r="C311" s="176" t="s">
        <v>16203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640</v>
      </c>
      <c r="P311" s="176" t="s">
        <v>640</v>
      </c>
      <c r="T311" s="176" t="s">
        <v>640</v>
      </c>
      <c r="X311" s="176" t="s">
        <v>640</v>
      </c>
      <c r="Z311" s="176" t="s">
        <v>420</v>
      </c>
      <c r="AA311" s="176" t="s">
        <v>640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243</v>
      </c>
      <c r="AG311" s="176">
        <v>1</v>
      </c>
      <c r="AH311" s="176" t="s">
        <v>648</v>
      </c>
      <c r="AI311" s="176" t="s">
        <v>648</v>
      </c>
      <c r="AJ311" s="176" t="s">
        <v>648</v>
      </c>
      <c r="AK311" s="176" t="s">
        <v>648</v>
      </c>
      <c r="AL311" s="119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46181</v>
      </c>
      <c r="B312" s="176" t="s">
        <v>249</v>
      </c>
      <c r="C312" s="176" t="s">
        <v>16203</v>
      </c>
      <c r="E312" s="176" t="s">
        <v>420</v>
      </c>
      <c r="F312" s="176" t="s">
        <v>420</v>
      </c>
      <c r="G312" s="176" t="s">
        <v>420</v>
      </c>
      <c r="H312" s="176" t="s">
        <v>420</v>
      </c>
      <c r="I312" s="176" t="s">
        <v>420</v>
      </c>
      <c r="L312" s="176" t="s">
        <v>640</v>
      </c>
      <c r="P312" s="176" t="s">
        <v>640</v>
      </c>
      <c r="T312" s="176" t="s">
        <v>640</v>
      </c>
      <c r="X312" s="176" t="s">
        <v>640</v>
      </c>
      <c r="Z312" s="176" t="s">
        <v>420</v>
      </c>
      <c r="AA312" s="176" t="s">
        <v>640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243</v>
      </c>
      <c r="AG312" s="176">
        <v>1</v>
      </c>
      <c r="AH312" s="176" t="s">
        <v>648</v>
      </c>
      <c r="AI312" s="176" t="s">
        <v>648</v>
      </c>
      <c r="AJ312" s="176" t="s">
        <v>648</v>
      </c>
      <c r="AK312" s="176" t="s">
        <v>648</v>
      </c>
      <c r="AL312" s="1191" t="s">
        <v>420</v>
      </c>
      <c r="AM312" s="176" t="s">
        <v>420</v>
      </c>
      <c r="AN312" s="176" t="s">
        <v>420</v>
      </c>
      <c r="AO312" s="176" t="s">
        <v>420</v>
      </c>
      <c r="AP312" s="176">
        <v>24</v>
      </c>
      <c r="AQ312" s="176">
        <v>216</v>
      </c>
      <c r="AR312" s="176" t="s">
        <v>420</v>
      </c>
      <c r="AS312" s="193" t="s">
        <v>420</v>
      </c>
    </row>
    <row r="313" spans="1:45" ht="16.5" customHeight="1">
      <c r="A313" s="175">
        <v>46181</v>
      </c>
      <c r="B313" s="176" t="s">
        <v>250</v>
      </c>
      <c r="C313" s="176" t="s">
        <v>16203</v>
      </c>
      <c r="E313" s="176" t="s">
        <v>420</v>
      </c>
      <c r="F313" s="176" t="s">
        <v>420</v>
      </c>
      <c r="G313" s="176" t="s">
        <v>420</v>
      </c>
      <c r="H313" s="176" t="s">
        <v>420</v>
      </c>
      <c r="I313" s="176" t="s">
        <v>420</v>
      </c>
      <c r="L313" s="176" t="s">
        <v>640</v>
      </c>
      <c r="P313" s="176" t="s">
        <v>640</v>
      </c>
      <c r="T313" s="176" t="s">
        <v>640</v>
      </c>
      <c r="X313" s="176" t="s">
        <v>640</v>
      </c>
      <c r="Z313" s="176" t="s">
        <v>420</v>
      </c>
      <c r="AA313" s="176" t="s">
        <v>640</v>
      </c>
      <c r="AB313" s="176" t="s">
        <v>420</v>
      </c>
      <c r="AC313" s="176" t="s">
        <v>420</v>
      </c>
      <c r="AD313" s="176" t="s">
        <v>420</v>
      </c>
      <c r="AE313" s="176" t="s">
        <v>420</v>
      </c>
      <c r="AF313" s="176" t="s">
        <v>243</v>
      </c>
      <c r="AG313" s="176">
        <v>1</v>
      </c>
      <c r="AH313" s="176" t="s">
        <v>648</v>
      </c>
      <c r="AI313" s="176" t="s">
        <v>648</v>
      </c>
      <c r="AJ313" s="176" t="s">
        <v>648</v>
      </c>
      <c r="AK313" s="176" t="s">
        <v>648</v>
      </c>
      <c r="AL313" s="1191" t="s">
        <v>420</v>
      </c>
      <c r="AM313" s="176" t="s">
        <v>420</v>
      </c>
      <c r="AN313" s="176" t="s">
        <v>420</v>
      </c>
      <c r="AO313" s="176" t="s">
        <v>420</v>
      </c>
      <c r="AP313" s="176">
        <v>24</v>
      </c>
      <c r="AQ313" s="176">
        <v>216</v>
      </c>
      <c r="AR313" s="176" t="s">
        <v>420</v>
      </c>
      <c r="AS313" s="193" t="s">
        <v>420</v>
      </c>
    </row>
    <row r="314" spans="1:45" ht="16.5" customHeight="1">
      <c r="A314" s="175">
        <v>46182</v>
      </c>
      <c r="B314" s="176" t="s">
        <v>212</v>
      </c>
      <c r="C314" s="176" t="s">
        <v>640</v>
      </c>
      <c r="E314" s="176" t="s">
        <v>420</v>
      </c>
      <c r="F314" s="176" t="s">
        <v>420</v>
      </c>
      <c r="G314" s="176" t="s">
        <v>420</v>
      </c>
      <c r="H314" s="176" t="s">
        <v>420</v>
      </c>
      <c r="I314" s="176" t="s">
        <v>420</v>
      </c>
      <c r="L314" s="176" t="s">
        <v>640</v>
      </c>
      <c r="P314" s="176" t="s">
        <v>640</v>
      </c>
      <c r="T314" s="176" t="s">
        <v>640</v>
      </c>
      <c r="X314" s="176" t="s">
        <v>640</v>
      </c>
      <c r="Z314" s="176" t="s">
        <v>420</v>
      </c>
      <c r="AA314" s="176" t="s">
        <v>640</v>
      </c>
      <c r="AB314" s="176" t="s">
        <v>420</v>
      </c>
      <c r="AC314" s="176" t="s">
        <v>420</v>
      </c>
      <c r="AD314" s="176" t="s">
        <v>420</v>
      </c>
      <c r="AE314" s="176" t="s">
        <v>420</v>
      </c>
      <c r="AF314" s="176" t="s">
        <v>213</v>
      </c>
      <c r="AG314" s="176">
        <v>1</v>
      </c>
      <c r="AH314" s="176" t="s">
        <v>656</v>
      </c>
      <c r="AI314" s="176" t="s">
        <v>656</v>
      </c>
      <c r="AJ314" s="176" t="s">
        <v>656</v>
      </c>
      <c r="AK314" s="176" t="s">
        <v>656</v>
      </c>
      <c r="AL314" s="1191" t="s">
        <v>420</v>
      </c>
      <c r="AM314" s="176" t="s">
        <v>420</v>
      </c>
      <c r="AN314" s="176" t="s">
        <v>420</v>
      </c>
      <c r="AO314" s="176" t="s">
        <v>420</v>
      </c>
      <c r="AP314" s="176">
        <v>24</v>
      </c>
      <c r="AQ314" s="176">
        <v>216</v>
      </c>
      <c r="AR314" s="176" t="s">
        <v>420</v>
      </c>
      <c r="AS314" s="193" t="s">
        <v>420</v>
      </c>
    </row>
    <row r="315" spans="1:45" ht="16.5" customHeight="1">
      <c r="A315" s="175">
        <v>46182</v>
      </c>
      <c r="B315" s="176" t="s">
        <v>214</v>
      </c>
      <c r="C315" s="176" t="s">
        <v>640</v>
      </c>
      <c r="E315" s="176" t="s">
        <v>420</v>
      </c>
      <c r="F315" s="176" t="s">
        <v>420</v>
      </c>
      <c r="G315" s="176" t="s">
        <v>420</v>
      </c>
      <c r="H315" s="176" t="s">
        <v>420</v>
      </c>
      <c r="I315" s="176" t="s">
        <v>420</v>
      </c>
      <c r="L315" s="176" t="s">
        <v>640</v>
      </c>
      <c r="P315" s="176" t="s">
        <v>640</v>
      </c>
      <c r="T315" s="176" t="s">
        <v>640</v>
      </c>
      <c r="X315" s="176" t="s">
        <v>640</v>
      </c>
      <c r="Z315" s="176" t="s">
        <v>420</v>
      </c>
      <c r="AA315" s="176" t="s">
        <v>640</v>
      </c>
      <c r="AB315" s="176" t="s">
        <v>420</v>
      </c>
      <c r="AC315" s="176" t="s">
        <v>420</v>
      </c>
      <c r="AD315" s="176" t="s">
        <v>420</v>
      </c>
      <c r="AE315" s="176" t="s">
        <v>420</v>
      </c>
      <c r="AF315" s="176" t="s">
        <v>213</v>
      </c>
      <c r="AG315" s="176">
        <v>1</v>
      </c>
      <c r="AH315" s="176" t="s">
        <v>656</v>
      </c>
      <c r="AI315" s="176" t="s">
        <v>656</v>
      </c>
      <c r="AJ315" s="176" t="s">
        <v>656</v>
      </c>
      <c r="AK315" s="176" t="s">
        <v>656</v>
      </c>
      <c r="AL315" s="1191" t="s">
        <v>420</v>
      </c>
      <c r="AM315" s="176" t="s">
        <v>420</v>
      </c>
      <c r="AN315" s="176" t="s">
        <v>420</v>
      </c>
      <c r="AO315" s="176" t="s">
        <v>420</v>
      </c>
      <c r="AP315" s="176">
        <v>24</v>
      </c>
      <c r="AQ315" s="176">
        <v>216</v>
      </c>
      <c r="AR315" s="176" t="s">
        <v>420</v>
      </c>
      <c r="AS315" s="193" t="s">
        <v>420</v>
      </c>
    </row>
    <row r="316" spans="1:45" ht="16.5" customHeight="1">
      <c r="A316" s="175">
        <v>46182</v>
      </c>
      <c r="B316" s="176" t="s">
        <v>215</v>
      </c>
      <c r="C316" s="176" t="s">
        <v>640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640</v>
      </c>
      <c r="P316" s="176" t="s">
        <v>640</v>
      </c>
      <c r="T316" s="176" t="s">
        <v>640</v>
      </c>
      <c r="X316" s="176" t="s">
        <v>640</v>
      </c>
      <c r="Z316" s="176" t="s">
        <v>420</v>
      </c>
      <c r="AA316" s="176" t="s">
        <v>640</v>
      </c>
      <c r="AB316" s="176" t="s">
        <v>420</v>
      </c>
      <c r="AC316" s="176" t="s">
        <v>420</v>
      </c>
      <c r="AD316" s="176" t="s">
        <v>420</v>
      </c>
      <c r="AE316" s="176" t="s">
        <v>420</v>
      </c>
      <c r="AF316" s="176" t="s">
        <v>213</v>
      </c>
      <c r="AG316" s="176">
        <v>1</v>
      </c>
      <c r="AH316" s="176" t="s">
        <v>656</v>
      </c>
      <c r="AI316" s="176" t="s">
        <v>656</v>
      </c>
      <c r="AJ316" s="176" t="s">
        <v>656</v>
      </c>
      <c r="AK316" s="176" t="s">
        <v>656</v>
      </c>
      <c r="AL316" s="119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46182</v>
      </c>
      <c r="B317" s="176" t="s">
        <v>216</v>
      </c>
      <c r="C317" s="176" t="s">
        <v>640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640</v>
      </c>
      <c r="P317" s="176" t="s">
        <v>640</v>
      </c>
      <c r="T317" s="176" t="s">
        <v>640</v>
      </c>
      <c r="X317" s="176" t="s">
        <v>640</v>
      </c>
      <c r="Z317" s="176" t="s">
        <v>420</v>
      </c>
      <c r="AA317" s="176" t="s">
        <v>640</v>
      </c>
      <c r="AB317" s="176" t="s">
        <v>420</v>
      </c>
      <c r="AC317" s="176" t="s">
        <v>420</v>
      </c>
      <c r="AD317" s="176" t="s">
        <v>420</v>
      </c>
      <c r="AE317" s="176" t="s">
        <v>420</v>
      </c>
      <c r="AF317" s="176" t="s">
        <v>213</v>
      </c>
      <c r="AG317" s="176">
        <v>1</v>
      </c>
      <c r="AH317" s="176" t="s">
        <v>648</v>
      </c>
      <c r="AI317" s="176" t="s">
        <v>656</v>
      </c>
      <c r="AJ317" s="176" t="s">
        <v>656</v>
      </c>
      <c r="AK317" s="176" t="s">
        <v>656</v>
      </c>
      <c r="AL317" s="119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46182</v>
      </c>
      <c r="B318" s="176" t="s">
        <v>217</v>
      </c>
      <c r="C318" s="176" t="s">
        <v>17443</v>
      </c>
      <c r="E318" s="176" t="s">
        <v>474</v>
      </c>
      <c r="F318" s="176" t="s">
        <v>16817</v>
      </c>
      <c r="G318" s="176">
        <v>600</v>
      </c>
      <c r="H318" s="176" t="s">
        <v>16144</v>
      </c>
      <c r="I318" s="176">
        <v>5</v>
      </c>
      <c r="J318" s="176">
        <v>39</v>
      </c>
      <c r="K318" s="176">
        <v>4</v>
      </c>
      <c r="L318" s="176">
        <v>8599</v>
      </c>
      <c r="M318" s="176">
        <v>8271</v>
      </c>
      <c r="R318" s="176">
        <v>32</v>
      </c>
      <c r="S318" s="176">
        <v>0</v>
      </c>
      <c r="T318" s="176">
        <v>9145</v>
      </c>
      <c r="U318" s="176">
        <v>8392</v>
      </c>
      <c r="V318" s="176">
        <v>4</v>
      </c>
      <c r="W318" s="176">
        <v>0</v>
      </c>
      <c r="X318" s="176">
        <v>9336</v>
      </c>
      <c r="Y318" s="176">
        <v>8732</v>
      </c>
      <c r="Z318" s="176">
        <v>1.4090019569471623</v>
      </c>
      <c r="AA318" s="176">
        <v>25</v>
      </c>
      <c r="AB318" s="176">
        <v>0.98635149572649572</v>
      </c>
      <c r="AC318" s="176">
        <v>87.458333333333343</v>
      </c>
      <c r="AD318" s="176">
        <v>3.125</v>
      </c>
      <c r="AE318" s="176">
        <v>2.9583333333333335</v>
      </c>
      <c r="AF318" s="176" t="s">
        <v>213</v>
      </c>
      <c r="AG318" s="176">
        <v>1</v>
      </c>
      <c r="AH318" s="176" t="s">
        <v>644</v>
      </c>
      <c r="AI318" s="176" t="s">
        <v>642</v>
      </c>
      <c r="AJ318" s="176" t="s">
        <v>642</v>
      </c>
      <c r="AK318" s="176" t="s">
        <v>15377</v>
      </c>
      <c r="AL318" s="1191" t="s">
        <v>252</v>
      </c>
      <c r="AM318" s="176" t="s">
        <v>126</v>
      </c>
      <c r="AN318" s="176">
        <v>0.91100000000000003</v>
      </c>
      <c r="AO318" s="176">
        <v>0.6</v>
      </c>
      <c r="AP318" s="176">
        <v>24</v>
      </c>
      <c r="AQ318" s="176">
        <v>216</v>
      </c>
      <c r="AR318" s="176">
        <v>1.6</v>
      </c>
      <c r="AS318" s="193">
        <v>7556.1984000000011</v>
      </c>
    </row>
    <row r="319" spans="1:45" ht="16.5" customHeight="1">
      <c r="A319" s="175">
        <v>46182</v>
      </c>
      <c r="B319" s="176" t="s">
        <v>218</v>
      </c>
      <c r="C319" s="176" t="s">
        <v>17260</v>
      </c>
      <c r="E319" s="176" t="s">
        <v>17335</v>
      </c>
      <c r="F319" s="176" t="s">
        <v>17276</v>
      </c>
      <c r="G319" s="176">
        <v>600</v>
      </c>
      <c r="H319" s="176" t="s">
        <v>15907</v>
      </c>
      <c r="I319" s="176">
        <v>5</v>
      </c>
      <c r="L319" s="176" t="s">
        <v>636</v>
      </c>
      <c r="P319" s="176" t="s">
        <v>636</v>
      </c>
      <c r="T319" s="176" t="s">
        <v>636</v>
      </c>
      <c r="X319" s="176" t="s">
        <v>636</v>
      </c>
      <c r="Z319" s="176">
        <v>2.8015564202334629</v>
      </c>
      <c r="AA319" s="176" t="s">
        <v>636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213</v>
      </c>
      <c r="AG319" s="176">
        <v>0.5</v>
      </c>
      <c r="AH319" s="176" t="s">
        <v>644</v>
      </c>
      <c r="AI319" s="176" t="s">
        <v>642</v>
      </c>
      <c r="AJ319" s="176" t="s">
        <v>642</v>
      </c>
      <c r="AK319" s="176" t="s">
        <v>15377</v>
      </c>
      <c r="AL319" s="1191" t="s">
        <v>251</v>
      </c>
      <c r="AM319" s="176" t="s">
        <v>126</v>
      </c>
      <c r="AN319" s="176">
        <v>0.91100000000000003</v>
      </c>
      <c r="AO319" s="176">
        <v>1.7</v>
      </c>
      <c r="AP319" s="176">
        <v>24</v>
      </c>
      <c r="AQ319" s="176">
        <v>216</v>
      </c>
      <c r="AR319" s="176">
        <v>2.7</v>
      </c>
      <c r="AS319" s="193">
        <v>12751.084800000001</v>
      </c>
    </row>
    <row r="320" spans="1:45" ht="16.5" customHeight="1">
      <c r="A320" s="175">
        <v>46182</v>
      </c>
      <c r="B320" s="176" t="s">
        <v>219</v>
      </c>
      <c r="C320" s="176" t="s">
        <v>16766</v>
      </c>
      <c r="D320" s="176" t="s">
        <v>16769</v>
      </c>
      <c r="E320" s="176" t="s">
        <v>1472</v>
      </c>
      <c r="F320" s="176" t="s">
        <v>16217</v>
      </c>
      <c r="G320" s="176">
        <v>630</v>
      </c>
      <c r="H320" s="176" t="s">
        <v>629</v>
      </c>
      <c r="I320" s="176">
        <v>2</v>
      </c>
      <c r="J320" s="176">
        <v>19</v>
      </c>
      <c r="K320" s="176">
        <v>0</v>
      </c>
      <c r="L320" s="176">
        <v>8979</v>
      </c>
      <c r="M320" s="176">
        <v>9311</v>
      </c>
      <c r="R320" s="176">
        <v>21</v>
      </c>
      <c r="S320" s="176">
        <v>1</v>
      </c>
      <c r="T320" s="176">
        <v>9179</v>
      </c>
      <c r="U320" s="176">
        <v>9514</v>
      </c>
      <c r="V320" s="176">
        <v>13</v>
      </c>
      <c r="W320" s="176">
        <v>0</v>
      </c>
      <c r="X320" s="176">
        <v>9200</v>
      </c>
      <c r="Y320" s="176">
        <v>9333</v>
      </c>
      <c r="Z320" s="176">
        <v>2.4615384615384617</v>
      </c>
      <c r="AA320" s="176">
        <v>17.666666666666668</v>
      </c>
      <c r="AB320" s="176">
        <v>0.998046875</v>
      </c>
      <c r="AC320" s="176">
        <v>92.526666666666657</v>
      </c>
      <c r="AD320" s="176">
        <v>2.2083333333333335</v>
      </c>
      <c r="AE320" s="176">
        <v>2.1666666666666665</v>
      </c>
      <c r="AF320" s="176" t="s">
        <v>213</v>
      </c>
      <c r="AG320" s="176">
        <v>1</v>
      </c>
      <c r="AH320" s="176" t="s">
        <v>644</v>
      </c>
      <c r="AI320" s="176" t="s">
        <v>642</v>
      </c>
      <c r="AJ320" s="176" t="s">
        <v>642</v>
      </c>
      <c r="AK320" s="176" t="s">
        <v>15377</v>
      </c>
      <c r="AL320" s="1191" t="s">
        <v>251</v>
      </c>
      <c r="AM320" s="176" t="s">
        <v>951</v>
      </c>
      <c r="AN320" s="176">
        <v>0.56200000000000006</v>
      </c>
      <c r="AO320" s="176">
        <v>1.1000000000000001</v>
      </c>
      <c r="AP320" s="176">
        <v>24</v>
      </c>
      <c r="AQ320" s="176">
        <v>216</v>
      </c>
      <c r="AR320" s="176">
        <v>2.1</v>
      </c>
      <c r="AS320" s="193">
        <v>6118.1568000000007</v>
      </c>
    </row>
    <row r="321" spans="1:45" ht="16.5" customHeight="1">
      <c r="A321" s="175">
        <v>46182</v>
      </c>
      <c r="B321" s="176" t="s">
        <v>220</v>
      </c>
      <c r="C321" s="176" t="s">
        <v>640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640</v>
      </c>
      <c r="P321" s="176" t="s">
        <v>640</v>
      </c>
      <c r="T321" s="176" t="s">
        <v>640</v>
      </c>
      <c r="X321" s="176" t="s">
        <v>640</v>
      </c>
      <c r="Z321" s="176" t="s">
        <v>420</v>
      </c>
      <c r="AA321" s="176" t="s">
        <v>640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213</v>
      </c>
      <c r="AG321" s="176">
        <v>1</v>
      </c>
      <c r="AH321" s="176" t="s">
        <v>648</v>
      </c>
      <c r="AI321" s="176" t="s">
        <v>648</v>
      </c>
      <c r="AJ321" s="176" t="s">
        <v>648</v>
      </c>
      <c r="AK321" s="176" t="s">
        <v>648</v>
      </c>
      <c r="AL321" s="119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46182</v>
      </c>
      <c r="B322" s="176" t="s">
        <v>221</v>
      </c>
      <c r="C322" s="176" t="s">
        <v>16787</v>
      </c>
      <c r="E322" s="176" t="s">
        <v>624</v>
      </c>
      <c r="F322" s="176" t="s">
        <v>16747</v>
      </c>
      <c r="G322" s="176">
        <v>600</v>
      </c>
      <c r="H322" s="176" t="s">
        <v>476</v>
      </c>
      <c r="I322" s="176">
        <v>5</v>
      </c>
      <c r="J322" s="176">
        <v>17</v>
      </c>
      <c r="K322" s="176">
        <v>0</v>
      </c>
      <c r="L322" s="176">
        <v>8625</v>
      </c>
      <c r="M322" s="176">
        <v>8566</v>
      </c>
      <c r="R322" s="176">
        <v>15</v>
      </c>
      <c r="S322" s="176">
        <v>2</v>
      </c>
      <c r="T322" s="176">
        <v>8797</v>
      </c>
      <c r="U322" s="176">
        <v>8662</v>
      </c>
      <c r="V322" s="176">
        <v>16</v>
      </c>
      <c r="W322" s="176">
        <v>0</v>
      </c>
      <c r="X322" s="176">
        <v>8903</v>
      </c>
      <c r="Y322" s="176">
        <v>8512</v>
      </c>
      <c r="Z322" s="176">
        <v>2.8685258964143427</v>
      </c>
      <c r="AA322" s="176">
        <v>16</v>
      </c>
      <c r="AB322" s="176">
        <v>0.99664797008547013</v>
      </c>
      <c r="AC322" s="176">
        <v>86.775000000000006</v>
      </c>
      <c r="AD322" s="176">
        <v>2</v>
      </c>
      <c r="AE322" s="176">
        <v>1.9166666666666667</v>
      </c>
      <c r="AF322" s="176" t="s">
        <v>213</v>
      </c>
      <c r="AG322" s="176">
        <v>1</v>
      </c>
      <c r="AH322" s="176" t="s">
        <v>644</v>
      </c>
      <c r="AI322" s="176" t="s">
        <v>642</v>
      </c>
      <c r="AJ322" s="176" t="s">
        <v>642</v>
      </c>
      <c r="AK322" s="176" t="s">
        <v>15377</v>
      </c>
      <c r="AL322" s="1191" t="s">
        <v>251</v>
      </c>
      <c r="AM322" s="176" t="s">
        <v>126</v>
      </c>
      <c r="AN322" s="176">
        <v>0.91100000000000003</v>
      </c>
      <c r="AO322" s="176">
        <v>3</v>
      </c>
      <c r="AP322" s="176">
        <v>24</v>
      </c>
      <c r="AQ322" s="176">
        <v>216</v>
      </c>
      <c r="AR322" s="176">
        <v>4</v>
      </c>
      <c r="AS322" s="193">
        <v>18890.495999999999</v>
      </c>
    </row>
    <row r="323" spans="1:45" ht="16.5" customHeight="1">
      <c r="A323" s="175">
        <v>46182</v>
      </c>
      <c r="B323" s="176" t="s">
        <v>222</v>
      </c>
      <c r="C323" s="176" t="s">
        <v>17282</v>
      </c>
      <c r="E323" s="176" t="s">
        <v>17283</v>
      </c>
      <c r="F323" s="176" t="s">
        <v>17284</v>
      </c>
      <c r="G323" s="176">
        <v>575</v>
      </c>
      <c r="H323" s="176" t="s">
        <v>468</v>
      </c>
      <c r="I323" s="176">
        <v>4</v>
      </c>
      <c r="J323" s="176">
        <v>19</v>
      </c>
      <c r="K323" s="176">
        <v>0</v>
      </c>
      <c r="L323" s="176">
        <v>9344</v>
      </c>
      <c r="M323" s="176">
        <v>9341</v>
      </c>
      <c r="R323" s="176">
        <v>22</v>
      </c>
      <c r="S323" s="176">
        <v>0</v>
      </c>
      <c r="T323" s="176">
        <v>9555</v>
      </c>
      <c r="U323" s="176">
        <v>9536</v>
      </c>
      <c r="V323" s="176">
        <v>16</v>
      </c>
      <c r="W323" s="176">
        <v>0</v>
      </c>
      <c r="X323" s="176">
        <v>9767</v>
      </c>
      <c r="Y323" s="176">
        <v>9458</v>
      </c>
      <c r="Z323" s="176">
        <v>1.1009174311926606</v>
      </c>
      <c r="AA323" s="176">
        <v>19</v>
      </c>
      <c r="AB323" s="176">
        <v>1</v>
      </c>
      <c r="AC323" s="176">
        <v>95.001666666666665</v>
      </c>
      <c r="AD323" s="176">
        <v>2.375</v>
      </c>
      <c r="AE323" s="176">
        <v>2.375</v>
      </c>
      <c r="AF323" s="176" t="s">
        <v>213</v>
      </c>
      <c r="AG323" s="176">
        <v>1</v>
      </c>
      <c r="AH323" s="176" t="s">
        <v>644</v>
      </c>
      <c r="AI323" s="176" t="s">
        <v>642</v>
      </c>
      <c r="AJ323" s="176" t="s">
        <v>642</v>
      </c>
      <c r="AK323" s="176" t="s">
        <v>15377</v>
      </c>
      <c r="AL323" s="1191" t="s">
        <v>251</v>
      </c>
      <c r="AM323" s="176" t="s">
        <v>126</v>
      </c>
      <c r="AN323" s="176">
        <v>0.91100000000000003</v>
      </c>
      <c r="AO323" s="176">
        <v>0.9</v>
      </c>
      <c r="AP323" s="176">
        <v>24</v>
      </c>
      <c r="AQ323" s="176">
        <v>216</v>
      </c>
      <c r="AR323" s="176">
        <v>1.9</v>
      </c>
      <c r="AS323" s="193">
        <v>8972.9856</v>
      </c>
    </row>
    <row r="324" spans="1:45" ht="16.5" customHeight="1">
      <c r="A324" s="175">
        <v>46182</v>
      </c>
      <c r="B324" s="176" t="s">
        <v>223</v>
      </c>
      <c r="C324" s="176" t="s">
        <v>640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640</v>
      </c>
      <c r="P324" s="176" t="s">
        <v>640</v>
      </c>
      <c r="T324" s="176" t="s">
        <v>640</v>
      </c>
      <c r="X324" s="176" t="s">
        <v>640</v>
      </c>
      <c r="Z324" s="176" t="s">
        <v>420</v>
      </c>
      <c r="AA324" s="176" t="s">
        <v>640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213</v>
      </c>
      <c r="AG324" s="176">
        <v>1</v>
      </c>
      <c r="AH324" s="176" t="s">
        <v>648</v>
      </c>
      <c r="AI324" s="176" t="s">
        <v>648</v>
      </c>
      <c r="AJ324" s="176" t="s">
        <v>648</v>
      </c>
      <c r="AK324" s="176" t="s">
        <v>648</v>
      </c>
      <c r="AL324" s="119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46182</v>
      </c>
      <c r="B325" s="176" t="s">
        <v>224</v>
      </c>
      <c r="C325" s="176" t="s">
        <v>640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640</v>
      </c>
      <c r="P325" s="176" t="s">
        <v>640</v>
      </c>
      <c r="T325" s="176" t="s">
        <v>640</v>
      </c>
      <c r="X325" s="176" t="s">
        <v>640</v>
      </c>
      <c r="Z325" s="176" t="s">
        <v>420</v>
      </c>
      <c r="AA325" s="176" t="s">
        <v>640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213</v>
      </c>
      <c r="AG325" s="176">
        <v>1</v>
      </c>
      <c r="AH325" s="176" t="s">
        <v>648</v>
      </c>
      <c r="AI325" s="176" t="s">
        <v>648</v>
      </c>
      <c r="AJ325" s="176" t="s">
        <v>648</v>
      </c>
      <c r="AK325" s="176" t="s">
        <v>648</v>
      </c>
      <c r="AL325" s="119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46182</v>
      </c>
      <c r="B326" s="176" t="s">
        <v>225</v>
      </c>
      <c r="C326" s="176" t="s">
        <v>17285</v>
      </c>
      <c r="E326" s="176" t="s">
        <v>17231</v>
      </c>
      <c r="F326" s="176" t="s">
        <v>17286</v>
      </c>
      <c r="G326" s="176">
        <v>650</v>
      </c>
      <c r="H326" s="176" t="s">
        <v>16749</v>
      </c>
      <c r="I326" s="176">
        <v>5</v>
      </c>
      <c r="J326" s="176">
        <v>26</v>
      </c>
      <c r="K326" s="176">
        <v>15</v>
      </c>
      <c r="L326" s="176">
        <v>9358</v>
      </c>
      <c r="M326" s="176">
        <v>9166</v>
      </c>
      <c r="R326" s="176">
        <v>22</v>
      </c>
      <c r="S326" s="176">
        <v>3</v>
      </c>
      <c r="T326" s="176">
        <v>9446</v>
      </c>
      <c r="U326" s="176">
        <v>9181</v>
      </c>
      <c r="V326" s="176">
        <v>27</v>
      </c>
      <c r="W326" s="176">
        <v>0</v>
      </c>
      <c r="X326" s="176">
        <v>8853</v>
      </c>
      <c r="Y326" s="176">
        <v>8893</v>
      </c>
      <c r="Z326" s="176">
        <v>3.0573248407643314</v>
      </c>
      <c r="AA326" s="176">
        <v>25</v>
      </c>
      <c r="AB326" s="176">
        <v>0.97169471153846154</v>
      </c>
      <c r="AC326" s="176">
        <v>91.495000000000005</v>
      </c>
      <c r="AD326" s="176">
        <v>3.125</v>
      </c>
      <c r="AE326" s="176">
        <v>2.375</v>
      </c>
      <c r="AF326" s="176" t="s">
        <v>213</v>
      </c>
      <c r="AG326" s="176">
        <v>1</v>
      </c>
      <c r="AH326" s="176" t="s">
        <v>824</v>
      </c>
      <c r="AI326" s="176" t="s">
        <v>838</v>
      </c>
      <c r="AJ326" s="176" t="s">
        <v>838</v>
      </c>
      <c r="AK326" s="176" t="s">
        <v>15379</v>
      </c>
      <c r="AL326" s="1191" t="s">
        <v>252</v>
      </c>
      <c r="AM326" s="176" t="s">
        <v>126</v>
      </c>
      <c r="AN326" s="176">
        <v>0.91100000000000003</v>
      </c>
      <c r="AO326" s="176">
        <v>3</v>
      </c>
      <c r="AP326" s="176">
        <v>24</v>
      </c>
      <c r="AQ326" s="176">
        <v>216</v>
      </c>
      <c r="AR326" s="176">
        <v>4</v>
      </c>
      <c r="AS326" s="193">
        <v>18890.495999999999</v>
      </c>
    </row>
    <row r="327" spans="1:45" ht="16.5" customHeight="1">
      <c r="A327" s="175">
        <v>46182</v>
      </c>
      <c r="B327" s="176" t="s">
        <v>226</v>
      </c>
      <c r="C327" s="176" t="s">
        <v>640</v>
      </c>
      <c r="E327" s="176" t="s">
        <v>420</v>
      </c>
      <c r="F327" s="176" t="s">
        <v>420</v>
      </c>
      <c r="G327" s="176" t="s">
        <v>420</v>
      </c>
      <c r="H327" s="176" t="s">
        <v>420</v>
      </c>
      <c r="I327" s="176" t="s">
        <v>420</v>
      </c>
      <c r="L327" s="176" t="s">
        <v>640</v>
      </c>
      <c r="P327" s="176" t="s">
        <v>640</v>
      </c>
      <c r="T327" s="176" t="s">
        <v>640</v>
      </c>
      <c r="X327" s="176" t="s">
        <v>640</v>
      </c>
      <c r="Z327" s="176" t="s">
        <v>420</v>
      </c>
      <c r="AA327" s="176" t="s">
        <v>640</v>
      </c>
      <c r="AB327" s="176" t="s">
        <v>420</v>
      </c>
      <c r="AC327" s="176" t="s">
        <v>420</v>
      </c>
      <c r="AD327" s="176" t="s">
        <v>420</v>
      </c>
      <c r="AE327" s="176" t="s">
        <v>420</v>
      </c>
      <c r="AF327" s="176" t="s">
        <v>213</v>
      </c>
      <c r="AG327" s="176">
        <v>1</v>
      </c>
      <c r="AH327" s="176" t="s">
        <v>648</v>
      </c>
      <c r="AI327" s="176" t="s">
        <v>648</v>
      </c>
      <c r="AJ327" s="176" t="s">
        <v>648</v>
      </c>
      <c r="AK327" s="176" t="s">
        <v>648</v>
      </c>
      <c r="AL327" s="1191" t="s">
        <v>420</v>
      </c>
      <c r="AM327" s="176" t="s">
        <v>420</v>
      </c>
      <c r="AN327" s="176" t="s">
        <v>420</v>
      </c>
      <c r="AO327" s="176" t="s">
        <v>420</v>
      </c>
      <c r="AP327" s="176">
        <v>24</v>
      </c>
      <c r="AQ327" s="176">
        <v>216</v>
      </c>
      <c r="AR327" s="176" t="s">
        <v>420</v>
      </c>
      <c r="AS327" s="193" t="s">
        <v>420</v>
      </c>
    </row>
    <row r="328" spans="1:45" ht="16.5" customHeight="1">
      <c r="A328" s="175">
        <v>46182</v>
      </c>
      <c r="B328" s="176" t="s">
        <v>227</v>
      </c>
      <c r="C328" s="176" t="s">
        <v>640</v>
      </c>
      <c r="E328" s="176" t="s">
        <v>420</v>
      </c>
      <c r="F328" s="176" t="s">
        <v>420</v>
      </c>
      <c r="G328" s="176" t="s">
        <v>420</v>
      </c>
      <c r="H328" s="176" t="s">
        <v>420</v>
      </c>
      <c r="I328" s="176" t="s">
        <v>420</v>
      </c>
      <c r="L328" s="176" t="s">
        <v>640</v>
      </c>
      <c r="P328" s="176" t="s">
        <v>640</v>
      </c>
      <c r="T328" s="176" t="s">
        <v>640</v>
      </c>
      <c r="X328" s="176" t="s">
        <v>640</v>
      </c>
      <c r="Z328" s="176" t="s">
        <v>420</v>
      </c>
      <c r="AA328" s="176" t="s">
        <v>640</v>
      </c>
      <c r="AB328" s="176" t="s">
        <v>420</v>
      </c>
      <c r="AC328" s="176" t="s">
        <v>420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648</v>
      </c>
      <c r="AI328" s="176" t="s">
        <v>648</v>
      </c>
      <c r="AJ328" s="176" t="s">
        <v>648</v>
      </c>
      <c r="AK328" s="176" t="s">
        <v>648</v>
      </c>
      <c r="AL328" s="1191" t="s">
        <v>420</v>
      </c>
      <c r="AM328" s="176" t="s">
        <v>420</v>
      </c>
      <c r="AN328" s="176" t="s">
        <v>420</v>
      </c>
      <c r="AO328" s="176" t="s">
        <v>420</v>
      </c>
      <c r="AP328" s="176">
        <v>24</v>
      </c>
      <c r="AQ328" s="176">
        <v>216</v>
      </c>
      <c r="AR328" s="176" t="s">
        <v>420</v>
      </c>
      <c r="AS328" s="193" t="s">
        <v>420</v>
      </c>
    </row>
    <row r="329" spans="1:45" ht="16.5" customHeight="1">
      <c r="A329" s="175">
        <v>46182</v>
      </c>
      <c r="B329" s="176" t="s">
        <v>228</v>
      </c>
      <c r="C329" s="176" t="s">
        <v>17446</v>
      </c>
      <c r="E329" s="176" t="s">
        <v>17447</v>
      </c>
      <c r="F329" s="176" t="s">
        <v>17448</v>
      </c>
      <c r="G329" s="176">
        <v>550</v>
      </c>
      <c r="H329" s="176" t="s">
        <v>16736</v>
      </c>
      <c r="I329" s="176">
        <v>5</v>
      </c>
      <c r="J329" s="176">
        <v>26</v>
      </c>
      <c r="K329" s="176">
        <v>0</v>
      </c>
      <c r="L329" s="176">
        <v>7891</v>
      </c>
      <c r="M329" s="176">
        <v>7530</v>
      </c>
      <c r="R329" s="176">
        <v>42</v>
      </c>
      <c r="S329" s="176">
        <v>2</v>
      </c>
      <c r="T329" s="176">
        <v>8168</v>
      </c>
      <c r="U329" s="176">
        <v>7910</v>
      </c>
      <c r="V329" s="176">
        <v>26</v>
      </c>
      <c r="W329" s="176">
        <v>0</v>
      </c>
      <c r="X329" s="176">
        <v>8532</v>
      </c>
      <c r="Y329" s="176">
        <v>8340</v>
      </c>
      <c r="Z329" s="176">
        <v>5.161290322580645</v>
      </c>
      <c r="AA329" s="176">
        <v>15.666666666666666</v>
      </c>
      <c r="AB329" s="176">
        <v>0.99813701923076925</v>
      </c>
      <c r="AC329" s="176">
        <v>80.618333333333325</v>
      </c>
      <c r="AD329" s="176">
        <v>1.9583333333333333</v>
      </c>
      <c r="AE329" s="176">
        <v>1.9166666666666667</v>
      </c>
      <c r="AF329" s="176" t="s">
        <v>213</v>
      </c>
      <c r="AG329" s="176">
        <v>0.5</v>
      </c>
      <c r="AH329" s="176" t="s">
        <v>648</v>
      </c>
      <c r="AI329" s="176" t="s">
        <v>838</v>
      </c>
      <c r="AJ329" s="176" t="s">
        <v>838</v>
      </c>
      <c r="AK329" s="176" t="s">
        <v>15379</v>
      </c>
      <c r="AL329" s="1191" t="s">
        <v>251</v>
      </c>
      <c r="AM329" s="176" t="s">
        <v>651</v>
      </c>
      <c r="AN329" s="176">
        <v>1.859</v>
      </c>
      <c r="AO329" s="176">
        <v>2.8</v>
      </c>
      <c r="AP329" s="176">
        <v>24</v>
      </c>
      <c r="AQ329" s="176">
        <v>216</v>
      </c>
      <c r="AR329" s="176">
        <v>3.8</v>
      </c>
      <c r="AS329" s="193">
        <v>36620.8128</v>
      </c>
    </row>
    <row r="330" spans="1:45" ht="16.5" customHeight="1">
      <c r="A330" s="175">
        <v>46182</v>
      </c>
      <c r="B330" s="176" t="s">
        <v>229</v>
      </c>
      <c r="C330" s="176" t="s">
        <v>640</v>
      </c>
      <c r="E330" s="176" t="s">
        <v>420</v>
      </c>
      <c r="F330" s="176" t="s">
        <v>420</v>
      </c>
      <c r="G330" s="176" t="s">
        <v>420</v>
      </c>
      <c r="H330" s="176" t="s">
        <v>420</v>
      </c>
      <c r="I330" s="176" t="s">
        <v>420</v>
      </c>
      <c r="L330" s="176" t="s">
        <v>640</v>
      </c>
      <c r="P330" s="176" t="s">
        <v>640</v>
      </c>
      <c r="T330" s="176" t="s">
        <v>640</v>
      </c>
      <c r="X330" s="176" t="s">
        <v>640</v>
      </c>
      <c r="Z330" s="176" t="s">
        <v>420</v>
      </c>
      <c r="AA330" s="176" t="s">
        <v>640</v>
      </c>
      <c r="AB330" s="176" t="s">
        <v>420</v>
      </c>
      <c r="AC330" s="176" t="s">
        <v>420</v>
      </c>
      <c r="AD330" s="176" t="s">
        <v>420</v>
      </c>
      <c r="AE330" s="176" t="s">
        <v>420</v>
      </c>
      <c r="AF330" s="176" t="s">
        <v>213</v>
      </c>
      <c r="AG330" s="176">
        <v>1</v>
      </c>
      <c r="AH330" s="176" t="s">
        <v>648</v>
      </c>
      <c r="AI330" s="176" t="s">
        <v>648</v>
      </c>
      <c r="AJ330" s="176" t="s">
        <v>648</v>
      </c>
      <c r="AK330" s="176" t="s">
        <v>648</v>
      </c>
      <c r="AL330" s="1191" t="s">
        <v>420</v>
      </c>
      <c r="AM330" s="176" t="s">
        <v>420</v>
      </c>
      <c r="AN330" s="176" t="s">
        <v>420</v>
      </c>
      <c r="AO330" s="176" t="s">
        <v>420</v>
      </c>
      <c r="AP330" s="176">
        <v>24</v>
      </c>
      <c r="AQ330" s="176">
        <v>216</v>
      </c>
      <c r="AR330" s="176" t="s">
        <v>420</v>
      </c>
      <c r="AS330" s="193" t="s">
        <v>420</v>
      </c>
    </row>
    <row r="331" spans="1:45" ht="16.5" customHeight="1">
      <c r="A331" s="175">
        <v>46182</v>
      </c>
      <c r="B331" s="176" t="s">
        <v>230</v>
      </c>
      <c r="C331" s="176" t="s">
        <v>640</v>
      </c>
      <c r="E331" s="176" t="s">
        <v>420</v>
      </c>
      <c r="F331" s="176" t="s">
        <v>420</v>
      </c>
      <c r="G331" s="176" t="s">
        <v>420</v>
      </c>
      <c r="H331" s="176" t="s">
        <v>420</v>
      </c>
      <c r="I331" s="176" t="s">
        <v>420</v>
      </c>
      <c r="L331" s="176" t="s">
        <v>640</v>
      </c>
      <c r="P331" s="176" t="s">
        <v>640</v>
      </c>
      <c r="T331" s="176" t="s">
        <v>640</v>
      </c>
      <c r="X331" s="176" t="s">
        <v>640</v>
      </c>
      <c r="Z331" s="176" t="s">
        <v>420</v>
      </c>
      <c r="AA331" s="176" t="s">
        <v>640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648</v>
      </c>
      <c r="AI331" s="176" t="s">
        <v>648</v>
      </c>
      <c r="AJ331" s="176" t="s">
        <v>648</v>
      </c>
      <c r="AK331" s="176" t="s">
        <v>648</v>
      </c>
      <c r="AL331" s="1191" t="s">
        <v>420</v>
      </c>
      <c r="AM331" s="176" t="s">
        <v>420</v>
      </c>
      <c r="AN331" s="176" t="s">
        <v>420</v>
      </c>
      <c r="AO331" s="176" t="s">
        <v>420</v>
      </c>
      <c r="AP331" s="176">
        <v>24</v>
      </c>
      <c r="AQ331" s="176">
        <v>216</v>
      </c>
      <c r="AR331" s="176" t="s">
        <v>420</v>
      </c>
      <c r="AS331" s="193" t="s">
        <v>420</v>
      </c>
    </row>
    <row r="332" spans="1:45" ht="16.5" customHeight="1">
      <c r="A332" s="175">
        <v>46182</v>
      </c>
      <c r="B332" s="176" t="s">
        <v>231</v>
      </c>
      <c r="C332" s="176" t="s">
        <v>640</v>
      </c>
      <c r="E332" s="176" t="s">
        <v>420</v>
      </c>
      <c r="F332" s="176" t="s">
        <v>420</v>
      </c>
      <c r="G332" s="176" t="s">
        <v>420</v>
      </c>
      <c r="H332" s="176" t="s">
        <v>420</v>
      </c>
      <c r="I332" s="176" t="s">
        <v>420</v>
      </c>
      <c r="L332" s="176" t="s">
        <v>640</v>
      </c>
      <c r="P332" s="176" t="s">
        <v>640</v>
      </c>
      <c r="T332" s="176" t="s">
        <v>640</v>
      </c>
      <c r="X332" s="176" t="s">
        <v>640</v>
      </c>
      <c r="Z332" s="176" t="s">
        <v>420</v>
      </c>
      <c r="AA332" s="176" t="s">
        <v>640</v>
      </c>
      <c r="AB332" s="176" t="s">
        <v>420</v>
      </c>
      <c r="AC332" s="176" t="s">
        <v>420</v>
      </c>
      <c r="AD332" s="176" t="s">
        <v>420</v>
      </c>
      <c r="AE332" s="176" t="s">
        <v>420</v>
      </c>
      <c r="AF332" s="176" t="s">
        <v>232</v>
      </c>
      <c r="AG332" s="176">
        <v>1</v>
      </c>
      <c r="AH332" s="176" t="s">
        <v>648</v>
      </c>
      <c r="AI332" s="176" t="s">
        <v>648</v>
      </c>
      <c r="AJ332" s="176" t="s">
        <v>648</v>
      </c>
      <c r="AK332" s="176" t="s">
        <v>648</v>
      </c>
      <c r="AL332" s="1191" t="s">
        <v>420</v>
      </c>
      <c r="AM332" s="176" t="s">
        <v>420</v>
      </c>
      <c r="AN332" s="176" t="s">
        <v>420</v>
      </c>
      <c r="AO332" s="176" t="s">
        <v>420</v>
      </c>
      <c r="AP332" s="176">
        <v>24</v>
      </c>
      <c r="AQ332" s="176">
        <v>216</v>
      </c>
      <c r="AR332" s="176" t="s">
        <v>420</v>
      </c>
      <c r="AS332" s="193" t="s">
        <v>420</v>
      </c>
    </row>
    <row r="333" spans="1:45" ht="16.5" customHeight="1">
      <c r="A333" s="175">
        <v>46182</v>
      </c>
      <c r="B333" s="176" t="s">
        <v>233</v>
      </c>
      <c r="C333" s="176" t="s">
        <v>17336</v>
      </c>
      <c r="D333" s="176" t="s">
        <v>641</v>
      </c>
      <c r="E333" s="176" t="s">
        <v>16740</v>
      </c>
      <c r="F333" s="176" t="s">
        <v>17289</v>
      </c>
      <c r="G333" s="176">
        <v>600</v>
      </c>
      <c r="H333" s="176" t="s">
        <v>7798</v>
      </c>
      <c r="I333" s="176">
        <v>5.5</v>
      </c>
      <c r="J333" s="176">
        <v>32</v>
      </c>
      <c r="K333" s="176">
        <v>0</v>
      </c>
      <c r="R333" s="176">
        <v>42</v>
      </c>
      <c r="S333" s="176">
        <v>3</v>
      </c>
      <c r="T333" s="176">
        <v>6560</v>
      </c>
      <c r="V333" s="176">
        <v>55</v>
      </c>
      <c r="W333" s="176">
        <v>0</v>
      </c>
      <c r="X333" s="176">
        <v>6310</v>
      </c>
      <c r="Z333" s="176">
        <v>5.8536585365853666</v>
      </c>
      <c r="AA333" s="176">
        <v>43</v>
      </c>
      <c r="AB333" s="176">
        <v>0.99753605769230769</v>
      </c>
      <c r="AC333" s="176">
        <v>64.349999999999994</v>
      </c>
      <c r="AD333" s="176">
        <v>5.375</v>
      </c>
      <c r="AE333" s="176">
        <v>5.25</v>
      </c>
      <c r="AF333" s="176" t="s">
        <v>232</v>
      </c>
      <c r="AG333" s="176">
        <v>1</v>
      </c>
      <c r="AH333" s="176" t="s">
        <v>824</v>
      </c>
      <c r="AI333" s="176" t="s">
        <v>646</v>
      </c>
      <c r="AJ333" s="176" t="s">
        <v>646</v>
      </c>
      <c r="AK333" s="176" t="s">
        <v>15379</v>
      </c>
      <c r="AL333" s="1191" t="s">
        <v>251</v>
      </c>
      <c r="AM333" s="176" t="s">
        <v>651</v>
      </c>
      <c r="AN333" s="176">
        <v>1.859</v>
      </c>
      <c r="AO333" s="176">
        <v>2.1</v>
      </c>
      <c r="AP333" s="176">
        <v>24</v>
      </c>
      <c r="AQ333" s="176">
        <v>216</v>
      </c>
      <c r="AR333" s="176">
        <v>3.1</v>
      </c>
      <c r="AS333" s="193">
        <v>29874.873599999999</v>
      </c>
    </row>
    <row r="334" spans="1:45" ht="16.5" customHeight="1">
      <c r="A334" s="175">
        <v>46182</v>
      </c>
      <c r="B334" s="176" t="s">
        <v>234</v>
      </c>
      <c r="C334" s="176" t="s">
        <v>640</v>
      </c>
      <c r="E334" s="176" t="s">
        <v>420</v>
      </c>
      <c r="F334" s="176" t="s">
        <v>420</v>
      </c>
      <c r="G334" s="176" t="s">
        <v>420</v>
      </c>
      <c r="H334" s="176" t="s">
        <v>420</v>
      </c>
      <c r="I334" s="176" t="s">
        <v>420</v>
      </c>
      <c r="L334" s="176" t="s">
        <v>640</v>
      </c>
      <c r="P334" s="176" t="s">
        <v>640</v>
      </c>
      <c r="T334" s="176" t="s">
        <v>640</v>
      </c>
      <c r="X334" s="176" t="s">
        <v>640</v>
      </c>
      <c r="Z334" s="176" t="s">
        <v>420</v>
      </c>
      <c r="AA334" s="176" t="s">
        <v>640</v>
      </c>
      <c r="AB334" s="176" t="s">
        <v>420</v>
      </c>
      <c r="AC334" s="176" t="s">
        <v>420</v>
      </c>
      <c r="AD334" s="176" t="s">
        <v>420</v>
      </c>
      <c r="AE334" s="176" t="s">
        <v>420</v>
      </c>
      <c r="AF334" s="176" t="s">
        <v>232</v>
      </c>
      <c r="AG334" s="176">
        <v>1</v>
      </c>
      <c r="AH334" s="176" t="s">
        <v>648</v>
      </c>
      <c r="AI334" s="176" t="s">
        <v>648</v>
      </c>
      <c r="AJ334" s="176" t="s">
        <v>648</v>
      </c>
      <c r="AK334" s="176" t="s">
        <v>648</v>
      </c>
      <c r="AL334" s="1191" t="s">
        <v>420</v>
      </c>
      <c r="AM334" s="176" t="s">
        <v>420</v>
      </c>
      <c r="AN334" s="176" t="s">
        <v>420</v>
      </c>
      <c r="AO334" s="176" t="s">
        <v>420</v>
      </c>
      <c r="AP334" s="176">
        <v>24</v>
      </c>
      <c r="AQ334" s="176">
        <v>216</v>
      </c>
      <c r="AR334" s="176" t="s">
        <v>420</v>
      </c>
      <c r="AS334" s="193" t="s">
        <v>420</v>
      </c>
    </row>
    <row r="335" spans="1:45" ht="16.5" customHeight="1">
      <c r="A335" s="175">
        <v>46182</v>
      </c>
      <c r="B335" s="176" t="s">
        <v>235</v>
      </c>
      <c r="C335" s="176" t="s">
        <v>17287</v>
      </c>
      <c r="D335" s="176" t="s">
        <v>641</v>
      </c>
      <c r="E335" s="176" t="s">
        <v>16740</v>
      </c>
      <c r="F335" s="176" t="s">
        <v>17269</v>
      </c>
      <c r="G335" s="176">
        <v>700</v>
      </c>
      <c r="H335" s="176" t="s">
        <v>1032</v>
      </c>
      <c r="I335" s="176">
        <v>5.5</v>
      </c>
      <c r="J335" s="176">
        <v>39</v>
      </c>
      <c r="K335" s="176">
        <v>0</v>
      </c>
      <c r="L335" s="176">
        <v>8980</v>
      </c>
      <c r="M335" s="176">
        <v>8240</v>
      </c>
      <c r="R335" s="176">
        <v>45</v>
      </c>
      <c r="S335" s="176">
        <v>0</v>
      </c>
      <c r="T335" s="176">
        <v>9070</v>
      </c>
      <c r="U335" s="176">
        <v>8610</v>
      </c>
      <c r="V335" s="176">
        <v>38</v>
      </c>
      <c r="W335" s="176">
        <v>8</v>
      </c>
      <c r="X335" s="176">
        <v>8610</v>
      </c>
      <c r="Y335" s="176">
        <v>9260</v>
      </c>
      <c r="Z335" s="176">
        <v>5.8299595141700413</v>
      </c>
      <c r="AA335" s="176">
        <v>40.666666666666664</v>
      </c>
      <c r="AB335" s="176">
        <v>0.99340277777777775</v>
      </c>
      <c r="AC335" s="176">
        <v>87.95</v>
      </c>
      <c r="AD335" s="176">
        <v>5.083333333333333</v>
      </c>
      <c r="AE335" s="176">
        <v>4.75</v>
      </c>
      <c r="AF335" s="176" t="s">
        <v>236</v>
      </c>
      <c r="AG335" s="176">
        <v>1</v>
      </c>
      <c r="AH335" s="176" t="s">
        <v>15346</v>
      </c>
      <c r="AI335" s="176" t="s">
        <v>660</v>
      </c>
      <c r="AJ335" s="176" t="s">
        <v>660</v>
      </c>
      <c r="AK335" s="176" t="s">
        <v>15890</v>
      </c>
      <c r="AL335" s="1191" t="s">
        <v>252</v>
      </c>
      <c r="AM335" s="176" t="s">
        <v>462</v>
      </c>
      <c r="AN335" s="176">
        <v>1.1890000000000001</v>
      </c>
      <c r="AO335" s="176">
        <v>3</v>
      </c>
      <c r="AP335" s="176">
        <v>24</v>
      </c>
      <c r="AQ335" s="176">
        <v>216</v>
      </c>
      <c r="AR335" s="176">
        <v>4</v>
      </c>
      <c r="AS335" s="193">
        <v>24655.103999999999</v>
      </c>
    </row>
    <row r="336" spans="1:45" ht="16.5" customHeight="1">
      <c r="A336" s="175">
        <v>46182</v>
      </c>
      <c r="B336" s="176" t="s">
        <v>237</v>
      </c>
      <c r="C336" s="176" t="s">
        <v>17288</v>
      </c>
      <c r="D336" s="176" t="s">
        <v>641</v>
      </c>
      <c r="E336" s="176" t="s">
        <v>16740</v>
      </c>
      <c r="F336" s="176" t="s">
        <v>17289</v>
      </c>
      <c r="G336" s="176">
        <v>700</v>
      </c>
      <c r="H336" s="176" t="s">
        <v>957</v>
      </c>
      <c r="I336" s="176">
        <v>5.5</v>
      </c>
      <c r="J336" s="176">
        <v>25</v>
      </c>
      <c r="K336" s="176">
        <v>0</v>
      </c>
      <c r="L336" s="176">
        <v>8330</v>
      </c>
      <c r="M336" s="176">
        <v>8330</v>
      </c>
      <c r="R336" s="176">
        <v>50</v>
      </c>
      <c r="S336" s="176">
        <v>0</v>
      </c>
      <c r="T336" s="176">
        <v>8150</v>
      </c>
      <c r="U336" s="176">
        <v>8350</v>
      </c>
      <c r="V336" s="176">
        <v>40</v>
      </c>
      <c r="W336" s="176">
        <v>9</v>
      </c>
      <c r="X336" s="176">
        <v>9120</v>
      </c>
      <c r="Y336" s="176">
        <v>8150</v>
      </c>
      <c r="Z336" s="176">
        <v>5.8299595141700413</v>
      </c>
      <c r="AA336" s="176">
        <v>38.333333333333336</v>
      </c>
      <c r="AB336" s="176">
        <v>0.99257812499999998</v>
      </c>
      <c r="AC336" s="176">
        <v>84.05</v>
      </c>
      <c r="AD336" s="176">
        <v>4.791666666666667</v>
      </c>
      <c r="AE336" s="176">
        <v>4.416666666666667</v>
      </c>
      <c r="AF336" s="176" t="s">
        <v>236</v>
      </c>
      <c r="AG336" s="176">
        <v>1</v>
      </c>
      <c r="AH336" s="176" t="s">
        <v>15346</v>
      </c>
      <c r="AI336" s="176" t="s">
        <v>660</v>
      </c>
      <c r="AJ336" s="176" t="s">
        <v>660</v>
      </c>
      <c r="AK336" s="176" t="s">
        <v>844</v>
      </c>
      <c r="AL336" s="1191" t="s">
        <v>251</v>
      </c>
      <c r="AM336" s="176" t="s">
        <v>462</v>
      </c>
      <c r="AN336" s="176">
        <v>1.1890000000000001</v>
      </c>
      <c r="AO336" s="176">
        <v>2.9</v>
      </c>
      <c r="AP336" s="176">
        <v>24</v>
      </c>
      <c r="AQ336" s="176">
        <v>216</v>
      </c>
      <c r="AR336" s="176">
        <v>3.9</v>
      </c>
      <c r="AS336" s="193">
        <v>24038.7264</v>
      </c>
    </row>
    <row r="337" spans="1:45" ht="16.5" customHeight="1">
      <c r="A337" s="175">
        <v>46182</v>
      </c>
      <c r="B337" s="176" t="s">
        <v>238</v>
      </c>
      <c r="C337" s="176" t="s">
        <v>16764</v>
      </c>
      <c r="E337" s="176" t="s">
        <v>16740</v>
      </c>
      <c r="F337" s="176" t="s">
        <v>16771</v>
      </c>
      <c r="G337" s="176">
        <v>670</v>
      </c>
      <c r="H337" s="176" t="s">
        <v>721</v>
      </c>
      <c r="I337" s="176">
        <v>5</v>
      </c>
      <c r="J337" s="176">
        <v>6</v>
      </c>
      <c r="K337" s="176">
        <v>0</v>
      </c>
      <c r="L337" s="176">
        <v>5370</v>
      </c>
      <c r="R337" s="176">
        <v>5</v>
      </c>
      <c r="S337" s="176">
        <v>0</v>
      </c>
      <c r="T337" s="176">
        <v>3060</v>
      </c>
      <c r="X337" s="176" t="s">
        <v>635</v>
      </c>
      <c r="Z337" s="176">
        <v>6.2882096069868991</v>
      </c>
      <c r="AA337" s="176">
        <v>7.333333333333333</v>
      </c>
      <c r="AB337" s="176">
        <v>1</v>
      </c>
      <c r="AC337" s="176">
        <v>42.15</v>
      </c>
      <c r="AD337" s="176">
        <v>0.91666666666666663</v>
      </c>
      <c r="AE337" s="176">
        <v>0.91666666666666663</v>
      </c>
      <c r="AF337" s="176" t="s">
        <v>236</v>
      </c>
      <c r="AG337" s="176">
        <v>2</v>
      </c>
      <c r="AH337" s="176" t="s">
        <v>659</v>
      </c>
      <c r="AI337" s="176" t="s">
        <v>660</v>
      </c>
      <c r="AJ337" s="176" t="s">
        <v>660</v>
      </c>
      <c r="AK337" s="176" t="s">
        <v>15890</v>
      </c>
      <c r="AL337" s="1191" t="s">
        <v>251</v>
      </c>
      <c r="AM337" s="176" t="s">
        <v>462</v>
      </c>
      <c r="AN337" s="176">
        <v>1.1890000000000001</v>
      </c>
      <c r="AO337" s="176">
        <v>1.7</v>
      </c>
      <c r="AP337" s="176">
        <v>24</v>
      </c>
      <c r="AQ337" s="176">
        <v>216</v>
      </c>
      <c r="AR337" s="176">
        <v>2.7</v>
      </c>
      <c r="AS337" s="193">
        <v>16642.195200000002</v>
      </c>
    </row>
    <row r="338" spans="1:45" ht="16.5" customHeight="1">
      <c r="A338" s="175">
        <v>46182</v>
      </c>
      <c r="B338" s="176" t="s">
        <v>238</v>
      </c>
      <c r="C338" s="176" t="s">
        <v>16763</v>
      </c>
      <c r="E338" s="176" t="s">
        <v>16740</v>
      </c>
      <c r="F338" s="176" t="s">
        <v>16771</v>
      </c>
      <c r="G338" s="176">
        <v>670</v>
      </c>
      <c r="H338" s="176" t="s">
        <v>655</v>
      </c>
      <c r="I338" s="176">
        <v>5</v>
      </c>
      <c r="J338" s="176">
        <v>10</v>
      </c>
      <c r="K338" s="176">
        <v>0</v>
      </c>
      <c r="L338" s="176">
        <v>7500</v>
      </c>
      <c r="R338" s="176">
        <v>29</v>
      </c>
      <c r="S338" s="176">
        <v>0</v>
      </c>
      <c r="U338" s="176">
        <v>7130</v>
      </c>
      <c r="V338" s="176">
        <v>35</v>
      </c>
      <c r="W338" s="176">
        <v>0</v>
      </c>
      <c r="Y338" s="176">
        <v>7040</v>
      </c>
      <c r="Z338" s="176">
        <v>6.1802575107296125</v>
      </c>
      <c r="AA338" s="176">
        <v>49.333333333333336</v>
      </c>
      <c r="AB338" s="176">
        <v>1</v>
      </c>
      <c r="AC338" s="176">
        <v>72.233333333333334</v>
      </c>
      <c r="AD338" s="176">
        <v>6.166666666666667</v>
      </c>
      <c r="AE338" s="176">
        <v>6.166666666666667</v>
      </c>
      <c r="AF338" s="176" t="s">
        <v>236</v>
      </c>
      <c r="AG338" s="176">
        <v>2</v>
      </c>
      <c r="AH338" s="176" t="s">
        <v>659</v>
      </c>
      <c r="AI338" s="176" t="s">
        <v>660</v>
      </c>
      <c r="AJ338" s="176" t="s">
        <v>660</v>
      </c>
      <c r="AK338" s="176" t="s">
        <v>15890</v>
      </c>
      <c r="AM338" s="176" t="s">
        <v>462</v>
      </c>
      <c r="AN338" s="176">
        <v>1.1890000000000001</v>
      </c>
      <c r="AO338" s="176">
        <v>2.4</v>
      </c>
      <c r="AP338" s="176">
        <v>24</v>
      </c>
      <c r="AQ338" s="176">
        <v>216</v>
      </c>
      <c r="AR338" s="176">
        <v>3.4</v>
      </c>
      <c r="AS338" s="193">
        <v>20956.838400000001</v>
      </c>
    </row>
    <row r="339" spans="1:45" ht="16.5" customHeight="1">
      <c r="A339" s="175">
        <v>46182</v>
      </c>
      <c r="B339" s="176" t="s">
        <v>239</v>
      </c>
      <c r="C339" s="176" t="s">
        <v>17407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127</v>
      </c>
      <c r="P339" s="176" t="s">
        <v>127</v>
      </c>
      <c r="T339" s="176" t="s">
        <v>127</v>
      </c>
      <c r="X339" s="176" t="s">
        <v>127</v>
      </c>
      <c r="Z339" s="176" t="s">
        <v>420</v>
      </c>
      <c r="AA339" s="176" t="s">
        <v>127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236</v>
      </c>
      <c r="AG339" s="176">
        <v>2</v>
      </c>
      <c r="AH339" s="176" t="s">
        <v>15346</v>
      </c>
      <c r="AI339" s="176" t="s">
        <v>15862</v>
      </c>
      <c r="AJ339" s="176" t="s">
        <v>15862</v>
      </c>
      <c r="AK339" s="176" t="s">
        <v>844</v>
      </c>
      <c r="AL339" s="119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46182</v>
      </c>
      <c r="B340" s="176" t="s">
        <v>239</v>
      </c>
      <c r="C340" s="176" t="s">
        <v>17412</v>
      </c>
      <c r="D340" s="176" t="s">
        <v>641</v>
      </c>
      <c r="E340" s="176" t="s">
        <v>16744</v>
      </c>
      <c r="F340" s="176" t="s">
        <v>17414</v>
      </c>
      <c r="G340" s="176">
        <v>550</v>
      </c>
      <c r="H340" s="176" t="s">
        <v>877</v>
      </c>
      <c r="I340" s="176">
        <v>5.5</v>
      </c>
      <c r="J340" s="176">
        <v>35</v>
      </c>
      <c r="K340" s="176">
        <v>0</v>
      </c>
      <c r="L340" s="176">
        <v>8060</v>
      </c>
      <c r="R340" s="176">
        <v>33</v>
      </c>
      <c r="S340" s="176">
        <v>0</v>
      </c>
      <c r="U340" s="176">
        <v>8700</v>
      </c>
      <c r="V340" s="176">
        <v>12</v>
      </c>
      <c r="W340" s="176">
        <v>0</v>
      </c>
      <c r="Y340" s="176">
        <v>7960</v>
      </c>
      <c r="Z340" s="176">
        <v>6.6055045871559646</v>
      </c>
      <c r="AA340" s="176">
        <v>53.333333333333336</v>
      </c>
      <c r="AB340" s="176">
        <v>1</v>
      </c>
      <c r="AC340" s="176">
        <v>82.4</v>
      </c>
      <c r="AD340" s="176">
        <v>6.666666666666667</v>
      </c>
      <c r="AE340" s="176">
        <v>6.666666666666667</v>
      </c>
      <c r="AF340" s="176" t="s">
        <v>236</v>
      </c>
      <c r="AG340" s="176">
        <v>2</v>
      </c>
      <c r="AH340" s="176" t="s">
        <v>15346</v>
      </c>
      <c r="AI340" s="176" t="s">
        <v>15862</v>
      </c>
      <c r="AJ340" s="176" t="s">
        <v>15862</v>
      </c>
      <c r="AK340" s="176" t="s">
        <v>844</v>
      </c>
      <c r="AL340" s="1191" t="s">
        <v>252</v>
      </c>
      <c r="AM340" s="176" t="s">
        <v>651</v>
      </c>
      <c r="AN340" s="176">
        <v>1.859</v>
      </c>
      <c r="AO340" s="176">
        <v>3.3</v>
      </c>
      <c r="AP340" s="176">
        <v>24</v>
      </c>
      <c r="AQ340" s="176">
        <v>216</v>
      </c>
      <c r="AR340" s="176">
        <v>4.3</v>
      </c>
      <c r="AS340" s="193">
        <v>41439.340799999998</v>
      </c>
    </row>
    <row r="341" spans="1:45" ht="16.5" customHeight="1">
      <c r="A341" s="175">
        <v>46182</v>
      </c>
      <c r="B341" s="176" t="s">
        <v>389</v>
      </c>
      <c r="C341" s="176" t="s">
        <v>17403</v>
      </c>
      <c r="D341" s="176" t="s">
        <v>641</v>
      </c>
      <c r="E341" s="176" t="s">
        <v>16740</v>
      </c>
      <c r="F341" s="176" t="s">
        <v>17269</v>
      </c>
      <c r="G341" s="176">
        <v>700</v>
      </c>
      <c r="H341" s="176" t="s">
        <v>840</v>
      </c>
      <c r="I341" s="176">
        <v>5.5</v>
      </c>
      <c r="J341" s="176">
        <v>35</v>
      </c>
      <c r="K341" s="176">
        <v>0</v>
      </c>
      <c r="L341" s="176">
        <v>7780</v>
      </c>
      <c r="M341" s="176">
        <v>9810</v>
      </c>
      <c r="R341" s="176">
        <v>18</v>
      </c>
      <c r="S341" s="176">
        <v>2</v>
      </c>
      <c r="T341" s="176">
        <v>7590</v>
      </c>
      <c r="U341" s="176">
        <v>9630</v>
      </c>
      <c r="V341" s="176">
        <v>14</v>
      </c>
      <c r="W341" s="176">
        <v>0</v>
      </c>
      <c r="X341" s="176">
        <v>6390</v>
      </c>
      <c r="Y341" s="176">
        <v>10000</v>
      </c>
      <c r="Z341" s="176">
        <v>5.8299595141700413</v>
      </c>
      <c r="AA341" s="176">
        <v>22.333333333333332</v>
      </c>
      <c r="AB341" s="176">
        <v>0.99835069444444446</v>
      </c>
      <c r="AC341" s="176">
        <v>85.333333333333343</v>
      </c>
      <c r="AD341" s="176">
        <v>2.7916666666666665</v>
      </c>
      <c r="AE341" s="176">
        <v>2.7083333333333335</v>
      </c>
      <c r="AF341" s="176" t="s">
        <v>236</v>
      </c>
      <c r="AG341" s="176">
        <v>1</v>
      </c>
      <c r="AH341" s="176" t="s">
        <v>659</v>
      </c>
      <c r="AI341" s="176" t="s">
        <v>15862</v>
      </c>
      <c r="AJ341" s="176" t="s">
        <v>15862</v>
      </c>
      <c r="AK341" s="176" t="s">
        <v>15890</v>
      </c>
      <c r="AL341" s="1191" t="s">
        <v>252</v>
      </c>
      <c r="AM341" s="176" t="s">
        <v>462</v>
      </c>
      <c r="AN341" s="176">
        <v>1.1890000000000001</v>
      </c>
      <c r="AO341" s="176">
        <v>2.8</v>
      </c>
      <c r="AP341" s="176">
        <v>24</v>
      </c>
      <c r="AQ341" s="176">
        <v>216</v>
      </c>
      <c r="AR341" s="176">
        <v>3.8</v>
      </c>
      <c r="AS341" s="193">
        <v>23422.3488</v>
      </c>
    </row>
    <row r="342" spans="1:45" ht="16.5" customHeight="1">
      <c r="A342" s="175">
        <v>46182</v>
      </c>
      <c r="B342" s="176" t="s">
        <v>418</v>
      </c>
      <c r="C342" s="176" t="s">
        <v>17262</v>
      </c>
      <c r="D342" s="176" t="s">
        <v>641</v>
      </c>
      <c r="E342" s="176" t="s">
        <v>16740</v>
      </c>
      <c r="F342" s="176" t="s">
        <v>17269</v>
      </c>
      <c r="G342" s="176">
        <v>700</v>
      </c>
      <c r="H342" s="176" t="s">
        <v>812</v>
      </c>
      <c r="I342" s="176">
        <v>5.5</v>
      </c>
      <c r="J342" s="176">
        <v>41</v>
      </c>
      <c r="K342" s="176">
        <v>0</v>
      </c>
      <c r="L342" s="176">
        <v>6390</v>
      </c>
      <c r="M342" s="176">
        <v>6670</v>
      </c>
      <c r="R342" s="176">
        <v>44</v>
      </c>
      <c r="S342" s="176">
        <v>0</v>
      </c>
      <c r="T342" s="176">
        <v>8980</v>
      </c>
      <c r="U342" s="176">
        <v>5650</v>
      </c>
      <c r="V342" s="176">
        <v>40</v>
      </c>
      <c r="W342" s="176">
        <v>0</v>
      </c>
      <c r="X342" s="176">
        <v>8060</v>
      </c>
      <c r="Y342" s="176">
        <v>7310</v>
      </c>
      <c r="Z342" s="176">
        <v>5.8299595141700413</v>
      </c>
      <c r="AA342" s="176">
        <v>41.666666666666664</v>
      </c>
      <c r="AB342" s="176">
        <v>1</v>
      </c>
      <c r="AC342" s="176">
        <v>71.766666666666666</v>
      </c>
      <c r="AD342" s="176">
        <v>5.208333333333333</v>
      </c>
      <c r="AE342" s="176">
        <v>5.208333333333333</v>
      </c>
      <c r="AF342" s="176" t="s">
        <v>236</v>
      </c>
      <c r="AG342" s="176">
        <v>1</v>
      </c>
      <c r="AH342" s="176" t="s">
        <v>659</v>
      </c>
      <c r="AI342" s="176" t="s">
        <v>15862</v>
      </c>
      <c r="AJ342" s="176" t="s">
        <v>15862</v>
      </c>
      <c r="AK342" s="176" t="s">
        <v>844</v>
      </c>
      <c r="AL342" s="1191" t="s">
        <v>252</v>
      </c>
      <c r="AM342" s="176" t="s">
        <v>462</v>
      </c>
      <c r="AN342" s="176">
        <v>1.1890000000000001</v>
      </c>
      <c r="AO342" s="176">
        <v>2.8</v>
      </c>
      <c r="AP342" s="176">
        <v>24</v>
      </c>
      <c r="AQ342" s="176">
        <v>216</v>
      </c>
      <c r="AR342" s="176">
        <v>3.8</v>
      </c>
      <c r="AS342" s="193">
        <v>23422.3488</v>
      </c>
    </row>
    <row r="343" spans="1:45" ht="16.5" customHeight="1">
      <c r="A343" s="175">
        <v>46182</v>
      </c>
      <c r="B343" s="176" t="s">
        <v>240</v>
      </c>
      <c r="C343" s="176" t="s">
        <v>640</v>
      </c>
      <c r="E343" s="176" t="s">
        <v>420</v>
      </c>
      <c r="F343" s="176" t="s">
        <v>420</v>
      </c>
      <c r="G343" s="176" t="s">
        <v>420</v>
      </c>
      <c r="H343" s="176" t="s">
        <v>420</v>
      </c>
      <c r="I343" s="176" t="s">
        <v>420</v>
      </c>
      <c r="L343" s="176" t="s">
        <v>640</v>
      </c>
      <c r="P343" s="176" t="s">
        <v>640</v>
      </c>
      <c r="T343" s="176" t="s">
        <v>640</v>
      </c>
      <c r="X343" s="176" t="s">
        <v>640</v>
      </c>
      <c r="Z343" s="176" t="s">
        <v>420</v>
      </c>
      <c r="AA343" s="176" t="s">
        <v>640</v>
      </c>
      <c r="AB343" s="176" t="s">
        <v>420</v>
      </c>
      <c r="AC343" s="176" t="s">
        <v>420</v>
      </c>
      <c r="AD343" s="176" t="s">
        <v>420</v>
      </c>
      <c r="AE343" s="176" t="s">
        <v>420</v>
      </c>
      <c r="AF343" s="176" t="s">
        <v>241</v>
      </c>
      <c r="AG343" s="176">
        <v>12</v>
      </c>
      <c r="AH343" s="176" t="s">
        <v>824</v>
      </c>
      <c r="AI343" s="176" t="s">
        <v>838</v>
      </c>
      <c r="AJ343" s="176" t="s">
        <v>838</v>
      </c>
      <c r="AK343" s="176" t="s">
        <v>648</v>
      </c>
      <c r="AL343" s="1191" t="s">
        <v>420</v>
      </c>
      <c r="AM343" s="176" t="s">
        <v>420</v>
      </c>
      <c r="AN343" s="176" t="s">
        <v>420</v>
      </c>
      <c r="AO343" s="176" t="s">
        <v>420</v>
      </c>
      <c r="AP343" s="176">
        <v>24</v>
      </c>
      <c r="AQ343" s="176">
        <v>216</v>
      </c>
      <c r="AR343" s="176" t="s">
        <v>420</v>
      </c>
      <c r="AS343" s="193" t="s">
        <v>420</v>
      </c>
    </row>
    <row r="344" spans="1:45" ht="16.5" customHeight="1">
      <c r="A344" s="175">
        <v>46182</v>
      </c>
      <c r="B344" s="176" t="s">
        <v>242</v>
      </c>
      <c r="C344" s="176" t="s">
        <v>386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386</v>
      </c>
      <c r="P344" s="176" t="s">
        <v>386</v>
      </c>
      <c r="T344" s="176" t="s">
        <v>386</v>
      </c>
      <c r="X344" s="176" t="s">
        <v>386</v>
      </c>
      <c r="Z344" s="176" t="s">
        <v>420</v>
      </c>
      <c r="AA344" s="176" t="s">
        <v>386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241</v>
      </c>
      <c r="AG344" s="176">
        <v>5</v>
      </c>
      <c r="AH344" s="176" t="s">
        <v>824</v>
      </c>
      <c r="AI344" s="176" t="s">
        <v>838</v>
      </c>
      <c r="AJ344" s="176" t="s">
        <v>838</v>
      </c>
      <c r="AK344" s="176" t="s">
        <v>15379</v>
      </c>
      <c r="AL344" s="119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46182</v>
      </c>
      <c r="B345" s="176" t="s">
        <v>16092</v>
      </c>
      <c r="C345" s="176" t="s">
        <v>16203</v>
      </c>
      <c r="E345" s="176" t="s">
        <v>420</v>
      </c>
      <c r="F345" s="176" t="s">
        <v>420</v>
      </c>
      <c r="G345" s="176" t="s">
        <v>420</v>
      </c>
      <c r="H345" s="176" t="s">
        <v>420</v>
      </c>
      <c r="I345" s="176" t="s">
        <v>420</v>
      </c>
      <c r="L345" s="176" t="s">
        <v>640</v>
      </c>
      <c r="P345" s="176" t="s">
        <v>640</v>
      </c>
      <c r="T345" s="176" t="s">
        <v>640</v>
      </c>
      <c r="X345" s="176" t="s">
        <v>640</v>
      </c>
      <c r="Z345" s="176" t="s">
        <v>420</v>
      </c>
      <c r="AA345" s="176" t="s">
        <v>640</v>
      </c>
      <c r="AB345" s="176" t="s">
        <v>420</v>
      </c>
      <c r="AC345" s="176" t="s">
        <v>420</v>
      </c>
      <c r="AD345" s="176" t="s">
        <v>420</v>
      </c>
      <c r="AE345" s="176" t="s">
        <v>420</v>
      </c>
      <c r="AF345" s="176" t="s">
        <v>243</v>
      </c>
      <c r="AG345" s="176">
        <v>1</v>
      </c>
      <c r="AH345" s="176" t="s">
        <v>648</v>
      </c>
      <c r="AI345" s="176" t="s">
        <v>648</v>
      </c>
      <c r="AJ345" s="176" t="s">
        <v>648</v>
      </c>
      <c r="AK345" s="176" t="s">
        <v>648</v>
      </c>
      <c r="AL345" s="1191" t="s">
        <v>420</v>
      </c>
      <c r="AM345" s="176" t="s">
        <v>420</v>
      </c>
      <c r="AN345" s="176" t="s">
        <v>420</v>
      </c>
      <c r="AO345" s="176" t="s">
        <v>420</v>
      </c>
      <c r="AP345" s="176">
        <v>24</v>
      </c>
      <c r="AQ345" s="176">
        <v>216</v>
      </c>
      <c r="AR345" s="176" t="s">
        <v>420</v>
      </c>
      <c r="AS345" s="193" t="s">
        <v>420</v>
      </c>
    </row>
    <row r="346" spans="1:45" ht="16.5" customHeight="1">
      <c r="A346" s="175">
        <v>46182</v>
      </c>
      <c r="B346" s="176" t="s">
        <v>244</v>
      </c>
      <c r="C346" s="176" t="s">
        <v>16203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640</v>
      </c>
      <c r="P346" s="176" t="s">
        <v>640</v>
      </c>
      <c r="T346" s="176" t="s">
        <v>640</v>
      </c>
      <c r="X346" s="176" t="s">
        <v>640</v>
      </c>
      <c r="Z346" s="176" t="s">
        <v>420</v>
      </c>
      <c r="AA346" s="176" t="s">
        <v>640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243</v>
      </c>
      <c r="AG346" s="176">
        <v>1</v>
      </c>
      <c r="AH346" s="176" t="s">
        <v>648</v>
      </c>
      <c r="AI346" s="176" t="s">
        <v>648</v>
      </c>
      <c r="AJ346" s="176" t="s">
        <v>648</v>
      </c>
      <c r="AK346" s="176" t="s">
        <v>648</v>
      </c>
      <c r="AL346" s="119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46182</v>
      </c>
      <c r="B347" s="176" t="s">
        <v>245</v>
      </c>
      <c r="C347" s="176" t="s">
        <v>16203</v>
      </c>
      <c r="E347" s="176" t="s">
        <v>420</v>
      </c>
      <c r="F347" s="176" t="s">
        <v>420</v>
      </c>
      <c r="G347" s="176" t="s">
        <v>420</v>
      </c>
      <c r="H347" s="176" t="s">
        <v>420</v>
      </c>
      <c r="I347" s="176" t="s">
        <v>420</v>
      </c>
      <c r="L347" s="176" t="s">
        <v>640</v>
      </c>
      <c r="P347" s="176" t="s">
        <v>640</v>
      </c>
      <c r="T347" s="176" t="s">
        <v>640</v>
      </c>
      <c r="X347" s="176" t="s">
        <v>640</v>
      </c>
      <c r="Z347" s="176" t="s">
        <v>420</v>
      </c>
      <c r="AA347" s="176" t="s">
        <v>640</v>
      </c>
      <c r="AB347" s="176" t="s">
        <v>420</v>
      </c>
      <c r="AC347" s="176" t="s">
        <v>420</v>
      </c>
      <c r="AD347" s="176" t="s">
        <v>420</v>
      </c>
      <c r="AE347" s="176" t="s">
        <v>420</v>
      </c>
      <c r="AF347" s="176" t="s">
        <v>243</v>
      </c>
      <c r="AG347" s="176">
        <v>1</v>
      </c>
      <c r="AH347" s="176" t="s">
        <v>648</v>
      </c>
      <c r="AI347" s="176" t="s">
        <v>648</v>
      </c>
      <c r="AJ347" s="176" t="s">
        <v>648</v>
      </c>
      <c r="AK347" s="176" t="s">
        <v>648</v>
      </c>
      <c r="AL347" s="1191" t="s">
        <v>420</v>
      </c>
      <c r="AM347" s="176" t="s">
        <v>420</v>
      </c>
      <c r="AN347" s="176" t="s">
        <v>420</v>
      </c>
      <c r="AO347" s="176" t="s">
        <v>420</v>
      </c>
      <c r="AP347" s="176">
        <v>24</v>
      </c>
      <c r="AQ347" s="176">
        <v>216</v>
      </c>
      <c r="AR347" s="176" t="s">
        <v>420</v>
      </c>
      <c r="AS347" s="193" t="s">
        <v>420</v>
      </c>
    </row>
    <row r="348" spans="1:45" ht="16.5" customHeight="1">
      <c r="A348" s="175">
        <v>46182</v>
      </c>
      <c r="B348" s="176" t="s">
        <v>246</v>
      </c>
      <c r="C348" s="176" t="s">
        <v>16203</v>
      </c>
      <c r="E348" s="176" t="s">
        <v>420</v>
      </c>
      <c r="F348" s="176" t="s">
        <v>420</v>
      </c>
      <c r="G348" s="176" t="s">
        <v>420</v>
      </c>
      <c r="H348" s="176" t="s">
        <v>420</v>
      </c>
      <c r="I348" s="176" t="s">
        <v>420</v>
      </c>
      <c r="L348" s="176" t="s">
        <v>640</v>
      </c>
      <c r="P348" s="176" t="s">
        <v>640</v>
      </c>
      <c r="T348" s="176" t="s">
        <v>640</v>
      </c>
      <c r="X348" s="176" t="s">
        <v>640</v>
      </c>
      <c r="Z348" s="176" t="s">
        <v>420</v>
      </c>
      <c r="AA348" s="176" t="s">
        <v>640</v>
      </c>
      <c r="AB348" s="176" t="s">
        <v>420</v>
      </c>
      <c r="AC348" s="176" t="s">
        <v>420</v>
      </c>
      <c r="AD348" s="176" t="s">
        <v>420</v>
      </c>
      <c r="AE348" s="176" t="s">
        <v>420</v>
      </c>
      <c r="AF348" s="176" t="s">
        <v>243</v>
      </c>
      <c r="AG348" s="176">
        <v>1</v>
      </c>
      <c r="AH348" s="176" t="s">
        <v>648</v>
      </c>
      <c r="AI348" s="176" t="s">
        <v>648</v>
      </c>
      <c r="AJ348" s="176" t="s">
        <v>648</v>
      </c>
      <c r="AK348" s="176" t="s">
        <v>648</v>
      </c>
      <c r="AL348" s="1191" t="s">
        <v>420</v>
      </c>
      <c r="AM348" s="176" t="s">
        <v>420</v>
      </c>
      <c r="AN348" s="176" t="s">
        <v>420</v>
      </c>
      <c r="AO348" s="176" t="s">
        <v>420</v>
      </c>
      <c r="AP348" s="176">
        <v>24</v>
      </c>
      <c r="AQ348" s="176">
        <v>216</v>
      </c>
      <c r="AR348" s="176" t="s">
        <v>420</v>
      </c>
      <c r="AS348" s="193" t="s">
        <v>420</v>
      </c>
    </row>
    <row r="349" spans="1:45" ht="16.5" customHeight="1">
      <c r="A349" s="175">
        <v>46182</v>
      </c>
      <c r="B349" s="176" t="s">
        <v>247</v>
      </c>
      <c r="C349" s="176" t="s">
        <v>16203</v>
      </c>
      <c r="E349" s="176" t="s">
        <v>420</v>
      </c>
      <c r="F349" s="176" t="s">
        <v>420</v>
      </c>
      <c r="G349" s="176" t="s">
        <v>420</v>
      </c>
      <c r="H349" s="176" t="s">
        <v>420</v>
      </c>
      <c r="I349" s="176" t="s">
        <v>420</v>
      </c>
      <c r="L349" s="176" t="s">
        <v>640</v>
      </c>
      <c r="P349" s="176" t="s">
        <v>640</v>
      </c>
      <c r="T349" s="176" t="s">
        <v>640</v>
      </c>
      <c r="X349" s="176" t="s">
        <v>640</v>
      </c>
      <c r="Z349" s="176" t="s">
        <v>420</v>
      </c>
      <c r="AA349" s="176" t="s">
        <v>640</v>
      </c>
      <c r="AB349" s="176" t="s">
        <v>420</v>
      </c>
      <c r="AC349" s="176" t="s">
        <v>420</v>
      </c>
      <c r="AD349" s="176" t="s">
        <v>420</v>
      </c>
      <c r="AE349" s="176" t="s">
        <v>420</v>
      </c>
      <c r="AF349" s="176" t="s">
        <v>243</v>
      </c>
      <c r="AG349" s="176">
        <v>1</v>
      </c>
      <c r="AH349" s="176" t="s">
        <v>648</v>
      </c>
      <c r="AI349" s="176" t="s">
        <v>648</v>
      </c>
      <c r="AJ349" s="176" t="s">
        <v>648</v>
      </c>
      <c r="AK349" s="176" t="s">
        <v>648</v>
      </c>
      <c r="AL349" s="1191" t="s">
        <v>420</v>
      </c>
      <c r="AM349" s="176" t="s">
        <v>420</v>
      </c>
      <c r="AN349" s="176" t="s">
        <v>420</v>
      </c>
      <c r="AO349" s="176" t="s">
        <v>420</v>
      </c>
      <c r="AP349" s="176">
        <v>24</v>
      </c>
      <c r="AQ349" s="176">
        <v>216</v>
      </c>
      <c r="AR349" s="176" t="s">
        <v>420</v>
      </c>
      <c r="AS349" s="193" t="s">
        <v>420</v>
      </c>
    </row>
    <row r="350" spans="1:45" ht="16.5" customHeight="1">
      <c r="A350" s="175">
        <v>46182</v>
      </c>
      <c r="B350" s="176" t="s">
        <v>248</v>
      </c>
      <c r="C350" s="176" t="s">
        <v>16203</v>
      </c>
      <c r="E350" s="176" t="s">
        <v>420</v>
      </c>
      <c r="F350" s="176" t="s">
        <v>420</v>
      </c>
      <c r="G350" s="176" t="s">
        <v>420</v>
      </c>
      <c r="H350" s="176" t="s">
        <v>420</v>
      </c>
      <c r="I350" s="176" t="s">
        <v>420</v>
      </c>
      <c r="L350" s="176" t="s">
        <v>640</v>
      </c>
      <c r="P350" s="176" t="s">
        <v>640</v>
      </c>
      <c r="T350" s="176" t="s">
        <v>640</v>
      </c>
      <c r="X350" s="176" t="s">
        <v>640</v>
      </c>
      <c r="Z350" s="176" t="s">
        <v>420</v>
      </c>
      <c r="AA350" s="176" t="s">
        <v>640</v>
      </c>
      <c r="AB350" s="176" t="s">
        <v>420</v>
      </c>
      <c r="AC350" s="176" t="s">
        <v>420</v>
      </c>
      <c r="AD350" s="176" t="s">
        <v>420</v>
      </c>
      <c r="AE350" s="176" t="s">
        <v>420</v>
      </c>
      <c r="AF350" s="176" t="s">
        <v>243</v>
      </c>
      <c r="AG350" s="176">
        <v>1</v>
      </c>
      <c r="AH350" s="176" t="s">
        <v>648</v>
      </c>
      <c r="AI350" s="176" t="s">
        <v>648</v>
      </c>
      <c r="AJ350" s="176" t="s">
        <v>648</v>
      </c>
      <c r="AK350" s="176" t="s">
        <v>648</v>
      </c>
      <c r="AL350" s="1191" t="s">
        <v>420</v>
      </c>
      <c r="AM350" s="176" t="s">
        <v>420</v>
      </c>
      <c r="AN350" s="176" t="s">
        <v>420</v>
      </c>
      <c r="AO350" s="176" t="s">
        <v>420</v>
      </c>
      <c r="AP350" s="176">
        <v>24</v>
      </c>
      <c r="AQ350" s="176">
        <v>216</v>
      </c>
      <c r="AR350" s="176" t="s">
        <v>420</v>
      </c>
      <c r="AS350" s="193" t="s">
        <v>420</v>
      </c>
    </row>
    <row r="351" spans="1:45" ht="16.5" customHeight="1">
      <c r="A351" s="175">
        <v>46182</v>
      </c>
      <c r="B351" s="176" t="s">
        <v>249</v>
      </c>
      <c r="C351" s="176" t="s">
        <v>16203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640</v>
      </c>
      <c r="P351" s="176" t="s">
        <v>640</v>
      </c>
      <c r="T351" s="176" t="s">
        <v>640</v>
      </c>
      <c r="X351" s="176" t="s">
        <v>640</v>
      </c>
      <c r="Z351" s="176" t="s">
        <v>420</v>
      </c>
      <c r="AA351" s="176" t="s">
        <v>640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243</v>
      </c>
      <c r="AG351" s="176">
        <v>1</v>
      </c>
      <c r="AH351" s="176" t="s">
        <v>648</v>
      </c>
      <c r="AI351" s="176" t="s">
        <v>648</v>
      </c>
      <c r="AJ351" s="176" t="s">
        <v>648</v>
      </c>
      <c r="AK351" s="176" t="s">
        <v>648</v>
      </c>
      <c r="AL351" s="119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46182</v>
      </c>
      <c r="B352" s="176" t="s">
        <v>250</v>
      </c>
      <c r="C352" s="176" t="s">
        <v>16203</v>
      </c>
      <c r="E352" s="176" t="s">
        <v>420</v>
      </c>
      <c r="F352" s="176" t="s">
        <v>420</v>
      </c>
      <c r="G352" s="176" t="s">
        <v>420</v>
      </c>
      <c r="H352" s="176" t="s">
        <v>420</v>
      </c>
      <c r="I352" s="176" t="s">
        <v>420</v>
      </c>
      <c r="L352" s="176" t="s">
        <v>640</v>
      </c>
      <c r="P352" s="176" t="s">
        <v>640</v>
      </c>
      <c r="T352" s="176" t="s">
        <v>640</v>
      </c>
      <c r="X352" s="176" t="s">
        <v>640</v>
      </c>
      <c r="Z352" s="176" t="s">
        <v>420</v>
      </c>
      <c r="AA352" s="176" t="s">
        <v>640</v>
      </c>
      <c r="AB352" s="176" t="s">
        <v>420</v>
      </c>
      <c r="AC352" s="176" t="s">
        <v>420</v>
      </c>
      <c r="AD352" s="176" t="s">
        <v>420</v>
      </c>
      <c r="AE352" s="176" t="s">
        <v>420</v>
      </c>
      <c r="AF352" s="176" t="s">
        <v>243</v>
      </c>
      <c r="AG352" s="176">
        <v>1</v>
      </c>
      <c r="AH352" s="176" t="s">
        <v>648</v>
      </c>
      <c r="AI352" s="176" t="s">
        <v>648</v>
      </c>
      <c r="AJ352" s="176" t="s">
        <v>648</v>
      </c>
      <c r="AK352" s="176" t="s">
        <v>648</v>
      </c>
      <c r="AL352" s="1191" t="s">
        <v>420</v>
      </c>
      <c r="AM352" s="176" t="s">
        <v>420</v>
      </c>
      <c r="AN352" s="176" t="s">
        <v>420</v>
      </c>
      <c r="AO352" s="176" t="s">
        <v>420</v>
      </c>
      <c r="AP352" s="176">
        <v>24</v>
      </c>
      <c r="AQ352" s="176">
        <v>216</v>
      </c>
      <c r="AR352" s="176" t="s">
        <v>420</v>
      </c>
      <c r="AS352" s="193" t="s">
        <v>420</v>
      </c>
    </row>
    <row r="353" spans="1:45" ht="16.5" customHeight="1">
      <c r="A353" s="175">
        <v>46183</v>
      </c>
      <c r="B353" s="176" t="s">
        <v>212</v>
      </c>
      <c r="C353" s="176" t="s">
        <v>640</v>
      </c>
      <c r="E353" s="176" t="s">
        <v>420</v>
      </c>
      <c r="F353" s="176" t="s">
        <v>420</v>
      </c>
      <c r="G353" s="176" t="s">
        <v>420</v>
      </c>
      <c r="H353" s="176" t="s">
        <v>420</v>
      </c>
      <c r="I353" s="176" t="s">
        <v>420</v>
      </c>
      <c r="L353" s="176" t="s">
        <v>640</v>
      </c>
      <c r="P353" s="176" t="s">
        <v>640</v>
      </c>
      <c r="T353" s="176" t="s">
        <v>640</v>
      </c>
      <c r="X353" s="176" t="s">
        <v>640</v>
      </c>
      <c r="Z353" s="176" t="s">
        <v>420</v>
      </c>
      <c r="AA353" s="176" t="s">
        <v>640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213</v>
      </c>
      <c r="AG353" s="176">
        <v>1</v>
      </c>
      <c r="AH353" s="176" t="s">
        <v>656</v>
      </c>
      <c r="AI353" s="176" t="s">
        <v>656</v>
      </c>
      <c r="AJ353" s="176" t="s">
        <v>656</v>
      </c>
      <c r="AK353" s="176" t="s">
        <v>656</v>
      </c>
      <c r="AL353" s="1191" t="s">
        <v>420</v>
      </c>
      <c r="AM353" s="176" t="s">
        <v>420</v>
      </c>
      <c r="AN353" s="176" t="s">
        <v>420</v>
      </c>
      <c r="AO353" s="176" t="s">
        <v>420</v>
      </c>
      <c r="AP353" s="176">
        <v>24</v>
      </c>
      <c r="AQ353" s="176">
        <v>216</v>
      </c>
      <c r="AR353" s="176" t="s">
        <v>420</v>
      </c>
      <c r="AS353" s="193" t="s">
        <v>420</v>
      </c>
    </row>
    <row r="354" spans="1:45" ht="16.5" customHeight="1">
      <c r="A354" s="175">
        <v>46183</v>
      </c>
      <c r="B354" s="176" t="s">
        <v>214</v>
      </c>
      <c r="C354" s="176" t="s">
        <v>640</v>
      </c>
      <c r="E354" s="176" t="s">
        <v>420</v>
      </c>
      <c r="F354" s="176" t="s">
        <v>420</v>
      </c>
      <c r="G354" s="176" t="s">
        <v>420</v>
      </c>
      <c r="H354" s="176" t="s">
        <v>420</v>
      </c>
      <c r="I354" s="176" t="s">
        <v>420</v>
      </c>
      <c r="L354" s="176" t="s">
        <v>640</v>
      </c>
      <c r="P354" s="176" t="s">
        <v>640</v>
      </c>
      <c r="T354" s="176" t="s">
        <v>640</v>
      </c>
      <c r="X354" s="176" t="s">
        <v>640</v>
      </c>
      <c r="Z354" s="176" t="s">
        <v>420</v>
      </c>
      <c r="AA354" s="176" t="s">
        <v>640</v>
      </c>
      <c r="AB354" s="176" t="s">
        <v>420</v>
      </c>
      <c r="AC354" s="176" t="s">
        <v>420</v>
      </c>
      <c r="AD354" s="176" t="s">
        <v>420</v>
      </c>
      <c r="AE354" s="176" t="s">
        <v>420</v>
      </c>
      <c r="AF354" s="176" t="s">
        <v>213</v>
      </c>
      <c r="AG354" s="176">
        <v>1</v>
      </c>
      <c r="AH354" s="176" t="s">
        <v>656</v>
      </c>
      <c r="AI354" s="176" t="s">
        <v>656</v>
      </c>
      <c r="AJ354" s="176" t="s">
        <v>656</v>
      </c>
      <c r="AK354" s="176" t="s">
        <v>656</v>
      </c>
      <c r="AL354" s="1191" t="s">
        <v>420</v>
      </c>
      <c r="AM354" s="176" t="s">
        <v>420</v>
      </c>
      <c r="AN354" s="176" t="s">
        <v>420</v>
      </c>
      <c r="AO354" s="176" t="s">
        <v>420</v>
      </c>
      <c r="AP354" s="176">
        <v>24</v>
      </c>
      <c r="AQ354" s="176">
        <v>216</v>
      </c>
      <c r="AR354" s="176" t="s">
        <v>420</v>
      </c>
      <c r="AS354" s="193" t="s">
        <v>420</v>
      </c>
    </row>
    <row r="355" spans="1:45" ht="16.5" customHeight="1">
      <c r="A355" s="175">
        <v>46183</v>
      </c>
      <c r="B355" s="176" t="s">
        <v>215</v>
      </c>
      <c r="C355" s="176" t="s">
        <v>640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640</v>
      </c>
      <c r="P355" s="176" t="s">
        <v>640</v>
      </c>
      <c r="T355" s="176" t="s">
        <v>640</v>
      </c>
      <c r="X355" s="176" t="s">
        <v>640</v>
      </c>
      <c r="Z355" s="176" t="s">
        <v>420</v>
      </c>
      <c r="AA355" s="176" t="s">
        <v>640</v>
      </c>
      <c r="AB355" s="176" t="s">
        <v>420</v>
      </c>
      <c r="AC355" s="176" t="s">
        <v>420</v>
      </c>
      <c r="AD355" s="176" t="s">
        <v>420</v>
      </c>
      <c r="AE355" s="176" t="s">
        <v>420</v>
      </c>
      <c r="AF355" s="176" t="s">
        <v>213</v>
      </c>
      <c r="AG355" s="176">
        <v>1</v>
      </c>
      <c r="AH355" s="176" t="s">
        <v>656</v>
      </c>
      <c r="AI355" s="176" t="s">
        <v>656</v>
      </c>
      <c r="AJ355" s="176" t="s">
        <v>656</v>
      </c>
      <c r="AK355" s="176" t="s">
        <v>656</v>
      </c>
      <c r="AL355" s="119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46183</v>
      </c>
      <c r="B356" s="176" t="s">
        <v>216</v>
      </c>
      <c r="C356" s="176" t="s">
        <v>640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640</v>
      </c>
      <c r="P356" s="176" t="s">
        <v>640</v>
      </c>
      <c r="T356" s="176" t="s">
        <v>640</v>
      </c>
      <c r="X356" s="176" t="s">
        <v>640</v>
      </c>
      <c r="Z356" s="176" t="s">
        <v>420</v>
      </c>
      <c r="AA356" s="176" t="s">
        <v>640</v>
      </c>
      <c r="AB356" s="176" t="s">
        <v>420</v>
      </c>
      <c r="AC356" s="176" t="s">
        <v>420</v>
      </c>
      <c r="AD356" s="176" t="s">
        <v>420</v>
      </c>
      <c r="AE356" s="176" t="s">
        <v>420</v>
      </c>
      <c r="AF356" s="176" t="s">
        <v>213</v>
      </c>
      <c r="AG356" s="176">
        <v>1</v>
      </c>
      <c r="AH356" s="176" t="s">
        <v>648</v>
      </c>
      <c r="AI356" s="176" t="s">
        <v>656</v>
      </c>
      <c r="AJ356" s="176" t="s">
        <v>656</v>
      </c>
      <c r="AK356" s="176" t="s">
        <v>656</v>
      </c>
      <c r="AL356" s="119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46183</v>
      </c>
      <c r="B357" s="176" t="s">
        <v>217</v>
      </c>
      <c r="C357" s="176" t="s">
        <v>17443</v>
      </c>
      <c r="E357" s="176" t="s">
        <v>474</v>
      </c>
      <c r="F357" s="176" t="s">
        <v>16817</v>
      </c>
      <c r="G357" s="176">
        <v>600</v>
      </c>
      <c r="H357" s="176" t="s">
        <v>16144</v>
      </c>
      <c r="I357" s="176">
        <v>5</v>
      </c>
      <c r="J357" s="176">
        <v>34</v>
      </c>
      <c r="K357" s="176">
        <v>0</v>
      </c>
      <c r="L357" s="176">
        <v>9187</v>
      </c>
      <c r="M357" s="176">
        <v>8431</v>
      </c>
      <c r="R357" s="176">
        <v>22</v>
      </c>
      <c r="S357" s="176">
        <v>2</v>
      </c>
      <c r="T357" s="176">
        <v>9294</v>
      </c>
      <c r="U357" s="176">
        <v>8816</v>
      </c>
      <c r="V357" s="176">
        <v>33</v>
      </c>
      <c r="W357" s="176">
        <v>0</v>
      </c>
      <c r="X357" s="176">
        <v>8970</v>
      </c>
      <c r="Y357" s="176">
        <v>8898</v>
      </c>
      <c r="Z357" s="176">
        <v>1.4090019569471623</v>
      </c>
      <c r="AA357" s="176">
        <v>29.666666666666668</v>
      </c>
      <c r="AB357" s="176">
        <v>0.99317574786324792</v>
      </c>
      <c r="AC357" s="176">
        <v>89.326666666666654</v>
      </c>
      <c r="AD357" s="176">
        <v>3.7083333333333335</v>
      </c>
      <c r="AE357" s="176">
        <v>3.625</v>
      </c>
      <c r="AF357" s="176" t="s">
        <v>213</v>
      </c>
      <c r="AG357" s="176">
        <v>1</v>
      </c>
      <c r="AH357" s="176" t="s">
        <v>649</v>
      </c>
      <c r="AI357" s="176" t="s">
        <v>642</v>
      </c>
      <c r="AJ357" s="176" t="s">
        <v>642</v>
      </c>
      <c r="AK357" s="176" t="s">
        <v>734</v>
      </c>
      <c r="AL357" s="1191" t="s">
        <v>252</v>
      </c>
      <c r="AM357" s="176" t="s">
        <v>126</v>
      </c>
      <c r="AN357" s="176">
        <v>0.91100000000000003</v>
      </c>
      <c r="AO357" s="176">
        <v>0.6</v>
      </c>
      <c r="AP357" s="176">
        <v>24</v>
      </c>
      <c r="AQ357" s="176">
        <v>216</v>
      </c>
      <c r="AR357" s="176">
        <v>1.6</v>
      </c>
      <c r="AS357" s="193">
        <v>7556.1984000000011</v>
      </c>
    </row>
    <row r="358" spans="1:45" ht="16.5" customHeight="1">
      <c r="A358" s="175">
        <v>46183</v>
      </c>
      <c r="B358" s="176" t="s">
        <v>218</v>
      </c>
      <c r="C358" s="176" t="s">
        <v>17260</v>
      </c>
      <c r="E358" s="176" t="s">
        <v>17335</v>
      </c>
      <c r="F358" s="176" t="s">
        <v>17276</v>
      </c>
      <c r="G358" s="176">
        <v>600</v>
      </c>
      <c r="H358" s="176" t="s">
        <v>15907</v>
      </c>
      <c r="I358" s="176">
        <v>5</v>
      </c>
      <c r="L358" s="176" t="s">
        <v>636</v>
      </c>
      <c r="P358" s="176" t="s">
        <v>636</v>
      </c>
      <c r="T358" s="176" t="s">
        <v>479</v>
      </c>
      <c r="V358" s="176">
        <v>30</v>
      </c>
      <c r="W358" s="176">
        <v>0</v>
      </c>
      <c r="X358" s="176">
        <v>9183</v>
      </c>
      <c r="Y358" s="176">
        <v>9395</v>
      </c>
      <c r="Z358" s="176">
        <v>2.8015564202334629</v>
      </c>
      <c r="AA358" s="176" t="s">
        <v>636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213</v>
      </c>
      <c r="AG358" s="176">
        <v>0.5</v>
      </c>
      <c r="AH358" s="176" t="s">
        <v>649</v>
      </c>
      <c r="AI358" s="176" t="s">
        <v>642</v>
      </c>
      <c r="AJ358" s="176" t="s">
        <v>642</v>
      </c>
      <c r="AK358" s="176" t="s">
        <v>734</v>
      </c>
      <c r="AL358" s="1191" t="s">
        <v>251</v>
      </c>
      <c r="AM358" s="176" t="s">
        <v>126</v>
      </c>
      <c r="AN358" s="176">
        <v>0.91100000000000003</v>
      </c>
      <c r="AO358" s="176">
        <v>1.7</v>
      </c>
      <c r="AP358" s="176">
        <v>24</v>
      </c>
      <c r="AQ358" s="176">
        <v>216</v>
      </c>
      <c r="AR358" s="176">
        <v>2.7</v>
      </c>
      <c r="AS358" s="193">
        <v>12751.084800000001</v>
      </c>
    </row>
    <row r="359" spans="1:45" ht="16.5" customHeight="1">
      <c r="A359" s="175">
        <v>46183</v>
      </c>
      <c r="B359" s="176" t="s">
        <v>219</v>
      </c>
      <c r="C359" s="176" t="s">
        <v>16766</v>
      </c>
      <c r="D359" s="176" t="s">
        <v>16769</v>
      </c>
      <c r="E359" s="176" t="s">
        <v>1472</v>
      </c>
      <c r="F359" s="176" t="s">
        <v>16217</v>
      </c>
      <c r="G359" s="176">
        <v>630</v>
      </c>
      <c r="H359" s="176" t="s">
        <v>629</v>
      </c>
      <c r="I359" s="176">
        <v>2</v>
      </c>
      <c r="J359" s="176">
        <v>13</v>
      </c>
      <c r="K359" s="176">
        <v>2</v>
      </c>
      <c r="L359" s="176">
        <v>9152</v>
      </c>
      <c r="M359" s="176">
        <v>9362</v>
      </c>
      <c r="R359" s="176">
        <v>20</v>
      </c>
      <c r="S359" s="176">
        <v>0</v>
      </c>
      <c r="T359" s="176">
        <v>9171</v>
      </c>
      <c r="U359" s="176">
        <v>9499</v>
      </c>
      <c r="V359" s="176">
        <v>14</v>
      </c>
      <c r="W359" s="176">
        <v>1</v>
      </c>
      <c r="X359" s="176">
        <v>9290</v>
      </c>
      <c r="Y359" s="176">
        <v>9646</v>
      </c>
      <c r="Z359" s="176">
        <v>2.4615384615384617</v>
      </c>
      <c r="AA359" s="176">
        <v>15.666666666666666</v>
      </c>
      <c r="AB359" s="176">
        <v>0.994140625</v>
      </c>
      <c r="AC359" s="176">
        <v>93.533333333333346</v>
      </c>
      <c r="AD359" s="176">
        <v>1.9583333333333333</v>
      </c>
      <c r="AE359" s="176">
        <v>1.8333333333333333</v>
      </c>
      <c r="AF359" s="176" t="s">
        <v>213</v>
      </c>
      <c r="AG359" s="176">
        <v>1</v>
      </c>
      <c r="AH359" s="176" t="s">
        <v>649</v>
      </c>
      <c r="AI359" s="176" t="s">
        <v>642</v>
      </c>
      <c r="AJ359" s="176" t="s">
        <v>642</v>
      </c>
      <c r="AK359" s="176" t="s">
        <v>734</v>
      </c>
      <c r="AL359" s="1191" t="s">
        <v>251</v>
      </c>
      <c r="AM359" s="176" t="s">
        <v>951</v>
      </c>
      <c r="AN359" s="176">
        <v>0.56200000000000006</v>
      </c>
      <c r="AO359" s="176">
        <v>1.1000000000000001</v>
      </c>
      <c r="AP359" s="176">
        <v>24</v>
      </c>
      <c r="AQ359" s="176">
        <v>216</v>
      </c>
      <c r="AR359" s="176">
        <v>2.1</v>
      </c>
      <c r="AS359" s="193">
        <v>6118.1568000000007</v>
      </c>
    </row>
    <row r="360" spans="1:45" ht="16.5" customHeight="1">
      <c r="A360" s="175">
        <v>46183</v>
      </c>
      <c r="B360" s="176" t="s">
        <v>220</v>
      </c>
      <c r="C360" s="176" t="s">
        <v>640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640</v>
      </c>
      <c r="P360" s="176" t="s">
        <v>640</v>
      </c>
      <c r="T360" s="176" t="s">
        <v>640</v>
      </c>
      <c r="X360" s="176" t="s">
        <v>640</v>
      </c>
      <c r="Z360" s="176" t="s">
        <v>420</v>
      </c>
      <c r="AA360" s="176" t="s">
        <v>640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213</v>
      </c>
      <c r="AG360" s="176">
        <v>1</v>
      </c>
      <c r="AH360" s="176" t="s">
        <v>648</v>
      </c>
      <c r="AI360" s="176" t="s">
        <v>648</v>
      </c>
      <c r="AJ360" s="176" t="s">
        <v>648</v>
      </c>
      <c r="AK360" s="176" t="s">
        <v>648</v>
      </c>
      <c r="AL360" s="119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46183</v>
      </c>
      <c r="B361" s="176" t="s">
        <v>221</v>
      </c>
      <c r="C361" s="176" t="s">
        <v>16787</v>
      </c>
      <c r="E361" s="176" t="s">
        <v>624</v>
      </c>
      <c r="F361" s="176" t="s">
        <v>16747</v>
      </c>
      <c r="G361" s="176">
        <v>600</v>
      </c>
      <c r="H361" s="176" t="s">
        <v>476</v>
      </c>
      <c r="I361" s="176">
        <v>5</v>
      </c>
      <c r="J361" s="176">
        <v>22</v>
      </c>
      <c r="K361" s="176">
        <v>3</v>
      </c>
      <c r="L361" s="176">
        <v>9012</v>
      </c>
      <c r="M361" s="176">
        <v>8509</v>
      </c>
      <c r="R361" s="176">
        <v>13</v>
      </c>
      <c r="S361" s="176">
        <v>1</v>
      </c>
      <c r="T361" s="176">
        <v>9144</v>
      </c>
      <c r="U361" s="176">
        <v>8759</v>
      </c>
      <c r="V361" s="176">
        <v>17</v>
      </c>
      <c r="W361" s="176">
        <v>0</v>
      </c>
      <c r="X361" s="176">
        <v>8727</v>
      </c>
      <c r="Y361" s="176">
        <v>8724</v>
      </c>
      <c r="Z361" s="176">
        <v>2.8685258964143427</v>
      </c>
      <c r="AA361" s="176">
        <v>17.333333333333332</v>
      </c>
      <c r="AB361" s="176">
        <v>0.99329594017094014</v>
      </c>
      <c r="AC361" s="176">
        <v>88.125</v>
      </c>
      <c r="AD361" s="176">
        <v>2.1666666666666665</v>
      </c>
      <c r="AE361" s="176">
        <v>2</v>
      </c>
      <c r="AF361" s="176" t="s">
        <v>213</v>
      </c>
      <c r="AG361" s="176">
        <v>1</v>
      </c>
      <c r="AH361" s="176" t="s">
        <v>649</v>
      </c>
      <c r="AI361" s="176" t="s">
        <v>642</v>
      </c>
      <c r="AJ361" s="176" t="s">
        <v>642</v>
      </c>
      <c r="AK361" s="176" t="s">
        <v>734</v>
      </c>
      <c r="AL361" s="1191" t="s">
        <v>251</v>
      </c>
      <c r="AM361" s="176" t="s">
        <v>126</v>
      </c>
      <c r="AN361" s="176">
        <v>0.91100000000000003</v>
      </c>
      <c r="AO361" s="176">
        <v>3</v>
      </c>
      <c r="AP361" s="176">
        <v>24</v>
      </c>
      <c r="AQ361" s="176">
        <v>216</v>
      </c>
      <c r="AR361" s="176">
        <v>4</v>
      </c>
      <c r="AS361" s="193">
        <v>18890.495999999999</v>
      </c>
    </row>
    <row r="362" spans="1:45" ht="16.5" customHeight="1">
      <c r="A362" s="175">
        <v>46183</v>
      </c>
      <c r="B362" s="176" t="s">
        <v>222</v>
      </c>
      <c r="C362" s="176" t="s">
        <v>17282</v>
      </c>
      <c r="E362" s="176" t="s">
        <v>17283</v>
      </c>
      <c r="F362" s="176" t="s">
        <v>17284</v>
      </c>
      <c r="G362" s="176">
        <v>575</v>
      </c>
      <c r="H362" s="176" t="s">
        <v>468</v>
      </c>
      <c r="I362" s="176">
        <v>4</v>
      </c>
      <c r="J362" s="176">
        <v>4</v>
      </c>
      <c r="K362" s="176">
        <v>3</v>
      </c>
      <c r="L362" s="176" t="s">
        <v>127</v>
      </c>
      <c r="M362" s="176">
        <v>9665</v>
      </c>
      <c r="R362" s="176">
        <v>12</v>
      </c>
      <c r="S362" s="176">
        <v>1</v>
      </c>
      <c r="T362" s="176">
        <v>9729</v>
      </c>
      <c r="U362" s="176">
        <v>9601</v>
      </c>
      <c r="X362" s="176" t="s">
        <v>127</v>
      </c>
      <c r="Z362" s="176">
        <v>1.1009174311926606</v>
      </c>
      <c r="AA362" s="176" t="s">
        <v>127</v>
      </c>
      <c r="AB362" s="176">
        <v>0.98253205128205123</v>
      </c>
      <c r="AC362" s="176" t="s">
        <v>420</v>
      </c>
      <c r="AD362" s="176" t="s">
        <v>420</v>
      </c>
      <c r="AE362" s="176" t="s">
        <v>420</v>
      </c>
      <c r="AF362" s="176" t="s">
        <v>213</v>
      </c>
      <c r="AG362" s="176">
        <v>1</v>
      </c>
      <c r="AH362" s="176" t="s">
        <v>649</v>
      </c>
      <c r="AI362" s="176" t="s">
        <v>642</v>
      </c>
      <c r="AJ362" s="176" t="s">
        <v>642</v>
      </c>
      <c r="AK362" s="176" t="s">
        <v>734</v>
      </c>
      <c r="AL362" s="1191" t="s">
        <v>251</v>
      </c>
      <c r="AM362" s="176" t="s">
        <v>126</v>
      </c>
      <c r="AN362" s="176">
        <v>0.91100000000000003</v>
      </c>
      <c r="AO362" s="176">
        <v>0.9</v>
      </c>
      <c r="AP362" s="176">
        <v>24</v>
      </c>
      <c r="AQ362" s="176">
        <v>216</v>
      </c>
      <c r="AR362" s="176">
        <v>1.9</v>
      </c>
      <c r="AS362" s="193">
        <v>8972.9856</v>
      </c>
    </row>
    <row r="363" spans="1:45" ht="16.5" customHeight="1">
      <c r="A363" s="175">
        <v>46183</v>
      </c>
      <c r="B363" s="176" t="s">
        <v>223</v>
      </c>
      <c r="C363" s="176" t="s">
        <v>640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640</v>
      </c>
      <c r="P363" s="176" t="s">
        <v>640</v>
      </c>
      <c r="T363" s="176" t="s">
        <v>640</v>
      </c>
      <c r="X363" s="176" t="s">
        <v>640</v>
      </c>
      <c r="Z363" s="176" t="s">
        <v>420</v>
      </c>
      <c r="AA363" s="176" t="s">
        <v>640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213</v>
      </c>
      <c r="AG363" s="176">
        <v>1</v>
      </c>
      <c r="AH363" s="176" t="s">
        <v>648</v>
      </c>
      <c r="AI363" s="176" t="s">
        <v>648</v>
      </c>
      <c r="AJ363" s="176" t="s">
        <v>648</v>
      </c>
      <c r="AK363" s="176" t="s">
        <v>648</v>
      </c>
      <c r="AL363" s="119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46183</v>
      </c>
      <c r="B364" s="176" t="s">
        <v>224</v>
      </c>
      <c r="C364" s="176" t="s">
        <v>640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640</v>
      </c>
      <c r="P364" s="176" t="s">
        <v>640</v>
      </c>
      <c r="T364" s="176" t="s">
        <v>640</v>
      </c>
      <c r="X364" s="176" t="s">
        <v>640</v>
      </c>
      <c r="Z364" s="176" t="s">
        <v>420</v>
      </c>
      <c r="AA364" s="176" t="s">
        <v>640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213</v>
      </c>
      <c r="AG364" s="176">
        <v>1</v>
      </c>
      <c r="AH364" s="176" t="s">
        <v>648</v>
      </c>
      <c r="AI364" s="176" t="s">
        <v>648</v>
      </c>
      <c r="AJ364" s="176" t="s">
        <v>648</v>
      </c>
      <c r="AK364" s="176" t="s">
        <v>648</v>
      </c>
      <c r="AL364" s="119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46183</v>
      </c>
      <c r="B365" s="176" t="s">
        <v>225</v>
      </c>
      <c r="C365" s="176" t="s">
        <v>17285</v>
      </c>
      <c r="E365" s="176" t="s">
        <v>17231</v>
      </c>
      <c r="F365" s="176" t="s">
        <v>17286</v>
      </c>
      <c r="G365" s="176">
        <v>650</v>
      </c>
      <c r="H365" s="176" t="s">
        <v>16749</v>
      </c>
      <c r="I365" s="176">
        <v>5</v>
      </c>
      <c r="J365" s="176">
        <v>19</v>
      </c>
      <c r="K365" s="176">
        <v>3</v>
      </c>
      <c r="L365" s="176">
        <v>9256</v>
      </c>
      <c r="M365" s="176">
        <v>8742</v>
      </c>
      <c r="T365" s="176" t="s">
        <v>635</v>
      </c>
      <c r="X365" s="176" t="s">
        <v>640</v>
      </c>
      <c r="Z365" s="176">
        <v>3.0573248407643314</v>
      </c>
      <c r="AA365" s="176">
        <v>6.333333333333333</v>
      </c>
      <c r="AB365" s="176">
        <v>0.99528245192307696</v>
      </c>
      <c r="AC365" s="176">
        <v>89.99</v>
      </c>
      <c r="AD365" s="176">
        <v>0.79166666666666663</v>
      </c>
      <c r="AE365" s="176">
        <v>0.66666666666666663</v>
      </c>
      <c r="AF365" s="176" t="s">
        <v>213</v>
      </c>
      <c r="AG365" s="176">
        <v>1</v>
      </c>
      <c r="AH365" s="176" t="s">
        <v>17465</v>
      </c>
      <c r="AI365" s="176" t="s">
        <v>838</v>
      </c>
      <c r="AJ365" s="176" t="s">
        <v>838</v>
      </c>
      <c r="AK365" s="176" t="s">
        <v>15379</v>
      </c>
      <c r="AL365" s="1191" t="s">
        <v>252</v>
      </c>
      <c r="AM365" s="176" t="s">
        <v>126</v>
      </c>
      <c r="AN365" s="176">
        <v>0.91100000000000003</v>
      </c>
      <c r="AO365" s="176">
        <v>3</v>
      </c>
      <c r="AP365" s="176">
        <v>24</v>
      </c>
      <c r="AQ365" s="176">
        <v>216</v>
      </c>
      <c r="AR365" s="176">
        <v>4</v>
      </c>
      <c r="AS365" s="193">
        <v>18890.495999999999</v>
      </c>
    </row>
    <row r="366" spans="1:45" ht="16.5" customHeight="1">
      <c r="A366" s="175">
        <v>46183</v>
      </c>
      <c r="B366" s="176" t="s">
        <v>226</v>
      </c>
      <c r="C366" s="176" t="s">
        <v>640</v>
      </c>
      <c r="E366" s="176" t="s">
        <v>420</v>
      </c>
      <c r="F366" s="176" t="s">
        <v>420</v>
      </c>
      <c r="G366" s="176" t="s">
        <v>420</v>
      </c>
      <c r="H366" s="176" t="s">
        <v>420</v>
      </c>
      <c r="I366" s="176" t="s">
        <v>420</v>
      </c>
      <c r="L366" s="176" t="s">
        <v>640</v>
      </c>
      <c r="P366" s="176" t="s">
        <v>640</v>
      </c>
      <c r="T366" s="176" t="s">
        <v>640</v>
      </c>
      <c r="X366" s="176" t="s">
        <v>640</v>
      </c>
      <c r="Z366" s="176" t="s">
        <v>420</v>
      </c>
      <c r="AA366" s="176" t="s">
        <v>640</v>
      </c>
      <c r="AB366" s="176" t="s">
        <v>420</v>
      </c>
      <c r="AC366" s="176" t="s">
        <v>420</v>
      </c>
      <c r="AD366" s="176" t="s">
        <v>420</v>
      </c>
      <c r="AE366" s="176" t="s">
        <v>420</v>
      </c>
      <c r="AF366" s="176" t="s">
        <v>213</v>
      </c>
      <c r="AG366" s="176">
        <v>1</v>
      </c>
      <c r="AH366" s="176" t="s">
        <v>648</v>
      </c>
      <c r="AI366" s="176" t="s">
        <v>648</v>
      </c>
      <c r="AJ366" s="176" t="s">
        <v>648</v>
      </c>
      <c r="AK366" s="176" t="s">
        <v>648</v>
      </c>
      <c r="AL366" s="1191" t="s">
        <v>420</v>
      </c>
      <c r="AM366" s="176" t="s">
        <v>420</v>
      </c>
      <c r="AN366" s="176" t="s">
        <v>420</v>
      </c>
      <c r="AO366" s="176" t="s">
        <v>420</v>
      </c>
      <c r="AP366" s="176">
        <v>24</v>
      </c>
      <c r="AQ366" s="176">
        <v>216</v>
      </c>
      <c r="AR366" s="176" t="s">
        <v>420</v>
      </c>
      <c r="AS366" s="193" t="s">
        <v>420</v>
      </c>
    </row>
    <row r="367" spans="1:45" ht="16.5" customHeight="1">
      <c r="A367" s="175">
        <v>46183</v>
      </c>
      <c r="B367" s="176" t="s">
        <v>227</v>
      </c>
      <c r="C367" s="176" t="s">
        <v>640</v>
      </c>
      <c r="E367" s="176" t="s">
        <v>420</v>
      </c>
      <c r="F367" s="176" t="s">
        <v>420</v>
      </c>
      <c r="G367" s="176" t="s">
        <v>420</v>
      </c>
      <c r="H367" s="176" t="s">
        <v>420</v>
      </c>
      <c r="I367" s="176" t="s">
        <v>420</v>
      </c>
      <c r="L367" s="176" t="s">
        <v>640</v>
      </c>
      <c r="P367" s="176" t="s">
        <v>640</v>
      </c>
      <c r="T367" s="176" t="s">
        <v>640</v>
      </c>
      <c r="X367" s="176" t="s">
        <v>640</v>
      </c>
      <c r="Z367" s="176" t="s">
        <v>420</v>
      </c>
      <c r="AA367" s="176" t="s">
        <v>640</v>
      </c>
      <c r="AB367" s="176" t="s">
        <v>420</v>
      </c>
      <c r="AC367" s="176" t="s">
        <v>420</v>
      </c>
      <c r="AD367" s="176" t="s">
        <v>420</v>
      </c>
      <c r="AE367" s="176" t="s">
        <v>420</v>
      </c>
      <c r="AF367" s="176" t="s">
        <v>213</v>
      </c>
      <c r="AG367" s="176">
        <v>1</v>
      </c>
      <c r="AH367" s="176" t="s">
        <v>648</v>
      </c>
      <c r="AI367" s="176" t="s">
        <v>648</v>
      </c>
      <c r="AJ367" s="176" t="s">
        <v>648</v>
      </c>
      <c r="AK367" s="176" t="s">
        <v>648</v>
      </c>
      <c r="AL367" s="1191" t="s">
        <v>420</v>
      </c>
      <c r="AM367" s="176" t="s">
        <v>420</v>
      </c>
      <c r="AN367" s="176" t="s">
        <v>420</v>
      </c>
      <c r="AO367" s="176" t="s">
        <v>420</v>
      </c>
      <c r="AP367" s="176">
        <v>24</v>
      </c>
      <c r="AQ367" s="176">
        <v>216</v>
      </c>
      <c r="AR367" s="176" t="s">
        <v>420</v>
      </c>
      <c r="AS367" s="193" t="s">
        <v>420</v>
      </c>
    </row>
    <row r="368" spans="1:45" ht="16.5" customHeight="1">
      <c r="A368" s="175">
        <v>46183</v>
      </c>
      <c r="B368" s="176" t="s">
        <v>228</v>
      </c>
      <c r="C368" s="176" t="s">
        <v>17446</v>
      </c>
      <c r="E368" s="176" t="s">
        <v>17447</v>
      </c>
      <c r="F368" s="176" t="s">
        <v>17448</v>
      </c>
      <c r="G368" s="176">
        <v>550</v>
      </c>
      <c r="H368" s="176" t="s">
        <v>16736</v>
      </c>
      <c r="I368" s="176">
        <v>5</v>
      </c>
      <c r="J368" s="176">
        <v>56</v>
      </c>
      <c r="K368" s="176">
        <v>4</v>
      </c>
      <c r="L368" s="176">
        <v>8029</v>
      </c>
      <c r="M368" s="176">
        <v>8443</v>
      </c>
      <c r="R368" s="176">
        <v>24</v>
      </c>
      <c r="S368" s="176">
        <v>4</v>
      </c>
      <c r="T368" s="176">
        <v>8807</v>
      </c>
      <c r="U368" s="176">
        <v>9284</v>
      </c>
      <c r="V368" s="176">
        <v>8</v>
      </c>
      <c r="W368" s="176">
        <v>0</v>
      </c>
      <c r="X368" s="176">
        <v>8762</v>
      </c>
      <c r="Y368" s="176">
        <v>9218</v>
      </c>
      <c r="Z368" s="176">
        <v>5.161290322580645</v>
      </c>
      <c r="AA368" s="176">
        <v>14.666666666666666</v>
      </c>
      <c r="AB368" s="176">
        <v>0.99254807692307689</v>
      </c>
      <c r="AC368" s="176">
        <v>87.571666666666658</v>
      </c>
      <c r="AD368" s="176">
        <v>1.8333333333333333</v>
      </c>
      <c r="AE368" s="176">
        <v>1.6666666666666667</v>
      </c>
      <c r="AF368" s="176" t="s">
        <v>213</v>
      </c>
      <c r="AG368" s="176">
        <v>0.5</v>
      </c>
      <c r="AH368" s="176" t="s">
        <v>649</v>
      </c>
      <c r="AI368" s="176" t="s">
        <v>838</v>
      </c>
      <c r="AJ368" s="176" t="s">
        <v>838</v>
      </c>
      <c r="AK368" s="176" t="s">
        <v>15379</v>
      </c>
      <c r="AL368" s="1191" t="s">
        <v>251</v>
      </c>
      <c r="AM368" s="176" t="s">
        <v>651</v>
      </c>
      <c r="AN368" s="176">
        <v>1.859</v>
      </c>
      <c r="AO368" s="176">
        <v>2.8</v>
      </c>
      <c r="AP368" s="176">
        <v>24</v>
      </c>
      <c r="AQ368" s="176">
        <v>216</v>
      </c>
      <c r="AR368" s="176">
        <v>3.8</v>
      </c>
      <c r="AS368" s="193">
        <v>36620.8128</v>
      </c>
    </row>
    <row r="369" spans="1:45" ht="16.5" customHeight="1">
      <c r="A369" s="175">
        <v>46183</v>
      </c>
      <c r="B369" s="176" t="s">
        <v>229</v>
      </c>
      <c r="C369" s="176" t="s">
        <v>640</v>
      </c>
      <c r="E369" s="176" t="s">
        <v>420</v>
      </c>
      <c r="F369" s="176" t="s">
        <v>420</v>
      </c>
      <c r="G369" s="176" t="s">
        <v>420</v>
      </c>
      <c r="H369" s="176" t="s">
        <v>420</v>
      </c>
      <c r="I369" s="176" t="s">
        <v>420</v>
      </c>
      <c r="L369" s="176" t="s">
        <v>640</v>
      </c>
      <c r="P369" s="176" t="s">
        <v>640</v>
      </c>
      <c r="T369" s="176" t="s">
        <v>640</v>
      </c>
      <c r="X369" s="176" t="s">
        <v>640</v>
      </c>
      <c r="Z369" s="176" t="s">
        <v>420</v>
      </c>
      <c r="AA369" s="176" t="s">
        <v>640</v>
      </c>
      <c r="AB369" s="176" t="s">
        <v>420</v>
      </c>
      <c r="AC369" s="176" t="s">
        <v>420</v>
      </c>
      <c r="AD369" s="176" t="s">
        <v>420</v>
      </c>
      <c r="AE369" s="176" t="s">
        <v>420</v>
      </c>
      <c r="AF369" s="176" t="s">
        <v>213</v>
      </c>
      <c r="AG369" s="176">
        <v>1</v>
      </c>
      <c r="AH369" s="176" t="s">
        <v>648</v>
      </c>
      <c r="AI369" s="176" t="s">
        <v>648</v>
      </c>
      <c r="AJ369" s="176" t="s">
        <v>648</v>
      </c>
      <c r="AK369" s="176" t="s">
        <v>648</v>
      </c>
      <c r="AL369" s="1191" t="s">
        <v>420</v>
      </c>
      <c r="AM369" s="176" t="s">
        <v>420</v>
      </c>
      <c r="AN369" s="176" t="s">
        <v>420</v>
      </c>
      <c r="AO369" s="176" t="s">
        <v>420</v>
      </c>
      <c r="AP369" s="176">
        <v>24</v>
      </c>
      <c r="AQ369" s="176">
        <v>216</v>
      </c>
      <c r="AR369" s="176" t="s">
        <v>420</v>
      </c>
      <c r="AS369" s="193" t="s">
        <v>420</v>
      </c>
    </row>
    <row r="370" spans="1:45" ht="16.5" customHeight="1">
      <c r="A370" s="175">
        <v>46183</v>
      </c>
      <c r="B370" s="176" t="s">
        <v>230</v>
      </c>
      <c r="C370" s="176" t="s">
        <v>640</v>
      </c>
      <c r="E370" s="176" t="s">
        <v>420</v>
      </c>
      <c r="F370" s="176" t="s">
        <v>420</v>
      </c>
      <c r="G370" s="176" t="s">
        <v>420</v>
      </c>
      <c r="H370" s="176" t="s">
        <v>420</v>
      </c>
      <c r="I370" s="176" t="s">
        <v>420</v>
      </c>
      <c r="L370" s="176" t="s">
        <v>640</v>
      </c>
      <c r="P370" s="176" t="s">
        <v>640</v>
      </c>
      <c r="T370" s="176" t="s">
        <v>640</v>
      </c>
      <c r="X370" s="176" t="s">
        <v>640</v>
      </c>
      <c r="Z370" s="176" t="s">
        <v>420</v>
      </c>
      <c r="AA370" s="176" t="s">
        <v>640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648</v>
      </c>
      <c r="AI370" s="176" t="s">
        <v>648</v>
      </c>
      <c r="AJ370" s="176" t="s">
        <v>648</v>
      </c>
      <c r="AK370" s="176" t="s">
        <v>648</v>
      </c>
      <c r="AL370" s="1191" t="s">
        <v>420</v>
      </c>
      <c r="AM370" s="176" t="s">
        <v>420</v>
      </c>
      <c r="AN370" s="176" t="s">
        <v>420</v>
      </c>
      <c r="AO370" s="176" t="s">
        <v>420</v>
      </c>
      <c r="AP370" s="176">
        <v>24</v>
      </c>
      <c r="AQ370" s="176">
        <v>216</v>
      </c>
      <c r="AR370" s="176" t="s">
        <v>420</v>
      </c>
      <c r="AS370" s="193" t="s">
        <v>420</v>
      </c>
    </row>
    <row r="371" spans="1:45" ht="16.5" customHeight="1">
      <c r="A371" s="175">
        <v>46183</v>
      </c>
      <c r="B371" s="176" t="s">
        <v>231</v>
      </c>
      <c r="C371" s="176" t="s">
        <v>640</v>
      </c>
      <c r="E371" s="176" t="s">
        <v>420</v>
      </c>
      <c r="F371" s="176" t="s">
        <v>420</v>
      </c>
      <c r="G371" s="176" t="s">
        <v>420</v>
      </c>
      <c r="H371" s="176" t="s">
        <v>420</v>
      </c>
      <c r="I371" s="176" t="s">
        <v>420</v>
      </c>
      <c r="L371" s="176" t="s">
        <v>640</v>
      </c>
      <c r="P371" s="176" t="s">
        <v>640</v>
      </c>
      <c r="T371" s="176" t="s">
        <v>640</v>
      </c>
      <c r="X371" s="176" t="s">
        <v>640</v>
      </c>
      <c r="Z371" s="176" t="s">
        <v>420</v>
      </c>
      <c r="AA371" s="176" t="s">
        <v>640</v>
      </c>
      <c r="AB371" s="176" t="s">
        <v>420</v>
      </c>
      <c r="AC371" s="176" t="s">
        <v>420</v>
      </c>
      <c r="AD371" s="176" t="s">
        <v>420</v>
      </c>
      <c r="AE371" s="176" t="s">
        <v>420</v>
      </c>
      <c r="AF371" s="176" t="s">
        <v>232</v>
      </c>
      <c r="AG371" s="176">
        <v>1</v>
      </c>
      <c r="AH371" s="176" t="s">
        <v>648</v>
      </c>
      <c r="AI371" s="176" t="s">
        <v>648</v>
      </c>
      <c r="AJ371" s="176" t="s">
        <v>648</v>
      </c>
      <c r="AK371" s="176" t="s">
        <v>648</v>
      </c>
      <c r="AL371" s="1191" t="s">
        <v>420</v>
      </c>
      <c r="AM371" s="176" t="s">
        <v>420</v>
      </c>
      <c r="AN371" s="176" t="s">
        <v>420</v>
      </c>
      <c r="AO371" s="176" t="s">
        <v>420</v>
      </c>
      <c r="AP371" s="176">
        <v>24</v>
      </c>
      <c r="AQ371" s="176">
        <v>216</v>
      </c>
      <c r="AR371" s="176" t="s">
        <v>420</v>
      </c>
      <c r="AS371" s="193" t="s">
        <v>420</v>
      </c>
    </row>
    <row r="372" spans="1:45" ht="16.5" customHeight="1">
      <c r="A372" s="175">
        <v>46183</v>
      </c>
      <c r="B372" s="176" t="s">
        <v>233</v>
      </c>
      <c r="C372" s="176" t="s">
        <v>17336</v>
      </c>
      <c r="D372" s="176" t="s">
        <v>641</v>
      </c>
      <c r="E372" s="176" t="s">
        <v>16740</v>
      </c>
      <c r="F372" s="176" t="s">
        <v>17289</v>
      </c>
      <c r="G372" s="176">
        <v>600</v>
      </c>
      <c r="H372" s="176" t="s">
        <v>7798</v>
      </c>
      <c r="I372" s="176">
        <v>5.5</v>
      </c>
      <c r="J372" s="176">
        <v>45</v>
      </c>
      <c r="K372" s="176">
        <v>5</v>
      </c>
      <c r="L372" s="176">
        <v>6990</v>
      </c>
      <c r="R372" s="176">
        <v>36</v>
      </c>
      <c r="S372" s="176">
        <v>3</v>
      </c>
      <c r="T372" s="176">
        <v>6710</v>
      </c>
      <c r="V372" s="176">
        <v>71</v>
      </c>
      <c r="W372" s="176">
        <v>5</v>
      </c>
      <c r="X372" s="176">
        <v>6700</v>
      </c>
      <c r="Z372" s="176">
        <v>5.8536585365853666</v>
      </c>
      <c r="AA372" s="176">
        <v>50.666666666666664</v>
      </c>
      <c r="AB372" s="176">
        <v>0.98932291666666672</v>
      </c>
      <c r="AC372" s="176">
        <v>68</v>
      </c>
      <c r="AD372" s="176">
        <v>6.333333333333333</v>
      </c>
      <c r="AE372" s="176">
        <v>5.791666666666667</v>
      </c>
      <c r="AF372" s="176" t="s">
        <v>232</v>
      </c>
      <c r="AG372" s="176">
        <v>1</v>
      </c>
      <c r="AH372" s="176" t="s">
        <v>824</v>
      </c>
      <c r="AI372" s="176" t="s">
        <v>645</v>
      </c>
      <c r="AJ372" s="176" t="s">
        <v>646</v>
      </c>
      <c r="AK372" s="176" t="s">
        <v>15379</v>
      </c>
      <c r="AL372" s="1191" t="s">
        <v>251</v>
      </c>
      <c r="AM372" s="176" t="s">
        <v>651</v>
      </c>
      <c r="AN372" s="176">
        <v>1.859</v>
      </c>
      <c r="AO372" s="176">
        <v>2.1</v>
      </c>
      <c r="AP372" s="176">
        <v>24</v>
      </c>
      <c r="AQ372" s="176">
        <v>216</v>
      </c>
      <c r="AR372" s="176">
        <v>3.1</v>
      </c>
      <c r="AS372" s="193">
        <v>29874.873599999999</v>
      </c>
    </row>
    <row r="373" spans="1:45" ht="16.5" customHeight="1">
      <c r="A373" s="175">
        <v>46183</v>
      </c>
      <c r="B373" s="176" t="s">
        <v>234</v>
      </c>
      <c r="C373" s="176" t="s">
        <v>640</v>
      </c>
      <c r="E373" s="176" t="s">
        <v>420</v>
      </c>
      <c r="F373" s="176" t="s">
        <v>420</v>
      </c>
      <c r="G373" s="176" t="s">
        <v>420</v>
      </c>
      <c r="H373" s="176" t="s">
        <v>420</v>
      </c>
      <c r="I373" s="176" t="s">
        <v>420</v>
      </c>
      <c r="L373" s="176" t="s">
        <v>640</v>
      </c>
      <c r="P373" s="176" t="s">
        <v>640</v>
      </c>
      <c r="T373" s="176" t="s">
        <v>640</v>
      </c>
      <c r="X373" s="176" t="s">
        <v>640</v>
      </c>
      <c r="Z373" s="176" t="s">
        <v>420</v>
      </c>
      <c r="AA373" s="176" t="s">
        <v>640</v>
      </c>
      <c r="AB373" s="176" t="s">
        <v>420</v>
      </c>
      <c r="AC373" s="176" t="s">
        <v>420</v>
      </c>
      <c r="AD373" s="176" t="s">
        <v>420</v>
      </c>
      <c r="AE373" s="176" t="s">
        <v>420</v>
      </c>
      <c r="AF373" s="176" t="s">
        <v>232</v>
      </c>
      <c r="AG373" s="176">
        <v>1</v>
      </c>
      <c r="AH373" s="176" t="s">
        <v>648</v>
      </c>
      <c r="AI373" s="176" t="s">
        <v>648</v>
      </c>
      <c r="AJ373" s="176" t="s">
        <v>648</v>
      </c>
      <c r="AK373" s="176" t="s">
        <v>648</v>
      </c>
      <c r="AL373" s="1191" t="s">
        <v>420</v>
      </c>
      <c r="AM373" s="176" t="s">
        <v>420</v>
      </c>
      <c r="AN373" s="176" t="s">
        <v>420</v>
      </c>
      <c r="AO373" s="176" t="s">
        <v>420</v>
      </c>
      <c r="AP373" s="176">
        <v>24</v>
      </c>
      <c r="AQ373" s="176">
        <v>216</v>
      </c>
      <c r="AR373" s="176" t="s">
        <v>420</v>
      </c>
      <c r="AS373" s="193" t="s">
        <v>420</v>
      </c>
    </row>
    <row r="374" spans="1:45" ht="16.5" customHeight="1">
      <c r="A374" s="175">
        <v>46183</v>
      </c>
      <c r="B374" s="176" t="s">
        <v>235</v>
      </c>
      <c r="C374" s="176" t="s">
        <v>17287</v>
      </c>
      <c r="D374" s="176" t="s">
        <v>641</v>
      </c>
      <c r="E374" s="176" t="s">
        <v>16740</v>
      </c>
      <c r="F374" s="176" t="s">
        <v>17269</v>
      </c>
      <c r="G374" s="176">
        <v>700</v>
      </c>
      <c r="H374" s="176" t="s">
        <v>1032</v>
      </c>
      <c r="I374" s="176">
        <v>5.5</v>
      </c>
      <c r="J374" s="176">
        <v>41</v>
      </c>
      <c r="K374" s="176">
        <v>0</v>
      </c>
      <c r="L374" s="176">
        <v>8240</v>
      </c>
      <c r="M374" s="176">
        <v>8800</v>
      </c>
      <c r="R374" s="176">
        <v>28</v>
      </c>
      <c r="S374" s="176">
        <v>0</v>
      </c>
      <c r="T374" s="176">
        <v>7960</v>
      </c>
      <c r="U374" s="176">
        <v>8430</v>
      </c>
      <c r="V374" s="176">
        <v>56</v>
      </c>
      <c r="W374" s="176">
        <v>6</v>
      </c>
      <c r="X374" s="176">
        <v>9170</v>
      </c>
      <c r="Y374" s="176">
        <v>9170</v>
      </c>
      <c r="Z374" s="176">
        <v>5.8299595141700413</v>
      </c>
      <c r="AA374" s="176">
        <v>41.666666666666664</v>
      </c>
      <c r="AB374" s="176">
        <v>0.99505208333333328</v>
      </c>
      <c r="AC374" s="176">
        <v>86.283333333333346</v>
      </c>
      <c r="AD374" s="176">
        <v>5.208333333333333</v>
      </c>
      <c r="AE374" s="176">
        <v>4.958333333333333</v>
      </c>
      <c r="AF374" s="176" t="s">
        <v>236</v>
      </c>
      <c r="AG374" s="176">
        <v>1</v>
      </c>
      <c r="AH374" s="176" t="s">
        <v>659</v>
      </c>
      <c r="AI374" s="176" t="s">
        <v>660</v>
      </c>
      <c r="AJ374" s="176" t="s">
        <v>660</v>
      </c>
      <c r="AK374" s="176" t="s">
        <v>647</v>
      </c>
      <c r="AL374" s="1191" t="s">
        <v>252</v>
      </c>
      <c r="AM374" s="176" t="s">
        <v>462</v>
      </c>
      <c r="AN374" s="176">
        <v>1.1890000000000001</v>
      </c>
      <c r="AO374" s="176">
        <v>3</v>
      </c>
      <c r="AP374" s="176">
        <v>24</v>
      </c>
      <c r="AQ374" s="176">
        <v>216</v>
      </c>
      <c r="AR374" s="176">
        <v>4</v>
      </c>
      <c r="AS374" s="193">
        <v>24655.103999999999</v>
      </c>
    </row>
    <row r="375" spans="1:45" ht="16.5" customHeight="1">
      <c r="A375" s="175">
        <v>46183</v>
      </c>
      <c r="B375" s="176" t="s">
        <v>237</v>
      </c>
      <c r="C375" s="176" t="s">
        <v>17288</v>
      </c>
      <c r="D375" s="176" t="s">
        <v>641</v>
      </c>
      <c r="E375" s="176" t="s">
        <v>16740</v>
      </c>
      <c r="F375" s="176" t="s">
        <v>17289</v>
      </c>
      <c r="G375" s="176">
        <v>700</v>
      </c>
      <c r="H375" s="176" t="s">
        <v>957</v>
      </c>
      <c r="I375" s="176">
        <v>5.5</v>
      </c>
      <c r="J375" s="176">
        <v>45</v>
      </c>
      <c r="K375" s="176">
        <v>0</v>
      </c>
      <c r="L375" s="176">
        <v>8660</v>
      </c>
      <c r="M375" s="176">
        <v>8890</v>
      </c>
      <c r="R375" s="176">
        <v>49</v>
      </c>
      <c r="S375" s="176">
        <v>0</v>
      </c>
      <c r="T375" s="176">
        <v>9030</v>
      </c>
      <c r="U375" s="176">
        <v>9170</v>
      </c>
      <c r="V375" s="176">
        <v>30</v>
      </c>
      <c r="W375" s="176">
        <v>0</v>
      </c>
      <c r="X375" s="176">
        <v>7730</v>
      </c>
      <c r="Y375" s="176">
        <v>9170</v>
      </c>
      <c r="Z375" s="176">
        <v>5.8299595141700413</v>
      </c>
      <c r="AA375" s="176">
        <v>41.333333333333336</v>
      </c>
      <c r="AB375" s="176">
        <v>1</v>
      </c>
      <c r="AC375" s="176">
        <v>87.75</v>
      </c>
      <c r="AD375" s="176">
        <v>5.166666666666667</v>
      </c>
      <c r="AE375" s="176">
        <v>5.166666666666667</v>
      </c>
      <c r="AF375" s="176" t="s">
        <v>236</v>
      </c>
      <c r="AG375" s="176">
        <v>1</v>
      </c>
      <c r="AH375" s="176" t="s">
        <v>659</v>
      </c>
      <c r="AI375" s="176" t="s">
        <v>660</v>
      </c>
      <c r="AJ375" s="176" t="s">
        <v>660</v>
      </c>
      <c r="AK375" s="176" t="s">
        <v>844</v>
      </c>
      <c r="AL375" s="1191" t="s">
        <v>251</v>
      </c>
      <c r="AM375" s="176" t="s">
        <v>462</v>
      </c>
      <c r="AN375" s="176">
        <v>1.1890000000000001</v>
      </c>
      <c r="AO375" s="176">
        <v>2.9</v>
      </c>
      <c r="AP375" s="176">
        <v>24</v>
      </c>
      <c r="AQ375" s="176">
        <v>216</v>
      </c>
      <c r="AR375" s="176">
        <v>3.9</v>
      </c>
      <c r="AS375" s="193">
        <v>24038.7264</v>
      </c>
    </row>
    <row r="376" spans="1:45" ht="16.5" customHeight="1">
      <c r="A376" s="175">
        <v>46183</v>
      </c>
      <c r="B376" s="176" t="s">
        <v>238</v>
      </c>
      <c r="C376" s="176" t="s">
        <v>16764</v>
      </c>
      <c r="E376" s="176" t="s">
        <v>16740</v>
      </c>
      <c r="F376" s="176" t="s">
        <v>16771</v>
      </c>
      <c r="G376" s="176">
        <v>670</v>
      </c>
      <c r="H376" s="176" t="s">
        <v>721</v>
      </c>
      <c r="I376" s="176">
        <v>5</v>
      </c>
      <c r="L376" s="176" t="s">
        <v>640</v>
      </c>
      <c r="P376" s="176" t="s">
        <v>640</v>
      </c>
      <c r="T376" s="176" t="s">
        <v>640</v>
      </c>
      <c r="X376" s="176" t="s">
        <v>640</v>
      </c>
      <c r="Z376" s="176">
        <v>6.2882096069868991</v>
      </c>
      <c r="AA376" s="176" t="s">
        <v>640</v>
      </c>
      <c r="AB376" s="176" t="s">
        <v>420</v>
      </c>
      <c r="AC376" s="176" t="s">
        <v>420</v>
      </c>
      <c r="AD376" s="176" t="s">
        <v>420</v>
      </c>
      <c r="AE376" s="176" t="s">
        <v>420</v>
      </c>
      <c r="AF376" s="176" t="s">
        <v>236</v>
      </c>
      <c r="AG376" s="176">
        <v>2</v>
      </c>
      <c r="AH376" s="176" t="s">
        <v>659</v>
      </c>
      <c r="AI376" s="176" t="s">
        <v>15862</v>
      </c>
      <c r="AJ376" s="176" t="s">
        <v>15862</v>
      </c>
      <c r="AK376" s="176" t="s">
        <v>647</v>
      </c>
      <c r="AL376" s="1191" t="s">
        <v>251</v>
      </c>
      <c r="AM376" s="176" t="s">
        <v>462</v>
      </c>
      <c r="AN376" s="176">
        <v>1.1890000000000001</v>
      </c>
      <c r="AO376" s="176">
        <v>1.7</v>
      </c>
      <c r="AP376" s="176">
        <v>24</v>
      </c>
      <c r="AQ376" s="176">
        <v>216</v>
      </c>
      <c r="AR376" s="176">
        <v>2.7</v>
      </c>
      <c r="AS376" s="193">
        <v>16642.195200000002</v>
      </c>
    </row>
    <row r="377" spans="1:45" ht="16.5" customHeight="1">
      <c r="A377" s="175">
        <v>46183</v>
      </c>
      <c r="B377" s="176" t="s">
        <v>238</v>
      </c>
      <c r="C377" s="176" t="s">
        <v>16763</v>
      </c>
      <c r="E377" s="176" t="s">
        <v>16740</v>
      </c>
      <c r="F377" s="176" t="s">
        <v>16771</v>
      </c>
      <c r="G377" s="176">
        <v>670</v>
      </c>
      <c r="H377" s="176" t="s">
        <v>655</v>
      </c>
      <c r="I377" s="176">
        <v>5</v>
      </c>
      <c r="J377" s="176">
        <v>28</v>
      </c>
      <c r="K377" s="176">
        <v>0</v>
      </c>
      <c r="L377" s="176" t="s">
        <v>127</v>
      </c>
      <c r="M377" s="176">
        <v>7040</v>
      </c>
      <c r="P377" s="176" t="s">
        <v>127</v>
      </c>
      <c r="T377" s="176" t="s">
        <v>127</v>
      </c>
      <c r="X377" s="176" t="s">
        <v>127</v>
      </c>
      <c r="Z377" s="176">
        <v>6.1802575107296125</v>
      </c>
      <c r="AA377" s="176" t="s">
        <v>127</v>
      </c>
      <c r="AB377" s="176">
        <v>1</v>
      </c>
      <c r="AC377" s="176" t="s">
        <v>420</v>
      </c>
      <c r="AD377" s="176" t="s">
        <v>420</v>
      </c>
      <c r="AE377" s="176" t="s">
        <v>420</v>
      </c>
      <c r="AF377" s="176" t="s">
        <v>236</v>
      </c>
      <c r="AG377" s="176">
        <v>2</v>
      </c>
      <c r="AH377" s="176" t="s">
        <v>659</v>
      </c>
      <c r="AI377" s="176" t="s">
        <v>15862</v>
      </c>
      <c r="AJ377" s="176" t="s">
        <v>15862</v>
      </c>
      <c r="AK377" s="176" t="s">
        <v>647</v>
      </c>
      <c r="AM377" s="176" t="s">
        <v>462</v>
      </c>
      <c r="AN377" s="176">
        <v>1.1890000000000001</v>
      </c>
      <c r="AO377" s="176">
        <v>2.4</v>
      </c>
      <c r="AP377" s="176">
        <v>24</v>
      </c>
      <c r="AQ377" s="176">
        <v>216</v>
      </c>
      <c r="AR377" s="176">
        <v>3.4</v>
      </c>
      <c r="AS377" s="193">
        <v>20956.838400000001</v>
      </c>
    </row>
    <row r="378" spans="1:45" ht="16.5" customHeight="1">
      <c r="A378" s="175">
        <v>46183</v>
      </c>
      <c r="B378" s="176" t="s">
        <v>239</v>
      </c>
      <c r="C378" s="176" t="s">
        <v>17407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127</v>
      </c>
      <c r="P378" s="176" t="s">
        <v>127</v>
      </c>
      <c r="T378" s="176" t="s">
        <v>127</v>
      </c>
      <c r="X378" s="176" t="s">
        <v>127</v>
      </c>
      <c r="Z378" s="176" t="s">
        <v>420</v>
      </c>
      <c r="AA378" s="176" t="s">
        <v>127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236</v>
      </c>
      <c r="AG378" s="176">
        <v>2</v>
      </c>
      <c r="AH378" s="176" t="s">
        <v>16129</v>
      </c>
      <c r="AI378" s="176" t="s">
        <v>15862</v>
      </c>
      <c r="AJ378" s="176" t="s">
        <v>15862</v>
      </c>
      <c r="AK378" s="176" t="s">
        <v>844</v>
      </c>
      <c r="AL378" s="119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46183</v>
      </c>
      <c r="B379" s="176" t="s">
        <v>239</v>
      </c>
      <c r="C379" s="176" t="s">
        <v>17412</v>
      </c>
      <c r="D379" s="176" t="s">
        <v>641</v>
      </c>
      <c r="E379" s="176" t="s">
        <v>16744</v>
      </c>
      <c r="F379" s="176" t="s">
        <v>17414</v>
      </c>
      <c r="G379" s="176">
        <v>550</v>
      </c>
      <c r="H379" s="176" t="s">
        <v>877</v>
      </c>
      <c r="I379" s="176">
        <v>5.5</v>
      </c>
      <c r="J379" s="176">
        <v>23</v>
      </c>
      <c r="K379" s="176">
        <v>16</v>
      </c>
      <c r="L379" s="176">
        <v>9170</v>
      </c>
      <c r="R379" s="176">
        <v>18</v>
      </c>
      <c r="S379" s="176">
        <v>0</v>
      </c>
      <c r="U379" s="176">
        <v>9440</v>
      </c>
      <c r="V379" s="176">
        <v>7</v>
      </c>
      <c r="W379" s="176">
        <v>0</v>
      </c>
      <c r="Y379" s="176">
        <v>8610</v>
      </c>
      <c r="Z379" s="176">
        <v>6.6055045871559646</v>
      </c>
      <c r="AA379" s="176">
        <v>32</v>
      </c>
      <c r="AB379" s="176">
        <v>0.9883547008547009</v>
      </c>
      <c r="AC379" s="176">
        <v>90.733333333333334</v>
      </c>
      <c r="AD379" s="176">
        <v>4</v>
      </c>
      <c r="AE379" s="176">
        <v>2.6666666666666665</v>
      </c>
      <c r="AF379" s="176" t="s">
        <v>236</v>
      </c>
      <c r="AG379" s="176">
        <v>2</v>
      </c>
      <c r="AH379" s="176" t="s">
        <v>16129</v>
      </c>
      <c r="AI379" s="176" t="s">
        <v>15862</v>
      </c>
      <c r="AJ379" s="176" t="s">
        <v>15862</v>
      </c>
      <c r="AK379" s="176" t="s">
        <v>844</v>
      </c>
      <c r="AL379" s="1191" t="s">
        <v>252</v>
      </c>
      <c r="AM379" s="176" t="s">
        <v>651</v>
      </c>
      <c r="AN379" s="176">
        <v>1.859</v>
      </c>
      <c r="AO379" s="176">
        <v>3.3</v>
      </c>
      <c r="AP379" s="176">
        <v>24</v>
      </c>
      <c r="AQ379" s="176">
        <v>216</v>
      </c>
      <c r="AR379" s="176">
        <v>4.3</v>
      </c>
      <c r="AS379" s="193">
        <v>41439.340799999998</v>
      </c>
    </row>
    <row r="380" spans="1:45" ht="16.5" customHeight="1">
      <c r="A380" s="175">
        <v>46183</v>
      </c>
      <c r="B380" s="176" t="s">
        <v>389</v>
      </c>
      <c r="C380" s="176" t="s">
        <v>17403</v>
      </c>
      <c r="D380" s="176" t="s">
        <v>641</v>
      </c>
      <c r="E380" s="176" t="s">
        <v>16740</v>
      </c>
      <c r="F380" s="176" t="s">
        <v>17269</v>
      </c>
      <c r="G380" s="176">
        <v>700</v>
      </c>
      <c r="H380" s="176" t="s">
        <v>840</v>
      </c>
      <c r="I380" s="176">
        <v>5.5</v>
      </c>
      <c r="J380" s="176">
        <v>34</v>
      </c>
      <c r="K380" s="176">
        <v>4</v>
      </c>
      <c r="L380" s="176">
        <v>7690</v>
      </c>
      <c r="M380" s="176">
        <v>9540</v>
      </c>
      <c r="R380" s="176">
        <v>19</v>
      </c>
      <c r="S380" s="176">
        <v>0</v>
      </c>
      <c r="T380" s="176">
        <v>6670</v>
      </c>
      <c r="U380" s="176">
        <v>9810</v>
      </c>
      <c r="V380" s="176">
        <v>42</v>
      </c>
      <c r="W380" s="176">
        <v>2</v>
      </c>
      <c r="X380" s="176">
        <v>9720</v>
      </c>
      <c r="Y380" s="176">
        <v>9810</v>
      </c>
      <c r="Z380" s="176">
        <v>5.8299595141700413</v>
      </c>
      <c r="AA380" s="176">
        <v>31.666666666666668</v>
      </c>
      <c r="AB380" s="176">
        <v>0.99505208333333328</v>
      </c>
      <c r="AC380" s="176">
        <v>88.733333333333334</v>
      </c>
      <c r="AD380" s="176">
        <v>3.9583333333333335</v>
      </c>
      <c r="AE380" s="176">
        <v>3.7083333333333335</v>
      </c>
      <c r="AF380" s="176" t="s">
        <v>236</v>
      </c>
      <c r="AG380" s="176">
        <v>1</v>
      </c>
      <c r="AH380" s="176" t="s">
        <v>659</v>
      </c>
      <c r="AI380" s="176" t="s">
        <v>660</v>
      </c>
      <c r="AJ380" s="176" t="s">
        <v>660</v>
      </c>
      <c r="AK380" s="176" t="s">
        <v>647</v>
      </c>
      <c r="AL380" s="1191" t="s">
        <v>252</v>
      </c>
      <c r="AM380" s="176" t="s">
        <v>462</v>
      </c>
      <c r="AN380" s="176">
        <v>1.1890000000000001</v>
      </c>
      <c r="AO380" s="176">
        <v>2.8</v>
      </c>
      <c r="AP380" s="176">
        <v>24</v>
      </c>
      <c r="AQ380" s="176">
        <v>216</v>
      </c>
      <c r="AR380" s="176">
        <v>3.8</v>
      </c>
      <c r="AS380" s="193">
        <v>23422.3488</v>
      </c>
    </row>
    <row r="381" spans="1:45" ht="16.5" customHeight="1">
      <c r="A381" s="175">
        <v>46183</v>
      </c>
      <c r="B381" s="176" t="s">
        <v>418</v>
      </c>
      <c r="C381" s="176" t="s">
        <v>17262</v>
      </c>
      <c r="D381" s="176" t="s">
        <v>641</v>
      </c>
      <c r="E381" s="176" t="s">
        <v>16740</v>
      </c>
      <c r="F381" s="176" t="s">
        <v>17269</v>
      </c>
      <c r="G381" s="176">
        <v>700</v>
      </c>
      <c r="H381" s="176" t="s">
        <v>812</v>
      </c>
      <c r="I381" s="176">
        <v>5.5</v>
      </c>
      <c r="J381" s="176">
        <v>50</v>
      </c>
      <c r="K381" s="176">
        <v>0</v>
      </c>
      <c r="L381" s="176">
        <v>8150</v>
      </c>
      <c r="M381" s="176">
        <v>8520</v>
      </c>
      <c r="R381" s="176">
        <v>52</v>
      </c>
      <c r="S381" s="176">
        <v>0</v>
      </c>
      <c r="T381" s="176">
        <v>9170</v>
      </c>
      <c r="U381" s="176">
        <v>7870</v>
      </c>
      <c r="V381" s="176">
        <v>32</v>
      </c>
      <c r="W381" s="176">
        <v>0</v>
      </c>
      <c r="X381" s="176">
        <v>8060</v>
      </c>
      <c r="Y381" s="176">
        <v>8960</v>
      </c>
      <c r="Z381" s="176">
        <v>5.8299595141700413</v>
      </c>
      <c r="AA381" s="176">
        <v>44.666666666666664</v>
      </c>
      <c r="AB381" s="176">
        <v>1</v>
      </c>
      <c r="AC381" s="176">
        <v>84.55</v>
      </c>
      <c r="AD381" s="176">
        <v>5.583333333333333</v>
      </c>
      <c r="AE381" s="176">
        <v>5.583333333333333</v>
      </c>
      <c r="AF381" s="176" t="s">
        <v>236</v>
      </c>
      <c r="AG381" s="176">
        <v>1</v>
      </c>
      <c r="AH381" s="176" t="s">
        <v>824</v>
      </c>
      <c r="AI381" s="176" t="s">
        <v>15862</v>
      </c>
      <c r="AJ381" s="176" t="s">
        <v>15862</v>
      </c>
      <c r="AK381" s="176" t="s">
        <v>844</v>
      </c>
      <c r="AL381" s="1191" t="s">
        <v>252</v>
      </c>
      <c r="AM381" s="176" t="s">
        <v>462</v>
      </c>
      <c r="AN381" s="176">
        <v>1.1890000000000001</v>
      </c>
      <c r="AO381" s="176">
        <v>2.8</v>
      </c>
      <c r="AP381" s="176">
        <v>24</v>
      </c>
      <c r="AQ381" s="176">
        <v>216</v>
      </c>
      <c r="AR381" s="176">
        <v>3.8</v>
      </c>
      <c r="AS381" s="193">
        <v>23422.3488</v>
      </c>
    </row>
    <row r="382" spans="1:45" ht="16.5" customHeight="1">
      <c r="A382" s="175">
        <v>46183</v>
      </c>
      <c r="B382" s="176" t="s">
        <v>240</v>
      </c>
      <c r="C382" s="176" t="s">
        <v>640</v>
      </c>
      <c r="E382" s="176" t="s">
        <v>420</v>
      </c>
      <c r="F382" s="176" t="s">
        <v>420</v>
      </c>
      <c r="G382" s="176" t="s">
        <v>420</v>
      </c>
      <c r="H382" s="176" t="s">
        <v>420</v>
      </c>
      <c r="I382" s="176" t="s">
        <v>420</v>
      </c>
      <c r="L382" s="176" t="s">
        <v>640</v>
      </c>
      <c r="P382" s="176" t="s">
        <v>640</v>
      </c>
      <c r="T382" s="176" t="s">
        <v>640</v>
      </c>
      <c r="X382" s="176" t="s">
        <v>640</v>
      </c>
      <c r="Z382" s="176" t="s">
        <v>420</v>
      </c>
      <c r="AA382" s="176" t="s">
        <v>640</v>
      </c>
      <c r="AB382" s="176" t="s">
        <v>420</v>
      </c>
      <c r="AC382" s="176" t="s">
        <v>420</v>
      </c>
      <c r="AD382" s="176" t="s">
        <v>420</v>
      </c>
      <c r="AE382" s="176" t="s">
        <v>420</v>
      </c>
      <c r="AF382" s="176" t="s">
        <v>241</v>
      </c>
      <c r="AG382" s="176">
        <v>12</v>
      </c>
      <c r="AH382" s="176" t="s">
        <v>17465</v>
      </c>
      <c r="AI382" s="176" t="s">
        <v>838</v>
      </c>
      <c r="AJ382" s="176" t="s">
        <v>838</v>
      </c>
      <c r="AK382" s="176" t="s">
        <v>648</v>
      </c>
      <c r="AL382" s="1191" t="s">
        <v>420</v>
      </c>
      <c r="AM382" s="176" t="s">
        <v>420</v>
      </c>
      <c r="AN382" s="176" t="s">
        <v>420</v>
      </c>
      <c r="AO382" s="176" t="s">
        <v>420</v>
      </c>
      <c r="AP382" s="176">
        <v>24</v>
      </c>
      <c r="AQ382" s="176">
        <v>216</v>
      </c>
      <c r="AR382" s="176" t="s">
        <v>420</v>
      </c>
      <c r="AS382" s="193" t="s">
        <v>420</v>
      </c>
    </row>
    <row r="383" spans="1:45" ht="16.5" customHeight="1">
      <c r="A383" s="175">
        <v>46183</v>
      </c>
      <c r="B383" s="176" t="s">
        <v>242</v>
      </c>
      <c r="C383" s="176" t="s">
        <v>386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386</v>
      </c>
      <c r="P383" s="176" t="s">
        <v>386</v>
      </c>
      <c r="T383" s="176" t="s">
        <v>386</v>
      </c>
      <c r="X383" s="176" t="s">
        <v>386</v>
      </c>
      <c r="Z383" s="176" t="s">
        <v>420</v>
      </c>
      <c r="AA383" s="176" t="s">
        <v>386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241</v>
      </c>
      <c r="AG383" s="176">
        <v>5</v>
      </c>
      <c r="AH383" s="176" t="s">
        <v>17465</v>
      </c>
      <c r="AI383" s="176" t="s">
        <v>838</v>
      </c>
      <c r="AJ383" s="176" t="s">
        <v>838</v>
      </c>
      <c r="AK383" s="176" t="s">
        <v>15379</v>
      </c>
      <c r="AL383" s="119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46183</v>
      </c>
      <c r="B384" s="176" t="s">
        <v>16092</v>
      </c>
      <c r="C384" s="176" t="s">
        <v>16203</v>
      </c>
      <c r="E384" s="176" t="s">
        <v>420</v>
      </c>
      <c r="F384" s="176" t="s">
        <v>420</v>
      </c>
      <c r="G384" s="176" t="s">
        <v>420</v>
      </c>
      <c r="H384" s="176" t="s">
        <v>420</v>
      </c>
      <c r="I384" s="176" t="s">
        <v>420</v>
      </c>
      <c r="L384" s="176" t="s">
        <v>640</v>
      </c>
      <c r="P384" s="176" t="s">
        <v>640</v>
      </c>
      <c r="T384" s="176" t="s">
        <v>640</v>
      </c>
      <c r="X384" s="176" t="s">
        <v>640</v>
      </c>
      <c r="Z384" s="176" t="s">
        <v>420</v>
      </c>
      <c r="AA384" s="176" t="s">
        <v>640</v>
      </c>
      <c r="AB384" s="176" t="s">
        <v>420</v>
      </c>
      <c r="AC384" s="176" t="s">
        <v>420</v>
      </c>
      <c r="AD384" s="176" t="s">
        <v>420</v>
      </c>
      <c r="AE384" s="176" t="s">
        <v>420</v>
      </c>
      <c r="AF384" s="176" t="s">
        <v>243</v>
      </c>
      <c r="AG384" s="176">
        <v>1</v>
      </c>
      <c r="AH384" s="176" t="s">
        <v>648</v>
      </c>
      <c r="AI384" s="176" t="s">
        <v>648</v>
      </c>
      <c r="AJ384" s="176" t="s">
        <v>648</v>
      </c>
      <c r="AK384" s="176" t="s">
        <v>648</v>
      </c>
      <c r="AL384" s="1191" t="s">
        <v>420</v>
      </c>
      <c r="AM384" s="176" t="s">
        <v>420</v>
      </c>
      <c r="AN384" s="176" t="s">
        <v>420</v>
      </c>
      <c r="AO384" s="176" t="s">
        <v>420</v>
      </c>
      <c r="AP384" s="176">
        <v>24</v>
      </c>
      <c r="AQ384" s="176">
        <v>216</v>
      </c>
      <c r="AR384" s="176" t="s">
        <v>420</v>
      </c>
      <c r="AS384" s="193" t="s">
        <v>420</v>
      </c>
    </row>
    <row r="385" spans="1:45" ht="16.5" customHeight="1">
      <c r="A385" s="175">
        <v>46183</v>
      </c>
      <c r="B385" s="176" t="s">
        <v>244</v>
      </c>
      <c r="C385" s="176" t="s">
        <v>16203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640</v>
      </c>
      <c r="P385" s="176" t="s">
        <v>640</v>
      </c>
      <c r="T385" s="176" t="s">
        <v>640</v>
      </c>
      <c r="X385" s="176" t="s">
        <v>640</v>
      </c>
      <c r="Z385" s="176" t="s">
        <v>420</v>
      </c>
      <c r="AA385" s="176" t="s">
        <v>640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243</v>
      </c>
      <c r="AG385" s="176">
        <v>1</v>
      </c>
      <c r="AH385" s="176" t="s">
        <v>648</v>
      </c>
      <c r="AI385" s="176" t="s">
        <v>648</v>
      </c>
      <c r="AJ385" s="176" t="s">
        <v>648</v>
      </c>
      <c r="AK385" s="176" t="s">
        <v>648</v>
      </c>
      <c r="AL385" s="119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46183</v>
      </c>
      <c r="B386" s="176" t="s">
        <v>245</v>
      </c>
      <c r="C386" s="176" t="s">
        <v>16203</v>
      </c>
      <c r="E386" s="176" t="s">
        <v>420</v>
      </c>
      <c r="F386" s="176" t="s">
        <v>420</v>
      </c>
      <c r="G386" s="176" t="s">
        <v>420</v>
      </c>
      <c r="H386" s="176" t="s">
        <v>420</v>
      </c>
      <c r="I386" s="176" t="s">
        <v>420</v>
      </c>
      <c r="L386" s="176" t="s">
        <v>640</v>
      </c>
      <c r="P386" s="176" t="s">
        <v>640</v>
      </c>
      <c r="T386" s="176" t="s">
        <v>640</v>
      </c>
      <c r="X386" s="176" t="s">
        <v>640</v>
      </c>
      <c r="Z386" s="176" t="s">
        <v>420</v>
      </c>
      <c r="AA386" s="176" t="s">
        <v>640</v>
      </c>
      <c r="AB386" s="176" t="s">
        <v>420</v>
      </c>
      <c r="AC386" s="176" t="s">
        <v>420</v>
      </c>
      <c r="AD386" s="176" t="s">
        <v>420</v>
      </c>
      <c r="AE386" s="176" t="s">
        <v>420</v>
      </c>
      <c r="AF386" s="176" t="s">
        <v>243</v>
      </c>
      <c r="AG386" s="176">
        <v>1</v>
      </c>
      <c r="AH386" s="176" t="s">
        <v>648</v>
      </c>
      <c r="AI386" s="176" t="s">
        <v>648</v>
      </c>
      <c r="AJ386" s="176" t="s">
        <v>648</v>
      </c>
      <c r="AK386" s="176" t="s">
        <v>648</v>
      </c>
      <c r="AL386" s="1191" t="s">
        <v>420</v>
      </c>
      <c r="AM386" s="176" t="s">
        <v>420</v>
      </c>
      <c r="AN386" s="176" t="s">
        <v>420</v>
      </c>
      <c r="AO386" s="176" t="s">
        <v>420</v>
      </c>
      <c r="AP386" s="176">
        <v>24</v>
      </c>
      <c r="AQ386" s="176">
        <v>216</v>
      </c>
      <c r="AR386" s="176" t="s">
        <v>420</v>
      </c>
      <c r="AS386" s="193" t="s">
        <v>420</v>
      </c>
    </row>
    <row r="387" spans="1:45" ht="16.5" customHeight="1">
      <c r="A387" s="175">
        <v>46183</v>
      </c>
      <c r="B387" s="176" t="s">
        <v>246</v>
      </c>
      <c r="C387" s="176" t="s">
        <v>16203</v>
      </c>
      <c r="E387" s="176" t="s">
        <v>420</v>
      </c>
      <c r="F387" s="176" t="s">
        <v>420</v>
      </c>
      <c r="G387" s="176" t="s">
        <v>420</v>
      </c>
      <c r="H387" s="176" t="s">
        <v>420</v>
      </c>
      <c r="I387" s="176" t="s">
        <v>420</v>
      </c>
      <c r="L387" s="176" t="s">
        <v>640</v>
      </c>
      <c r="P387" s="176" t="s">
        <v>640</v>
      </c>
      <c r="T387" s="176" t="s">
        <v>640</v>
      </c>
      <c r="X387" s="176" t="s">
        <v>640</v>
      </c>
      <c r="Z387" s="176" t="s">
        <v>420</v>
      </c>
      <c r="AA387" s="176" t="s">
        <v>640</v>
      </c>
      <c r="AB387" s="176" t="s">
        <v>420</v>
      </c>
      <c r="AC387" s="176" t="s">
        <v>420</v>
      </c>
      <c r="AD387" s="176" t="s">
        <v>420</v>
      </c>
      <c r="AE387" s="176" t="s">
        <v>420</v>
      </c>
      <c r="AF387" s="176" t="s">
        <v>243</v>
      </c>
      <c r="AG387" s="176">
        <v>1</v>
      </c>
      <c r="AH387" s="176" t="s">
        <v>648</v>
      </c>
      <c r="AI387" s="176" t="s">
        <v>648</v>
      </c>
      <c r="AJ387" s="176" t="s">
        <v>648</v>
      </c>
      <c r="AK387" s="176" t="s">
        <v>648</v>
      </c>
      <c r="AL387" s="1191" t="s">
        <v>420</v>
      </c>
      <c r="AM387" s="176" t="s">
        <v>420</v>
      </c>
      <c r="AN387" s="176" t="s">
        <v>420</v>
      </c>
      <c r="AO387" s="176" t="s">
        <v>420</v>
      </c>
      <c r="AP387" s="176">
        <v>24</v>
      </c>
      <c r="AQ387" s="176">
        <v>216</v>
      </c>
      <c r="AR387" s="176" t="s">
        <v>420</v>
      </c>
      <c r="AS387" s="193" t="s">
        <v>420</v>
      </c>
    </row>
    <row r="388" spans="1:45" ht="16.5" customHeight="1">
      <c r="A388" s="175">
        <v>46183</v>
      </c>
      <c r="B388" s="176" t="s">
        <v>247</v>
      </c>
      <c r="C388" s="176" t="s">
        <v>16203</v>
      </c>
      <c r="E388" s="176" t="s">
        <v>420</v>
      </c>
      <c r="F388" s="176" t="s">
        <v>420</v>
      </c>
      <c r="G388" s="176" t="s">
        <v>420</v>
      </c>
      <c r="H388" s="176" t="s">
        <v>420</v>
      </c>
      <c r="I388" s="176" t="s">
        <v>420</v>
      </c>
      <c r="L388" s="176" t="s">
        <v>640</v>
      </c>
      <c r="P388" s="176" t="s">
        <v>640</v>
      </c>
      <c r="T388" s="176" t="s">
        <v>640</v>
      </c>
      <c r="X388" s="176" t="s">
        <v>640</v>
      </c>
      <c r="Z388" s="176" t="s">
        <v>420</v>
      </c>
      <c r="AA388" s="176" t="s">
        <v>640</v>
      </c>
      <c r="AB388" s="176" t="s">
        <v>420</v>
      </c>
      <c r="AC388" s="176" t="s">
        <v>420</v>
      </c>
      <c r="AD388" s="176" t="s">
        <v>420</v>
      </c>
      <c r="AE388" s="176" t="s">
        <v>420</v>
      </c>
      <c r="AF388" s="176" t="s">
        <v>243</v>
      </c>
      <c r="AG388" s="176">
        <v>1</v>
      </c>
      <c r="AH388" s="176" t="s">
        <v>648</v>
      </c>
      <c r="AI388" s="176" t="s">
        <v>648</v>
      </c>
      <c r="AJ388" s="176" t="s">
        <v>648</v>
      </c>
      <c r="AK388" s="176" t="s">
        <v>648</v>
      </c>
      <c r="AL388" s="1191" t="s">
        <v>420</v>
      </c>
      <c r="AM388" s="176" t="s">
        <v>420</v>
      </c>
      <c r="AN388" s="176" t="s">
        <v>420</v>
      </c>
      <c r="AO388" s="176" t="s">
        <v>420</v>
      </c>
      <c r="AP388" s="176">
        <v>24</v>
      </c>
      <c r="AQ388" s="176">
        <v>216</v>
      </c>
      <c r="AR388" s="176" t="s">
        <v>420</v>
      </c>
      <c r="AS388" s="193" t="s">
        <v>420</v>
      </c>
    </row>
    <row r="389" spans="1:45" ht="16.5" customHeight="1">
      <c r="A389" s="175">
        <v>46183</v>
      </c>
      <c r="B389" s="176" t="s">
        <v>248</v>
      </c>
      <c r="C389" s="176" t="s">
        <v>16203</v>
      </c>
      <c r="E389" s="176" t="s">
        <v>420</v>
      </c>
      <c r="F389" s="176" t="s">
        <v>420</v>
      </c>
      <c r="G389" s="176" t="s">
        <v>420</v>
      </c>
      <c r="H389" s="176" t="s">
        <v>420</v>
      </c>
      <c r="I389" s="176" t="s">
        <v>420</v>
      </c>
      <c r="L389" s="176" t="s">
        <v>640</v>
      </c>
      <c r="P389" s="176" t="s">
        <v>640</v>
      </c>
      <c r="T389" s="176" t="s">
        <v>640</v>
      </c>
      <c r="X389" s="176" t="s">
        <v>640</v>
      </c>
      <c r="Z389" s="176" t="s">
        <v>420</v>
      </c>
      <c r="AA389" s="176" t="s">
        <v>640</v>
      </c>
      <c r="AB389" s="176" t="s">
        <v>420</v>
      </c>
      <c r="AC389" s="176" t="s">
        <v>420</v>
      </c>
      <c r="AD389" s="176" t="s">
        <v>420</v>
      </c>
      <c r="AE389" s="176" t="s">
        <v>420</v>
      </c>
      <c r="AF389" s="176" t="s">
        <v>243</v>
      </c>
      <c r="AG389" s="176">
        <v>1</v>
      </c>
      <c r="AH389" s="176" t="s">
        <v>648</v>
      </c>
      <c r="AI389" s="176" t="s">
        <v>648</v>
      </c>
      <c r="AJ389" s="176" t="s">
        <v>648</v>
      </c>
      <c r="AK389" s="176" t="s">
        <v>648</v>
      </c>
      <c r="AL389" s="1191" t="s">
        <v>420</v>
      </c>
      <c r="AM389" s="176" t="s">
        <v>420</v>
      </c>
      <c r="AN389" s="176" t="s">
        <v>420</v>
      </c>
      <c r="AO389" s="176" t="s">
        <v>420</v>
      </c>
      <c r="AP389" s="176">
        <v>24</v>
      </c>
      <c r="AQ389" s="176">
        <v>216</v>
      </c>
      <c r="AR389" s="176" t="s">
        <v>420</v>
      </c>
      <c r="AS389" s="193" t="s">
        <v>420</v>
      </c>
    </row>
    <row r="390" spans="1:45" ht="16.5" customHeight="1">
      <c r="A390" s="175">
        <v>46183</v>
      </c>
      <c r="B390" s="176" t="s">
        <v>249</v>
      </c>
      <c r="C390" s="176" t="s">
        <v>16203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640</v>
      </c>
      <c r="P390" s="176" t="s">
        <v>640</v>
      </c>
      <c r="T390" s="176" t="s">
        <v>640</v>
      </c>
      <c r="X390" s="176" t="s">
        <v>640</v>
      </c>
      <c r="Z390" s="176" t="s">
        <v>420</v>
      </c>
      <c r="AA390" s="176" t="s">
        <v>640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243</v>
      </c>
      <c r="AG390" s="176">
        <v>1</v>
      </c>
      <c r="AH390" s="176" t="s">
        <v>648</v>
      </c>
      <c r="AI390" s="176" t="s">
        <v>648</v>
      </c>
      <c r="AJ390" s="176" t="s">
        <v>648</v>
      </c>
      <c r="AK390" s="176" t="s">
        <v>648</v>
      </c>
      <c r="AL390" s="119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46183</v>
      </c>
      <c r="B391" s="176" t="s">
        <v>250</v>
      </c>
      <c r="C391" s="176" t="s">
        <v>16203</v>
      </c>
      <c r="E391" s="176" t="s">
        <v>420</v>
      </c>
      <c r="F391" s="176" t="s">
        <v>420</v>
      </c>
      <c r="G391" s="176" t="s">
        <v>420</v>
      </c>
      <c r="H391" s="176" t="s">
        <v>420</v>
      </c>
      <c r="I391" s="176" t="s">
        <v>420</v>
      </c>
      <c r="L391" s="176" t="s">
        <v>640</v>
      </c>
      <c r="P391" s="176" t="s">
        <v>640</v>
      </c>
      <c r="T391" s="176" t="s">
        <v>640</v>
      </c>
      <c r="X391" s="176" t="s">
        <v>640</v>
      </c>
      <c r="Z391" s="176" t="s">
        <v>420</v>
      </c>
      <c r="AA391" s="176" t="s">
        <v>640</v>
      </c>
      <c r="AB391" s="176" t="s">
        <v>420</v>
      </c>
      <c r="AC391" s="176" t="s">
        <v>420</v>
      </c>
      <c r="AD391" s="176" t="s">
        <v>420</v>
      </c>
      <c r="AE391" s="176" t="s">
        <v>420</v>
      </c>
      <c r="AF391" s="176" t="s">
        <v>243</v>
      </c>
      <c r="AG391" s="176">
        <v>1</v>
      </c>
      <c r="AH391" s="176" t="s">
        <v>648</v>
      </c>
      <c r="AI391" s="176" t="s">
        <v>648</v>
      </c>
      <c r="AJ391" s="176" t="s">
        <v>648</v>
      </c>
      <c r="AK391" s="176" t="s">
        <v>648</v>
      </c>
      <c r="AL391" s="1191" t="s">
        <v>420</v>
      </c>
      <c r="AM391" s="176" t="s">
        <v>420</v>
      </c>
      <c r="AN391" s="176" t="s">
        <v>420</v>
      </c>
      <c r="AO391" s="176" t="s">
        <v>420</v>
      </c>
      <c r="AP391" s="176">
        <v>24</v>
      </c>
      <c r="AQ391" s="176">
        <v>216</v>
      </c>
      <c r="AR391" s="176" t="s">
        <v>420</v>
      </c>
      <c r="AS391" s="193" t="s">
        <v>420</v>
      </c>
    </row>
    <row r="392" spans="1:45" ht="16.5" customHeight="1">
      <c r="A392" s="175">
        <v>46184</v>
      </c>
      <c r="B392" s="176" t="s">
        <v>212</v>
      </c>
      <c r="C392" s="176" t="s">
        <v>640</v>
      </c>
      <c r="E392" s="176" t="s">
        <v>420</v>
      </c>
      <c r="F392" s="176" t="s">
        <v>420</v>
      </c>
      <c r="G392" s="176" t="s">
        <v>420</v>
      </c>
      <c r="H392" s="176" t="s">
        <v>420</v>
      </c>
      <c r="I392" s="176" t="s">
        <v>420</v>
      </c>
      <c r="L392" s="176" t="s">
        <v>640</v>
      </c>
      <c r="P392" s="176" t="s">
        <v>640</v>
      </c>
      <c r="T392" s="176" t="s">
        <v>640</v>
      </c>
      <c r="X392" s="176" t="s">
        <v>640</v>
      </c>
      <c r="Z392" s="176" t="s">
        <v>420</v>
      </c>
      <c r="AA392" s="176" t="s">
        <v>640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213</v>
      </c>
      <c r="AG392" s="176">
        <v>1</v>
      </c>
      <c r="AH392" s="176" t="s">
        <v>656</v>
      </c>
      <c r="AI392" s="176" t="s">
        <v>656</v>
      </c>
      <c r="AJ392" s="176" t="s">
        <v>656</v>
      </c>
      <c r="AK392" s="176" t="s">
        <v>656</v>
      </c>
      <c r="AL392" s="1191" t="s">
        <v>420</v>
      </c>
      <c r="AM392" s="176" t="s">
        <v>420</v>
      </c>
      <c r="AN392" s="176" t="s">
        <v>420</v>
      </c>
      <c r="AO392" s="176" t="s">
        <v>420</v>
      </c>
      <c r="AP392" s="176">
        <v>24</v>
      </c>
      <c r="AQ392" s="176">
        <v>216</v>
      </c>
      <c r="AR392" s="176" t="s">
        <v>420</v>
      </c>
      <c r="AS392" s="193" t="s">
        <v>420</v>
      </c>
    </row>
    <row r="393" spans="1:45" ht="16.5" customHeight="1">
      <c r="A393" s="175">
        <v>46184</v>
      </c>
      <c r="B393" s="176" t="s">
        <v>214</v>
      </c>
      <c r="C393" s="176" t="s">
        <v>640</v>
      </c>
      <c r="E393" s="176" t="s">
        <v>420</v>
      </c>
      <c r="F393" s="176" t="s">
        <v>420</v>
      </c>
      <c r="G393" s="176" t="s">
        <v>420</v>
      </c>
      <c r="H393" s="176" t="s">
        <v>420</v>
      </c>
      <c r="I393" s="176" t="s">
        <v>420</v>
      </c>
      <c r="L393" s="176" t="s">
        <v>640</v>
      </c>
      <c r="P393" s="176" t="s">
        <v>640</v>
      </c>
      <c r="T393" s="176" t="s">
        <v>640</v>
      </c>
      <c r="X393" s="176" t="s">
        <v>640</v>
      </c>
      <c r="Z393" s="176" t="s">
        <v>420</v>
      </c>
      <c r="AA393" s="176" t="s">
        <v>640</v>
      </c>
      <c r="AB393" s="176" t="s">
        <v>420</v>
      </c>
      <c r="AC393" s="176" t="s">
        <v>420</v>
      </c>
      <c r="AD393" s="176" t="s">
        <v>420</v>
      </c>
      <c r="AE393" s="176" t="s">
        <v>420</v>
      </c>
      <c r="AF393" s="176" t="s">
        <v>213</v>
      </c>
      <c r="AG393" s="176">
        <v>1</v>
      </c>
      <c r="AH393" s="176" t="s">
        <v>656</v>
      </c>
      <c r="AI393" s="176" t="s">
        <v>656</v>
      </c>
      <c r="AJ393" s="176" t="s">
        <v>656</v>
      </c>
      <c r="AK393" s="176" t="s">
        <v>656</v>
      </c>
      <c r="AL393" s="1191" t="s">
        <v>420</v>
      </c>
      <c r="AM393" s="176" t="s">
        <v>420</v>
      </c>
      <c r="AN393" s="176" t="s">
        <v>420</v>
      </c>
      <c r="AO393" s="176" t="s">
        <v>420</v>
      </c>
      <c r="AP393" s="176">
        <v>24</v>
      </c>
      <c r="AQ393" s="176">
        <v>216</v>
      </c>
      <c r="AR393" s="176" t="s">
        <v>420</v>
      </c>
      <c r="AS393" s="193" t="s">
        <v>420</v>
      </c>
    </row>
    <row r="394" spans="1:45" ht="16.5" customHeight="1">
      <c r="A394" s="175">
        <v>46184</v>
      </c>
      <c r="B394" s="176" t="s">
        <v>215</v>
      </c>
      <c r="C394" s="176" t="s">
        <v>640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640</v>
      </c>
      <c r="P394" s="176" t="s">
        <v>640</v>
      </c>
      <c r="T394" s="176" t="s">
        <v>640</v>
      </c>
      <c r="X394" s="176" t="s">
        <v>640</v>
      </c>
      <c r="Z394" s="176" t="s">
        <v>420</v>
      </c>
      <c r="AA394" s="176" t="s">
        <v>640</v>
      </c>
      <c r="AB394" s="176" t="s">
        <v>420</v>
      </c>
      <c r="AC394" s="176" t="s">
        <v>420</v>
      </c>
      <c r="AD394" s="176" t="s">
        <v>420</v>
      </c>
      <c r="AE394" s="176" t="s">
        <v>420</v>
      </c>
      <c r="AF394" s="176" t="s">
        <v>213</v>
      </c>
      <c r="AG394" s="176">
        <v>1</v>
      </c>
      <c r="AH394" s="176" t="s">
        <v>656</v>
      </c>
      <c r="AI394" s="176" t="s">
        <v>656</v>
      </c>
      <c r="AJ394" s="176" t="s">
        <v>656</v>
      </c>
      <c r="AK394" s="176" t="s">
        <v>656</v>
      </c>
      <c r="AL394" s="119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46184</v>
      </c>
      <c r="B395" s="176" t="s">
        <v>216</v>
      </c>
      <c r="C395" s="176" t="s">
        <v>640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640</v>
      </c>
      <c r="P395" s="176" t="s">
        <v>640</v>
      </c>
      <c r="T395" s="176" t="s">
        <v>640</v>
      </c>
      <c r="X395" s="176" t="s">
        <v>640</v>
      </c>
      <c r="Z395" s="176" t="s">
        <v>420</v>
      </c>
      <c r="AA395" s="176" t="s">
        <v>640</v>
      </c>
      <c r="AB395" s="176" t="s">
        <v>420</v>
      </c>
      <c r="AC395" s="176" t="s">
        <v>420</v>
      </c>
      <c r="AD395" s="176" t="s">
        <v>420</v>
      </c>
      <c r="AE395" s="176" t="s">
        <v>420</v>
      </c>
      <c r="AF395" s="176" t="s">
        <v>213</v>
      </c>
      <c r="AG395" s="176">
        <v>1</v>
      </c>
      <c r="AH395" s="176" t="s">
        <v>648</v>
      </c>
      <c r="AI395" s="176" t="s">
        <v>656</v>
      </c>
      <c r="AJ395" s="176" t="s">
        <v>656</v>
      </c>
      <c r="AK395" s="176" t="s">
        <v>656</v>
      </c>
      <c r="AL395" s="119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46184</v>
      </c>
      <c r="B396" s="176" t="s">
        <v>217</v>
      </c>
      <c r="C396" s="176" t="s">
        <v>17443</v>
      </c>
      <c r="E396" s="176" t="s">
        <v>474</v>
      </c>
      <c r="F396" s="176" t="s">
        <v>16817</v>
      </c>
      <c r="G396" s="176">
        <v>600</v>
      </c>
      <c r="H396" s="176" t="s">
        <v>16144</v>
      </c>
      <c r="I396" s="176">
        <v>5</v>
      </c>
      <c r="J396" s="176">
        <v>24</v>
      </c>
      <c r="K396" s="176">
        <v>0</v>
      </c>
      <c r="L396" s="176">
        <v>9302</v>
      </c>
      <c r="M396" s="176">
        <v>8538</v>
      </c>
      <c r="R396" s="176">
        <v>27</v>
      </c>
      <c r="S396" s="176">
        <v>3</v>
      </c>
      <c r="T396" s="176">
        <v>9140</v>
      </c>
      <c r="U396" s="176">
        <v>8641</v>
      </c>
      <c r="V396" s="176">
        <v>30</v>
      </c>
      <c r="W396" s="176">
        <v>0</v>
      </c>
      <c r="X396" s="176">
        <v>9202</v>
      </c>
      <c r="Y396" s="176">
        <v>8908</v>
      </c>
      <c r="Z396" s="176">
        <v>1.4090019569471623</v>
      </c>
      <c r="AA396" s="176">
        <v>27</v>
      </c>
      <c r="AB396" s="176">
        <v>0.98976362179487176</v>
      </c>
      <c r="AC396" s="176">
        <v>89.551666666666662</v>
      </c>
      <c r="AD396" s="176">
        <v>3.375</v>
      </c>
      <c r="AE396" s="176">
        <v>3.25</v>
      </c>
      <c r="AF396" s="176" t="s">
        <v>213</v>
      </c>
      <c r="AG396" s="176">
        <v>1</v>
      </c>
      <c r="AH396" s="176" t="s">
        <v>16172</v>
      </c>
      <c r="AI396" s="176" t="s">
        <v>642</v>
      </c>
      <c r="AJ396" s="176" t="s">
        <v>642</v>
      </c>
      <c r="AK396" s="176" t="s">
        <v>734</v>
      </c>
      <c r="AL396" s="1191" t="s">
        <v>252</v>
      </c>
      <c r="AM396" s="176" t="s">
        <v>126</v>
      </c>
      <c r="AN396" s="176">
        <v>0.91100000000000003</v>
      </c>
      <c r="AO396" s="176">
        <v>0.6</v>
      </c>
      <c r="AP396" s="176">
        <v>24</v>
      </c>
      <c r="AQ396" s="176">
        <v>216</v>
      </c>
      <c r="AR396" s="176">
        <v>1.6</v>
      </c>
      <c r="AS396" s="193">
        <v>7556.1984000000011</v>
      </c>
    </row>
    <row r="397" spans="1:45" ht="16.5" customHeight="1">
      <c r="A397" s="175">
        <v>46184</v>
      </c>
      <c r="B397" s="176" t="s">
        <v>218</v>
      </c>
      <c r="C397" s="176" t="s">
        <v>17260</v>
      </c>
      <c r="E397" s="176" t="s">
        <v>17335</v>
      </c>
      <c r="F397" s="176" t="s">
        <v>17276</v>
      </c>
      <c r="G397" s="176">
        <v>600</v>
      </c>
      <c r="H397" s="176" t="s">
        <v>15907</v>
      </c>
      <c r="I397" s="176">
        <v>5</v>
      </c>
      <c r="J397" s="176">
        <v>36</v>
      </c>
      <c r="K397" s="176">
        <v>0</v>
      </c>
      <c r="L397" s="176">
        <v>9639</v>
      </c>
      <c r="M397" s="176">
        <v>9687</v>
      </c>
      <c r="R397" s="176">
        <v>24</v>
      </c>
      <c r="S397" s="176">
        <v>4</v>
      </c>
      <c r="T397" s="176">
        <v>9073</v>
      </c>
      <c r="U397" s="176">
        <v>10000</v>
      </c>
      <c r="V397" s="176">
        <v>14</v>
      </c>
      <c r="W397" s="176">
        <v>0</v>
      </c>
      <c r="X397" s="176">
        <v>9355</v>
      </c>
      <c r="Y397" s="176">
        <v>9985</v>
      </c>
      <c r="Z397" s="176">
        <v>2.8015564202334629</v>
      </c>
      <c r="AA397" s="176">
        <v>12.333333333333334</v>
      </c>
      <c r="AB397" s="176">
        <v>0.99313568376068373</v>
      </c>
      <c r="AC397" s="176">
        <v>96.231666666666655</v>
      </c>
      <c r="AD397" s="176">
        <v>1.5416666666666667</v>
      </c>
      <c r="AE397" s="176">
        <v>1.4583333333333333</v>
      </c>
      <c r="AF397" s="176" t="s">
        <v>213</v>
      </c>
      <c r="AG397" s="176">
        <v>0.5</v>
      </c>
      <c r="AH397" s="176" t="s">
        <v>16172</v>
      </c>
      <c r="AI397" s="176" t="s">
        <v>642</v>
      </c>
      <c r="AJ397" s="176" t="s">
        <v>642</v>
      </c>
      <c r="AK397" s="176" t="s">
        <v>734</v>
      </c>
      <c r="AL397" s="1191" t="s">
        <v>251</v>
      </c>
      <c r="AM397" s="176" t="s">
        <v>126</v>
      </c>
      <c r="AN397" s="176">
        <v>0.91100000000000003</v>
      </c>
      <c r="AO397" s="176">
        <v>1.7</v>
      </c>
      <c r="AP397" s="176">
        <v>24</v>
      </c>
      <c r="AQ397" s="176">
        <v>216</v>
      </c>
      <c r="AR397" s="176">
        <v>2.7</v>
      </c>
      <c r="AS397" s="193">
        <v>12751.084800000001</v>
      </c>
    </row>
    <row r="398" spans="1:45" ht="16.5" customHeight="1">
      <c r="A398" s="175">
        <v>46184</v>
      </c>
      <c r="B398" s="176" t="s">
        <v>219</v>
      </c>
      <c r="C398" s="176" t="s">
        <v>16766</v>
      </c>
      <c r="D398" s="176" t="s">
        <v>16769</v>
      </c>
      <c r="E398" s="176" t="s">
        <v>1472</v>
      </c>
      <c r="F398" s="176" t="s">
        <v>16217</v>
      </c>
      <c r="G398" s="176">
        <v>630</v>
      </c>
      <c r="H398" s="176" t="s">
        <v>629</v>
      </c>
      <c r="I398" s="176">
        <v>2</v>
      </c>
      <c r="J398" s="176">
        <v>10</v>
      </c>
      <c r="K398" s="176">
        <v>0</v>
      </c>
      <c r="L398" s="176">
        <v>9243</v>
      </c>
      <c r="M398" s="176">
        <v>9635</v>
      </c>
      <c r="R398" s="176">
        <v>13</v>
      </c>
      <c r="S398" s="176">
        <v>8</v>
      </c>
      <c r="T398" s="176">
        <v>9240</v>
      </c>
      <c r="U398" s="176">
        <v>9486</v>
      </c>
      <c r="V398" s="176">
        <v>11</v>
      </c>
      <c r="W398" s="176">
        <v>0</v>
      </c>
      <c r="X398" s="176">
        <v>9274</v>
      </c>
      <c r="Y398" s="176">
        <v>9602</v>
      </c>
      <c r="Z398" s="176">
        <v>2.4615384615384617</v>
      </c>
      <c r="AA398" s="176">
        <v>11.333333333333334</v>
      </c>
      <c r="AB398" s="176">
        <v>0.984375</v>
      </c>
      <c r="AC398" s="176">
        <v>94.13333333333334</v>
      </c>
      <c r="AD398" s="176">
        <v>1.4166666666666667</v>
      </c>
      <c r="AE398" s="176">
        <v>1.0833333333333333</v>
      </c>
      <c r="AF398" s="176" t="s">
        <v>213</v>
      </c>
      <c r="AG398" s="176">
        <v>1</v>
      </c>
      <c r="AH398" s="176" t="s">
        <v>16172</v>
      </c>
      <c r="AI398" s="176" t="s">
        <v>645</v>
      </c>
      <c r="AJ398" s="176" t="s">
        <v>645</v>
      </c>
      <c r="AK398" s="176" t="s">
        <v>15379</v>
      </c>
      <c r="AL398" s="1191" t="s">
        <v>251</v>
      </c>
      <c r="AM398" s="176" t="s">
        <v>951</v>
      </c>
      <c r="AN398" s="176">
        <v>0.56200000000000006</v>
      </c>
      <c r="AO398" s="176">
        <v>1.1000000000000001</v>
      </c>
      <c r="AP398" s="176">
        <v>24</v>
      </c>
      <c r="AQ398" s="176">
        <v>216</v>
      </c>
      <c r="AR398" s="176">
        <v>2.1</v>
      </c>
      <c r="AS398" s="193">
        <v>6118.1568000000007</v>
      </c>
    </row>
    <row r="399" spans="1:45" ht="16.5" customHeight="1">
      <c r="A399" s="175">
        <v>46184</v>
      </c>
      <c r="B399" s="176" t="s">
        <v>220</v>
      </c>
      <c r="C399" s="176" t="s">
        <v>640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640</v>
      </c>
      <c r="P399" s="176" t="s">
        <v>640</v>
      </c>
      <c r="T399" s="176" t="s">
        <v>640</v>
      </c>
      <c r="X399" s="176" t="s">
        <v>640</v>
      </c>
      <c r="Z399" s="176" t="s">
        <v>420</v>
      </c>
      <c r="AA399" s="176" t="s">
        <v>640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213</v>
      </c>
      <c r="AG399" s="176">
        <v>1</v>
      </c>
      <c r="AH399" s="176" t="s">
        <v>648</v>
      </c>
      <c r="AI399" s="176" t="s">
        <v>648</v>
      </c>
      <c r="AJ399" s="176" t="s">
        <v>648</v>
      </c>
      <c r="AK399" s="176" t="s">
        <v>648</v>
      </c>
      <c r="AL399" s="119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46184</v>
      </c>
      <c r="B400" s="176" t="s">
        <v>221</v>
      </c>
      <c r="C400" s="176" t="s">
        <v>16787</v>
      </c>
      <c r="E400" s="176" t="s">
        <v>624</v>
      </c>
      <c r="F400" s="176" t="s">
        <v>16747</v>
      </c>
      <c r="G400" s="176">
        <v>600</v>
      </c>
      <c r="H400" s="176" t="s">
        <v>476</v>
      </c>
      <c r="I400" s="176">
        <v>5</v>
      </c>
      <c r="J400" s="176">
        <v>14</v>
      </c>
      <c r="K400" s="176">
        <v>0</v>
      </c>
      <c r="L400" s="176">
        <v>8874</v>
      </c>
      <c r="M400" s="176">
        <v>8820</v>
      </c>
      <c r="R400" s="176">
        <v>20</v>
      </c>
      <c r="S400" s="176">
        <v>1</v>
      </c>
      <c r="T400" s="176">
        <v>9069</v>
      </c>
      <c r="U400" s="176">
        <v>8690</v>
      </c>
      <c r="V400" s="176">
        <v>8</v>
      </c>
      <c r="W400" s="176">
        <v>0</v>
      </c>
      <c r="X400" s="176">
        <v>9093</v>
      </c>
      <c r="Y400" s="176">
        <v>8747</v>
      </c>
      <c r="Z400" s="176">
        <v>2.8685258964143427</v>
      </c>
      <c r="AA400" s="176">
        <v>14</v>
      </c>
      <c r="AB400" s="176">
        <v>0.99832398504273501</v>
      </c>
      <c r="AC400" s="176">
        <v>88.821666666666658</v>
      </c>
      <c r="AD400" s="176">
        <v>1.75</v>
      </c>
      <c r="AE400" s="176">
        <v>1.7083333333333333</v>
      </c>
      <c r="AF400" s="176" t="s">
        <v>213</v>
      </c>
      <c r="AG400" s="176">
        <v>1</v>
      </c>
      <c r="AH400" s="176" t="s">
        <v>16172</v>
      </c>
      <c r="AI400" s="176" t="s">
        <v>642</v>
      </c>
      <c r="AJ400" s="176" t="s">
        <v>642</v>
      </c>
      <c r="AK400" s="176" t="s">
        <v>734</v>
      </c>
      <c r="AL400" s="1191" t="s">
        <v>251</v>
      </c>
      <c r="AM400" s="176" t="s">
        <v>126</v>
      </c>
      <c r="AN400" s="176">
        <v>0.91100000000000003</v>
      </c>
      <c r="AO400" s="176">
        <v>3</v>
      </c>
      <c r="AP400" s="176">
        <v>24</v>
      </c>
      <c r="AQ400" s="176">
        <v>216</v>
      </c>
      <c r="AR400" s="176">
        <v>4</v>
      </c>
      <c r="AS400" s="193">
        <v>18890.495999999999</v>
      </c>
    </row>
    <row r="401" spans="1:45" ht="16.5" customHeight="1">
      <c r="A401" s="175">
        <v>46184</v>
      </c>
      <c r="B401" s="176" t="s">
        <v>222</v>
      </c>
      <c r="C401" s="176" t="s">
        <v>17282</v>
      </c>
      <c r="E401" s="176" t="s">
        <v>17283</v>
      </c>
      <c r="F401" s="176" t="s">
        <v>17284</v>
      </c>
      <c r="G401" s="176">
        <v>575</v>
      </c>
      <c r="H401" s="176" t="s">
        <v>468</v>
      </c>
      <c r="I401" s="176">
        <v>4</v>
      </c>
      <c r="L401" s="176" t="s">
        <v>127</v>
      </c>
      <c r="P401" s="176" t="s">
        <v>127</v>
      </c>
      <c r="T401" s="176" t="s">
        <v>127</v>
      </c>
      <c r="X401" s="176" t="s">
        <v>127</v>
      </c>
      <c r="Z401" s="176">
        <v>1.1009174311926606</v>
      </c>
      <c r="AA401" s="176" t="s">
        <v>127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213</v>
      </c>
      <c r="AG401" s="176">
        <v>1</v>
      </c>
      <c r="AH401" s="176" t="s">
        <v>16172</v>
      </c>
      <c r="AI401" s="176" t="s">
        <v>642</v>
      </c>
      <c r="AJ401" s="176" t="s">
        <v>642</v>
      </c>
      <c r="AK401" s="176" t="s">
        <v>734</v>
      </c>
      <c r="AL401" s="1191" t="s">
        <v>251</v>
      </c>
      <c r="AM401" s="176" t="s">
        <v>126</v>
      </c>
      <c r="AN401" s="176">
        <v>0.91100000000000003</v>
      </c>
      <c r="AO401" s="176">
        <v>0.9</v>
      </c>
      <c r="AP401" s="176">
        <v>24</v>
      </c>
      <c r="AQ401" s="176">
        <v>216</v>
      </c>
      <c r="AR401" s="176">
        <v>1.9</v>
      </c>
      <c r="AS401" s="193">
        <v>8972.9856</v>
      </c>
    </row>
    <row r="402" spans="1:45" ht="16.5" customHeight="1">
      <c r="A402" s="175">
        <v>46184</v>
      </c>
      <c r="B402" s="176" t="s">
        <v>223</v>
      </c>
      <c r="C402" s="176" t="s">
        <v>640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640</v>
      </c>
      <c r="P402" s="176" t="s">
        <v>640</v>
      </c>
      <c r="T402" s="176" t="s">
        <v>640</v>
      </c>
      <c r="X402" s="176" t="s">
        <v>640</v>
      </c>
      <c r="Z402" s="176" t="s">
        <v>420</v>
      </c>
      <c r="AA402" s="176" t="s">
        <v>640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213</v>
      </c>
      <c r="AG402" s="176">
        <v>1</v>
      </c>
      <c r="AH402" s="176" t="s">
        <v>648</v>
      </c>
      <c r="AI402" s="176" t="s">
        <v>648</v>
      </c>
      <c r="AJ402" s="176" t="s">
        <v>648</v>
      </c>
      <c r="AK402" s="176" t="s">
        <v>648</v>
      </c>
      <c r="AL402" s="119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46184</v>
      </c>
      <c r="B403" s="176" t="s">
        <v>224</v>
      </c>
      <c r="C403" s="176" t="s">
        <v>640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640</v>
      </c>
      <c r="P403" s="176" t="s">
        <v>640</v>
      </c>
      <c r="T403" s="176" t="s">
        <v>640</v>
      </c>
      <c r="X403" s="176" t="s">
        <v>640</v>
      </c>
      <c r="Z403" s="176" t="s">
        <v>420</v>
      </c>
      <c r="AA403" s="176" t="s">
        <v>640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213</v>
      </c>
      <c r="AG403" s="176">
        <v>1</v>
      </c>
      <c r="AH403" s="176" t="s">
        <v>648</v>
      </c>
      <c r="AI403" s="176" t="s">
        <v>648</v>
      </c>
      <c r="AJ403" s="176" t="s">
        <v>648</v>
      </c>
      <c r="AK403" s="176" t="s">
        <v>648</v>
      </c>
      <c r="AL403" s="119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46184</v>
      </c>
      <c r="B404" s="176" t="s">
        <v>225</v>
      </c>
      <c r="C404" s="176" t="s">
        <v>17285</v>
      </c>
      <c r="E404" s="176" t="s">
        <v>17231</v>
      </c>
      <c r="F404" s="176" t="s">
        <v>17286</v>
      </c>
      <c r="G404" s="176">
        <v>650</v>
      </c>
      <c r="H404" s="176" t="s">
        <v>16749</v>
      </c>
      <c r="I404" s="176">
        <v>5</v>
      </c>
      <c r="L404" s="176" t="s">
        <v>636</v>
      </c>
      <c r="P404" s="176" t="s">
        <v>636</v>
      </c>
      <c r="T404" s="176" t="s">
        <v>636</v>
      </c>
      <c r="X404" s="176" t="s">
        <v>636</v>
      </c>
      <c r="Z404" s="176">
        <v>3.0638297872340425</v>
      </c>
      <c r="AA404" s="176" t="s">
        <v>636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16172</v>
      </c>
      <c r="AI404" s="176" t="s">
        <v>645</v>
      </c>
      <c r="AJ404" s="176" t="s">
        <v>645</v>
      </c>
      <c r="AK404" s="176" t="s">
        <v>15379</v>
      </c>
      <c r="AL404" s="1191" t="s">
        <v>252</v>
      </c>
      <c r="AM404" s="176" t="s">
        <v>126</v>
      </c>
      <c r="AN404" s="176">
        <v>0.91100000000000003</v>
      </c>
      <c r="AO404" s="176">
        <v>3</v>
      </c>
      <c r="AP404" s="176">
        <v>24</v>
      </c>
      <c r="AQ404" s="176">
        <v>216</v>
      </c>
      <c r="AR404" s="176">
        <v>4</v>
      </c>
      <c r="AS404" s="193">
        <v>18890.495999999999</v>
      </c>
    </row>
    <row r="405" spans="1:45" ht="16.5" customHeight="1">
      <c r="A405" s="175">
        <v>46184</v>
      </c>
      <c r="B405" s="176" t="s">
        <v>226</v>
      </c>
      <c r="C405" s="176" t="s">
        <v>640</v>
      </c>
      <c r="E405" s="176" t="s">
        <v>420</v>
      </c>
      <c r="F405" s="176" t="s">
        <v>420</v>
      </c>
      <c r="G405" s="176" t="s">
        <v>420</v>
      </c>
      <c r="H405" s="176" t="s">
        <v>420</v>
      </c>
      <c r="I405" s="176" t="s">
        <v>420</v>
      </c>
      <c r="L405" s="176" t="s">
        <v>640</v>
      </c>
      <c r="P405" s="176" t="s">
        <v>640</v>
      </c>
      <c r="T405" s="176" t="s">
        <v>640</v>
      </c>
      <c r="X405" s="176" t="s">
        <v>640</v>
      </c>
      <c r="Z405" s="176" t="s">
        <v>420</v>
      </c>
      <c r="AA405" s="176" t="s">
        <v>640</v>
      </c>
      <c r="AB405" s="176" t="s">
        <v>420</v>
      </c>
      <c r="AC405" s="176" t="s">
        <v>420</v>
      </c>
      <c r="AD405" s="176" t="s">
        <v>420</v>
      </c>
      <c r="AE405" s="176" t="s">
        <v>420</v>
      </c>
      <c r="AF405" s="176" t="s">
        <v>213</v>
      </c>
      <c r="AG405" s="176">
        <v>1</v>
      </c>
      <c r="AH405" s="176" t="s">
        <v>648</v>
      </c>
      <c r="AI405" s="176" t="s">
        <v>648</v>
      </c>
      <c r="AJ405" s="176" t="s">
        <v>648</v>
      </c>
      <c r="AK405" s="176" t="s">
        <v>648</v>
      </c>
      <c r="AL405" s="1191" t="s">
        <v>420</v>
      </c>
      <c r="AM405" s="176" t="s">
        <v>420</v>
      </c>
      <c r="AN405" s="176" t="s">
        <v>420</v>
      </c>
      <c r="AO405" s="176" t="s">
        <v>420</v>
      </c>
      <c r="AP405" s="176">
        <v>24</v>
      </c>
      <c r="AQ405" s="176">
        <v>216</v>
      </c>
      <c r="AR405" s="176" t="s">
        <v>420</v>
      </c>
      <c r="AS405" s="193" t="s">
        <v>420</v>
      </c>
    </row>
    <row r="406" spans="1:45" ht="16.5" customHeight="1">
      <c r="A406" s="175">
        <v>46184</v>
      </c>
      <c r="B406" s="176" t="s">
        <v>227</v>
      </c>
      <c r="C406" s="176" t="s">
        <v>640</v>
      </c>
      <c r="E406" s="176" t="s">
        <v>420</v>
      </c>
      <c r="F406" s="176" t="s">
        <v>420</v>
      </c>
      <c r="G406" s="176" t="s">
        <v>420</v>
      </c>
      <c r="H406" s="176" t="s">
        <v>420</v>
      </c>
      <c r="I406" s="176" t="s">
        <v>420</v>
      </c>
      <c r="L406" s="176" t="s">
        <v>640</v>
      </c>
      <c r="P406" s="176" t="s">
        <v>640</v>
      </c>
      <c r="T406" s="176" t="s">
        <v>640</v>
      </c>
      <c r="X406" s="176" t="s">
        <v>640</v>
      </c>
      <c r="Z406" s="176" t="s">
        <v>420</v>
      </c>
      <c r="AA406" s="176" t="s">
        <v>640</v>
      </c>
      <c r="AB406" s="176" t="s">
        <v>420</v>
      </c>
      <c r="AC406" s="176" t="s">
        <v>420</v>
      </c>
      <c r="AD406" s="176" t="s">
        <v>420</v>
      </c>
      <c r="AE406" s="176" t="s">
        <v>420</v>
      </c>
      <c r="AF406" s="176" t="s">
        <v>213</v>
      </c>
      <c r="AG406" s="176">
        <v>1</v>
      </c>
      <c r="AH406" s="176" t="s">
        <v>648</v>
      </c>
      <c r="AI406" s="176" t="s">
        <v>648</v>
      </c>
      <c r="AJ406" s="176" t="s">
        <v>648</v>
      </c>
      <c r="AK406" s="176" t="s">
        <v>648</v>
      </c>
      <c r="AL406" s="1191" t="s">
        <v>420</v>
      </c>
      <c r="AM406" s="176" t="s">
        <v>420</v>
      </c>
      <c r="AN406" s="176" t="s">
        <v>420</v>
      </c>
      <c r="AO406" s="176" t="s">
        <v>420</v>
      </c>
      <c r="AP406" s="176">
        <v>24</v>
      </c>
      <c r="AQ406" s="176">
        <v>216</v>
      </c>
      <c r="AR406" s="176" t="s">
        <v>420</v>
      </c>
      <c r="AS406" s="193" t="s">
        <v>420</v>
      </c>
    </row>
    <row r="407" spans="1:45" ht="16.5" customHeight="1">
      <c r="A407" s="175">
        <v>46184</v>
      </c>
      <c r="B407" s="176" t="s">
        <v>228</v>
      </c>
      <c r="C407" s="176" t="s">
        <v>17446</v>
      </c>
      <c r="E407" s="176" t="s">
        <v>17447</v>
      </c>
      <c r="F407" s="176" t="s">
        <v>17448</v>
      </c>
      <c r="G407" s="176">
        <v>550</v>
      </c>
      <c r="H407" s="176" t="s">
        <v>16736</v>
      </c>
      <c r="I407" s="176">
        <v>5</v>
      </c>
      <c r="J407" s="176">
        <v>26</v>
      </c>
      <c r="K407" s="176">
        <v>2</v>
      </c>
      <c r="L407" s="176">
        <v>8832</v>
      </c>
      <c r="M407" s="176">
        <v>9251</v>
      </c>
      <c r="R407" s="176">
        <v>30</v>
      </c>
      <c r="S407" s="176">
        <v>0</v>
      </c>
      <c r="T407" s="176">
        <v>8979</v>
      </c>
      <c r="U407" s="176">
        <v>8755</v>
      </c>
      <c r="V407" s="176">
        <v>30</v>
      </c>
      <c r="W407" s="176">
        <v>1</v>
      </c>
      <c r="X407" s="176">
        <v>9138</v>
      </c>
      <c r="Y407" s="176">
        <v>8837</v>
      </c>
      <c r="Z407" s="176">
        <v>5.161290322580645</v>
      </c>
      <c r="AA407" s="176">
        <v>14.333333333333334</v>
      </c>
      <c r="AB407" s="176">
        <v>0.99720552884615388</v>
      </c>
      <c r="AC407" s="176">
        <v>89.653333333333336</v>
      </c>
      <c r="AD407" s="176">
        <v>1.7916666666666667</v>
      </c>
      <c r="AE407" s="176">
        <v>1.7291666666666667</v>
      </c>
      <c r="AF407" s="176" t="s">
        <v>213</v>
      </c>
      <c r="AG407" s="176">
        <v>0.5</v>
      </c>
      <c r="AH407" s="176" t="s">
        <v>17465</v>
      </c>
      <c r="AI407" s="176" t="s">
        <v>642</v>
      </c>
      <c r="AJ407" s="176" t="s">
        <v>642</v>
      </c>
      <c r="AK407" s="176" t="s">
        <v>734</v>
      </c>
      <c r="AL407" s="1191" t="s">
        <v>251</v>
      </c>
      <c r="AM407" s="176" t="s">
        <v>651</v>
      </c>
      <c r="AN407" s="176">
        <v>1.859</v>
      </c>
      <c r="AO407" s="176">
        <v>2.8</v>
      </c>
      <c r="AP407" s="176">
        <v>24</v>
      </c>
      <c r="AQ407" s="176">
        <v>216</v>
      </c>
      <c r="AR407" s="176">
        <v>3.8</v>
      </c>
      <c r="AS407" s="193">
        <v>36620.8128</v>
      </c>
    </row>
    <row r="408" spans="1:45" ht="16.5" customHeight="1">
      <c r="A408" s="175">
        <v>46184</v>
      </c>
      <c r="B408" s="176" t="s">
        <v>229</v>
      </c>
      <c r="C408" s="176" t="s">
        <v>640</v>
      </c>
      <c r="E408" s="176" t="s">
        <v>420</v>
      </c>
      <c r="F408" s="176" t="s">
        <v>420</v>
      </c>
      <c r="G408" s="176" t="s">
        <v>420</v>
      </c>
      <c r="H408" s="176" t="s">
        <v>420</v>
      </c>
      <c r="I408" s="176" t="s">
        <v>420</v>
      </c>
      <c r="L408" s="176" t="s">
        <v>640</v>
      </c>
      <c r="P408" s="176" t="s">
        <v>640</v>
      </c>
      <c r="T408" s="176" t="s">
        <v>640</v>
      </c>
      <c r="X408" s="176" t="s">
        <v>640</v>
      </c>
      <c r="Z408" s="176" t="s">
        <v>420</v>
      </c>
      <c r="AA408" s="176" t="s">
        <v>640</v>
      </c>
      <c r="AB408" s="176" t="s">
        <v>420</v>
      </c>
      <c r="AC408" s="176" t="s">
        <v>420</v>
      </c>
      <c r="AD408" s="176" t="s">
        <v>420</v>
      </c>
      <c r="AE408" s="176" t="s">
        <v>420</v>
      </c>
      <c r="AF408" s="176" t="s">
        <v>213</v>
      </c>
      <c r="AG408" s="176">
        <v>1</v>
      </c>
      <c r="AH408" s="176" t="s">
        <v>648</v>
      </c>
      <c r="AI408" s="176" t="s">
        <v>648</v>
      </c>
      <c r="AJ408" s="176" t="s">
        <v>648</v>
      </c>
      <c r="AK408" s="176" t="s">
        <v>648</v>
      </c>
      <c r="AL408" s="1191" t="s">
        <v>420</v>
      </c>
      <c r="AM408" s="176" t="s">
        <v>420</v>
      </c>
      <c r="AN408" s="176" t="s">
        <v>420</v>
      </c>
      <c r="AO408" s="176" t="s">
        <v>420</v>
      </c>
      <c r="AP408" s="176">
        <v>24</v>
      </c>
      <c r="AQ408" s="176">
        <v>216</v>
      </c>
      <c r="AR408" s="176" t="s">
        <v>420</v>
      </c>
      <c r="AS408" s="193" t="s">
        <v>420</v>
      </c>
    </row>
    <row r="409" spans="1:45" ht="16.5" customHeight="1">
      <c r="A409" s="175">
        <v>46184</v>
      </c>
      <c r="B409" s="176" t="s">
        <v>230</v>
      </c>
      <c r="C409" s="176" t="s">
        <v>640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640</v>
      </c>
      <c r="P409" s="176" t="s">
        <v>640</v>
      </c>
      <c r="T409" s="176" t="s">
        <v>640</v>
      </c>
      <c r="X409" s="176" t="s">
        <v>640</v>
      </c>
      <c r="Z409" s="176" t="s">
        <v>420</v>
      </c>
      <c r="AA409" s="176" t="s">
        <v>640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648</v>
      </c>
      <c r="AI409" s="176" t="s">
        <v>648</v>
      </c>
      <c r="AJ409" s="176" t="s">
        <v>648</v>
      </c>
      <c r="AK409" s="176" t="s">
        <v>648</v>
      </c>
      <c r="AL409" s="119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46184</v>
      </c>
      <c r="B410" s="176" t="s">
        <v>231</v>
      </c>
      <c r="C410" s="176" t="s">
        <v>640</v>
      </c>
      <c r="E410" s="176" t="s">
        <v>420</v>
      </c>
      <c r="F410" s="176" t="s">
        <v>420</v>
      </c>
      <c r="G410" s="176" t="s">
        <v>420</v>
      </c>
      <c r="H410" s="176" t="s">
        <v>420</v>
      </c>
      <c r="I410" s="176" t="s">
        <v>420</v>
      </c>
      <c r="L410" s="176" t="s">
        <v>640</v>
      </c>
      <c r="P410" s="176" t="s">
        <v>640</v>
      </c>
      <c r="T410" s="176" t="s">
        <v>640</v>
      </c>
      <c r="X410" s="176" t="s">
        <v>640</v>
      </c>
      <c r="Z410" s="176" t="s">
        <v>420</v>
      </c>
      <c r="AA410" s="176" t="s">
        <v>640</v>
      </c>
      <c r="AB410" s="176" t="s">
        <v>420</v>
      </c>
      <c r="AC410" s="176" t="s">
        <v>420</v>
      </c>
      <c r="AD410" s="176" t="s">
        <v>420</v>
      </c>
      <c r="AE410" s="176" t="s">
        <v>420</v>
      </c>
      <c r="AF410" s="176" t="s">
        <v>232</v>
      </c>
      <c r="AG410" s="176">
        <v>1</v>
      </c>
      <c r="AH410" s="176" t="s">
        <v>648</v>
      </c>
      <c r="AI410" s="176" t="s">
        <v>648</v>
      </c>
      <c r="AJ410" s="176" t="s">
        <v>648</v>
      </c>
      <c r="AK410" s="176" t="s">
        <v>648</v>
      </c>
      <c r="AL410" s="1191" t="s">
        <v>420</v>
      </c>
      <c r="AM410" s="176" t="s">
        <v>420</v>
      </c>
      <c r="AN410" s="176" t="s">
        <v>420</v>
      </c>
      <c r="AO410" s="176" t="s">
        <v>420</v>
      </c>
      <c r="AP410" s="176">
        <v>24</v>
      </c>
      <c r="AQ410" s="176">
        <v>216</v>
      </c>
      <c r="AR410" s="176" t="s">
        <v>420</v>
      </c>
      <c r="AS410" s="193" t="s">
        <v>420</v>
      </c>
    </row>
    <row r="411" spans="1:45" ht="16.5" customHeight="1">
      <c r="A411" s="175">
        <v>46184</v>
      </c>
      <c r="B411" s="176" t="s">
        <v>233</v>
      </c>
      <c r="C411" s="176" t="s">
        <v>17336</v>
      </c>
      <c r="D411" s="176" t="s">
        <v>641</v>
      </c>
      <c r="E411" s="176" t="s">
        <v>16740</v>
      </c>
      <c r="F411" s="176" t="s">
        <v>17289</v>
      </c>
      <c r="G411" s="176">
        <v>600</v>
      </c>
      <c r="H411" s="176" t="s">
        <v>7798</v>
      </c>
      <c r="I411" s="176">
        <v>5.5</v>
      </c>
      <c r="J411" s="176">
        <v>38</v>
      </c>
      <c r="K411" s="176">
        <v>5</v>
      </c>
      <c r="L411" s="176">
        <v>7120</v>
      </c>
      <c r="R411" s="176">
        <v>25</v>
      </c>
      <c r="S411" s="176">
        <v>4</v>
      </c>
      <c r="T411" s="176">
        <v>7010</v>
      </c>
      <c r="V411" s="176">
        <v>56</v>
      </c>
      <c r="W411" s="176">
        <v>2</v>
      </c>
      <c r="X411" s="176">
        <v>6930</v>
      </c>
      <c r="Z411" s="176">
        <v>5.8536585365853666</v>
      </c>
      <c r="AA411" s="176">
        <v>39.666666666666664</v>
      </c>
      <c r="AB411" s="176">
        <v>0.99096554487179489</v>
      </c>
      <c r="AC411" s="176">
        <v>70.2</v>
      </c>
      <c r="AD411" s="176">
        <v>4.958333333333333</v>
      </c>
      <c r="AE411" s="176">
        <v>4.5</v>
      </c>
      <c r="AF411" s="176" t="s">
        <v>232</v>
      </c>
      <c r="AG411" s="176">
        <v>1</v>
      </c>
      <c r="AH411" s="176" t="s">
        <v>824</v>
      </c>
      <c r="AI411" s="176" t="s">
        <v>645</v>
      </c>
      <c r="AJ411" s="176" t="s">
        <v>645</v>
      </c>
      <c r="AK411" s="176" t="s">
        <v>15379</v>
      </c>
      <c r="AL411" s="1191" t="s">
        <v>251</v>
      </c>
      <c r="AM411" s="176" t="s">
        <v>651</v>
      </c>
      <c r="AN411" s="176">
        <v>1.859</v>
      </c>
      <c r="AO411" s="176">
        <v>2.1</v>
      </c>
      <c r="AP411" s="176">
        <v>24</v>
      </c>
      <c r="AQ411" s="176">
        <v>216</v>
      </c>
      <c r="AR411" s="176">
        <v>3.1</v>
      </c>
      <c r="AS411" s="193">
        <v>29874.873599999999</v>
      </c>
    </row>
    <row r="412" spans="1:45" ht="16.5" customHeight="1">
      <c r="A412" s="175">
        <v>46184</v>
      </c>
      <c r="B412" s="176" t="s">
        <v>234</v>
      </c>
      <c r="C412" s="176" t="s">
        <v>640</v>
      </c>
      <c r="E412" s="176" t="s">
        <v>420</v>
      </c>
      <c r="F412" s="176" t="s">
        <v>420</v>
      </c>
      <c r="G412" s="176" t="s">
        <v>420</v>
      </c>
      <c r="H412" s="176" t="s">
        <v>420</v>
      </c>
      <c r="I412" s="176" t="s">
        <v>420</v>
      </c>
      <c r="L412" s="176" t="s">
        <v>640</v>
      </c>
      <c r="P412" s="176" t="s">
        <v>640</v>
      </c>
      <c r="T412" s="176" t="s">
        <v>640</v>
      </c>
      <c r="X412" s="176" t="s">
        <v>640</v>
      </c>
      <c r="Z412" s="176" t="s">
        <v>420</v>
      </c>
      <c r="AA412" s="176" t="s">
        <v>640</v>
      </c>
      <c r="AB412" s="176" t="s">
        <v>420</v>
      </c>
      <c r="AC412" s="176" t="s">
        <v>420</v>
      </c>
      <c r="AD412" s="176" t="s">
        <v>420</v>
      </c>
      <c r="AE412" s="176" t="s">
        <v>420</v>
      </c>
      <c r="AF412" s="176" t="s">
        <v>232</v>
      </c>
      <c r="AG412" s="176">
        <v>1</v>
      </c>
      <c r="AH412" s="176" t="s">
        <v>648</v>
      </c>
      <c r="AI412" s="176" t="s">
        <v>648</v>
      </c>
      <c r="AJ412" s="176" t="s">
        <v>648</v>
      </c>
      <c r="AK412" s="176" t="s">
        <v>648</v>
      </c>
      <c r="AL412" s="1191" t="s">
        <v>420</v>
      </c>
      <c r="AM412" s="176" t="s">
        <v>420</v>
      </c>
      <c r="AN412" s="176" t="s">
        <v>420</v>
      </c>
      <c r="AO412" s="176" t="s">
        <v>420</v>
      </c>
      <c r="AP412" s="176">
        <v>24</v>
      </c>
      <c r="AQ412" s="176">
        <v>216</v>
      </c>
      <c r="AR412" s="176" t="s">
        <v>420</v>
      </c>
      <c r="AS412" s="193" t="s">
        <v>420</v>
      </c>
    </row>
    <row r="413" spans="1:45" ht="16.5" customHeight="1">
      <c r="A413" s="175">
        <v>46184</v>
      </c>
      <c r="B413" s="176" t="s">
        <v>235</v>
      </c>
      <c r="C413" s="176" t="s">
        <v>17287</v>
      </c>
      <c r="D413" s="176" t="s">
        <v>641</v>
      </c>
      <c r="E413" s="176" t="s">
        <v>16740</v>
      </c>
      <c r="F413" s="176" t="s">
        <v>17269</v>
      </c>
      <c r="G413" s="176">
        <v>700</v>
      </c>
      <c r="H413" s="176" t="s">
        <v>1032</v>
      </c>
      <c r="I413" s="176">
        <v>5.5</v>
      </c>
      <c r="J413" s="176">
        <v>34</v>
      </c>
      <c r="K413" s="176">
        <v>0</v>
      </c>
      <c r="L413" s="176">
        <v>9440</v>
      </c>
      <c r="M413" s="176">
        <v>9070</v>
      </c>
      <c r="R413" s="176">
        <v>33</v>
      </c>
      <c r="S413" s="176">
        <v>0</v>
      </c>
      <c r="T413" s="176">
        <v>9350</v>
      </c>
      <c r="U413" s="176">
        <v>9440</v>
      </c>
      <c r="V413" s="176">
        <v>39</v>
      </c>
      <c r="W413" s="176">
        <v>6</v>
      </c>
      <c r="X413" s="176">
        <v>9350</v>
      </c>
      <c r="Y413" s="176">
        <v>9350</v>
      </c>
      <c r="Z413" s="176">
        <v>5.8299595141700413</v>
      </c>
      <c r="AA413" s="176">
        <v>35.333333333333336</v>
      </c>
      <c r="AB413" s="176">
        <v>0.99505208333333328</v>
      </c>
      <c r="AC413" s="176">
        <v>93.333333333333343</v>
      </c>
      <c r="AD413" s="176">
        <v>4.416666666666667</v>
      </c>
      <c r="AE413" s="176">
        <v>4.166666666666667</v>
      </c>
      <c r="AF413" s="176" t="s">
        <v>236</v>
      </c>
      <c r="AG413" s="176">
        <v>1</v>
      </c>
      <c r="AH413" s="176" t="s">
        <v>15346</v>
      </c>
      <c r="AI413" s="176" t="s">
        <v>15906</v>
      </c>
      <c r="AJ413" s="176" t="s">
        <v>15906</v>
      </c>
      <c r="AK413" s="176" t="s">
        <v>15890</v>
      </c>
      <c r="AL413" s="1191" t="s">
        <v>252</v>
      </c>
      <c r="AM413" s="176" t="s">
        <v>462</v>
      </c>
      <c r="AN413" s="176">
        <v>1.1890000000000001</v>
      </c>
      <c r="AO413" s="176">
        <v>3</v>
      </c>
      <c r="AP413" s="176">
        <v>24</v>
      </c>
      <c r="AQ413" s="176">
        <v>216</v>
      </c>
      <c r="AR413" s="176">
        <v>4</v>
      </c>
      <c r="AS413" s="193">
        <v>24655.103999999999</v>
      </c>
    </row>
    <row r="414" spans="1:45" ht="16.5" customHeight="1">
      <c r="A414" s="175">
        <v>46184</v>
      </c>
      <c r="B414" s="176" t="s">
        <v>237</v>
      </c>
      <c r="C414" s="176" t="s">
        <v>17288</v>
      </c>
      <c r="D414" s="176" t="s">
        <v>641</v>
      </c>
      <c r="E414" s="176" t="s">
        <v>16740</v>
      </c>
      <c r="F414" s="176" t="s">
        <v>17289</v>
      </c>
      <c r="G414" s="176">
        <v>700</v>
      </c>
      <c r="H414" s="176" t="s">
        <v>957</v>
      </c>
      <c r="I414" s="176">
        <v>5.5</v>
      </c>
      <c r="J414" s="176">
        <v>51</v>
      </c>
      <c r="K414" s="176">
        <v>0</v>
      </c>
      <c r="L414" s="176">
        <v>9120</v>
      </c>
      <c r="M414" s="176">
        <v>8610</v>
      </c>
      <c r="R414" s="176">
        <v>58</v>
      </c>
      <c r="S414" s="176">
        <v>0</v>
      </c>
      <c r="T414" s="176">
        <v>9030</v>
      </c>
      <c r="U414" s="176">
        <v>9170</v>
      </c>
      <c r="V414" s="176">
        <v>31</v>
      </c>
      <c r="W414" s="176">
        <v>6</v>
      </c>
      <c r="X414" s="176">
        <v>9540</v>
      </c>
      <c r="Y414" s="176">
        <v>9070</v>
      </c>
      <c r="Z414" s="176">
        <v>5.8299595141700413</v>
      </c>
      <c r="AA414" s="176">
        <v>46.666666666666664</v>
      </c>
      <c r="AB414" s="176">
        <v>0.99505208333333328</v>
      </c>
      <c r="AC414" s="176">
        <v>90.9</v>
      </c>
      <c r="AD414" s="176">
        <v>5.833333333333333</v>
      </c>
      <c r="AE414" s="176">
        <v>5.583333333333333</v>
      </c>
      <c r="AF414" s="176" t="s">
        <v>236</v>
      </c>
      <c r="AG414" s="176">
        <v>1</v>
      </c>
      <c r="AH414" s="176" t="s">
        <v>15346</v>
      </c>
      <c r="AI414" s="176" t="s">
        <v>660</v>
      </c>
      <c r="AJ414" s="176" t="s">
        <v>660</v>
      </c>
      <c r="AK414" s="176" t="s">
        <v>647</v>
      </c>
      <c r="AL414" s="1191" t="s">
        <v>251</v>
      </c>
      <c r="AM414" s="176" t="s">
        <v>462</v>
      </c>
      <c r="AN414" s="176">
        <v>1.1890000000000001</v>
      </c>
      <c r="AO414" s="176">
        <v>2.9</v>
      </c>
      <c r="AP414" s="176">
        <v>24</v>
      </c>
      <c r="AQ414" s="176">
        <v>216</v>
      </c>
      <c r="AR414" s="176">
        <v>3.9</v>
      </c>
      <c r="AS414" s="193">
        <v>24038.7264</v>
      </c>
    </row>
    <row r="415" spans="1:45" ht="16.5" customHeight="1">
      <c r="A415" s="175">
        <v>46184</v>
      </c>
      <c r="B415" s="176" t="s">
        <v>238</v>
      </c>
      <c r="C415" s="176" t="s">
        <v>640</v>
      </c>
      <c r="E415" s="176" t="s">
        <v>420</v>
      </c>
      <c r="F415" s="176" t="s">
        <v>420</v>
      </c>
      <c r="G415" s="176" t="s">
        <v>420</v>
      </c>
      <c r="H415" s="176" t="s">
        <v>420</v>
      </c>
      <c r="I415" s="176" t="s">
        <v>420</v>
      </c>
      <c r="L415" s="176" t="s">
        <v>640</v>
      </c>
      <c r="P415" s="176" t="s">
        <v>640</v>
      </c>
      <c r="T415" s="176" t="s">
        <v>640</v>
      </c>
      <c r="X415" s="176" t="s">
        <v>640</v>
      </c>
      <c r="Z415" s="176" t="s">
        <v>420</v>
      </c>
      <c r="AA415" s="176" t="s">
        <v>640</v>
      </c>
      <c r="AB415" s="176" t="s">
        <v>420</v>
      </c>
      <c r="AC415" s="176" t="s">
        <v>420</v>
      </c>
      <c r="AD415" s="176" t="s">
        <v>420</v>
      </c>
      <c r="AE415" s="176" t="s">
        <v>420</v>
      </c>
      <c r="AF415" s="176" t="s">
        <v>236</v>
      </c>
      <c r="AG415" s="176">
        <v>2</v>
      </c>
      <c r="AH415" s="176" t="s">
        <v>648</v>
      </c>
      <c r="AI415" s="176" t="s">
        <v>648</v>
      </c>
      <c r="AJ415" s="176" t="s">
        <v>648</v>
      </c>
      <c r="AK415" s="176" t="s">
        <v>648</v>
      </c>
      <c r="AL415" s="1191" t="s">
        <v>420</v>
      </c>
      <c r="AM415" s="176" t="s">
        <v>420</v>
      </c>
      <c r="AN415" s="176" t="s">
        <v>420</v>
      </c>
      <c r="AO415" s="176" t="s">
        <v>420</v>
      </c>
      <c r="AP415" s="176">
        <v>24</v>
      </c>
      <c r="AQ415" s="176">
        <v>216</v>
      </c>
      <c r="AR415" s="176" t="s">
        <v>420</v>
      </c>
      <c r="AS415" s="193" t="s">
        <v>420</v>
      </c>
    </row>
    <row r="416" spans="1:45" ht="16.5" customHeight="1">
      <c r="A416" s="175">
        <v>46184</v>
      </c>
      <c r="B416" s="176" t="s">
        <v>238</v>
      </c>
      <c r="C416" s="176" t="s">
        <v>16763</v>
      </c>
      <c r="E416" s="176" t="s">
        <v>16740</v>
      </c>
      <c r="F416" s="176" t="s">
        <v>16771</v>
      </c>
      <c r="G416" s="176">
        <v>670</v>
      </c>
      <c r="H416" s="176" t="s">
        <v>655</v>
      </c>
      <c r="I416" s="176">
        <v>5</v>
      </c>
      <c r="L416" s="176" t="s">
        <v>127</v>
      </c>
      <c r="Q416" s="176" t="s">
        <v>127</v>
      </c>
      <c r="U416" s="176" t="s">
        <v>127</v>
      </c>
      <c r="Y416" s="176" t="s">
        <v>127</v>
      </c>
      <c r="Z416" s="176">
        <v>6.1802575107296125</v>
      </c>
      <c r="AA416" s="176" t="s">
        <v>127</v>
      </c>
      <c r="AB416" s="176" t="s">
        <v>420</v>
      </c>
      <c r="AC416" s="176" t="s">
        <v>420</v>
      </c>
      <c r="AD416" s="176" t="s">
        <v>420</v>
      </c>
      <c r="AE416" s="176" t="s">
        <v>420</v>
      </c>
      <c r="AF416" s="176" t="s">
        <v>236</v>
      </c>
      <c r="AG416" s="176">
        <v>2</v>
      </c>
      <c r="AH416" s="176" t="s">
        <v>659</v>
      </c>
      <c r="AI416" s="176" t="s">
        <v>15906</v>
      </c>
      <c r="AJ416" s="176" t="s">
        <v>15906</v>
      </c>
      <c r="AK416" s="176" t="s">
        <v>15890</v>
      </c>
      <c r="AL416" s="1191" t="s">
        <v>251</v>
      </c>
      <c r="AM416" s="176" t="s">
        <v>462</v>
      </c>
      <c r="AN416" s="176">
        <v>1.1890000000000001</v>
      </c>
      <c r="AO416" s="176">
        <v>2.4</v>
      </c>
      <c r="AP416" s="176">
        <v>24</v>
      </c>
      <c r="AQ416" s="176">
        <v>216</v>
      </c>
      <c r="AR416" s="176">
        <v>3.4</v>
      </c>
      <c r="AS416" s="193">
        <v>20956.838400000001</v>
      </c>
    </row>
    <row r="417" spans="1:45" ht="16.5" customHeight="1">
      <c r="A417" s="175">
        <v>46184</v>
      </c>
      <c r="B417" s="176" t="s">
        <v>239</v>
      </c>
      <c r="C417" s="176" t="s">
        <v>17407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127</v>
      </c>
      <c r="P417" s="176" t="s">
        <v>127</v>
      </c>
      <c r="T417" s="176" t="s">
        <v>127</v>
      </c>
      <c r="X417" s="176" t="s">
        <v>127</v>
      </c>
      <c r="Z417" s="176" t="s">
        <v>420</v>
      </c>
      <c r="AA417" s="176" t="s">
        <v>127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236</v>
      </c>
      <c r="AG417" s="176">
        <v>2</v>
      </c>
      <c r="AH417" s="176" t="s">
        <v>659</v>
      </c>
      <c r="AI417" s="176" t="s">
        <v>660</v>
      </c>
      <c r="AJ417" s="176" t="s">
        <v>660</v>
      </c>
      <c r="AK417" s="176" t="s">
        <v>647</v>
      </c>
      <c r="AL417" s="119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46184</v>
      </c>
      <c r="B418" s="176" t="s">
        <v>239</v>
      </c>
      <c r="C418" s="176" t="s">
        <v>17412</v>
      </c>
      <c r="D418" s="176" t="s">
        <v>641</v>
      </c>
      <c r="E418" s="176" t="s">
        <v>16744</v>
      </c>
      <c r="F418" s="176" t="s">
        <v>17414</v>
      </c>
      <c r="G418" s="176">
        <v>550</v>
      </c>
      <c r="H418" s="176" t="s">
        <v>877</v>
      </c>
      <c r="I418" s="176">
        <v>5.5</v>
      </c>
      <c r="J418" s="176">
        <v>20</v>
      </c>
      <c r="K418" s="176">
        <v>0</v>
      </c>
      <c r="M418" s="176">
        <v>8890</v>
      </c>
      <c r="R418" s="176">
        <v>18</v>
      </c>
      <c r="S418" s="176">
        <v>0</v>
      </c>
      <c r="U418" s="176">
        <v>9170</v>
      </c>
      <c r="V418" s="176">
        <v>11</v>
      </c>
      <c r="W418" s="176">
        <v>7</v>
      </c>
      <c r="Y418" s="176">
        <v>8800</v>
      </c>
      <c r="Z418" s="176">
        <v>6.6055045871559646</v>
      </c>
      <c r="AA418" s="176">
        <v>32.666666666666664</v>
      </c>
      <c r="AB418" s="176">
        <v>0.9949051816239316</v>
      </c>
      <c r="AC418" s="176">
        <v>89.533333333333346</v>
      </c>
      <c r="AD418" s="176">
        <v>4.083333333333333</v>
      </c>
      <c r="AE418" s="176">
        <v>3.5</v>
      </c>
      <c r="AF418" s="176" t="s">
        <v>236</v>
      </c>
      <c r="AG418" s="176">
        <v>2</v>
      </c>
      <c r="AH418" s="176" t="s">
        <v>659</v>
      </c>
      <c r="AI418" s="176" t="s">
        <v>660</v>
      </c>
      <c r="AJ418" s="176" t="s">
        <v>660</v>
      </c>
      <c r="AK418" s="176" t="s">
        <v>647</v>
      </c>
      <c r="AL418" s="1191" t="s">
        <v>252</v>
      </c>
      <c r="AM418" s="176" t="s">
        <v>651</v>
      </c>
      <c r="AN418" s="176">
        <v>1.859</v>
      </c>
      <c r="AO418" s="176">
        <v>3.3</v>
      </c>
      <c r="AP418" s="176">
        <v>24</v>
      </c>
      <c r="AQ418" s="176">
        <v>216</v>
      </c>
      <c r="AR418" s="176">
        <v>4.3</v>
      </c>
      <c r="AS418" s="193">
        <v>41439.340799999998</v>
      </c>
    </row>
    <row r="419" spans="1:45" ht="16.5" customHeight="1">
      <c r="A419" s="175">
        <v>46184</v>
      </c>
      <c r="B419" s="176" t="s">
        <v>389</v>
      </c>
      <c r="C419" s="176" t="s">
        <v>17403</v>
      </c>
      <c r="D419" s="176" t="s">
        <v>641</v>
      </c>
      <c r="E419" s="176" t="s">
        <v>16740</v>
      </c>
      <c r="F419" s="176" t="s">
        <v>17269</v>
      </c>
      <c r="G419" s="176">
        <v>700</v>
      </c>
      <c r="H419" s="176" t="s">
        <v>840</v>
      </c>
      <c r="I419" s="176">
        <v>5.5</v>
      </c>
      <c r="J419" s="176">
        <v>21</v>
      </c>
      <c r="K419" s="176">
        <v>0</v>
      </c>
      <c r="L419" s="176">
        <v>7510</v>
      </c>
      <c r="M419" s="176">
        <v>9720</v>
      </c>
      <c r="R419" s="176">
        <v>13</v>
      </c>
      <c r="S419" s="176">
        <v>0</v>
      </c>
      <c r="T419" s="176">
        <v>8040</v>
      </c>
      <c r="U419" s="176">
        <v>10000</v>
      </c>
      <c r="V419" s="176">
        <v>21</v>
      </c>
      <c r="W419" s="176">
        <v>0</v>
      </c>
      <c r="X419" s="176">
        <v>8150</v>
      </c>
      <c r="Y419" s="176">
        <v>10000</v>
      </c>
      <c r="Z419" s="176">
        <v>5.8299595141700413</v>
      </c>
      <c r="AA419" s="176">
        <v>18.333333333333332</v>
      </c>
      <c r="AB419" s="176">
        <v>1</v>
      </c>
      <c r="AC419" s="176">
        <v>89.033333333333346</v>
      </c>
      <c r="AD419" s="176">
        <v>2.2916666666666665</v>
      </c>
      <c r="AE419" s="176">
        <v>2.2916666666666665</v>
      </c>
      <c r="AF419" s="176" t="s">
        <v>236</v>
      </c>
      <c r="AG419" s="176">
        <v>1</v>
      </c>
      <c r="AH419" s="176" t="s">
        <v>15346</v>
      </c>
      <c r="AI419" s="176" t="s">
        <v>15906</v>
      </c>
      <c r="AJ419" s="176" t="s">
        <v>15906</v>
      </c>
      <c r="AK419" s="176" t="s">
        <v>15890</v>
      </c>
      <c r="AL419" s="1191" t="s">
        <v>252</v>
      </c>
      <c r="AM419" s="176" t="s">
        <v>462</v>
      </c>
      <c r="AN419" s="176">
        <v>1.1890000000000001</v>
      </c>
      <c r="AO419" s="176">
        <v>2.8</v>
      </c>
      <c r="AP419" s="176">
        <v>24</v>
      </c>
      <c r="AQ419" s="176">
        <v>216</v>
      </c>
      <c r="AR419" s="176">
        <v>3.8</v>
      </c>
      <c r="AS419" s="193">
        <v>23422.3488</v>
      </c>
    </row>
    <row r="420" spans="1:45" ht="16.5" customHeight="1">
      <c r="A420" s="175">
        <v>46184</v>
      </c>
      <c r="B420" s="176" t="s">
        <v>418</v>
      </c>
      <c r="C420" s="176" t="s">
        <v>17262</v>
      </c>
      <c r="D420" s="176" t="s">
        <v>641</v>
      </c>
      <c r="E420" s="176" t="s">
        <v>16740</v>
      </c>
      <c r="F420" s="176" t="s">
        <v>17269</v>
      </c>
      <c r="G420" s="176">
        <v>700</v>
      </c>
      <c r="H420" s="176" t="s">
        <v>812</v>
      </c>
      <c r="I420" s="176">
        <v>5.5</v>
      </c>
      <c r="J420" s="176">
        <v>41</v>
      </c>
      <c r="K420" s="176">
        <v>0</v>
      </c>
      <c r="L420" s="176">
        <v>9720</v>
      </c>
      <c r="M420" s="176">
        <v>8150</v>
      </c>
      <c r="R420" s="176">
        <v>59</v>
      </c>
      <c r="S420" s="176">
        <v>0</v>
      </c>
      <c r="T420" s="176">
        <v>9170</v>
      </c>
      <c r="U420" s="176">
        <v>9440</v>
      </c>
      <c r="V420" s="176">
        <v>28</v>
      </c>
      <c r="W420" s="176">
        <v>3</v>
      </c>
      <c r="X420" s="176">
        <v>9720</v>
      </c>
      <c r="Y420" s="176">
        <v>9540</v>
      </c>
      <c r="Z420" s="176">
        <v>5.8299595141700413</v>
      </c>
      <c r="AA420" s="176">
        <v>42.666666666666664</v>
      </c>
      <c r="AB420" s="176">
        <v>0.9975260416666667</v>
      </c>
      <c r="AC420" s="176">
        <v>92.9</v>
      </c>
      <c r="AD420" s="176">
        <v>5.333333333333333</v>
      </c>
      <c r="AE420" s="176">
        <v>5.208333333333333</v>
      </c>
      <c r="AF420" s="176" t="s">
        <v>236</v>
      </c>
      <c r="AG420" s="176">
        <v>1</v>
      </c>
      <c r="AH420" s="176" t="s">
        <v>824</v>
      </c>
      <c r="AI420" s="176" t="s">
        <v>660</v>
      </c>
      <c r="AJ420" s="176" t="s">
        <v>660</v>
      </c>
      <c r="AK420" s="176" t="s">
        <v>647</v>
      </c>
      <c r="AL420" s="1191" t="s">
        <v>252</v>
      </c>
      <c r="AM420" s="176" t="s">
        <v>462</v>
      </c>
      <c r="AN420" s="176">
        <v>1.1890000000000001</v>
      </c>
      <c r="AO420" s="176">
        <v>2.8</v>
      </c>
      <c r="AP420" s="176">
        <v>24</v>
      </c>
      <c r="AQ420" s="176">
        <v>216</v>
      </c>
      <c r="AR420" s="176">
        <v>3.8</v>
      </c>
      <c r="AS420" s="193">
        <v>23422.3488</v>
      </c>
    </row>
    <row r="421" spans="1:45" ht="16.5" customHeight="1">
      <c r="A421" s="175">
        <v>46184</v>
      </c>
      <c r="B421" s="176" t="s">
        <v>240</v>
      </c>
      <c r="C421" s="176" t="s">
        <v>640</v>
      </c>
      <c r="E421" s="176" t="s">
        <v>420</v>
      </c>
      <c r="F421" s="176" t="s">
        <v>420</v>
      </c>
      <c r="G421" s="176" t="s">
        <v>420</v>
      </c>
      <c r="H421" s="176" t="s">
        <v>420</v>
      </c>
      <c r="I421" s="176" t="s">
        <v>420</v>
      </c>
      <c r="L421" s="176" t="s">
        <v>640</v>
      </c>
      <c r="P421" s="176" t="s">
        <v>640</v>
      </c>
      <c r="T421" s="176" t="s">
        <v>640</v>
      </c>
      <c r="X421" s="176" t="s">
        <v>640</v>
      </c>
      <c r="Z421" s="176" t="s">
        <v>420</v>
      </c>
      <c r="AA421" s="176" t="s">
        <v>640</v>
      </c>
      <c r="AB421" s="176" t="s">
        <v>420</v>
      </c>
      <c r="AC421" s="176" t="s">
        <v>420</v>
      </c>
      <c r="AD421" s="176" t="s">
        <v>420</v>
      </c>
      <c r="AE421" s="176" t="s">
        <v>420</v>
      </c>
      <c r="AF421" s="176" t="s">
        <v>241</v>
      </c>
      <c r="AG421" s="176">
        <v>12</v>
      </c>
      <c r="AH421" s="176" t="s">
        <v>648</v>
      </c>
      <c r="AI421" s="176" t="s">
        <v>648</v>
      </c>
      <c r="AJ421" s="176" t="s">
        <v>648</v>
      </c>
      <c r="AK421" s="176" t="s">
        <v>648</v>
      </c>
      <c r="AL421" s="1191" t="s">
        <v>420</v>
      </c>
      <c r="AM421" s="176" t="s">
        <v>420</v>
      </c>
      <c r="AN421" s="176" t="s">
        <v>420</v>
      </c>
      <c r="AO421" s="176" t="s">
        <v>420</v>
      </c>
      <c r="AP421" s="176">
        <v>24</v>
      </c>
      <c r="AQ421" s="176">
        <v>216</v>
      </c>
      <c r="AR421" s="176" t="s">
        <v>420</v>
      </c>
      <c r="AS421" s="193" t="s">
        <v>420</v>
      </c>
    </row>
    <row r="422" spans="1:45" ht="16.5" customHeight="1">
      <c r="A422" s="175">
        <v>46184</v>
      </c>
      <c r="B422" s="176" t="s">
        <v>242</v>
      </c>
      <c r="C422" s="176" t="s">
        <v>386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386</v>
      </c>
      <c r="P422" s="176" t="s">
        <v>386</v>
      </c>
      <c r="T422" s="176" t="s">
        <v>386</v>
      </c>
      <c r="X422" s="176" t="s">
        <v>386</v>
      </c>
      <c r="Z422" s="176" t="s">
        <v>420</v>
      </c>
      <c r="AA422" s="176" t="s">
        <v>386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241</v>
      </c>
      <c r="AG422" s="176">
        <v>5</v>
      </c>
      <c r="AH422" s="176" t="s">
        <v>17465</v>
      </c>
      <c r="AI422" s="176" t="s">
        <v>838</v>
      </c>
      <c r="AJ422" s="176" t="s">
        <v>838</v>
      </c>
      <c r="AK422" s="176" t="s">
        <v>648</v>
      </c>
      <c r="AL422" s="119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46185</v>
      </c>
      <c r="B423" s="176" t="s">
        <v>212</v>
      </c>
      <c r="C423" s="176" t="s">
        <v>640</v>
      </c>
      <c r="E423" s="176" t="s">
        <v>420</v>
      </c>
      <c r="F423" s="176" t="s">
        <v>420</v>
      </c>
      <c r="G423" s="176" t="s">
        <v>420</v>
      </c>
      <c r="H423" s="176" t="s">
        <v>420</v>
      </c>
      <c r="I423" s="176" t="s">
        <v>420</v>
      </c>
      <c r="L423" s="176" t="s">
        <v>640</v>
      </c>
      <c r="P423" s="176" t="s">
        <v>640</v>
      </c>
      <c r="T423" s="176" t="s">
        <v>640</v>
      </c>
      <c r="X423" s="176" t="s">
        <v>640</v>
      </c>
      <c r="Z423" s="176" t="s">
        <v>420</v>
      </c>
      <c r="AA423" s="176" t="s">
        <v>640</v>
      </c>
      <c r="AB423" s="176" t="s">
        <v>420</v>
      </c>
      <c r="AC423" s="176" t="s">
        <v>420</v>
      </c>
      <c r="AD423" s="176" t="s">
        <v>420</v>
      </c>
      <c r="AE423" s="176" t="s">
        <v>420</v>
      </c>
      <c r="AF423" s="176" t="s">
        <v>213</v>
      </c>
      <c r="AG423" s="176">
        <v>1</v>
      </c>
      <c r="AH423" s="176" t="s">
        <v>656</v>
      </c>
      <c r="AI423" s="176" t="s">
        <v>656</v>
      </c>
      <c r="AJ423" s="176" t="s">
        <v>656</v>
      </c>
      <c r="AK423" s="176" t="s">
        <v>656</v>
      </c>
      <c r="AL423" s="1191" t="s">
        <v>420</v>
      </c>
      <c r="AM423" s="176" t="s">
        <v>420</v>
      </c>
      <c r="AN423" s="176" t="s">
        <v>420</v>
      </c>
      <c r="AO423" s="176" t="s">
        <v>420</v>
      </c>
      <c r="AP423" s="176">
        <v>24</v>
      </c>
      <c r="AQ423" s="176">
        <v>216</v>
      </c>
      <c r="AR423" s="176" t="s">
        <v>420</v>
      </c>
      <c r="AS423" s="193" t="s">
        <v>420</v>
      </c>
    </row>
    <row r="424" spans="1:45" ht="16.5" customHeight="1">
      <c r="A424" s="175">
        <v>46185</v>
      </c>
      <c r="B424" s="176" t="s">
        <v>214</v>
      </c>
      <c r="C424" s="176" t="s">
        <v>640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640</v>
      </c>
      <c r="P424" s="176" t="s">
        <v>640</v>
      </c>
      <c r="T424" s="176" t="s">
        <v>640</v>
      </c>
      <c r="X424" s="176" t="s">
        <v>640</v>
      </c>
      <c r="Z424" s="176" t="s">
        <v>420</v>
      </c>
      <c r="AA424" s="176" t="s">
        <v>640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213</v>
      </c>
      <c r="AG424" s="176">
        <v>1</v>
      </c>
      <c r="AH424" s="176" t="s">
        <v>656</v>
      </c>
      <c r="AI424" s="176" t="s">
        <v>656</v>
      </c>
      <c r="AJ424" s="176" t="s">
        <v>656</v>
      </c>
      <c r="AK424" s="176" t="s">
        <v>656</v>
      </c>
      <c r="AL424" s="119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46185</v>
      </c>
      <c r="B425" s="176" t="s">
        <v>215</v>
      </c>
      <c r="C425" s="176" t="s">
        <v>640</v>
      </c>
      <c r="E425" s="176" t="s">
        <v>420</v>
      </c>
      <c r="F425" s="176" t="s">
        <v>420</v>
      </c>
      <c r="G425" s="176" t="s">
        <v>420</v>
      </c>
      <c r="H425" s="176" t="s">
        <v>420</v>
      </c>
      <c r="I425" s="176" t="s">
        <v>420</v>
      </c>
      <c r="L425" s="176" t="s">
        <v>640</v>
      </c>
      <c r="P425" s="176" t="s">
        <v>640</v>
      </c>
      <c r="T425" s="176" t="s">
        <v>640</v>
      </c>
      <c r="X425" s="176" t="s">
        <v>640</v>
      </c>
      <c r="Z425" s="176" t="s">
        <v>420</v>
      </c>
      <c r="AA425" s="176" t="s">
        <v>640</v>
      </c>
      <c r="AB425" s="176" t="s">
        <v>420</v>
      </c>
      <c r="AC425" s="176" t="s">
        <v>420</v>
      </c>
      <c r="AD425" s="176" t="s">
        <v>420</v>
      </c>
      <c r="AE425" s="176" t="s">
        <v>420</v>
      </c>
      <c r="AF425" s="176" t="s">
        <v>213</v>
      </c>
      <c r="AG425" s="176">
        <v>1</v>
      </c>
      <c r="AH425" s="176" t="s">
        <v>656</v>
      </c>
      <c r="AI425" s="176" t="s">
        <v>656</v>
      </c>
      <c r="AJ425" s="176" t="s">
        <v>656</v>
      </c>
      <c r="AK425" s="176" t="s">
        <v>656</v>
      </c>
      <c r="AL425" s="1191" t="s">
        <v>420</v>
      </c>
      <c r="AM425" s="176" t="s">
        <v>420</v>
      </c>
      <c r="AN425" s="176" t="s">
        <v>420</v>
      </c>
      <c r="AO425" s="176" t="s">
        <v>420</v>
      </c>
      <c r="AP425" s="176">
        <v>24</v>
      </c>
      <c r="AQ425" s="176">
        <v>216</v>
      </c>
      <c r="AR425" s="176" t="s">
        <v>420</v>
      </c>
      <c r="AS425" s="193" t="s">
        <v>420</v>
      </c>
    </row>
    <row r="426" spans="1:45" ht="16.5" customHeight="1">
      <c r="A426" s="175">
        <v>46185</v>
      </c>
      <c r="B426" s="176" t="s">
        <v>216</v>
      </c>
      <c r="C426" s="176" t="s">
        <v>640</v>
      </c>
      <c r="E426" s="176" t="s">
        <v>420</v>
      </c>
      <c r="F426" s="176" t="s">
        <v>420</v>
      </c>
      <c r="G426" s="176" t="s">
        <v>420</v>
      </c>
      <c r="H426" s="176" t="s">
        <v>420</v>
      </c>
      <c r="I426" s="176" t="s">
        <v>420</v>
      </c>
      <c r="L426" s="176" t="s">
        <v>640</v>
      </c>
      <c r="P426" s="176" t="s">
        <v>640</v>
      </c>
      <c r="T426" s="176" t="s">
        <v>640</v>
      </c>
      <c r="X426" s="176" t="s">
        <v>640</v>
      </c>
      <c r="Z426" s="176" t="s">
        <v>420</v>
      </c>
      <c r="AA426" s="176" t="s">
        <v>640</v>
      </c>
      <c r="AB426" s="176" t="s">
        <v>420</v>
      </c>
      <c r="AC426" s="176" t="s">
        <v>420</v>
      </c>
      <c r="AD426" s="176" t="s">
        <v>420</v>
      </c>
      <c r="AE426" s="176" t="s">
        <v>420</v>
      </c>
      <c r="AF426" s="176" t="s">
        <v>213</v>
      </c>
      <c r="AG426" s="176">
        <v>1</v>
      </c>
      <c r="AH426" s="176" t="s">
        <v>648</v>
      </c>
      <c r="AI426" s="176" t="s">
        <v>656</v>
      </c>
      <c r="AJ426" s="176" t="s">
        <v>656</v>
      </c>
      <c r="AK426" s="176" t="s">
        <v>656</v>
      </c>
      <c r="AL426" s="1191" t="s">
        <v>420</v>
      </c>
      <c r="AM426" s="176" t="s">
        <v>420</v>
      </c>
      <c r="AN426" s="176" t="s">
        <v>420</v>
      </c>
      <c r="AO426" s="176" t="s">
        <v>420</v>
      </c>
      <c r="AP426" s="176">
        <v>24</v>
      </c>
      <c r="AQ426" s="176">
        <v>216</v>
      </c>
      <c r="AR426" s="176" t="s">
        <v>420</v>
      </c>
      <c r="AS426" s="193" t="s">
        <v>420</v>
      </c>
    </row>
    <row r="427" spans="1:45" ht="16.5" customHeight="1">
      <c r="A427" s="175">
        <v>46185</v>
      </c>
      <c r="B427" s="176" t="s">
        <v>217</v>
      </c>
      <c r="C427" s="176" t="s">
        <v>17443</v>
      </c>
      <c r="E427" s="176" t="s">
        <v>474</v>
      </c>
      <c r="F427" s="176" t="s">
        <v>16817</v>
      </c>
      <c r="G427" s="176">
        <v>600</v>
      </c>
      <c r="H427" s="176" t="s">
        <v>16144</v>
      </c>
      <c r="I427" s="176">
        <v>5</v>
      </c>
      <c r="J427" s="176">
        <v>22</v>
      </c>
      <c r="K427" s="176">
        <v>0</v>
      </c>
      <c r="L427" s="176">
        <v>9218</v>
      </c>
      <c r="M427" s="176">
        <v>8994</v>
      </c>
      <c r="R427" s="176">
        <v>17</v>
      </c>
      <c r="S427" s="176">
        <v>4</v>
      </c>
      <c r="T427" s="176">
        <v>9150</v>
      </c>
      <c r="U427" s="176">
        <v>9010</v>
      </c>
      <c r="V427" s="176">
        <v>33</v>
      </c>
      <c r="W427" s="176">
        <v>1</v>
      </c>
      <c r="X427" s="176">
        <v>9042</v>
      </c>
      <c r="Y427" s="176">
        <v>8651</v>
      </c>
      <c r="Z427" s="176">
        <v>1.4090019569471623</v>
      </c>
      <c r="AA427" s="176">
        <v>24</v>
      </c>
      <c r="AB427" s="176">
        <v>0.98293936965811968</v>
      </c>
      <c r="AC427" s="176">
        <v>90.108333333333334</v>
      </c>
      <c r="AD427" s="176">
        <v>3</v>
      </c>
      <c r="AE427" s="176">
        <v>2.7916666666666665</v>
      </c>
      <c r="AF427" s="176" t="s">
        <v>213</v>
      </c>
      <c r="AG427" s="176">
        <v>1</v>
      </c>
      <c r="AH427" s="176" t="s">
        <v>16172</v>
      </c>
      <c r="AI427" s="176" t="s">
        <v>642</v>
      </c>
      <c r="AJ427" s="176" t="s">
        <v>642</v>
      </c>
      <c r="AK427" s="176" t="s">
        <v>734</v>
      </c>
      <c r="AL427" s="1191" t="s">
        <v>252</v>
      </c>
      <c r="AM427" s="176" t="s">
        <v>126</v>
      </c>
      <c r="AN427" s="176">
        <v>0.91100000000000003</v>
      </c>
      <c r="AO427" s="176">
        <v>0.6</v>
      </c>
      <c r="AP427" s="176">
        <v>24</v>
      </c>
      <c r="AQ427" s="176">
        <v>216</v>
      </c>
      <c r="AR427" s="176">
        <v>1.6</v>
      </c>
      <c r="AS427" s="193">
        <v>7556.1984000000011</v>
      </c>
    </row>
    <row r="428" spans="1:45" ht="16.5" customHeight="1">
      <c r="A428" s="175">
        <v>46185</v>
      </c>
      <c r="B428" s="176" t="s">
        <v>218</v>
      </c>
      <c r="C428" s="176" t="s">
        <v>17260</v>
      </c>
      <c r="E428" s="176" t="s">
        <v>17335</v>
      </c>
      <c r="F428" s="176" t="s">
        <v>17276</v>
      </c>
      <c r="G428" s="176">
        <v>600</v>
      </c>
      <c r="H428" s="176" t="s">
        <v>15907</v>
      </c>
      <c r="I428" s="176">
        <v>5</v>
      </c>
      <c r="J428" s="176">
        <v>24</v>
      </c>
      <c r="K428" s="176">
        <v>2</v>
      </c>
      <c r="L428" s="176">
        <v>9369</v>
      </c>
      <c r="M428" s="176">
        <v>9944</v>
      </c>
      <c r="R428" s="176">
        <v>46</v>
      </c>
      <c r="S428" s="176">
        <v>8</v>
      </c>
      <c r="T428" s="176">
        <v>8971</v>
      </c>
      <c r="U428" s="176">
        <v>9914</v>
      </c>
      <c r="V428" s="176">
        <v>34</v>
      </c>
      <c r="W428" s="176">
        <v>0</v>
      </c>
      <c r="X428" s="176">
        <v>9464</v>
      </c>
      <c r="Y428" s="176">
        <v>9613</v>
      </c>
      <c r="Z428" s="176">
        <v>2.8015564202334629</v>
      </c>
      <c r="AA428" s="176">
        <v>17.333333333333332</v>
      </c>
      <c r="AB428" s="176">
        <v>0.98283920940170943</v>
      </c>
      <c r="AC428" s="176">
        <v>95.458333333333343</v>
      </c>
      <c r="AD428" s="176">
        <v>2.1666666666666665</v>
      </c>
      <c r="AE428" s="176">
        <v>1.9583333333333333</v>
      </c>
      <c r="AF428" s="176" t="s">
        <v>213</v>
      </c>
      <c r="AG428" s="176">
        <v>0.5</v>
      </c>
      <c r="AH428" s="176" t="s">
        <v>16172</v>
      </c>
      <c r="AI428" s="176" t="s">
        <v>642</v>
      </c>
      <c r="AJ428" s="176" t="s">
        <v>642</v>
      </c>
      <c r="AK428" s="176" t="s">
        <v>734</v>
      </c>
      <c r="AL428" s="1191" t="s">
        <v>251</v>
      </c>
      <c r="AM428" s="176" t="s">
        <v>126</v>
      </c>
      <c r="AN428" s="176">
        <v>0.91100000000000003</v>
      </c>
      <c r="AO428" s="176">
        <v>1.7</v>
      </c>
      <c r="AP428" s="176">
        <v>24</v>
      </c>
      <c r="AQ428" s="176">
        <v>216</v>
      </c>
      <c r="AR428" s="176">
        <v>2.7</v>
      </c>
      <c r="AS428" s="193">
        <v>12751.084800000001</v>
      </c>
    </row>
    <row r="429" spans="1:45" ht="16.5" customHeight="1">
      <c r="A429" s="175">
        <v>46185</v>
      </c>
      <c r="B429" s="176" t="s">
        <v>219</v>
      </c>
      <c r="C429" s="176" t="s">
        <v>16766</v>
      </c>
      <c r="D429" s="176" t="s">
        <v>16769</v>
      </c>
      <c r="E429" s="176" t="s">
        <v>1472</v>
      </c>
      <c r="F429" s="176" t="s">
        <v>16217</v>
      </c>
      <c r="G429" s="176">
        <v>630</v>
      </c>
      <c r="H429" s="176" t="s">
        <v>629</v>
      </c>
      <c r="I429" s="176">
        <v>2</v>
      </c>
      <c r="J429" s="176">
        <v>20</v>
      </c>
      <c r="K429" s="176">
        <v>2</v>
      </c>
      <c r="L429" s="176">
        <v>9223</v>
      </c>
      <c r="M429" s="176">
        <v>9635</v>
      </c>
      <c r="R429" s="176">
        <v>12</v>
      </c>
      <c r="S429" s="176">
        <v>3</v>
      </c>
      <c r="T429" s="176">
        <v>9212</v>
      </c>
      <c r="U429" s="176">
        <v>9456</v>
      </c>
      <c r="V429" s="176">
        <v>14</v>
      </c>
      <c r="W429" s="176">
        <v>0</v>
      </c>
      <c r="X429" s="176">
        <v>9283</v>
      </c>
      <c r="Y429" s="176">
        <v>9527</v>
      </c>
      <c r="Z429" s="176">
        <v>2.4615384615384617</v>
      </c>
      <c r="AA429" s="176">
        <v>15.333333333333334</v>
      </c>
      <c r="AB429" s="176">
        <v>0.990234375</v>
      </c>
      <c r="AC429" s="176">
        <v>93.893333333333345</v>
      </c>
      <c r="AD429" s="176">
        <v>1.9166666666666667</v>
      </c>
      <c r="AE429" s="176">
        <v>1.7083333333333333</v>
      </c>
      <c r="AF429" s="176" t="s">
        <v>213</v>
      </c>
      <c r="AG429" s="176">
        <v>1</v>
      </c>
      <c r="AH429" s="176" t="s">
        <v>824</v>
      </c>
      <c r="AI429" s="176" t="s">
        <v>645</v>
      </c>
      <c r="AJ429" s="176" t="s">
        <v>645</v>
      </c>
      <c r="AK429" s="176" t="s">
        <v>15379</v>
      </c>
      <c r="AL429" s="1191" t="s">
        <v>251</v>
      </c>
      <c r="AM429" s="176" t="s">
        <v>951</v>
      </c>
      <c r="AN429" s="176">
        <v>0.56200000000000006</v>
      </c>
      <c r="AO429" s="176">
        <v>1.1000000000000001</v>
      </c>
      <c r="AP429" s="176">
        <v>24</v>
      </c>
      <c r="AQ429" s="176">
        <v>216</v>
      </c>
      <c r="AR429" s="176">
        <v>2.1</v>
      </c>
      <c r="AS429" s="193">
        <v>6118.1568000000007</v>
      </c>
    </row>
    <row r="430" spans="1:45" ht="16.5" customHeight="1">
      <c r="A430" s="175">
        <v>46185</v>
      </c>
      <c r="B430" s="176" t="s">
        <v>220</v>
      </c>
      <c r="C430" s="176" t="s">
        <v>640</v>
      </c>
      <c r="E430" s="176" t="s">
        <v>420</v>
      </c>
      <c r="F430" s="176" t="s">
        <v>420</v>
      </c>
      <c r="G430" s="176" t="s">
        <v>420</v>
      </c>
      <c r="H430" s="176" t="s">
        <v>420</v>
      </c>
      <c r="I430" s="176" t="s">
        <v>420</v>
      </c>
      <c r="L430" s="176" t="s">
        <v>640</v>
      </c>
      <c r="P430" s="176" t="s">
        <v>640</v>
      </c>
      <c r="T430" s="176" t="s">
        <v>640</v>
      </c>
      <c r="X430" s="176" t="s">
        <v>640</v>
      </c>
      <c r="Z430" s="176" t="s">
        <v>420</v>
      </c>
      <c r="AA430" s="176" t="s">
        <v>640</v>
      </c>
      <c r="AB430" s="176" t="s">
        <v>420</v>
      </c>
      <c r="AC430" s="176" t="s">
        <v>420</v>
      </c>
      <c r="AD430" s="176" t="s">
        <v>420</v>
      </c>
      <c r="AE430" s="176" t="s">
        <v>420</v>
      </c>
      <c r="AF430" s="176" t="s">
        <v>213</v>
      </c>
      <c r="AG430" s="176">
        <v>1</v>
      </c>
      <c r="AH430" s="176" t="s">
        <v>648</v>
      </c>
      <c r="AI430" s="176" t="s">
        <v>648</v>
      </c>
      <c r="AJ430" s="176" t="s">
        <v>648</v>
      </c>
      <c r="AK430" s="176" t="s">
        <v>648</v>
      </c>
      <c r="AL430" s="1191" t="s">
        <v>420</v>
      </c>
      <c r="AM430" s="176" t="s">
        <v>420</v>
      </c>
      <c r="AN430" s="176" t="s">
        <v>420</v>
      </c>
      <c r="AO430" s="176" t="s">
        <v>420</v>
      </c>
      <c r="AP430" s="176">
        <v>24</v>
      </c>
      <c r="AQ430" s="176">
        <v>216</v>
      </c>
      <c r="AR430" s="176" t="s">
        <v>420</v>
      </c>
      <c r="AS430" s="193" t="s">
        <v>420</v>
      </c>
    </row>
    <row r="431" spans="1:45" ht="16.5" customHeight="1">
      <c r="A431" s="175">
        <v>46185</v>
      </c>
      <c r="B431" s="176" t="s">
        <v>221</v>
      </c>
      <c r="C431" s="176" t="s">
        <v>16787</v>
      </c>
      <c r="E431" s="176" t="s">
        <v>624</v>
      </c>
      <c r="F431" s="176" t="s">
        <v>16747</v>
      </c>
      <c r="G431" s="176">
        <v>600</v>
      </c>
      <c r="H431" s="176" t="s">
        <v>476</v>
      </c>
      <c r="I431" s="176">
        <v>5</v>
      </c>
      <c r="J431" s="176">
        <v>10</v>
      </c>
      <c r="K431" s="176">
        <v>0</v>
      </c>
      <c r="L431" s="176">
        <v>9215</v>
      </c>
      <c r="M431" s="176">
        <v>8726</v>
      </c>
      <c r="R431" s="176">
        <v>12</v>
      </c>
      <c r="S431" s="176">
        <v>0</v>
      </c>
      <c r="T431" s="176">
        <v>9158</v>
      </c>
      <c r="U431" s="176">
        <v>8678</v>
      </c>
      <c r="V431" s="176">
        <v>16</v>
      </c>
      <c r="W431" s="176">
        <v>0</v>
      </c>
      <c r="X431" s="176">
        <v>9226</v>
      </c>
      <c r="Y431" s="176">
        <v>8804</v>
      </c>
      <c r="Z431" s="176">
        <v>2.8685258964143427</v>
      </c>
      <c r="AA431" s="176">
        <v>12.666666666666666</v>
      </c>
      <c r="AB431" s="176">
        <v>1</v>
      </c>
      <c r="AC431" s="176">
        <v>89.678333333333342</v>
      </c>
      <c r="AD431" s="176">
        <v>1.5833333333333333</v>
      </c>
      <c r="AE431" s="176">
        <v>1.5833333333333333</v>
      </c>
      <c r="AF431" s="176" t="s">
        <v>213</v>
      </c>
      <c r="AG431" s="176">
        <v>1</v>
      </c>
      <c r="AH431" s="176" t="s">
        <v>16172</v>
      </c>
      <c r="AI431" s="176" t="s">
        <v>642</v>
      </c>
      <c r="AJ431" s="176" t="s">
        <v>642</v>
      </c>
      <c r="AK431" s="176" t="s">
        <v>734</v>
      </c>
      <c r="AL431" s="1191" t="s">
        <v>251</v>
      </c>
      <c r="AM431" s="176" t="s">
        <v>126</v>
      </c>
      <c r="AN431" s="176">
        <v>0.91100000000000003</v>
      </c>
      <c r="AO431" s="176">
        <v>3</v>
      </c>
      <c r="AP431" s="176">
        <v>24</v>
      </c>
      <c r="AQ431" s="176">
        <v>216</v>
      </c>
      <c r="AR431" s="176">
        <v>4</v>
      </c>
      <c r="AS431" s="193">
        <v>18890.495999999999</v>
      </c>
    </row>
    <row r="432" spans="1:45" ht="16.5" customHeight="1">
      <c r="A432" s="175">
        <v>46185</v>
      </c>
      <c r="B432" s="176" t="s">
        <v>222</v>
      </c>
      <c r="C432" s="176" t="s">
        <v>17282</v>
      </c>
      <c r="E432" s="176" t="s">
        <v>17283</v>
      </c>
      <c r="F432" s="176" t="s">
        <v>17284</v>
      </c>
      <c r="G432" s="176">
        <v>575</v>
      </c>
      <c r="H432" s="176" t="s">
        <v>468</v>
      </c>
      <c r="I432" s="176">
        <v>4</v>
      </c>
      <c r="L432" s="176" t="s">
        <v>127</v>
      </c>
      <c r="P432" s="176" t="s">
        <v>127</v>
      </c>
      <c r="T432" s="176" t="s">
        <v>127</v>
      </c>
      <c r="X432" s="176" t="s">
        <v>127</v>
      </c>
      <c r="Z432" s="176">
        <v>1.1009174311926606</v>
      </c>
      <c r="AA432" s="176" t="s">
        <v>127</v>
      </c>
      <c r="AB432" s="176" t="s">
        <v>420</v>
      </c>
      <c r="AC432" s="176" t="s">
        <v>420</v>
      </c>
      <c r="AD432" s="176" t="s">
        <v>420</v>
      </c>
      <c r="AE432" s="176" t="s">
        <v>420</v>
      </c>
      <c r="AF432" s="176" t="s">
        <v>213</v>
      </c>
      <c r="AG432" s="176">
        <v>1</v>
      </c>
      <c r="AH432" s="176" t="s">
        <v>16172</v>
      </c>
      <c r="AI432" s="176" t="s">
        <v>642</v>
      </c>
      <c r="AJ432" s="176" t="s">
        <v>642</v>
      </c>
      <c r="AK432" s="176" t="s">
        <v>734</v>
      </c>
      <c r="AL432" s="1191" t="s">
        <v>251</v>
      </c>
      <c r="AM432" s="176" t="s">
        <v>126</v>
      </c>
      <c r="AN432" s="176">
        <v>0.91100000000000003</v>
      </c>
      <c r="AO432" s="176">
        <v>0.9</v>
      </c>
      <c r="AP432" s="176">
        <v>24</v>
      </c>
      <c r="AQ432" s="176">
        <v>216</v>
      </c>
      <c r="AR432" s="176">
        <v>1.9</v>
      </c>
      <c r="AS432" s="193">
        <v>8972.9856</v>
      </c>
    </row>
    <row r="433" spans="1:45" ht="16.5" customHeight="1">
      <c r="A433" s="175">
        <v>46185</v>
      </c>
      <c r="B433" s="176" t="s">
        <v>223</v>
      </c>
      <c r="C433" s="176" t="s">
        <v>640</v>
      </c>
      <c r="E433" s="176" t="s">
        <v>420</v>
      </c>
      <c r="F433" s="176" t="s">
        <v>420</v>
      </c>
      <c r="G433" s="176" t="s">
        <v>420</v>
      </c>
      <c r="H433" s="176" t="s">
        <v>420</v>
      </c>
      <c r="I433" s="176" t="s">
        <v>420</v>
      </c>
      <c r="L433" s="176" t="s">
        <v>640</v>
      </c>
      <c r="P433" s="176" t="s">
        <v>640</v>
      </c>
      <c r="T433" s="176" t="s">
        <v>640</v>
      </c>
      <c r="X433" s="176" t="s">
        <v>640</v>
      </c>
      <c r="Z433" s="176" t="s">
        <v>420</v>
      </c>
      <c r="AA433" s="176" t="s">
        <v>640</v>
      </c>
      <c r="AB433" s="176" t="s">
        <v>420</v>
      </c>
      <c r="AC433" s="176" t="s">
        <v>420</v>
      </c>
      <c r="AD433" s="176" t="s">
        <v>420</v>
      </c>
      <c r="AE433" s="176" t="s">
        <v>420</v>
      </c>
      <c r="AF433" s="176" t="s">
        <v>213</v>
      </c>
      <c r="AG433" s="176">
        <v>1</v>
      </c>
      <c r="AH433" s="176" t="s">
        <v>648</v>
      </c>
      <c r="AI433" s="176" t="s">
        <v>648</v>
      </c>
      <c r="AJ433" s="176" t="s">
        <v>648</v>
      </c>
      <c r="AK433" s="176" t="s">
        <v>648</v>
      </c>
      <c r="AL433" s="1191" t="s">
        <v>420</v>
      </c>
      <c r="AM433" s="176" t="s">
        <v>420</v>
      </c>
      <c r="AN433" s="176" t="s">
        <v>420</v>
      </c>
      <c r="AO433" s="176" t="s">
        <v>420</v>
      </c>
      <c r="AP433" s="176">
        <v>24</v>
      </c>
      <c r="AQ433" s="176">
        <v>216</v>
      </c>
      <c r="AR433" s="176" t="s">
        <v>420</v>
      </c>
      <c r="AS433" s="193" t="s">
        <v>420</v>
      </c>
    </row>
    <row r="434" spans="1:45" ht="16.5" customHeight="1">
      <c r="A434" s="175">
        <v>46185</v>
      </c>
      <c r="B434" s="176" t="s">
        <v>224</v>
      </c>
      <c r="C434" s="176" t="s">
        <v>640</v>
      </c>
      <c r="E434" s="176" t="s">
        <v>420</v>
      </c>
      <c r="F434" s="176" t="s">
        <v>420</v>
      </c>
      <c r="G434" s="176" t="s">
        <v>420</v>
      </c>
      <c r="H434" s="176" t="s">
        <v>420</v>
      </c>
      <c r="I434" s="176" t="s">
        <v>420</v>
      </c>
      <c r="L434" s="176" t="s">
        <v>640</v>
      </c>
      <c r="P434" s="176" t="s">
        <v>640</v>
      </c>
      <c r="T434" s="176" t="s">
        <v>640</v>
      </c>
      <c r="X434" s="176" t="s">
        <v>640</v>
      </c>
      <c r="Z434" s="176" t="s">
        <v>420</v>
      </c>
      <c r="AA434" s="176" t="s">
        <v>640</v>
      </c>
      <c r="AB434" s="176" t="s">
        <v>420</v>
      </c>
      <c r="AC434" s="176" t="s">
        <v>420</v>
      </c>
      <c r="AD434" s="176" t="s">
        <v>420</v>
      </c>
      <c r="AE434" s="176" t="s">
        <v>420</v>
      </c>
      <c r="AF434" s="176" t="s">
        <v>213</v>
      </c>
      <c r="AG434" s="176">
        <v>1</v>
      </c>
      <c r="AH434" s="176" t="s">
        <v>648</v>
      </c>
      <c r="AI434" s="176" t="s">
        <v>648</v>
      </c>
      <c r="AJ434" s="176" t="s">
        <v>648</v>
      </c>
      <c r="AK434" s="176" t="s">
        <v>648</v>
      </c>
      <c r="AL434" s="1191" t="s">
        <v>420</v>
      </c>
      <c r="AM434" s="176" t="s">
        <v>420</v>
      </c>
      <c r="AN434" s="176" t="s">
        <v>420</v>
      </c>
      <c r="AO434" s="176" t="s">
        <v>420</v>
      </c>
      <c r="AP434" s="176">
        <v>24</v>
      </c>
      <c r="AQ434" s="176">
        <v>216</v>
      </c>
      <c r="AR434" s="176" t="s">
        <v>420</v>
      </c>
      <c r="AS434" s="193" t="s">
        <v>420</v>
      </c>
    </row>
    <row r="435" spans="1:45" ht="16.5" customHeight="1">
      <c r="A435" s="175">
        <v>46185</v>
      </c>
      <c r="B435" s="176" t="s">
        <v>225</v>
      </c>
      <c r="C435" s="176" t="s">
        <v>17285</v>
      </c>
      <c r="E435" s="176" t="s">
        <v>17231</v>
      </c>
      <c r="F435" s="176" t="s">
        <v>17286</v>
      </c>
      <c r="G435" s="176">
        <v>650</v>
      </c>
      <c r="H435" s="176" t="s">
        <v>16749</v>
      </c>
      <c r="I435" s="176">
        <v>5</v>
      </c>
      <c r="L435" s="176" t="s">
        <v>636</v>
      </c>
      <c r="T435" s="176" t="s">
        <v>479</v>
      </c>
      <c r="V435" s="176">
        <v>28</v>
      </c>
      <c r="W435" s="176">
        <v>0</v>
      </c>
      <c r="X435" s="176">
        <v>8469</v>
      </c>
      <c r="Y435" s="176">
        <v>8614</v>
      </c>
      <c r="Z435" s="176">
        <v>3.0638297872340425</v>
      </c>
      <c r="AA435" s="176" t="s">
        <v>636</v>
      </c>
      <c r="AB435" s="176" t="s">
        <v>420</v>
      </c>
      <c r="AC435" s="176" t="s">
        <v>420</v>
      </c>
      <c r="AD435" s="176" t="s">
        <v>420</v>
      </c>
      <c r="AE435" s="176" t="s">
        <v>420</v>
      </c>
      <c r="AF435" s="176" t="s">
        <v>213</v>
      </c>
      <c r="AG435" s="176">
        <v>1</v>
      </c>
      <c r="AH435" s="176" t="s">
        <v>824</v>
      </c>
      <c r="AI435" s="176" t="s">
        <v>645</v>
      </c>
      <c r="AJ435" s="176" t="s">
        <v>645</v>
      </c>
      <c r="AK435" s="176" t="s">
        <v>15379</v>
      </c>
      <c r="AL435" s="1191" t="s">
        <v>252</v>
      </c>
      <c r="AM435" s="176" t="s">
        <v>126</v>
      </c>
      <c r="AN435" s="176">
        <v>0.91100000000000003</v>
      </c>
      <c r="AO435" s="176">
        <v>3</v>
      </c>
      <c r="AP435" s="176">
        <v>24</v>
      </c>
      <c r="AQ435" s="176">
        <v>216</v>
      </c>
      <c r="AR435" s="176">
        <v>4</v>
      </c>
      <c r="AS435" s="193">
        <v>18890.495999999999</v>
      </c>
    </row>
    <row r="436" spans="1:45" ht="16.5" customHeight="1">
      <c r="A436" s="175">
        <v>46185</v>
      </c>
      <c r="B436" s="176" t="s">
        <v>226</v>
      </c>
      <c r="C436" s="176" t="s">
        <v>640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640</v>
      </c>
      <c r="P436" s="176" t="s">
        <v>640</v>
      </c>
      <c r="T436" s="176" t="s">
        <v>640</v>
      </c>
      <c r="X436" s="176" t="s">
        <v>640</v>
      </c>
      <c r="Z436" s="176" t="s">
        <v>420</v>
      </c>
      <c r="AA436" s="176" t="s">
        <v>640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213</v>
      </c>
      <c r="AG436" s="176">
        <v>1</v>
      </c>
      <c r="AH436" s="176" t="s">
        <v>648</v>
      </c>
      <c r="AI436" s="176" t="s">
        <v>648</v>
      </c>
      <c r="AJ436" s="176" t="s">
        <v>648</v>
      </c>
      <c r="AK436" s="176" t="s">
        <v>648</v>
      </c>
      <c r="AL436" s="119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46185</v>
      </c>
      <c r="B437" s="176" t="s">
        <v>227</v>
      </c>
      <c r="C437" s="176" t="s">
        <v>640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640</v>
      </c>
      <c r="P437" s="176" t="s">
        <v>640</v>
      </c>
      <c r="T437" s="176" t="s">
        <v>640</v>
      </c>
      <c r="X437" s="176" t="s">
        <v>640</v>
      </c>
      <c r="Z437" s="176" t="s">
        <v>420</v>
      </c>
      <c r="AA437" s="176" t="s">
        <v>640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213</v>
      </c>
      <c r="AG437" s="176">
        <v>1</v>
      </c>
      <c r="AH437" s="176" t="s">
        <v>648</v>
      </c>
      <c r="AI437" s="176" t="s">
        <v>648</v>
      </c>
      <c r="AJ437" s="176" t="s">
        <v>648</v>
      </c>
      <c r="AK437" s="176" t="s">
        <v>648</v>
      </c>
      <c r="AL437" s="119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46185</v>
      </c>
      <c r="B438" s="176" t="s">
        <v>228</v>
      </c>
      <c r="C438" s="176" t="s">
        <v>17446</v>
      </c>
      <c r="E438" s="176" t="s">
        <v>17447</v>
      </c>
      <c r="F438" s="176" t="s">
        <v>17448</v>
      </c>
      <c r="G438" s="176">
        <v>550</v>
      </c>
      <c r="H438" s="176" t="s">
        <v>16736</v>
      </c>
      <c r="I438" s="176">
        <v>5</v>
      </c>
      <c r="J438" s="176">
        <v>24</v>
      </c>
      <c r="K438" s="176">
        <v>0</v>
      </c>
      <c r="L438" s="176">
        <v>9204</v>
      </c>
      <c r="M438" s="176">
        <v>8819</v>
      </c>
      <c r="R438" s="176">
        <v>30</v>
      </c>
      <c r="S438" s="176">
        <v>8</v>
      </c>
      <c r="T438" s="176">
        <v>9163</v>
      </c>
      <c r="U438" s="176">
        <v>9024</v>
      </c>
      <c r="V438" s="176">
        <v>30</v>
      </c>
      <c r="W438" s="176">
        <v>5</v>
      </c>
      <c r="X438" s="176">
        <v>8930</v>
      </c>
      <c r="Y438" s="176">
        <v>9084</v>
      </c>
      <c r="Z438" s="176">
        <v>5.161290322580645</v>
      </c>
      <c r="AA438" s="176">
        <v>14</v>
      </c>
      <c r="AB438" s="176">
        <v>0.98789062500000002</v>
      </c>
      <c r="AC438" s="176">
        <v>90.373333333333335</v>
      </c>
      <c r="AD438" s="176">
        <v>1.75</v>
      </c>
      <c r="AE438" s="176">
        <v>1.4791666666666667</v>
      </c>
      <c r="AF438" s="176" t="s">
        <v>213</v>
      </c>
      <c r="AG438" s="176">
        <v>0.5</v>
      </c>
      <c r="AH438" s="176" t="s">
        <v>16172</v>
      </c>
      <c r="AI438" s="176" t="s">
        <v>642</v>
      </c>
      <c r="AJ438" s="176" t="s">
        <v>642</v>
      </c>
      <c r="AK438" s="176" t="s">
        <v>734</v>
      </c>
      <c r="AL438" s="1191" t="s">
        <v>251</v>
      </c>
      <c r="AM438" s="176" t="s">
        <v>651</v>
      </c>
      <c r="AN438" s="176">
        <v>1.859</v>
      </c>
      <c r="AO438" s="176">
        <v>2.8</v>
      </c>
      <c r="AP438" s="176">
        <v>24</v>
      </c>
      <c r="AQ438" s="176">
        <v>216</v>
      </c>
      <c r="AR438" s="176">
        <v>3.8</v>
      </c>
      <c r="AS438" s="193">
        <v>36620.8128</v>
      </c>
    </row>
    <row r="439" spans="1:45" ht="16.5" customHeight="1">
      <c r="A439" s="175">
        <v>46185</v>
      </c>
      <c r="B439" s="176" t="s">
        <v>229</v>
      </c>
      <c r="C439" s="176" t="s">
        <v>640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640</v>
      </c>
      <c r="P439" s="176" t="s">
        <v>640</v>
      </c>
      <c r="T439" s="176" t="s">
        <v>640</v>
      </c>
      <c r="X439" s="176" t="s">
        <v>640</v>
      </c>
      <c r="Z439" s="176" t="s">
        <v>420</v>
      </c>
      <c r="AA439" s="176" t="s">
        <v>640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213</v>
      </c>
      <c r="AG439" s="176">
        <v>1</v>
      </c>
      <c r="AH439" s="176" t="s">
        <v>648</v>
      </c>
      <c r="AI439" s="176" t="s">
        <v>648</v>
      </c>
      <c r="AJ439" s="176" t="s">
        <v>648</v>
      </c>
      <c r="AK439" s="176" t="s">
        <v>648</v>
      </c>
      <c r="AL439" s="119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46185</v>
      </c>
      <c r="B440" s="176" t="s">
        <v>230</v>
      </c>
      <c r="C440" s="176" t="s">
        <v>640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640</v>
      </c>
      <c r="P440" s="176" t="s">
        <v>640</v>
      </c>
      <c r="T440" s="176" t="s">
        <v>640</v>
      </c>
      <c r="X440" s="176" t="s">
        <v>640</v>
      </c>
      <c r="Z440" s="176" t="s">
        <v>420</v>
      </c>
      <c r="AA440" s="176" t="s">
        <v>640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213</v>
      </c>
      <c r="AG440" s="176">
        <v>1</v>
      </c>
      <c r="AH440" s="176" t="s">
        <v>648</v>
      </c>
      <c r="AI440" s="176" t="s">
        <v>648</v>
      </c>
      <c r="AJ440" s="176" t="s">
        <v>648</v>
      </c>
      <c r="AK440" s="176" t="s">
        <v>648</v>
      </c>
      <c r="AL440" s="119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46185</v>
      </c>
      <c r="B441" s="176" t="s">
        <v>231</v>
      </c>
      <c r="C441" s="176" t="s">
        <v>640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640</v>
      </c>
      <c r="P441" s="176" t="s">
        <v>640</v>
      </c>
      <c r="T441" s="176" t="s">
        <v>640</v>
      </c>
      <c r="X441" s="176" t="s">
        <v>640</v>
      </c>
      <c r="Z441" s="176" t="s">
        <v>420</v>
      </c>
      <c r="AA441" s="176" t="s">
        <v>640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232</v>
      </c>
      <c r="AG441" s="176">
        <v>1</v>
      </c>
      <c r="AH441" s="176" t="s">
        <v>648</v>
      </c>
      <c r="AI441" s="176" t="s">
        <v>648</v>
      </c>
      <c r="AJ441" s="176" t="s">
        <v>648</v>
      </c>
      <c r="AK441" s="176" t="s">
        <v>648</v>
      </c>
      <c r="AL441" s="119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46185</v>
      </c>
      <c r="B442" s="176" t="s">
        <v>233</v>
      </c>
      <c r="C442" s="176" t="s">
        <v>17336</v>
      </c>
      <c r="D442" s="176" t="s">
        <v>641</v>
      </c>
      <c r="E442" s="176" t="s">
        <v>16740</v>
      </c>
      <c r="F442" s="176" t="s">
        <v>17289</v>
      </c>
      <c r="G442" s="176">
        <v>600</v>
      </c>
      <c r="H442" s="176" t="s">
        <v>7798</v>
      </c>
      <c r="I442" s="176">
        <v>5.5</v>
      </c>
      <c r="J442" s="176">
        <v>25</v>
      </c>
      <c r="K442" s="176">
        <v>6</v>
      </c>
      <c r="L442" s="176">
        <v>7170</v>
      </c>
      <c r="R442" s="176">
        <v>15</v>
      </c>
      <c r="S442" s="176">
        <v>9</v>
      </c>
      <c r="T442" s="176">
        <v>6600</v>
      </c>
      <c r="V442" s="176">
        <v>34</v>
      </c>
      <c r="W442" s="176">
        <v>0</v>
      </c>
      <c r="X442" s="176">
        <v>6810</v>
      </c>
      <c r="Z442" s="176">
        <v>5.8536585365853666</v>
      </c>
      <c r="AA442" s="176">
        <v>24.666666666666668</v>
      </c>
      <c r="AB442" s="176">
        <v>0.98768028846153844</v>
      </c>
      <c r="AC442" s="176">
        <v>68.599999999999994</v>
      </c>
      <c r="AD442" s="176">
        <v>3.0833333333333335</v>
      </c>
      <c r="AE442" s="176">
        <v>2.4583333333333335</v>
      </c>
      <c r="AF442" s="176" t="s">
        <v>232</v>
      </c>
      <c r="AG442" s="176">
        <v>1</v>
      </c>
      <c r="AH442" s="176" t="s">
        <v>824</v>
      </c>
      <c r="AI442" s="176" t="s">
        <v>645</v>
      </c>
      <c r="AJ442" s="176" t="s">
        <v>645</v>
      </c>
      <c r="AK442" s="176" t="s">
        <v>15379</v>
      </c>
      <c r="AL442" s="1191" t="s">
        <v>251</v>
      </c>
      <c r="AM442" s="176" t="s">
        <v>651</v>
      </c>
      <c r="AN442" s="176">
        <v>1.859</v>
      </c>
      <c r="AO442" s="176">
        <v>2.1</v>
      </c>
      <c r="AP442" s="176">
        <v>24</v>
      </c>
      <c r="AQ442" s="176">
        <v>216</v>
      </c>
      <c r="AR442" s="176">
        <v>3.1</v>
      </c>
      <c r="AS442" s="193">
        <v>29874.873599999999</v>
      </c>
    </row>
    <row r="443" spans="1:45" ht="16.5" customHeight="1">
      <c r="A443" s="175">
        <v>46185</v>
      </c>
      <c r="B443" s="176" t="s">
        <v>234</v>
      </c>
      <c r="C443" s="176" t="s">
        <v>640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640</v>
      </c>
      <c r="P443" s="176" t="s">
        <v>640</v>
      </c>
      <c r="T443" s="176" t="s">
        <v>640</v>
      </c>
      <c r="X443" s="176" t="s">
        <v>640</v>
      </c>
      <c r="Z443" s="176" t="s">
        <v>420</v>
      </c>
      <c r="AA443" s="176" t="s">
        <v>640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232</v>
      </c>
      <c r="AG443" s="176">
        <v>1</v>
      </c>
      <c r="AH443" s="176" t="s">
        <v>648</v>
      </c>
      <c r="AI443" s="176" t="s">
        <v>648</v>
      </c>
      <c r="AJ443" s="176" t="s">
        <v>648</v>
      </c>
      <c r="AK443" s="176" t="s">
        <v>648</v>
      </c>
      <c r="AL443" s="119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46185</v>
      </c>
      <c r="B444" s="176" t="s">
        <v>235</v>
      </c>
      <c r="C444" s="176" t="s">
        <v>17287</v>
      </c>
      <c r="D444" s="176" t="s">
        <v>641</v>
      </c>
      <c r="E444" s="176" t="s">
        <v>16740</v>
      </c>
      <c r="F444" s="176" t="s">
        <v>17269</v>
      </c>
      <c r="G444" s="176">
        <v>700</v>
      </c>
      <c r="H444" s="176" t="s">
        <v>1032</v>
      </c>
      <c r="I444" s="176">
        <v>5.5</v>
      </c>
      <c r="J444" s="176">
        <v>25</v>
      </c>
      <c r="K444" s="176">
        <v>0</v>
      </c>
      <c r="L444" s="176">
        <v>9540</v>
      </c>
      <c r="M444" s="176">
        <v>9440</v>
      </c>
      <c r="R444" s="176">
        <v>27</v>
      </c>
      <c r="S444" s="176">
        <v>0</v>
      </c>
      <c r="T444" s="176">
        <v>9350</v>
      </c>
      <c r="U444" s="176">
        <v>9540</v>
      </c>
      <c r="V444" s="176">
        <v>35</v>
      </c>
      <c r="W444" s="176">
        <v>7</v>
      </c>
      <c r="X444" s="176">
        <v>9350</v>
      </c>
      <c r="Y444" s="176">
        <v>8610</v>
      </c>
      <c r="Z444" s="176">
        <v>5.8299595141700413</v>
      </c>
      <c r="AA444" s="176">
        <v>29</v>
      </c>
      <c r="AB444" s="176">
        <v>0.99422743055555551</v>
      </c>
      <c r="AC444" s="176">
        <v>93.05</v>
      </c>
      <c r="AD444" s="176">
        <v>3.625</v>
      </c>
      <c r="AE444" s="176">
        <v>3.3333333333333335</v>
      </c>
      <c r="AF444" s="176" t="s">
        <v>236</v>
      </c>
      <c r="AG444" s="176">
        <v>1</v>
      </c>
      <c r="AH444" s="176" t="s">
        <v>15346</v>
      </c>
      <c r="AI444" s="176" t="s">
        <v>660</v>
      </c>
      <c r="AJ444" s="176" t="s">
        <v>660</v>
      </c>
      <c r="AK444" s="176" t="s">
        <v>647</v>
      </c>
      <c r="AL444" s="1191" t="s">
        <v>252</v>
      </c>
      <c r="AM444" s="176" t="s">
        <v>462</v>
      </c>
      <c r="AN444" s="176">
        <v>1.1890000000000001</v>
      </c>
      <c r="AO444" s="176">
        <v>3</v>
      </c>
      <c r="AP444" s="176">
        <v>24</v>
      </c>
      <c r="AQ444" s="176">
        <v>216</v>
      </c>
      <c r="AR444" s="176">
        <v>4</v>
      </c>
      <c r="AS444" s="193">
        <v>24655.103999999999</v>
      </c>
    </row>
    <row r="445" spans="1:45" ht="16.5" customHeight="1">
      <c r="A445" s="175">
        <v>46185</v>
      </c>
      <c r="B445" s="176" t="s">
        <v>237</v>
      </c>
      <c r="C445" s="176" t="s">
        <v>17288</v>
      </c>
      <c r="D445" s="176" t="s">
        <v>641</v>
      </c>
      <c r="E445" s="176" t="s">
        <v>16740</v>
      </c>
      <c r="F445" s="176" t="s">
        <v>17289</v>
      </c>
      <c r="G445" s="176">
        <v>700</v>
      </c>
      <c r="H445" s="176" t="s">
        <v>957</v>
      </c>
      <c r="I445" s="176">
        <v>5.5</v>
      </c>
      <c r="J445" s="176">
        <v>50</v>
      </c>
      <c r="K445" s="176">
        <v>0</v>
      </c>
      <c r="L445" s="176">
        <v>9210</v>
      </c>
      <c r="M445" s="176">
        <v>8610</v>
      </c>
      <c r="R445" s="176">
        <v>35</v>
      </c>
      <c r="S445" s="176">
        <v>0</v>
      </c>
      <c r="T445" s="176">
        <v>8380</v>
      </c>
      <c r="U445" s="176">
        <v>9540</v>
      </c>
      <c r="V445" s="176">
        <v>45</v>
      </c>
      <c r="W445" s="176">
        <v>9</v>
      </c>
      <c r="X445" s="176">
        <v>9440</v>
      </c>
      <c r="Y445" s="176">
        <v>9540</v>
      </c>
      <c r="Z445" s="176">
        <v>5.8299595141700413</v>
      </c>
      <c r="AA445" s="176">
        <v>43.333333333333336</v>
      </c>
      <c r="AB445" s="176">
        <v>0.99257812499999998</v>
      </c>
      <c r="AC445" s="176">
        <v>91.2</v>
      </c>
      <c r="AD445" s="176">
        <v>5.416666666666667</v>
      </c>
      <c r="AE445" s="176">
        <v>5.041666666666667</v>
      </c>
      <c r="AF445" s="176" t="s">
        <v>236</v>
      </c>
      <c r="AG445" s="176">
        <v>1</v>
      </c>
      <c r="AH445" s="176" t="s">
        <v>659</v>
      </c>
      <c r="AI445" s="176" t="s">
        <v>844</v>
      </c>
      <c r="AJ445" s="176" t="s">
        <v>844</v>
      </c>
      <c r="AK445" s="176" t="s">
        <v>647</v>
      </c>
      <c r="AL445" s="1191" t="s">
        <v>251</v>
      </c>
      <c r="AM445" s="176" t="s">
        <v>462</v>
      </c>
      <c r="AN445" s="176">
        <v>1.1890000000000001</v>
      </c>
      <c r="AO445" s="176">
        <v>2.9</v>
      </c>
      <c r="AP445" s="176">
        <v>24</v>
      </c>
      <c r="AQ445" s="176">
        <v>216</v>
      </c>
      <c r="AR445" s="176">
        <v>3.9</v>
      </c>
      <c r="AS445" s="193">
        <v>24038.7264</v>
      </c>
    </row>
    <row r="446" spans="1:45" ht="16.5" customHeight="1">
      <c r="A446" s="175">
        <v>46185</v>
      </c>
      <c r="B446" s="176" t="s">
        <v>238</v>
      </c>
      <c r="C446" s="176" t="s">
        <v>640</v>
      </c>
      <c r="E446" s="176" t="s">
        <v>420</v>
      </c>
      <c r="F446" s="176" t="s">
        <v>420</v>
      </c>
      <c r="G446" s="176" t="s">
        <v>420</v>
      </c>
      <c r="H446" s="176" t="s">
        <v>420</v>
      </c>
      <c r="I446" s="176" t="s">
        <v>420</v>
      </c>
      <c r="L446" s="176" t="s">
        <v>640</v>
      </c>
      <c r="P446" s="176" t="s">
        <v>640</v>
      </c>
      <c r="T446" s="176" t="s">
        <v>640</v>
      </c>
      <c r="X446" s="176" t="s">
        <v>640</v>
      </c>
      <c r="Z446" s="176" t="s">
        <v>420</v>
      </c>
      <c r="AA446" s="176" t="s">
        <v>640</v>
      </c>
      <c r="AB446" s="176" t="s">
        <v>420</v>
      </c>
      <c r="AC446" s="176" t="s">
        <v>420</v>
      </c>
      <c r="AD446" s="176" t="s">
        <v>420</v>
      </c>
      <c r="AE446" s="176" t="s">
        <v>420</v>
      </c>
      <c r="AF446" s="176" t="s">
        <v>236</v>
      </c>
      <c r="AG446" s="176">
        <v>2</v>
      </c>
      <c r="AH446" s="176" t="s">
        <v>648</v>
      </c>
      <c r="AI446" s="176" t="s">
        <v>648</v>
      </c>
      <c r="AJ446" s="176" t="s">
        <v>648</v>
      </c>
      <c r="AK446" s="176" t="s">
        <v>648</v>
      </c>
      <c r="AL446" s="1191" t="s">
        <v>420</v>
      </c>
      <c r="AM446" s="176" t="s">
        <v>420</v>
      </c>
      <c r="AN446" s="176" t="s">
        <v>420</v>
      </c>
      <c r="AO446" s="176" t="s">
        <v>420</v>
      </c>
      <c r="AP446" s="176">
        <v>24</v>
      </c>
      <c r="AQ446" s="176">
        <v>216</v>
      </c>
      <c r="AR446" s="176" t="s">
        <v>420</v>
      </c>
      <c r="AS446" s="193" t="s">
        <v>420</v>
      </c>
    </row>
    <row r="447" spans="1:45" ht="16.5" customHeight="1">
      <c r="A447" s="175">
        <v>46185</v>
      </c>
      <c r="B447" s="176" t="s">
        <v>238</v>
      </c>
      <c r="C447" s="176" t="s">
        <v>16763</v>
      </c>
      <c r="E447" s="176" t="s">
        <v>16740</v>
      </c>
      <c r="F447" s="176" t="s">
        <v>16771</v>
      </c>
      <c r="G447" s="176">
        <v>670</v>
      </c>
      <c r="H447" s="176" t="s">
        <v>655</v>
      </c>
      <c r="I447" s="176">
        <v>5</v>
      </c>
      <c r="L447" s="176" t="s">
        <v>127</v>
      </c>
      <c r="Q447" s="176" t="s">
        <v>127</v>
      </c>
      <c r="U447" s="176" t="s">
        <v>127</v>
      </c>
      <c r="Y447" s="176" t="s">
        <v>640</v>
      </c>
      <c r="Z447" s="176">
        <v>6.1802575107296125</v>
      </c>
      <c r="AA447" s="176" t="s">
        <v>127</v>
      </c>
      <c r="AB447" s="176" t="s">
        <v>420</v>
      </c>
      <c r="AC447" s="176" t="s">
        <v>420</v>
      </c>
      <c r="AD447" s="176" t="s">
        <v>420</v>
      </c>
      <c r="AE447" s="176" t="s">
        <v>420</v>
      </c>
      <c r="AF447" s="176" t="s">
        <v>236</v>
      </c>
      <c r="AG447" s="176">
        <v>2</v>
      </c>
      <c r="AH447" s="176" t="s">
        <v>15346</v>
      </c>
      <c r="AI447" s="176" t="s">
        <v>660</v>
      </c>
      <c r="AJ447" s="176" t="s">
        <v>660</v>
      </c>
      <c r="AK447" s="176" t="s">
        <v>15890</v>
      </c>
      <c r="AL447" s="1191" t="s">
        <v>251</v>
      </c>
      <c r="AM447" s="176" t="s">
        <v>462</v>
      </c>
      <c r="AN447" s="176">
        <v>1.1890000000000001</v>
      </c>
      <c r="AO447" s="176">
        <v>2.4</v>
      </c>
      <c r="AP447" s="176">
        <v>24</v>
      </c>
      <c r="AQ447" s="176">
        <v>216</v>
      </c>
      <c r="AR447" s="176">
        <v>3.4</v>
      </c>
      <c r="AS447" s="193">
        <v>20956.838400000001</v>
      </c>
    </row>
    <row r="448" spans="1:45" ht="16.5" customHeight="1">
      <c r="A448" s="175">
        <v>46185</v>
      </c>
      <c r="B448" s="176" t="s">
        <v>239</v>
      </c>
      <c r="C448" s="176" t="s">
        <v>17407</v>
      </c>
      <c r="E448" s="176" t="s">
        <v>420</v>
      </c>
      <c r="F448" s="176" t="s">
        <v>420</v>
      </c>
      <c r="G448" s="176" t="s">
        <v>420</v>
      </c>
      <c r="H448" s="176" t="s">
        <v>420</v>
      </c>
      <c r="I448" s="176" t="s">
        <v>420</v>
      </c>
      <c r="L448" s="176" t="s">
        <v>127</v>
      </c>
      <c r="P448" s="176" t="s">
        <v>640</v>
      </c>
      <c r="T448" s="176" t="s">
        <v>640</v>
      </c>
      <c r="X448" s="176" t="s">
        <v>640</v>
      </c>
      <c r="Z448" s="176" t="s">
        <v>420</v>
      </c>
      <c r="AA448" s="176" t="s">
        <v>127</v>
      </c>
      <c r="AB448" s="176" t="s">
        <v>420</v>
      </c>
      <c r="AC448" s="176" t="s">
        <v>420</v>
      </c>
      <c r="AD448" s="176" t="s">
        <v>420</v>
      </c>
      <c r="AE448" s="176" t="s">
        <v>420</v>
      </c>
      <c r="AF448" s="176" t="s">
        <v>236</v>
      </c>
      <c r="AG448" s="176">
        <v>2</v>
      </c>
      <c r="AH448" s="176" t="s">
        <v>659</v>
      </c>
      <c r="AI448" s="176" t="s">
        <v>844</v>
      </c>
      <c r="AJ448" s="176" t="s">
        <v>844</v>
      </c>
      <c r="AK448" s="176" t="s">
        <v>15890</v>
      </c>
      <c r="AL448" s="1191" t="s">
        <v>420</v>
      </c>
      <c r="AM448" s="176" t="s">
        <v>420</v>
      </c>
      <c r="AN448" s="176" t="s">
        <v>420</v>
      </c>
      <c r="AO448" s="176" t="s">
        <v>420</v>
      </c>
      <c r="AP448" s="176">
        <v>24</v>
      </c>
      <c r="AQ448" s="176">
        <v>216</v>
      </c>
      <c r="AR448" s="176" t="s">
        <v>420</v>
      </c>
      <c r="AS448" s="193" t="s">
        <v>420</v>
      </c>
    </row>
    <row r="449" spans="1:45" ht="16.5" customHeight="1">
      <c r="A449" s="175">
        <v>46185</v>
      </c>
      <c r="B449" s="176" t="s">
        <v>239</v>
      </c>
      <c r="C449" s="176" t="s">
        <v>17412</v>
      </c>
      <c r="D449" s="176" t="s">
        <v>641</v>
      </c>
      <c r="E449" s="176" t="s">
        <v>16744</v>
      </c>
      <c r="F449" s="176" t="s">
        <v>17414</v>
      </c>
      <c r="G449" s="176">
        <v>550</v>
      </c>
      <c r="H449" s="176" t="s">
        <v>877</v>
      </c>
      <c r="I449" s="176">
        <v>5.5</v>
      </c>
      <c r="J449" s="176">
        <v>15</v>
      </c>
      <c r="K449" s="176">
        <v>8</v>
      </c>
      <c r="M449" s="176">
        <v>8430</v>
      </c>
      <c r="R449" s="176">
        <v>11</v>
      </c>
      <c r="S449" s="176">
        <v>0</v>
      </c>
      <c r="U449" s="176">
        <v>8330</v>
      </c>
      <c r="V449" s="176">
        <v>19</v>
      </c>
      <c r="W449" s="176">
        <v>4</v>
      </c>
      <c r="Y449" s="176">
        <v>9170</v>
      </c>
      <c r="Z449" s="176">
        <v>6.6055045871559646</v>
      </c>
      <c r="AA449" s="176">
        <v>30</v>
      </c>
      <c r="AB449" s="176">
        <v>0.99126602564102562</v>
      </c>
      <c r="AC449" s="176">
        <v>86.433333333333337</v>
      </c>
      <c r="AD449" s="176">
        <v>3.75</v>
      </c>
      <c r="AE449" s="176">
        <v>2.75</v>
      </c>
      <c r="AF449" s="176" t="s">
        <v>236</v>
      </c>
      <c r="AG449" s="176">
        <v>2</v>
      </c>
      <c r="AH449" s="176" t="s">
        <v>659</v>
      </c>
      <c r="AI449" s="176" t="s">
        <v>844</v>
      </c>
      <c r="AJ449" s="176" t="s">
        <v>844</v>
      </c>
      <c r="AK449" s="176" t="s">
        <v>15890</v>
      </c>
      <c r="AL449" s="1191" t="s">
        <v>252</v>
      </c>
      <c r="AM449" s="176" t="s">
        <v>651</v>
      </c>
      <c r="AN449" s="176">
        <v>1.859</v>
      </c>
      <c r="AO449" s="176">
        <v>3.3</v>
      </c>
      <c r="AP449" s="176">
        <v>24</v>
      </c>
      <c r="AQ449" s="176">
        <v>216</v>
      </c>
      <c r="AR449" s="176">
        <v>4.3</v>
      </c>
      <c r="AS449" s="193">
        <v>41439.340799999998</v>
      </c>
    </row>
    <row r="450" spans="1:45" ht="16.5" customHeight="1">
      <c r="A450" s="175">
        <v>46185</v>
      </c>
      <c r="B450" s="176" t="s">
        <v>389</v>
      </c>
      <c r="C450" s="176" t="s">
        <v>17403</v>
      </c>
      <c r="D450" s="176" t="s">
        <v>641</v>
      </c>
      <c r="E450" s="176" t="s">
        <v>16740</v>
      </c>
      <c r="F450" s="176" t="s">
        <v>17269</v>
      </c>
      <c r="G450" s="176">
        <v>700</v>
      </c>
      <c r="H450" s="176" t="s">
        <v>840</v>
      </c>
      <c r="I450" s="176">
        <v>5.5</v>
      </c>
      <c r="J450" s="176">
        <v>16</v>
      </c>
      <c r="K450" s="176">
        <v>0</v>
      </c>
      <c r="L450" s="176">
        <v>8150</v>
      </c>
      <c r="M450" s="176">
        <v>10000</v>
      </c>
      <c r="R450" s="176">
        <v>14</v>
      </c>
      <c r="S450" s="176">
        <v>0</v>
      </c>
      <c r="T450" s="176">
        <v>9150</v>
      </c>
      <c r="U450" s="176">
        <v>10000</v>
      </c>
      <c r="V450" s="176">
        <v>22</v>
      </c>
      <c r="W450" s="176">
        <v>0</v>
      </c>
      <c r="X450" s="176">
        <v>7870</v>
      </c>
      <c r="Y450" s="176">
        <v>9630</v>
      </c>
      <c r="Z450" s="176">
        <v>5.8299595141700413</v>
      </c>
      <c r="AA450" s="176">
        <v>17.333333333333332</v>
      </c>
      <c r="AB450" s="176">
        <v>1</v>
      </c>
      <c r="AC450" s="176">
        <v>91.333333333333343</v>
      </c>
      <c r="AD450" s="176">
        <v>2.1666666666666665</v>
      </c>
      <c r="AE450" s="176">
        <v>2.1666666666666665</v>
      </c>
      <c r="AF450" s="176" t="s">
        <v>236</v>
      </c>
      <c r="AG450" s="176">
        <v>1</v>
      </c>
      <c r="AH450" s="176" t="s">
        <v>15346</v>
      </c>
      <c r="AI450" s="176" t="s">
        <v>660</v>
      </c>
      <c r="AJ450" s="176" t="s">
        <v>660</v>
      </c>
      <c r="AK450" s="176" t="s">
        <v>647</v>
      </c>
      <c r="AL450" s="1191" t="s">
        <v>252</v>
      </c>
      <c r="AM450" s="176" t="s">
        <v>462</v>
      </c>
      <c r="AN450" s="176">
        <v>1.1890000000000001</v>
      </c>
      <c r="AO450" s="176">
        <v>2.8</v>
      </c>
      <c r="AP450" s="176">
        <v>24</v>
      </c>
      <c r="AQ450" s="176">
        <v>216</v>
      </c>
      <c r="AR450" s="176">
        <v>3.8</v>
      </c>
      <c r="AS450" s="193">
        <v>23422.3488</v>
      </c>
    </row>
    <row r="451" spans="1:45" ht="16.5" customHeight="1">
      <c r="A451" s="175">
        <v>46185</v>
      </c>
      <c r="B451" s="176" t="s">
        <v>418</v>
      </c>
      <c r="C451" s="176" t="s">
        <v>17262</v>
      </c>
      <c r="D451" s="176" t="s">
        <v>641</v>
      </c>
      <c r="E451" s="176" t="s">
        <v>16740</v>
      </c>
      <c r="F451" s="176" t="s">
        <v>17269</v>
      </c>
      <c r="G451" s="176">
        <v>700</v>
      </c>
      <c r="H451" s="176" t="s">
        <v>812</v>
      </c>
      <c r="I451" s="176">
        <v>5.5</v>
      </c>
      <c r="J451" s="176">
        <v>33</v>
      </c>
      <c r="K451" s="176">
        <v>0</v>
      </c>
      <c r="L451" s="176">
        <v>9630</v>
      </c>
      <c r="M451" s="176">
        <v>8330</v>
      </c>
      <c r="R451" s="176">
        <v>31</v>
      </c>
      <c r="S451" s="176">
        <v>0</v>
      </c>
      <c r="T451" s="176">
        <v>9240</v>
      </c>
      <c r="U451" s="176">
        <v>9170</v>
      </c>
      <c r="V451" s="176">
        <v>45</v>
      </c>
      <c r="W451" s="176">
        <v>10</v>
      </c>
      <c r="X451" s="176">
        <v>9910</v>
      </c>
      <c r="Y451" s="176">
        <v>9540</v>
      </c>
      <c r="Z451" s="176">
        <v>5.8299595141700413</v>
      </c>
      <c r="AA451" s="176">
        <v>36.333333333333336</v>
      </c>
      <c r="AB451" s="176">
        <v>0.99175347222222221</v>
      </c>
      <c r="AC451" s="176">
        <v>93.033333333333346</v>
      </c>
      <c r="AD451" s="176">
        <v>4.541666666666667</v>
      </c>
      <c r="AE451" s="176">
        <v>4.125</v>
      </c>
      <c r="AF451" s="176" t="s">
        <v>236</v>
      </c>
      <c r="AG451" s="176">
        <v>1</v>
      </c>
      <c r="AH451" s="176" t="s">
        <v>659</v>
      </c>
      <c r="AI451" s="176" t="s">
        <v>844</v>
      </c>
      <c r="AJ451" s="176" t="s">
        <v>844</v>
      </c>
      <c r="AK451" s="176" t="s">
        <v>15890</v>
      </c>
      <c r="AL451" s="1191" t="s">
        <v>252</v>
      </c>
      <c r="AM451" s="176" t="s">
        <v>462</v>
      </c>
      <c r="AN451" s="176">
        <v>1.1890000000000001</v>
      </c>
      <c r="AO451" s="176">
        <v>2.8</v>
      </c>
      <c r="AP451" s="176">
        <v>24</v>
      </c>
      <c r="AQ451" s="176">
        <v>216</v>
      </c>
      <c r="AR451" s="176">
        <v>3.8</v>
      </c>
      <c r="AS451" s="193">
        <v>23422.3488</v>
      </c>
    </row>
    <row r="452" spans="1:45" ht="16.5" customHeight="1">
      <c r="A452" s="175">
        <v>46185</v>
      </c>
      <c r="B452" s="176" t="s">
        <v>240</v>
      </c>
      <c r="C452" s="176" t="s">
        <v>640</v>
      </c>
      <c r="E452" s="176" t="s">
        <v>420</v>
      </c>
      <c r="F452" s="176" t="s">
        <v>420</v>
      </c>
      <c r="G452" s="176" t="s">
        <v>420</v>
      </c>
      <c r="H452" s="176" t="s">
        <v>420</v>
      </c>
      <c r="I452" s="176" t="s">
        <v>420</v>
      </c>
      <c r="L452" s="176" t="s">
        <v>640</v>
      </c>
      <c r="P452" s="176" t="s">
        <v>640</v>
      </c>
      <c r="T452" s="176" t="s">
        <v>640</v>
      </c>
      <c r="X452" s="176" t="s">
        <v>640</v>
      </c>
      <c r="Z452" s="176" t="s">
        <v>420</v>
      </c>
      <c r="AA452" s="176" t="s">
        <v>640</v>
      </c>
      <c r="AB452" s="176" t="s">
        <v>420</v>
      </c>
      <c r="AC452" s="176" t="s">
        <v>420</v>
      </c>
      <c r="AD452" s="176" t="s">
        <v>420</v>
      </c>
      <c r="AE452" s="176" t="s">
        <v>420</v>
      </c>
      <c r="AF452" s="176" t="s">
        <v>241</v>
      </c>
      <c r="AG452" s="176">
        <v>12</v>
      </c>
      <c r="AH452" s="176" t="s">
        <v>648</v>
      </c>
      <c r="AI452" s="176" t="s">
        <v>648</v>
      </c>
      <c r="AJ452" s="176" t="s">
        <v>648</v>
      </c>
      <c r="AK452" s="176" t="s">
        <v>648</v>
      </c>
      <c r="AL452" s="1191" t="s">
        <v>420</v>
      </c>
      <c r="AM452" s="176" t="s">
        <v>420</v>
      </c>
      <c r="AN452" s="176" t="s">
        <v>420</v>
      </c>
      <c r="AO452" s="176" t="s">
        <v>420</v>
      </c>
      <c r="AP452" s="176">
        <v>24</v>
      </c>
      <c r="AQ452" s="176">
        <v>216</v>
      </c>
      <c r="AR452" s="176" t="s">
        <v>420</v>
      </c>
      <c r="AS452" s="193" t="s">
        <v>420</v>
      </c>
    </row>
    <row r="453" spans="1:45" ht="16.5" customHeight="1">
      <c r="A453" s="175">
        <v>46185</v>
      </c>
      <c r="B453" s="176" t="s">
        <v>242</v>
      </c>
      <c r="C453" s="176" t="s">
        <v>386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386</v>
      </c>
      <c r="P453" s="176" t="s">
        <v>386</v>
      </c>
      <c r="T453" s="176" t="s">
        <v>386</v>
      </c>
      <c r="X453" s="176" t="s">
        <v>386</v>
      </c>
      <c r="Z453" s="176" t="s">
        <v>420</v>
      </c>
      <c r="AA453" s="176" t="s">
        <v>386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241</v>
      </c>
      <c r="AG453" s="176">
        <v>5</v>
      </c>
      <c r="AH453" s="176" t="s">
        <v>17465</v>
      </c>
      <c r="AI453" s="176" t="s">
        <v>644</v>
      </c>
      <c r="AJ453" s="176" t="s">
        <v>644</v>
      </c>
      <c r="AK453" s="176" t="s">
        <v>648</v>
      </c>
      <c r="AL453" s="119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46186</v>
      </c>
      <c r="B454" s="176" t="s">
        <v>212</v>
      </c>
      <c r="C454" s="176" t="s">
        <v>640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640</v>
      </c>
      <c r="P454" s="176" t="s">
        <v>640</v>
      </c>
      <c r="T454" s="176" t="s">
        <v>640</v>
      </c>
      <c r="X454" s="176" t="s">
        <v>640</v>
      </c>
      <c r="Z454" s="176" t="s">
        <v>420</v>
      </c>
      <c r="AA454" s="176" t="s">
        <v>640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656</v>
      </c>
      <c r="AI454" s="176" t="s">
        <v>656</v>
      </c>
      <c r="AJ454" s="176" t="s">
        <v>656</v>
      </c>
      <c r="AK454" s="176" t="s">
        <v>656</v>
      </c>
      <c r="AL454" s="119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46186</v>
      </c>
      <c r="B455" s="176" t="s">
        <v>214</v>
      </c>
      <c r="C455" s="176" t="s">
        <v>640</v>
      </c>
      <c r="E455" s="176" t="s">
        <v>420</v>
      </c>
      <c r="F455" s="176" t="s">
        <v>420</v>
      </c>
      <c r="G455" s="176" t="s">
        <v>420</v>
      </c>
      <c r="H455" s="176" t="s">
        <v>420</v>
      </c>
      <c r="I455" s="176" t="s">
        <v>420</v>
      </c>
      <c r="L455" s="176" t="s">
        <v>640</v>
      </c>
      <c r="P455" s="176" t="s">
        <v>640</v>
      </c>
      <c r="T455" s="176" t="s">
        <v>640</v>
      </c>
      <c r="X455" s="176" t="s">
        <v>640</v>
      </c>
      <c r="Z455" s="176" t="s">
        <v>420</v>
      </c>
      <c r="AA455" s="176" t="s">
        <v>640</v>
      </c>
      <c r="AB455" s="176" t="s">
        <v>420</v>
      </c>
      <c r="AC455" s="176" t="s">
        <v>420</v>
      </c>
      <c r="AD455" s="176" t="s">
        <v>420</v>
      </c>
      <c r="AE455" s="176" t="s">
        <v>420</v>
      </c>
      <c r="AF455" s="176" t="s">
        <v>213</v>
      </c>
      <c r="AG455" s="176">
        <v>1</v>
      </c>
      <c r="AH455" s="176" t="s">
        <v>656</v>
      </c>
      <c r="AI455" s="176" t="s">
        <v>656</v>
      </c>
      <c r="AJ455" s="176" t="s">
        <v>656</v>
      </c>
      <c r="AK455" s="176" t="s">
        <v>656</v>
      </c>
      <c r="AL455" s="1191" t="s">
        <v>420</v>
      </c>
      <c r="AM455" s="176" t="s">
        <v>420</v>
      </c>
      <c r="AN455" s="176" t="s">
        <v>420</v>
      </c>
      <c r="AO455" s="176" t="s">
        <v>420</v>
      </c>
      <c r="AP455" s="176">
        <v>24</v>
      </c>
      <c r="AQ455" s="176">
        <v>216</v>
      </c>
      <c r="AR455" s="176" t="s">
        <v>420</v>
      </c>
      <c r="AS455" s="193" t="s">
        <v>420</v>
      </c>
    </row>
    <row r="456" spans="1:45" ht="16.5" customHeight="1">
      <c r="A456" s="175">
        <v>46186</v>
      </c>
      <c r="B456" s="176" t="s">
        <v>215</v>
      </c>
      <c r="C456" s="176" t="s">
        <v>640</v>
      </c>
      <c r="E456" s="176" t="s">
        <v>420</v>
      </c>
      <c r="F456" s="176" t="s">
        <v>420</v>
      </c>
      <c r="G456" s="176" t="s">
        <v>420</v>
      </c>
      <c r="H456" s="176" t="s">
        <v>420</v>
      </c>
      <c r="I456" s="176" t="s">
        <v>420</v>
      </c>
      <c r="L456" s="176" t="s">
        <v>640</v>
      </c>
      <c r="P456" s="176" t="s">
        <v>640</v>
      </c>
      <c r="T456" s="176" t="s">
        <v>640</v>
      </c>
      <c r="X456" s="176" t="s">
        <v>640</v>
      </c>
      <c r="Z456" s="176" t="s">
        <v>420</v>
      </c>
      <c r="AA456" s="176" t="s">
        <v>640</v>
      </c>
      <c r="AB456" s="176" t="s">
        <v>420</v>
      </c>
      <c r="AC456" s="176" t="s">
        <v>420</v>
      </c>
      <c r="AD456" s="176" t="s">
        <v>420</v>
      </c>
      <c r="AE456" s="176" t="s">
        <v>420</v>
      </c>
      <c r="AF456" s="176" t="s">
        <v>213</v>
      </c>
      <c r="AG456" s="176">
        <v>1</v>
      </c>
      <c r="AH456" s="176" t="s">
        <v>656</v>
      </c>
      <c r="AI456" s="176" t="s">
        <v>656</v>
      </c>
      <c r="AJ456" s="176" t="s">
        <v>656</v>
      </c>
      <c r="AK456" s="176" t="s">
        <v>656</v>
      </c>
      <c r="AL456" s="1191" t="s">
        <v>420</v>
      </c>
      <c r="AM456" s="176" t="s">
        <v>420</v>
      </c>
      <c r="AN456" s="176" t="s">
        <v>420</v>
      </c>
      <c r="AO456" s="176" t="s">
        <v>420</v>
      </c>
      <c r="AP456" s="176">
        <v>24</v>
      </c>
      <c r="AQ456" s="176">
        <v>216</v>
      </c>
      <c r="AR456" s="176" t="s">
        <v>420</v>
      </c>
      <c r="AS456" s="193" t="s">
        <v>420</v>
      </c>
    </row>
    <row r="457" spans="1:45" ht="16.5" customHeight="1">
      <c r="A457" s="175">
        <v>46186</v>
      </c>
      <c r="B457" s="176" t="s">
        <v>216</v>
      </c>
      <c r="C457" s="176" t="s">
        <v>640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640</v>
      </c>
      <c r="P457" s="176" t="s">
        <v>640</v>
      </c>
      <c r="T457" s="176" t="s">
        <v>640</v>
      </c>
      <c r="X457" s="176" t="s">
        <v>640</v>
      </c>
      <c r="Z457" s="176" t="s">
        <v>420</v>
      </c>
      <c r="AA457" s="176" t="s">
        <v>640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648</v>
      </c>
      <c r="AI457" s="176" t="s">
        <v>656</v>
      </c>
      <c r="AJ457" s="176" t="s">
        <v>656</v>
      </c>
      <c r="AK457" s="176" t="s">
        <v>656</v>
      </c>
      <c r="AL457" s="119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46186</v>
      </c>
      <c r="B458" s="176" t="s">
        <v>217</v>
      </c>
      <c r="C458" s="176" t="s">
        <v>17443</v>
      </c>
      <c r="E458" s="176" t="s">
        <v>474</v>
      </c>
      <c r="F458" s="176" t="s">
        <v>16817</v>
      </c>
      <c r="G458" s="176">
        <v>600</v>
      </c>
      <c r="H458" s="176" t="s">
        <v>16144</v>
      </c>
      <c r="I458" s="176">
        <v>5</v>
      </c>
      <c r="J458" s="176">
        <v>21</v>
      </c>
      <c r="K458" s="176">
        <v>0</v>
      </c>
      <c r="L458" s="176">
        <v>8905</v>
      </c>
      <c r="M458" s="176">
        <v>8805</v>
      </c>
      <c r="R458" s="176">
        <v>16</v>
      </c>
      <c r="S458" s="176">
        <v>0</v>
      </c>
      <c r="T458" s="176">
        <v>9078</v>
      </c>
      <c r="U458" s="176">
        <v>8767</v>
      </c>
      <c r="V458" s="176">
        <v>20</v>
      </c>
      <c r="W458" s="176">
        <v>0</v>
      </c>
      <c r="X458" s="176">
        <v>9145</v>
      </c>
      <c r="Y458" s="176">
        <v>8875</v>
      </c>
      <c r="Z458" s="176">
        <v>1.4090019569471623</v>
      </c>
      <c r="AA458" s="176">
        <v>19</v>
      </c>
      <c r="AB458" s="176">
        <v>1</v>
      </c>
      <c r="AC458" s="176">
        <v>89.291666666666657</v>
      </c>
      <c r="AD458" s="176">
        <v>2.375</v>
      </c>
      <c r="AE458" s="176">
        <v>2.375</v>
      </c>
      <c r="AF458" s="176" t="s">
        <v>213</v>
      </c>
      <c r="AG458" s="176">
        <v>1</v>
      </c>
      <c r="AH458" s="176" t="s">
        <v>16172</v>
      </c>
      <c r="AI458" s="176" t="s">
        <v>642</v>
      </c>
      <c r="AJ458" s="176" t="s">
        <v>642</v>
      </c>
      <c r="AK458" s="176" t="s">
        <v>734</v>
      </c>
      <c r="AL458" s="1191" t="s">
        <v>252</v>
      </c>
      <c r="AM458" s="176" t="s">
        <v>126</v>
      </c>
      <c r="AN458" s="176">
        <v>0.91100000000000003</v>
      </c>
      <c r="AO458" s="176">
        <v>0.6</v>
      </c>
      <c r="AP458" s="176">
        <v>24</v>
      </c>
      <c r="AQ458" s="176">
        <v>216</v>
      </c>
      <c r="AR458" s="176">
        <v>1.6</v>
      </c>
      <c r="AS458" s="193">
        <v>7556.1984000000011</v>
      </c>
    </row>
    <row r="459" spans="1:45" ht="16.5" customHeight="1">
      <c r="A459" s="175">
        <v>46186</v>
      </c>
      <c r="B459" s="176" t="s">
        <v>218</v>
      </c>
      <c r="C459" s="176" t="s">
        <v>17260</v>
      </c>
      <c r="E459" s="176" t="s">
        <v>17335</v>
      </c>
      <c r="F459" s="176" t="s">
        <v>17276</v>
      </c>
      <c r="G459" s="176">
        <v>600</v>
      </c>
      <c r="H459" s="176" t="s">
        <v>15907</v>
      </c>
      <c r="I459" s="176">
        <v>5</v>
      </c>
      <c r="J459" s="176">
        <v>20</v>
      </c>
      <c r="K459" s="176">
        <v>0</v>
      </c>
      <c r="L459" s="176">
        <v>9597</v>
      </c>
      <c r="M459" s="176">
        <v>9937</v>
      </c>
      <c r="R459" s="176">
        <v>8</v>
      </c>
      <c r="S459" s="176">
        <v>0</v>
      </c>
      <c r="T459" s="176">
        <v>9600</v>
      </c>
      <c r="U459" s="176">
        <v>9921</v>
      </c>
      <c r="V459" s="176">
        <v>26</v>
      </c>
      <c r="W459" s="176">
        <v>0</v>
      </c>
      <c r="X459" s="176">
        <v>9493</v>
      </c>
      <c r="Y459" s="176">
        <v>9872</v>
      </c>
      <c r="Z459" s="176">
        <v>2.8015564202334629</v>
      </c>
      <c r="AA459" s="176">
        <v>9</v>
      </c>
      <c r="AB459" s="176">
        <v>1</v>
      </c>
      <c r="AC459" s="176">
        <v>97.36666666666666</v>
      </c>
      <c r="AD459" s="176">
        <v>1.125</v>
      </c>
      <c r="AE459" s="176">
        <v>1.125</v>
      </c>
      <c r="AF459" s="176" t="s">
        <v>213</v>
      </c>
      <c r="AG459" s="176">
        <v>0.5</v>
      </c>
      <c r="AH459" s="176" t="s">
        <v>16172</v>
      </c>
      <c r="AI459" s="176" t="s">
        <v>642</v>
      </c>
      <c r="AJ459" s="176" t="s">
        <v>642</v>
      </c>
      <c r="AK459" s="176" t="s">
        <v>734</v>
      </c>
      <c r="AL459" s="1191" t="s">
        <v>251</v>
      </c>
      <c r="AM459" s="176" t="s">
        <v>126</v>
      </c>
      <c r="AN459" s="176">
        <v>0.91100000000000003</v>
      </c>
      <c r="AO459" s="176">
        <v>1.7</v>
      </c>
      <c r="AP459" s="176">
        <v>24</v>
      </c>
      <c r="AQ459" s="176">
        <v>216</v>
      </c>
      <c r="AR459" s="176">
        <v>2.7</v>
      </c>
      <c r="AS459" s="193">
        <v>12751.084800000001</v>
      </c>
    </row>
    <row r="460" spans="1:45" ht="16.5" customHeight="1">
      <c r="A460" s="175">
        <v>46186</v>
      </c>
      <c r="B460" s="176" t="s">
        <v>219</v>
      </c>
      <c r="C460" s="176" t="s">
        <v>16766</v>
      </c>
      <c r="D460" s="176" t="s">
        <v>16769</v>
      </c>
      <c r="E460" s="176" t="s">
        <v>1472</v>
      </c>
      <c r="F460" s="176" t="s">
        <v>16217</v>
      </c>
      <c r="G460" s="176">
        <v>630</v>
      </c>
      <c r="H460" s="176" t="s">
        <v>629</v>
      </c>
      <c r="I460" s="176">
        <v>2</v>
      </c>
      <c r="J460" s="176">
        <v>12</v>
      </c>
      <c r="K460" s="176">
        <v>2</v>
      </c>
      <c r="L460" s="176">
        <v>9311</v>
      </c>
      <c r="M460" s="176">
        <v>9399</v>
      </c>
      <c r="R460" s="176">
        <v>23</v>
      </c>
      <c r="S460" s="176">
        <v>7</v>
      </c>
      <c r="T460" s="176">
        <v>9356</v>
      </c>
      <c r="U460" s="176">
        <v>9381</v>
      </c>
      <c r="V460" s="176">
        <v>6</v>
      </c>
      <c r="W460" s="176">
        <v>0</v>
      </c>
      <c r="X460" s="176">
        <v>9292</v>
      </c>
      <c r="Y460" s="176">
        <v>9518</v>
      </c>
      <c r="Z460" s="176">
        <v>2.4615384615384617</v>
      </c>
      <c r="AA460" s="176">
        <v>13.666666666666666</v>
      </c>
      <c r="AB460" s="176">
        <v>0.982421875</v>
      </c>
      <c r="AC460" s="176">
        <v>93.761666666666656</v>
      </c>
      <c r="AD460" s="176">
        <v>1.7083333333333333</v>
      </c>
      <c r="AE460" s="176">
        <v>1.3333333333333333</v>
      </c>
      <c r="AF460" s="176" t="s">
        <v>213</v>
      </c>
      <c r="AG460" s="176">
        <v>1</v>
      </c>
      <c r="AH460" s="176" t="s">
        <v>17465</v>
      </c>
      <c r="AI460" s="176" t="s">
        <v>645</v>
      </c>
      <c r="AJ460" s="176" t="s">
        <v>645</v>
      </c>
      <c r="AK460" s="176" t="s">
        <v>15379</v>
      </c>
      <c r="AL460" s="1191" t="s">
        <v>251</v>
      </c>
      <c r="AM460" s="176" t="s">
        <v>951</v>
      </c>
      <c r="AN460" s="176">
        <v>0.56200000000000006</v>
      </c>
      <c r="AO460" s="176">
        <v>1.1000000000000001</v>
      </c>
      <c r="AP460" s="176">
        <v>24</v>
      </c>
      <c r="AQ460" s="176">
        <v>216</v>
      </c>
      <c r="AR460" s="176">
        <v>2.1</v>
      </c>
      <c r="AS460" s="193">
        <v>6118.1568000000007</v>
      </c>
    </row>
    <row r="461" spans="1:45" ht="16.5" customHeight="1">
      <c r="A461" s="175">
        <v>46186</v>
      </c>
      <c r="B461" s="176" t="s">
        <v>220</v>
      </c>
      <c r="C461" s="176" t="s">
        <v>640</v>
      </c>
      <c r="E461" s="176" t="s">
        <v>420</v>
      </c>
      <c r="F461" s="176" t="s">
        <v>420</v>
      </c>
      <c r="G461" s="176" t="s">
        <v>420</v>
      </c>
      <c r="H461" s="176" t="s">
        <v>420</v>
      </c>
      <c r="I461" s="176" t="s">
        <v>420</v>
      </c>
      <c r="L461" s="176" t="s">
        <v>640</v>
      </c>
      <c r="P461" s="176" t="s">
        <v>640</v>
      </c>
      <c r="T461" s="176" t="s">
        <v>640</v>
      </c>
      <c r="X461" s="176" t="s">
        <v>640</v>
      </c>
      <c r="Z461" s="176" t="s">
        <v>420</v>
      </c>
      <c r="AA461" s="176" t="s">
        <v>640</v>
      </c>
      <c r="AB461" s="176" t="s">
        <v>420</v>
      </c>
      <c r="AC461" s="176" t="s">
        <v>420</v>
      </c>
      <c r="AD461" s="176" t="s">
        <v>420</v>
      </c>
      <c r="AE461" s="176" t="s">
        <v>420</v>
      </c>
      <c r="AF461" s="176" t="s">
        <v>213</v>
      </c>
      <c r="AG461" s="176">
        <v>1</v>
      </c>
      <c r="AH461" s="176" t="s">
        <v>648</v>
      </c>
      <c r="AI461" s="176" t="s">
        <v>648</v>
      </c>
      <c r="AJ461" s="176" t="s">
        <v>648</v>
      </c>
      <c r="AK461" s="176" t="s">
        <v>648</v>
      </c>
      <c r="AL461" s="1191" t="s">
        <v>420</v>
      </c>
      <c r="AM461" s="176" t="s">
        <v>420</v>
      </c>
      <c r="AN461" s="176" t="s">
        <v>420</v>
      </c>
      <c r="AO461" s="176" t="s">
        <v>420</v>
      </c>
      <c r="AP461" s="176">
        <v>24</v>
      </c>
      <c r="AQ461" s="176">
        <v>216</v>
      </c>
      <c r="AR461" s="176" t="s">
        <v>420</v>
      </c>
      <c r="AS461" s="193" t="s">
        <v>420</v>
      </c>
    </row>
    <row r="462" spans="1:45" ht="16.5" customHeight="1">
      <c r="A462" s="175">
        <v>46186</v>
      </c>
      <c r="B462" s="176" t="s">
        <v>221</v>
      </c>
      <c r="C462" s="176" t="s">
        <v>16787</v>
      </c>
      <c r="E462" s="176" t="s">
        <v>624</v>
      </c>
      <c r="F462" s="176" t="s">
        <v>16747</v>
      </c>
      <c r="G462" s="176">
        <v>600</v>
      </c>
      <c r="H462" s="176" t="s">
        <v>476</v>
      </c>
      <c r="I462" s="176">
        <v>5</v>
      </c>
      <c r="J462" s="176">
        <v>7</v>
      </c>
      <c r="K462" s="176">
        <v>0</v>
      </c>
      <c r="L462" s="176">
        <v>9210</v>
      </c>
      <c r="M462" s="176">
        <v>8837</v>
      </c>
      <c r="R462" s="176">
        <v>10</v>
      </c>
      <c r="S462" s="176">
        <v>0</v>
      </c>
      <c r="T462" s="176">
        <v>9181</v>
      </c>
      <c r="U462" s="176">
        <v>8767</v>
      </c>
      <c r="V462" s="176">
        <v>21</v>
      </c>
      <c r="W462" s="176">
        <v>0</v>
      </c>
      <c r="X462" s="176">
        <v>9215</v>
      </c>
      <c r="Y462" s="176">
        <v>8705</v>
      </c>
      <c r="Z462" s="176">
        <v>2.8685258964143427</v>
      </c>
      <c r="AA462" s="176">
        <v>12.666666666666666</v>
      </c>
      <c r="AB462" s="176">
        <v>1</v>
      </c>
      <c r="AC462" s="176">
        <v>89.858333333333334</v>
      </c>
      <c r="AD462" s="176">
        <v>1.5833333333333333</v>
      </c>
      <c r="AE462" s="176">
        <v>1.5833333333333333</v>
      </c>
      <c r="AF462" s="176" t="s">
        <v>213</v>
      </c>
      <c r="AG462" s="176">
        <v>1</v>
      </c>
      <c r="AH462" s="176" t="s">
        <v>16172</v>
      </c>
      <c r="AI462" s="176" t="s">
        <v>642</v>
      </c>
      <c r="AJ462" s="176" t="s">
        <v>642</v>
      </c>
      <c r="AK462" s="176" t="s">
        <v>734</v>
      </c>
      <c r="AL462" s="1191" t="s">
        <v>251</v>
      </c>
      <c r="AM462" s="176" t="s">
        <v>126</v>
      </c>
      <c r="AN462" s="176">
        <v>0.91100000000000003</v>
      </c>
      <c r="AO462" s="176">
        <v>3</v>
      </c>
      <c r="AP462" s="176">
        <v>24</v>
      </c>
      <c r="AQ462" s="176">
        <v>216</v>
      </c>
      <c r="AR462" s="176">
        <v>4</v>
      </c>
      <c r="AS462" s="193">
        <v>18890.495999999999</v>
      </c>
    </row>
    <row r="463" spans="1:45" ht="16.5" customHeight="1">
      <c r="A463" s="175">
        <v>46186</v>
      </c>
      <c r="B463" s="176" t="s">
        <v>222</v>
      </c>
      <c r="C463" s="176" t="s">
        <v>17282</v>
      </c>
      <c r="E463" s="176" t="s">
        <v>17283</v>
      </c>
      <c r="F463" s="176" t="s">
        <v>17284</v>
      </c>
      <c r="G463" s="176">
        <v>575</v>
      </c>
      <c r="H463" s="176" t="s">
        <v>468</v>
      </c>
      <c r="I463" s="176">
        <v>4</v>
      </c>
      <c r="L463" s="176" t="s">
        <v>127</v>
      </c>
      <c r="P463" s="176" t="s">
        <v>640</v>
      </c>
      <c r="Q463" s="176" t="s">
        <v>127</v>
      </c>
      <c r="T463" s="176" t="s">
        <v>640</v>
      </c>
      <c r="U463" s="176" t="s">
        <v>127</v>
      </c>
      <c r="X463" s="176" t="s">
        <v>640</v>
      </c>
      <c r="Y463" s="176" t="s">
        <v>127</v>
      </c>
      <c r="Z463" s="176">
        <v>1.1009174311926606</v>
      </c>
      <c r="AA463" s="176" t="s">
        <v>127</v>
      </c>
      <c r="AB463" s="176" t="s">
        <v>420</v>
      </c>
      <c r="AC463" s="176" t="s">
        <v>420</v>
      </c>
      <c r="AD463" s="176" t="s">
        <v>420</v>
      </c>
      <c r="AE463" s="176" t="s">
        <v>420</v>
      </c>
      <c r="AF463" s="176" t="s">
        <v>213</v>
      </c>
      <c r="AG463" s="176">
        <v>1</v>
      </c>
      <c r="AH463" s="176" t="s">
        <v>16172</v>
      </c>
      <c r="AI463" s="176" t="s">
        <v>642</v>
      </c>
      <c r="AJ463" s="176" t="s">
        <v>642</v>
      </c>
      <c r="AK463" s="176" t="s">
        <v>734</v>
      </c>
      <c r="AL463" s="1191" t="s">
        <v>251</v>
      </c>
      <c r="AM463" s="176" t="s">
        <v>126</v>
      </c>
      <c r="AN463" s="176">
        <v>0.91100000000000003</v>
      </c>
      <c r="AO463" s="176">
        <v>0.9</v>
      </c>
      <c r="AP463" s="176">
        <v>24</v>
      </c>
      <c r="AQ463" s="176">
        <v>216</v>
      </c>
      <c r="AR463" s="176">
        <v>1.9</v>
      </c>
      <c r="AS463" s="193">
        <v>8972.9856</v>
      </c>
    </row>
    <row r="464" spans="1:45" ht="16.5" customHeight="1">
      <c r="A464" s="175">
        <v>46186</v>
      </c>
      <c r="B464" s="176" t="s">
        <v>223</v>
      </c>
      <c r="C464" s="176" t="s">
        <v>640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640</v>
      </c>
      <c r="P464" s="176" t="s">
        <v>640</v>
      </c>
      <c r="T464" s="176" t="s">
        <v>640</v>
      </c>
      <c r="X464" s="176" t="s">
        <v>640</v>
      </c>
      <c r="Z464" s="176" t="s">
        <v>420</v>
      </c>
      <c r="AA464" s="176" t="s">
        <v>640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213</v>
      </c>
      <c r="AG464" s="176">
        <v>1</v>
      </c>
      <c r="AH464" s="176" t="s">
        <v>648</v>
      </c>
      <c r="AI464" s="176" t="s">
        <v>648</v>
      </c>
      <c r="AJ464" s="176" t="s">
        <v>648</v>
      </c>
      <c r="AK464" s="176" t="s">
        <v>648</v>
      </c>
      <c r="AL464" s="119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46186</v>
      </c>
      <c r="B465" s="176" t="s">
        <v>224</v>
      </c>
      <c r="C465" s="176" t="s">
        <v>640</v>
      </c>
      <c r="E465" s="176" t="s">
        <v>420</v>
      </c>
      <c r="F465" s="176" t="s">
        <v>420</v>
      </c>
      <c r="G465" s="176" t="s">
        <v>420</v>
      </c>
      <c r="H465" s="176" t="s">
        <v>420</v>
      </c>
      <c r="I465" s="176" t="s">
        <v>420</v>
      </c>
      <c r="L465" s="176" t="s">
        <v>640</v>
      </c>
      <c r="P465" s="176" t="s">
        <v>640</v>
      </c>
      <c r="T465" s="176" t="s">
        <v>640</v>
      </c>
      <c r="X465" s="176" t="s">
        <v>640</v>
      </c>
      <c r="Z465" s="176" t="s">
        <v>420</v>
      </c>
      <c r="AA465" s="176" t="s">
        <v>640</v>
      </c>
      <c r="AB465" s="176" t="s">
        <v>420</v>
      </c>
      <c r="AC465" s="176" t="s">
        <v>420</v>
      </c>
      <c r="AD465" s="176" t="s">
        <v>420</v>
      </c>
      <c r="AE465" s="176" t="s">
        <v>420</v>
      </c>
      <c r="AF465" s="176" t="s">
        <v>213</v>
      </c>
      <c r="AG465" s="176">
        <v>1</v>
      </c>
      <c r="AH465" s="176" t="s">
        <v>648</v>
      </c>
      <c r="AI465" s="176" t="s">
        <v>648</v>
      </c>
      <c r="AJ465" s="176" t="s">
        <v>648</v>
      </c>
      <c r="AK465" s="176" t="s">
        <v>648</v>
      </c>
      <c r="AL465" s="1191" t="s">
        <v>420</v>
      </c>
      <c r="AM465" s="176" t="s">
        <v>420</v>
      </c>
      <c r="AN465" s="176" t="s">
        <v>420</v>
      </c>
      <c r="AO465" s="176" t="s">
        <v>420</v>
      </c>
      <c r="AP465" s="176">
        <v>24</v>
      </c>
      <c r="AQ465" s="176">
        <v>216</v>
      </c>
      <c r="AR465" s="176" t="s">
        <v>420</v>
      </c>
      <c r="AS465" s="193" t="s">
        <v>420</v>
      </c>
    </row>
    <row r="466" spans="1:45" ht="16.5" customHeight="1">
      <c r="A466" s="175">
        <v>46186</v>
      </c>
      <c r="B466" s="176" t="s">
        <v>225</v>
      </c>
      <c r="C466" s="176" t="s">
        <v>17285</v>
      </c>
      <c r="E466" s="176" t="s">
        <v>17231</v>
      </c>
      <c r="F466" s="176" t="s">
        <v>17286</v>
      </c>
      <c r="G466" s="176">
        <v>650</v>
      </c>
      <c r="H466" s="176" t="s">
        <v>16749</v>
      </c>
      <c r="I466" s="176">
        <v>5</v>
      </c>
      <c r="J466" s="176">
        <v>34</v>
      </c>
      <c r="K466" s="176">
        <v>6</v>
      </c>
      <c r="L466" s="176">
        <v>9110</v>
      </c>
      <c r="M466" s="176">
        <v>9407</v>
      </c>
      <c r="R466" s="176">
        <v>17</v>
      </c>
      <c r="S466" s="176">
        <v>7</v>
      </c>
      <c r="T466" s="176">
        <v>9230</v>
      </c>
      <c r="U466" s="176">
        <v>9591</v>
      </c>
      <c r="V466" s="176">
        <v>14</v>
      </c>
      <c r="W466" s="176">
        <v>0</v>
      </c>
      <c r="X466" s="176">
        <v>9150</v>
      </c>
      <c r="Y466" s="176">
        <v>9436</v>
      </c>
      <c r="Z466" s="176">
        <v>3.0638297872340425</v>
      </c>
      <c r="AA466" s="176">
        <v>21.666666666666668</v>
      </c>
      <c r="AB466" s="176">
        <v>0.97960069444444442</v>
      </c>
      <c r="AC466" s="176">
        <v>93.206666666666663</v>
      </c>
      <c r="AD466" s="176">
        <v>2.7083333333333335</v>
      </c>
      <c r="AE466" s="176">
        <v>2.1666666666666665</v>
      </c>
      <c r="AF466" s="176" t="s">
        <v>213</v>
      </c>
      <c r="AG466" s="176">
        <v>1</v>
      </c>
      <c r="AH466" s="176" t="s">
        <v>17465</v>
      </c>
      <c r="AI466" s="176" t="s">
        <v>645</v>
      </c>
      <c r="AJ466" s="176" t="s">
        <v>645</v>
      </c>
      <c r="AK466" s="176" t="s">
        <v>15379</v>
      </c>
      <c r="AL466" s="1191" t="s">
        <v>252</v>
      </c>
      <c r="AM466" s="176" t="s">
        <v>126</v>
      </c>
      <c r="AN466" s="176">
        <v>0.91100000000000003</v>
      </c>
      <c r="AO466" s="176">
        <v>3</v>
      </c>
      <c r="AP466" s="176">
        <v>24</v>
      </c>
      <c r="AQ466" s="176">
        <v>216</v>
      </c>
      <c r="AR466" s="176">
        <v>4</v>
      </c>
      <c r="AS466" s="193">
        <v>18890.495999999999</v>
      </c>
    </row>
    <row r="467" spans="1:45" ht="16.5" customHeight="1">
      <c r="A467" s="175">
        <v>46186</v>
      </c>
      <c r="B467" s="176" t="s">
        <v>226</v>
      </c>
      <c r="C467" s="176" t="s">
        <v>640</v>
      </c>
      <c r="E467" s="176" t="s">
        <v>420</v>
      </c>
      <c r="F467" s="176" t="s">
        <v>420</v>
      </c>
      <c r="G467" s="176" t="s">
        <v>420</v>
      </c>
      <c r="H467" s="176" t="s">
        <v>420</v>
      </c>
      <c r="I467" s="176" t="s">
        <v>420</v>
      </c>
      <c r="L467" s="176" t="s">
        <v>640</v>
      </c>
      <c r="P467" s="176" t="s">
        <v>640</v>
      </c>
      <c r="T467" s="176" t="s">
        <v>640</v>
      </c>
      <c r="X467" s="176" t="s">
        <v>640</v>
      </c>
      <c r="Z467" s="176" t="s">
        <v>420</v>
      </c>
      <c r="AA467" s="176" t="s">
        <v>640</v>
      </c>
      <c r="AB467" s="176" t="s">
        <v>420</v>
      </c>
      <c r="AC467" s="176" t="s">
        <v>420</v>
      </c>
      <c r="AD467" s="176" t="s">
        <v>420</v>
      </c>
      <c r="AE467" s="176" t="s">
        <v>420</v>
      </c>
      <c r="AF467" s="176" t="s">
        <v>213</v>
      </c>
      <c r="AG467" s="176">
        <v>1</v>
      </c>
      <c r="AH467" s="176" t="s">
        <v>648</v>
      </c>
      <c r="AI467" s="176" t="s">
        <v>648</v>
      </c>
      <c r="AJ467" s="176" t="s">
        <v>648</v>
      </c>
      <c r="AK467" s="176" t="s">
        <v>648</v>
      </c>
      <c r="AL467" s="1191" t="s">
        <v>420</v>
      </c>
      <c r="AM467" s="176" t="s">
        <v>420</v>
      </c>
      <c r="AN467" s="176" t="s">
        <v>420</v>
      </c>
      <c r="AO467" s="176" t="s">
        <v>420</v>
      </c>
      <c r="AP467" s="176">
        <v>24</v>
      </c>
      <c r="AQ467" s="176">
        <v>216</v>
      </c>
      <c r="AR467" s="176" t="s">
        <v>420</v>
      </c>
      <c r="AS467" s="193" t="s">
        <v>420</v>
      </c>
    </row>
    <row r="468" spans="1:45" ht="16.5" customHeight="1">
      <c r="A468" s="175">
        <v>46186</v>
      </c>
      <c r="B468" s="176" t="s">
        <v>227</v>
      </c>
      <c r="C468" s="176" t="s">
        <v>640</v>
      </c>
      <c r="E468" s="176" t="s">
        <v>420</v>
      </c>
      <c r="F468" s="176" t="s">
        <v>420</v>
      </c>
      <c r="G468" s="176" t="s">
        <v>420</v>
      </c>
      <c r="H468" s="176" t="s">
        <v>420</v>
      </c>
      <c r="I468" s="176" t="s">
        <v>420</v>
      </c>
      <c r="L468" s="176" t="s">
        <v>640</v>
      </c>
      <c r="P468" s="176" t="s">
        <v>640</v>
      </c>
      <c r="T468" s="176" t="s">
        <v>640</v>
      </c>
      <c r="X468" s="176" t="s">
        <v>640</v>
      </c>
      <c r="Z468" s="176" t="s">
        <v>420</v>
      </c>
      <c r="AA468" s="176" t="s">
        <v>640</v>
      </c>
      <c r="AB468" s="176" t="s">
        <v>420</v>
      </c>
      <c r="AC468" s="176" t="s">
        <v>420</v>
      </c>
      <c r="AD468" s="176" t="s">
        <v>420</v>
      </c>
      <c r="AE468" s="176" t="s">
        <v>420</v>
      </c>
      <c r="AF468" s="176" t="s">
        <v>213</v>
      </c>
      <c r="AG468" s="176">
        <v>1</v>
      </c>
      <c r="AH468" s="176" t="s">
        <v>648</v>
      </c>
      <c r="AI468" s="176" t="s">
        <v>648</v>
      </c>
      <c r="AJ468" s="176" t="s">
        <v>648</v>
      </c>
      <c r="AK468" s="176" t="s">
        <v>648</v>
      </c>
      <c r="AL468" s="1191" t="s">
        <v>420</v>
      </c>
      <c r="AM468" s="176" t="s">
        <v>420</v>
      </c>
      <c r="AN468" s="176" t="s">
        <v>420</v>
      </c>
      <c r="AO468" s="176" t="s">
        <v>420</v>
      </c>
      <c r="AP468" s="176">
        <v>24</v>
      </c>
      <c r="AQ468" s="176">
        <v>216</v>
      </c>
      <c r="AR468" s="176" t="s">
        <v>420</v>
      </c>
      <c r="AS468" s="193" t="s">
        <v>420</v>
      </c>
    </row>
    <row r="469" spans="1:45" ht="16.5" customHeight="1">
      <c r="A469" s="175">
        <v>46186</v>
      </c>
      <c r="B469" s="176" t="s">
        <v>228</v>
      </c>
      <c r="C469" s="176" t="s">
        <v>17446</v>
      </c>
      <c r="E469" s="176" t="s">
        <v>17447</v>
      </c>
      <c r="F469" s="176" t="s">
        <v>17448</v>
      </c>
      <c r="G469" s="176">
        <v>550</v>
      </c>
      <c r="H469" s="176" t="s">
        <v>16736</v>
      </c>
      <c r="I469" s="176">
        <v>5</v>
      </c>
      <c r="J469" s="176">
        <v>20</v>
      </c>
      <c r="K469" s="176">
        <v>0</v>
      </c>
      <c r="L469" s="176">
        <v>8978</v>
      </c>
      <c r="M469" s="176">
        <v>8951</v>
      </c>
      <c r="R469" s="176">
        <v>22</v>
      </c>
      <c r="S469" s="176">
        <v>2</v>
      </c>
      <c r="T469" s="176">
        <v>9076</v>
      </c>
      <c r="U469" s="176">
        <v>8961</v>
      </c>
      <c r="V469" s="176">
        <v>20</v>
      </c>
      <c r="W469" s="176">
        <v>0</v>
      </c>
      <c r="X469" s="176">
        <v>9034</v>
      </c>
      <c r="Y469" s="176">
        <v>8994</v>
      </c>
      <c r="Z469" s="176">
        <v>5.161290322580645</v>
      </c>
      <c r="AA469" s="176">
        <v>10.333333333333334</v>
      </c>
      <c r="AB469" s="176">
        <v>0.99813701923076925</v>
      </c>
      <c r="AC469" s="176">
        <v>89.99</v>
      </c>
      <c r="AD469" s="176">
        <v>1.2916666666666667</v>
      </c>
      <c r="AE469" s="176">
        <v>1.25</v>
      </c>
      <c r="AF469" s="176" t="s">
        <v>213</v>
      </c>
      <c r="AG469" s="176">
        <v>0.5</v>
      </c>
      <c r="AH469" s="176" t="s">
        <v>16172</v>
      </c>
      <c r="AI469" s="176" t="s">
        <v>642</v>
      </c>
      <c r="AJ469" s="176" t="s">
        <v>642</v>
      </c>
      <c r="AK469" s="176" t="s">
        <v>734</v>
      </c>
      <c r="AL469" s="1191" t="s">
        <v>251</v>
      </c>
      <c r="AM469" s="176" t="s">
        <v>651</v>
      </c>
      <c r="AN469" s="176">
        <v>1.859</v>
      </c>
      <c r="AO469" s="176">
        <v>2.8</v>
      </c>
      <c r="AP469" s="176">
        <v>24</v>
      </c>
      <c r="AQ469" s="176">
        <v>216</v>
      </c>
      <c r="AR469" s="176">
        <v>3.8</v>
      </c>
      <c r="AS469" s="193">
        <v>36620.8128</v>
      </c>
    </row>
    <row r="470" spans="1:45" ht="16.5" customHeight="1">
      <c r="A470" s="175">
        <v>46186</v>
      </c>
      <c r="B470" s="176" t="s">
        <v>229</v>
      </c>
      <c r="C470" s="176" t="s">
        <v>640</v>
      </c>
      <c r="E470" s="176" t="s">
        <v>420</v>
      </c>
      <c r="F470" s="176" t="s">
        <v>420</v>
      </c>
      <c r="G470" s="176" t="s">
        <v>420</v>
      </c>
      <c r="H470" s="176" t="s">
        <v>420</v>
      </c>
      <c r="I470" s="176" t="s">
        <v>420</v>
      </c>
      <c r="L470" s="176" t="s">
        <v>640</v>
      </c>
      <c r="P470" s="176" t="s">
        <v>640</v>
      </c>
      <c r="T470" s="176" t="s">
        <v>640</v>
      </c>
      <c r="X470" s="176" t="s">
        <v>640</v>
      </c>
      <c r="Z470" s="176" t="s">
        <v>420</v>
      </c>
      <c r="AA470" s="176" t="s">
        <v>640</v>
      </c>
      <c r="AB470" s="176" t="s">
        <v>420</v>
      </c>
      <c r="AC470" s="176" t="s">
        <v>420</v>
      </c>
      <c r="AD470" s="176" t="s">
        <v>420</v>
      </c>
      <c r="AE470" s="176" t="s">
        <v>420</v>
      </c>
      <c r="AF470" s="176" t="s">
        <v>213</v>
      </c>
      <c r="AG470" s="176">
        <v>1</v>
      </c>
      <c r="AH470" s="176" t="s">
        <v>648</v>
      </c>
      <c r="AI470" s="176" t="s">
        <v>648</v>
      </c>
      <c r="AJ470" s="176" t="s">
        <v>648</v>
      </c>
      <c r="AK470" s="176" t="s">
        <v>648</v>
      </c>
      <c r="AL470" s="1191" t="s">
        <v>420</v>
      </c>
      <c r="AM470" s="176" t="s">
        <v>420</v>
      </c>
      <c r="AN470" s="176" t="s">
        <v>420</v>
      </c>
      <c r="AO470" s="176" t="s">
        <v>420</v>
      </c>
      <c r="AP470" s="176">
        <v>24</v>
      </c>
      <c r="AQ470" s="176">
        <v>216</v>
      </c>
      <c r="AR470" s="176" t="s">
        <v>420</v>
      </c>
      <c r="AS470" s="193" t="s">
        <v>420</v>
      </c>
    </row>
    <row r="471" spans="1:45" ht="16.5" customHeight="1">
      <c r="A471" s="175">
        <v>46186</v>
      </c>
      <c r="B471" s="176" t="s">
        <v>230</v>
      </c>
      <c r="C471" s="176" t="s">
        <v>640</v>
      </c>
      <c r="E471" s="176" t="s">
        <v>420</v>
      </c>
      <c r="F471" s="176" t="s">
        <v>420</v>
      </c>
      <c r="G471" s="176" t="s">
        <v>420</v>
      </c>
      <c r="H471" s="176" t="s">
        <v>420</v>
      </c>
      <c r="I471" s="176" t="s">
        <v>420</v>
      </c>
      <c r="L471" s="176" t="s">
        <v>640</v>
      </c>
      <c r="P471" s="176" t="s">
        <v>640</v>
      </c>
      <c r="T471" s="176" t="s">
        <v>640</v>
      </c>
      <c r="X471" s="176" t="s">
        <v>640</v>
      </c>
      <c r="Z471" s="176" t="s">
        <v>420</v>
      </c>
      <c r="AA471" s="176" t="s">
        <v>640</v>
      </c>
      <c r="AB471" s="176" t="s">
        <v>420</v>
      </c>
      <c r="AC471" s="176" t="s">
        <v>420</v>
      </c>
      <c r="AD471" s="176" t="s">
        <v>420</v>
      </c>
      <c r="AE471" s="176" t="s">
        <v>420</v>
      </c>
      <c r="AF471" s="176" t="s">
        <v>213</v>
      </c>
      <c r="AG471" s="176">
        <v>1</v>
      </c>
      <c r="AH471" s="176" t="s">
        <v>648</v>
      </c>
      <c r="AI471" s="176" t="s">
        <v>648</v>
      </c>
      <c r="AJ471" s="176" t="s">
        <v>648</v>
      </c>
      <c r="AK471" s="176" t="s">
        <v>648</v>
      </c>
      <c r="AL471" s="1191" t="s">
        <v>420</v>
      </c>
      <c r="AM471" s="176" t="s">
        <v>420</v>
      </c>
      <c r="AN471" s="176" t="s">
        <v>420</v>
      </c>
      <c r="AO471" s="176" t="s">
        <v>420</v>
      </c>
      <c r="AP471" s="176">
        <v>24</v>
      </c>
      <c r="AQ471" s="176">
        <v>216</v>
      </c>
      <c r="AR471" s="176" t="s">
        <v>420</v>
      </c>
      <c r="AS471" s="193" t="s">
        <v>420</v>
      </c>
    </row>
    <row r="472" spans="1:45" ht="16.5" customHeight="1">
      <c r="A472" s="175">
        <v>46186</v>
      </c>
      <c r="B472" s="176" t="s">
        <v>231</v>
      </c>
      <c r="C472" s="176" t="s">
        <v>640</v>
      </c>
      <c r="E472" s="176" t="s">
        <v>420</v>
      </c>
      <c r="F472" s="176" t="s">
        <v>420</v>
      </c>
      <c r="G472" s="176" t="s">
        <v>420</v>
      </c>
      <c r="H472" s="176" t="s">
        <v>420</v>
      </c>
      <c r="I472" s="176" t="s">
        <v>420</v>
      </c>
      <c r="L472" s="176" t="s">
        <v>640</v>
      </c>
      <c r="P472" s="176" t="s">
        <v>640</v>
      </c>
      <c r="T472" s="176" t="s">
        <v>640</v>
      </c>
      <c r="X472" s="176" t="s">
        <v>640</v>
      </c>
      <c r="Z472" s="176" t="s">
        <v>420</v>
      </c>
      <c r="AA472" s="176" t="s">
        <v>640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232</v>
      </c>
      <c r="AG472" s="176">
        <v>1</v>
      </c>
      <c r="AH472" s="176" t="s">
        <v>648</v>
      </c>
      <c r="AI472" s="176" t="s">
        <v>648</v>
      </c>
      <c r="AJ472" s="176" t="s">
        <v>648</v>
      </c>
      <c r="AK472" s="176" t="s">
        <v>648</v>
      </c>
      <c r="AL472" s="1191" t="s">
        <v>420</v>
      </c>
      <c r="AM472" s="176" t="s">
        <v>420</v>
      </c>
      <c r="AN472" s="176" t="s">
        <v>420</v>
      </c>
      <c r="AO472" s="176" t="s">
        <v>420</v>
      </c>
      <c r="AP472" s="176">
        <v>24</v>
      </c>
      <c r="AQ472" s="176">
        <v>216</v>
      </c>
      <c r="AR472" s="176" t="s">
        <v>420</v>
      </c>
      <c r="AS472" s="193" t="s">
        <v>420</v>
      </c>
    </row>
    <row r="473" spans="1:45" ht="16.5" customHeight="1">
      <c r="A473" s="175">
        <v>46186</v>
      </c>
      <c r="B473" s="176" t="s">
        <v>233</v>
      </c>
      <c r="C473" s="176" t="s">
        <v>17336</v>
      </c>
      <c r="D473" s="176" t="s">
        <v>641</v>
      </c>
      <c r="E473" s="176" t="s">
        <v>16740</v>
      </c>
      <c r="F473" s="176" t="s">
        <v>17289</v>
      </c>
      <c r="G473" s="176">
        <v>600</v>
      </c>
      <c r="H473" s="176" t="s">
        <v>7798</v>
      </c>
      <c r="I473" s="176">
        <v>5.5</v>
      </c>
      <c r="J473" s="176">
        <v>23</v>
      </c>
      <c r="K473" s="176">
        <v>3</v>
      </c>
      <c r="L473" s="176">
        <v>6590</v>
      </c>
      <c r="R473" s="176">
        <v>20</v>
      </c>
      <c r="S473" s="176">
        <v>7</v>
      </c>
      <c r="T473" s="176">
        <v>6790</v>
      </c>
      <c r="V473" s="176">
        <v>38</v>
      </c>
      <c r="W473" s="176">
        <v>6</v>
      </c>
      <c r="X473" s="176">
        <v>6780</v>
      </c>
      <c r="Z473" s="176">
        <v>5.8536585365853666</v>
      </c>
      <c r="AA473" s="176">
        <v>27</v>
      </c>
      <c r="AB473" s="176">
        <v>0.98685897435897441</v>
      </c>
      <c r="AC473" s="176">
        <v>67.2</v>
      </c>
      <c r="AD473" s="176">
        <v>3.375</v>
      </c>
      <c r="AE473" s="176">
        <v>2.7083333333333335</v>
      </c>
      <c r="AF473" s="176" t="s">
        <v>232</v>
      </c>
      <c r="AG473" s="176">
        <v>1</v>
      </c>
      <c r="AH473" s="176" t="s">
        <v>15862</v>
      </c>
      <c r="AI473" s="176" t="s">
        <v>645</v>
      </c>
      <c r="AJ473" s="176" t="s">
        <v>645</v>
      </c>
      <c r="AK473" s="176" t="s">
        <v>15379</v>
      </c>
      <c r="AL473" s="1191" t="s">
        <v>251</v>
      </c>
      <c r="AM473" s="176" t="s">
        <v>651</v>
      </c>
      <c r="AN473" s="176">
        <v>1.859</v>
      </c>
      <c r="AO473" s="176">
        <v>2.1</v>
      </c>
      <c r="AP473" s="176">
        <v>24</v>
      </c>
      <c r="AQ473" s="176">
        <v>216</v>
      </c>
      <c r="AR473" s="176">
        <v>3.1</v>
      </c>
      <c r="AS473" s="193">
        <v>29874.873599999999</v>
      </c>
    </row>
    <row r="474" spans="1:45" ht="16.5" customHeight="1">
      <c r="A474" s="175">
        <v>46186</v>
      </c>
      <c r="B474" s="176" t="s">
        <v>234</v>
      </c>
      <c r="C474" s="176" t="s">
        <v>640</v>
      </c>
      <c r="E474" s="176" t="s">
        <v>420</v>
      </c>
      <c r="F474" s="176" t="s">
        <v>420</v>
      </c>
      <c r="G474" s="176" t="s">
        <v>420</v>
      </c>
      <c r="H474" s="176" t="s">
        <v>420</v>
      </c>
      <c r="I474" s="176" t="s">
        <v>420</v>
      </c>
      <c r="L474" s="176" t="s">
        <v>640</v>
      </c>
      <c r="P474" s="176" t="s">
        <v>640</v>
      </c>
      <c r="T474" s="176" t="s">
        <v>640</v>
      </c>
      <c r="X474" s="176" t="s">
        <v>640</v>
      </c>
      <c r="Z474" s="176" t="s">
        <v>420</v>
      </c>
      <c r="AA474" s="176" t="s">
        <v>640</v>
      </c>
      <c r="AB474" s="176" t="s">
        <v>420</v>
      </c>
      <c r="AC474" s="176" t="s">
        <v>420</v>
      </c>
      <c r="AD474" s="176" t="s">
        <v>420</v>
      </c>
      <c r="AE474" s="176" t="s">
        <v>420</v>
      </c>
      <c r="AF474" s="176" t="s">
        <v>232</v>
      </c>
      <c r="AG474" s="176">
        <v>1</v>
      </c>
      <c r="AH474" s="176" t="s">
        <v>648</v>
      </c>
      <c r="AI474" s="176" t="s">
        <v>648</v>
      </c>
      <c r="AJ474" s="176" t="s">
        <v>648</v>
      </c>
      <c r="AK474" s="176" t="s">
        <v>648</v>
      </c>
      <c r="AL474" s="1191" t="s">
        <v>420</v>
      </c>
      <c r="AM474" s="176" t="s">
        <v>420</v>
      </c>
      <c r="AN474" s="176" t="s">
        <v>420</v>
      </c>
      <c r="AO474" s="176" t="s">
        <v>420</v>
      </c>
      <c r="AP474" s="176">
        <v>24</v>
      </c>
      <c r="AQ474" s="176">
        <v>216</v>
      </c>
      <c r="AR474" s="176" t="s">
        <v>420</v>
      </c>
      <c r="AS474" s="193" t="s">
        <v>420</v>
      </c>
    </row>
    <row r="475" spans="1:45" ht="16.5" customHeight="1">
      <c r="A475" s="175">
        <v>46186</v>
      </c>
      <c r="B475" s="176" t="s">
        <v>235</v>
      </c>
      <c r="C475" s="176" t="s">
        <v>17287</v>
      </c>
      <c r="D475" s="176" t="s">
        <v>641</v>
      </c>
      <c r="E475" s="176" t="s">
        <v>16740</v>
      </c>
      <c r="F475" s="176" t="s">
        <v>17269</v>
      </c>
      <c r="G475" s="176">
        <v>700</v>
      </c>
      <c r="H475" s="176" t="s">
        <v>1032</v>
      </c>
      <c r="I475" s="176">
        <v>5.5</v>
      </c>
      <c r="J475" s="176">
        <v>43</v>
      </c>
      <c r="K475" s="176">
        <v>14</v>
      </c>
      <c r="L475" s="176">
        <v>9440</v>
      </c>
      <c r="M475" s="176">
        <v>9350</v>
      </c>
      <c r="R475" s="176">
        <v>31</v>
      </c>
      <c r="S475" s="176">
        <v>0</v>
      </c>
      <c r="T475" s="176">
        <v>9070</v>
      </c>
      <c r="U475" s="176">
        <v>9350</v>
      </c>
      <c r="V475" s="176">
        <v>28</v>
      </c>
      <c r="W475" s="176">
        <v>8</v>
      </c>
      <c r="X475" s="176">
        <v>9440</v>
      </c>
      <c r="Y475" s="176">
        <v>9350</v>
      </c>
      <c r="Z475" s="176">
        <v>5.8299595141700413</v>
      </c>
      <c r="AA475" s="176">
        <v>34</v>
      </c>
      <c r="AB475" s="176">
        <v>0.98185763888888888</v>
      </c>
      <c r="AC475" s="176">
        <v>93.333333333333343</v>
      </c>
      <c r="AD475" s="176">
        <v>4.25</v>
      </c>
      <c r="AE475" s="176">
        <v>3.3333333333333335</v>
      </c>
      <c r="AF475" s="176" t="s">
        <v>236</v>
      </c>
      <c r="AG475" s="176">
        <v>1</v>
      </c>
      <c r="AH475" s="176" t="s">
        <v>646</v>
      </c>
      <c r="AI475" s="176" t="s">
        <v>660</v>
      </c>
      <c r="AJ475" s="176" t="s">
        <v>660</v>
      </c>
      <c r="AK475" s="176" t="s">
        <v>15890</v>
      </c>
      <c r="AL475" s="1191" t="s">
        <v>252</v>
      </c>
      <c r="AM475" s="176" t="s">
        <v>462</v>
      </c>
      <c r="AN475" s="176">
        <v>1.1890000000000001</v>
      </c>
      <c r="AO475" s="176">
        <v>3</v>
      </c>
      <c r="AP475" s="176">
        <v>24</v>
      </c>
      <c r="AQ475" s="176">
        <v>216</v>
      </c>
      <c r="AR475" s="176">
        <v>4</v>
      </c>
      <c r="AS475" s="193">
        <v>24655.103999999999</v>
      </c>
    </row>
    <row r="476" spans="1:45" ht="16.5" customHeight="1">
      <c r="A476" s="175">
        <v>46186</v>
      </c>
      <c r="B476" s="176" t="s">
        <v>237</v>
      </c>
      <c r="C476" s="176" t="s">
        <v>17288</v>
      </c>
      <c r="D476" s="176" t="s">
        <v>641</v>
      </c>
      <c r="E476" s="176" t="s">
        <v>16740</v>
      </c>
      <c r="F476" s="176" t="s">
        <v>17289</v>
      </c>
      <c r="G476" s="176">
        <v>700</v>
      </c>
      <c r="H476" s="176" t="s">
        <v>957</v>
      </c>
      <c r="I476" s="176">
        <v>5.5</v>
      </c>
      <c r="J476" s="176">
        <v>40</v>
      </c>
      <c r="K476" s="176">
        <v>1</v>
      </c>
      <c r="L476" s="176">
        <v>9310</v>
      </c>
      <c r="M476" s="176">
        <v>8610</v>
      </c>
      <c r="R476" s="176">
        <v>37</v>
      </c>
      <c r="S476" s="176">
        <v>0</v>
      </c>
      <c r="T476" s="176">
        <v>8980</v>
      </c>
      <c r="U476" s="176">
        <v>8980</v>
      </c>
      <c r="V476" s="176">
        <v>47</v>
      </c>
      <c r="W476" s="176">
        <v>3</v>
      </c>
      <c r="X476" s="176">
        <v>8800</v>
      </c>
      <c r="Y476" s="176">
        <v>9070</v>
      </c>
      <c r="Z476" s="176">
        <v>5.8299595141700413</v>
      </c>
      <c r="AA476" s="176">
        <v>41.333333333333336</v>
      </c>
      <c r="AB476" s="176">
        <v>0.99670138888888893</v>
      </c>
      <c r="AC476" s="176">
        <v>89.583333333333343</v>
      </c>
      <c r="AD476" s="176">
        <v>5.166666666666667</v>
      </c>
      <c r="AE476" s="176">
        <v>5</v>
      </c>
      <c r="AF476" s="176" t="s">
        <v>236</v>
      </c>
      <c r="AG476" s="176">
        <v>1</v>
      </c>
      <c r="AH476" s="176" t="s">
        <v>15346</v>
      </c>
      <c r="AI476" s="176" t="s">
        <v>844</v>
      </c>
      <c r="AJ476" s="176" t="s">
        <v>844</v>
      </c>
      <c r="AK476" s="176" t="s">
        <v>647</v>
      </c>
      <c r="AL476" s="1191" t="s">
        <v>251</v>
      </c>
      <c r="AM476" s="176" t="s">
        <v>462</v>
      </c>
      <c r="AN476" s="176">
        <v>1.1890000000000001</v>
      </c>
      <c r="AO476" s="176">
        <v>2.9</v>
      </c>
      <c r="AP476" s="176">
        <v>24</v>
      </c>
      <c r="AQ476" s="176">
        <v>216</v>
      </c>
      <c r="AR476" s="176">
        <v>3.9</v>
      </c>
      <c r="AS476" s="193">
        <v>24038.7264</v>
      </c>
    </row>
    <row r="477" spans="1:45" ht="16.5" customHeight="1">
      <c r="A477" s="175">
        <v>46186</v>
      </c>
      <c r="B477" s="176" t="s">
        <v>238</v>
      </c>
      <c r="C477" s="176" t="s">
        <v>640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640</v>
      </c>
      <c r="P477" s="176" t="s">
        <v>640</v>
      </c>
      <c r="T477" s="176" t="s">
        <v>640</v>
      </c>
      <c r="X477" s="176" t="s">
        <v>640</v>
      </c>
      <c r="Z477" s="176" t="s">
        <v>420</v>
      </c>
      <c r="AA477" s="176" t="s">
        <v>640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236</v>
      </c>
      <c r="AG477" s="176">
        <v>2</v>
      </c>
      <c r="AH477" s="176" t="s">
        <v>646</v>
      </c>
      <c r="AI477" s="176" t="s">
        <v>660</v>
      </c>
      <c r="AJ477" s="176" t="s">
        <v>660</v>
      </c>
      <c r="AK477" s="176" t="s">
        <v>648</v>
      </c>
      <c r="AL477" s="119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46186</v>
      </c>
      <c r="B478" s="176" t="s">
        <v>239</v>
      </c>
      <c r="C478" s="176" t="s">
        <v>640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640</v>
      </c>
      <c r="P478" s="176" t="s">
        <v>640</v>
      </c>
      <c r="T478" s="176" t="s">
        <v>640</v>
      </c>
      <c r="X478" s="176" t="s">
        <v>640</v>
      </c>
      <c r="Z478" s="176" t="s">
        <v>420</v>
      </c>
      <c r="AA478" s="176" t="s">
        <v>640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236</v>
      </c>
      <c r="AG478" s="176">
        <v>2</v>
      </c>
      <c r="AH478" s="176" t="s">
        <v>15346</v>
      </c>
      <c r="AI478" s="176" t="s">
        <v>844</v>
      </c>
      <c r="AJ478" s="176" t="s">
        <v>844</v>
      </c>
      <c r="AK478" s="176" t="s">
        <v>647</v>
      </c>
      <c r="AL478" s="119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46186</v>
      </c>
      <c r="B479" s="176" t="s">
        <v>239</v>
      </c>
      <c r="C479" s="176" t="s">
        <v>17412</v>
      </c>
      <c r="D479" s="176" t="s">
        <v>641</v>
      </c>
      <c r="E479" s="176" t="s">
        <v>16744</v>
      </c>
      <c r="F479" s="176" t="s">
        <v>17414</v>
      </c>
      <c r="G479" s="176">
        <v>550</v>
      </c>
      <c r="H479" s="176" t="s">
        <v>877</v>
      </c>
      <c r="I479" s="176">
        <v>5.5</v>
      </c>
      <c r="J479" s="176">
        <v>15</v>
      </c>
      <c r="K479" s="176">
        <v>12</v>
      </c>
      <c r="M479" s="176">
        <v>9179</v>
      </c>
      <c r="R479" s="176">
        <v>11</v>
      </c>
      <c r="S479" s="176">
        <v>0</v>
      </c>
      <c r="U479" s="176">
        <v>8700</v>
      </c>
      <c r="V479" s="176">
        <v>23</v>
      </c>
      <c r="W479" s="176">
        <v>7</v>
      </c>
      <c r="Y479" s="176">
        <v>9170</v>
      </c>
      <c r="Z479" s="176">
        <v>6.6055045871559646</v>
      </c>
      <c r="AA479" s="176">
        <v>32.666666666666664</v>
      </c>
      <c r="AB479" s="176">
        <v>0.98617120726495722</v>
      </c>
      <c r="AC479" s="176">
        <v>90.163333333333341</v>
      </c>
      <c r="AD479" s="176">
        <v>4.083333333333333</v>
      </c>
      <c r="AE479" s="176">
        <v>2.5</v>
      </c>
      <c r="AF479" s="176" t="s">
        <v>236</v>
      </c>
      <c r="AG479" s="176">
        <v>2</v>
      </c>
      <c r="AH479" s="176" t="s">
        <v>15346</v>
      </c>
      <c r="AI479" s="176" t="s">
        <v>844</v>
      </c>
      <c r="AJ479" s="176" t="s">
        <v>844</v>
      </c>
      <c r="AK479" s="176" t="s">
        <v>647</v>
      </c>
      <c r="AL479" s="1191" t="s">
        <v>252</v>
      </c>
      <c r="AM479" s="176" t="s">
        <v>651</v>
      </c>
      <c r="AN479" s="176">
        <v>1.859</v>
      </c>
      <c r="AO479" s="176">
        <v>3.3</v>
      </c>
      <c r="AP479" s="176">
        <v>24</v>
      </c>
      <c r="AQ479" s="176">
        <v>216</v>
      </c>
      <c r="AR479" s="176">
        <v>4.3</v>
      </c>
      <c r="AS479" s="193">
        <v>41439.340799999998</v>
      </c>
    </row>
    <row r="480" spans="1:45" ht="16.5" customHeight="1">
      <c r="A480" s="175">
        <v>46186</v>
      </c>
      <c r="B480" s="176" t="s">
        <v>389</v>
      </c>
      <c r="C480" s="176" t="s">
        <v>17403</v>
      </c>
      <c r="D480" s="176" t="s">
        <v>641</v>
      </c>
      <c r="E480" s="176" t="s">
        <v>16740</v>
      </c>
      <c r="F480" s="176" t="s">
        <v>17269</v>
      </c>
      <c r="G480" s="176">
        <v>700</v>
      </c>
      <c r="H480" s="176" t="s">
        <v>840</v>
      </c>
      <c r="I480" s="176">
        <v>5.5</v>
      </c>
      <c r="J480" s="176">
        <v>32</v>
      </c>
      <c r="K480" s="176">
        <v>2</v>
      </c>
      <c r="L480" s="176">
        <v>8150</v>
      </c>
      <c r="M480" s="176">
        <v>10000</v>
      </c>
      <c r="R480" s="176">
        <v>21</v>
      </c>
      <c r="S480" s="176">
        <v>0</v>
      </c>
      <c r="T480" s="176">
        <v>8150</v>
      </c>
      <c r="U480" s="176">
        <v>10000</v>
      </c>
      <c r="V480" s="176">
        <v>19</v>
      </c>
      <c r="W480" s="176">
        <v>0</v>
      </c>
      <c r="X480" s="176">
        <v>8060</v>
      </c>
      <c r="Y480" s="176">
        <v>10000</v>
      </c>
      <c r="Z480" s="176">
        <v>5.8299595141700413</v>
      </c>
      <c r="AA480" s="176">
        <v>24</v>
      </c>
      <c r="AB480" s="176">
        <v>0.99835069444444446</v>
      </c>
      <c r="AC480" s="176">
        <v>90.6</v>
      </c>
      <c r="AD480" s="176">
        <v>3</v>
      </c>
      <c r="AE480" s="176">
        <v>2.9166666666666665</v>
      </c>
      <c r="AF480" s="176" t="s">
        <v>236</v>
      </c>
      <c r="AG480" s="176">
        <v>1</v>
      </c>
      <c r="AH480" s="176" t="s">
        <v>646</v>
      </c>
      <c r="AI480" s="176" t="s">
        <v>660</v>
      </c>
      <c r="AJ480" s="176" t="s">
        <v>660</v>
      </c>
      <c r="AK480" s="176" t="s">
        <v>15890</v>
      </c>
      <c r="AL480" s="1191" t="s">
        <v>252</v>
      </c>
      <c r="AM480" s="176" t="s">
        <v>462</v>
      </c>
      <c r="AN480" s="176">
        <v>1.1890000000000001</v>
      </c>
      <c r="AO480" s="176">
        <v>2.8</v>
      </c>
      <c r="AP480" s="176">
        <v>24</v>
      </c>
      <c r="AQ480" s="176">
        <v>216</v>
      </c>
      <c r="AR480" s="176">
        <v>3.8</v>
      </c>
      <c r="AS480" s="193">
        <v>23422.3488</v>
      </c>
    </row>
    <row r="481" spans="1:45" ht="16.5" customHeight="1">
      <c r="A481" s="175">
        <v>46186</v>
      </c>
      <c r="B481" s="176" t="s">
        <v>418</v>
      </c>
      <c r="C481" s="176" t="s">
        <v>17262</v>
      </c>
      <c r="D481" s="176" t="s">
        <v>641</v>
      </c>
      <c r="E481" s="176" t="s">
        <v>16740</v>
      </c>
      <c r="F481" s="176" t="s">
        <v>17269</v>
      </c>
      <c r="G481" s="176">
        <v>700</v>
      </c>
      <c r="H481" s="176" t="s">
        <v>812</v>
      </c>
      <c r="I481" s="176">
        <v>5.5</v>
      </c>
      <c r="J481" s="176">
        <v>37</v>
      </c>
      <c r="K481" s="176">
        <v>7</v>
      </c>
      <c r="L481" s="176">
        <v>9720</v>
      </c>
      <c r="M481" s="176">
        <v>9350</v>
      </c>
      <c r="R481" s="176">
        <v>34</v>
      </c>
      <c r="S481" s="176">
        <v>0</v>
      </c>
      <c r="T481" s="176">
        <v>9720</v>
      </c>
      <c r="U481" s="176">
        <v>8890</v>
      </c>
      <c r="V481" s="176">
        <v>31</v>
      </c>
      <c r="W481" s="176">
        <v>3</v>
      </c>
      <c r="X481" s="176">
        <v>9630</v>
      </c>
      <c r="Y481" s="176">
        <v>8520</v>
      </c>
      <c r="Z481" s="176">
        <v>5.8299595141700413</v>
      </c>
      <c r="AA481" s="176">
        <v>34</v>
      </c>
      <c r="AB481" s="176">
        <v>0.99175347222222221</v>
      </c>
      <c r="AC481" s="176">
        <v>93.05</v>
      </c>
      <c r="AD481" s="176">
        <v>4.25</v>
      </c>
      <c r="AE481" s="176">
        <v>3.8333333333333335</v>
      </c>
      <c r="AF481" s="176" t="s">
        <v>236</v>
      </c>
      <c r="AG481" s="176">
        <v>1</v>
      </c>
      <c r="AH481" s="176" t="s">
        <v>15346</v>
      </c>
      <c r="AI481" s="176" t="s">
        <v>844</v>
      </c>
      <c r="AJ481" s="176" t="s">
        <v>844</v>
      </c>
      <c r="AK481" s="176" t="s">
        <v>647</v>
      </c>
      <c r="AL481" s="1191" t="s">
        <v>252</v>
      </c>
      <c r="AM481" s="176" t="s">
        <v>462</v>
      </c>
      <c r="AN481" s="176">
        <v>1.1890000000000001</v>
      </c>
      <c r="AO481" s="176">
        <v>2.8</v>
      </c>
      <c r="AP481" s="176">
        <v>24</v>
      </c>
      <c r="AQ481" s="176">
        <v>216</v>
      </c>
      <c r="AR481" s="176">
        <v>3.8</v>
      </c>
      <c r="AS481" s="193">
        <v>23422.3488</v>
      </c>
    </row>
    <row r="482" spans="1:45" ht="16.5" customHeight="1">
      <c r="A482" s="175">
        <v>46186</v>
      </c>
      <c r="B482" s="176" t="s">
        <v>240</v>
      </c>
      <c r="C482" s="176" t="s">
        <v>640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640</v>
      </c>
      <c r="P482" s="176" t="s">
        <v>640</v>
      </c>
      <c r="T482" s="176" t="s">
        <v>640</v>
      </c>
      <c r="X482" s="176" t="s">
        <v>640</v>
      </c>
      <c r="Z482" s="176" t="s">
        <v>420</v>
      </c>
      <c r="AA482" s="176" t="s">
        <v>640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241</v>
      </c>
      <c r="AG482" s="176">
        <v>12</v>
      </c>
      <c r="AH482" s="176" t="s">
        <v>648</v>
      </c>
      <c r="AI482" s="176" t="s">
        <v>648</v>
      </c>
      <c r="AJ482" s="176" t="s">
        <v>648</v>
      </c>
      <c r="AK482" s="176" t="s">
        <v>648</v>
      </c>
      <c r="AL482" s="119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46186</v>
      </c>
      <c r="B483" s="176" t="s">
        <v>242</v>
      </c>
      <c r="C483" s="176" t="s">
        <v>386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386</v>
      </c>
      <c r="P483" s="176" t="s">
        <v>386</v>
      </c>
      <c r="T483" s="176" t="s">
        <v>386</v>
      </c>
      <c r="X483" s="176" t="s">
        <v>386</v>
      </c>
      <c r="Z483" s="176" t="s">
        <v>420</v>
      </c>
      <c r="AA483" s="176" t="s">
        <v>386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241</v>
      </c>
      <c r="AG483" s="176">
        <v>5</v>
      </c>
      <c r="AH483" s="176" t="s">
        <v>17465</v>
      </c>
      <c r="AI483" s="176" t="s">
        <v>644</v>
      </c>
      <c r="AJ483" s="176" t="s">
        <v>644</v>
      </c>
      <c r="AK483" s="176" t="s">
        <v>648</v>
      </c>
      <c r="AL483" s="119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46187</v>
      </c>
      <c r="B484" s="176" t="s">
        <v>212</v>
      </c>
      <c r="C484" s="176" t="s">
        <v>640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640</v>
      </c>
      <c r="P484" s="176" t="s">
        <v>640</v>
      </c>
      <c r="T484" s="176" t="s">
        <v>640</v>
      </c>
      <c r="X484" s="176" t="s">
        <v>640</v>
      </c>
      <c r="Z484" s="176" t="s">
        <v>420</v>
      </c>
      <c r="AA484" s="176" t="s">
        <v>640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656</v>
      </c>
      <c r="AI484" s="176" t="s">
        <v>656</v>
      </c>
      <c r="AJ484" s="176" t="s">
        <v>656</v>
      </c>
      <c r="AK484" s="176" t="s">
        <v>656</v>
      </c>
      <c r="AL484" s="119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46187</v>
      </c>
      <c r="B485" s="176" t="s">
        <v>214</v>
      </c>
      <c r="C485" s="176" t="s">
        <v>640</v>
      </c>
      <c r="E485" s="176" t="s">
        <v>420</v>
      </c>
      <c r="F485" s="176" t="s">
        <v>420</v>
      </c>
      <c r="G485" s="176" t="s">
        <v>420</v>
      </c>
      <c r="H485" s="176" t="s">
        <v>420</v>
      </c>
      <c r="I485" s="176" t="s">
        <v>420</v>
      </c>
      <c r="L485" s="176" t="s">
        <v>640</v>
      </c>
      <c r="P485" s="176" t="s">
        <v>640</v>
      </c>
      <c r="T485" s="176" t="s">
        <v>640</v>
      </c>
      <c r="X485" s="176" t="s">
        <v>640</v>
      </c>
      <c r="Z485" s="176" t="s">
        <v>420</v>
      </c>
      <c r="AA485" s="176" t="s">
        <v>640</v>
      </c>
      <c r="AB485" s="176" t="s">
        <v>420</v>
      </c>
      <c r="AC485" s="176" t="s">
        <v>420</v>
      </c>
      <c r="AD485" s="176" t="s">
        <v>420</v>
      </c>
      <c r="AE485" s="176" t="s">
        <v>420</v>
      </c>
      <c r="AF485" s="176" t="s">
        <v>213</v>
      </c>
      <c r="AG485" s="176">
        <v>1</v>
      </c>
      <c r="AH485" s="176" t="s">
        <v>656</v>
      </c>
      <c r="AI485" s="176" t="s">
        <v>656</v>
      </c>
      <c r="AJ485" s="176" t="s">
        <v>656</v>
      </c>
      <c r="AK485" s="176" t="s">
        <v>656</v>
      </c>
      <c r="AL485" s="1191" t="s">
        <v>420</v>
      </c>
      <c r="AM485" s="176" t="s">
        <v>420</v>
      </c>
      <c r="AN485" s="176" t="s">
        <v>420</v>
      </c>
      <c r="AO485" s="176" t="s">
        <v>420</v>
      </c>
      <c r="AP485" s="176">
        <v>24</v>
      </c>
      <c r="AQ485" s="176">
        <v>216</v>
      </c>
      <c r="AR485" s="176" t="s">
        <v>420</v>
      </c>
      <c r="AS485" s="193" t="s">
        <v>420</v>
      </c>
    </row>
    <row r="486" spans="1:45" ht="16.5" customHeight="1">
      <c r="A486" s="175">
        <v>46187</v>
      </c>
      <c r="B486" s="176" t="s">
        <v>215</v>
      </c>
      <c r="C486" s="176" t="s">
        <v>640</v>
      </c>
      <c r="E486" s="176" t="s">
        <v>420</v>
      </c>
      <c r="F486" s="176" t="s">
        <v>420</v>
      </c>
      <c r="G486" s="176" t="s">
        <v>420</v>
      </c>
      <c r="H486" s="176" t="s">
        <v>420</v>
      </c>
      <c r="I486" s="176" t="s">
        <v>420</v>
      </c>
      <c r="L486" s="176" t="s">
        <v>640</v>
      </c>
      <c r="P486" s="176" t="s">
        <v>640</v>
      </c>
      <c r="T486" s="176" t="s">
        <v>640</v>
      </c>
      <c r="X486" s="176" t="s">
        <v>640</v>
      </c>
      <c r="Z486" s="176" t="s">
        <v>420</v>
      </c>
      <c r="AA486" s="176" t="s">
        <v>640</v>
      </c>
      <c r="AB486" s="176" t="s">
        <v>420</v>
      </c>
      <c r="AC486" s="176" t="s">
        <v>420</v>
      </c>
      <c r="AD486" s="176" t="s">
        <v>420</v>
      </c>
      <c r="AE486" s="176" t="s">
        <v>420</v>
      </c>
      <c r="AF486" s="176" t="s">
        <v>213</v>
      </c>
      <c r="AG486" s="176">
        <v>1</v>
      </c>
      <c r="AH486" s="176" t="s">
        <v>656</v>
      </c>
      <c r="AI486" s="176" t="s">
        <v>656</v>
      </c>
      <c r="AJ486" s="176" t="s">
        <v>656</v>
      </c>
      <c r="AK486" s="176" t="s">
        <v>656</v>
      </c>
      <c r="AL486" s="1191" t="s">
        <v>420</v>
      </c>
      <c r="AM486" s="176" t="s">
        <v>420</v>
      </c>
      <c r="AN486" s="176" t="s">
        <v>420</v>
      </c>
      <c r="AO486" s="176" t="s">
        <v>420</v>
      </c>
      <c r="AP486" s="176">
        <v>24</v>
      </c>
      <c r="AQ486" s="176">
        <v>216</v>
      </c>
      <c r="AR486" s="176" t="s">
        <v>420</v>
      </c>
      <c r="AS486" s="193" t="s">
        <v>420</v>
      </c>
    </row>
    <row r="487" spans="1:45" ht="16.5" customHeight="1">
      <c r="A487" s="175">
        <v>46187</v>
      </c>
      <c r="B487" s="176" t="s">
        <v>216</v>
      </c>
      <c r="C487" s="176" t="s">
        <v>640</v>
      </c>
      <c r="E487" s="176" t="s">
        <v>420</v>
      </c>
      <c r="F487" s="176" t="s">
        <v>420</v>
      </c>
      <c r="G487" s="176" t="s">
        <v>420</v>
      </c>
      <c r="H487" s="176" t="s">
        <v>420</v>
      </c>
      <c r="I487" s="176" t="s">
        <v>420</v>
      </c>
      <c r="L487" s="176" t="s">
        <v>640</v>
      </c>
      <c r="P487" s="176" t="s">
        <v>640</v>
      </c>
      <c r="T487" s="176" t="s">
        <v>640</v>
      </c>
      <c r="X487" s="176" t="s">
        <v>640</v>
      </c>
      <c r="Z487" s="176" t="s">
        <v>420</v>
      </c>
      <c r="AA487" s="176" t="s">
        <v>640</v>
      </c>
      <c r="AB487" s="176" t="s">
        <v>420</v>
      </c>
      <c r="AC487" s="176" t="s">
        <v>420</v>
      </c>
      <c r="AD487" s="176" t="s">
        <v>420</v>
      </c>
      <c r="AE487" s="176" t="s">
        <v>420</v>
      </c>
      <c r="AF487" s="176" t="s">
        <v>213</v>
      </c>
      <c r="AG487" s="176">
        <v>1</v>
      </c>
      <c r="AH487" s="176" t="s">
        <v>648</v>
      </c>
      <c r="AI487" s="176" t="s">
        <v>656</v>
      </c>
      <c r="AJ487" s="176" t="s">
        <v>656</v>
      </c>
      <c r="AK487" s="176" t="s">
        <v>656</v>
      </c>
      <c r="AL487" s="1191" t="s">
        <v>420</v>
      </c>
      <c r="AM487" s="176" t="s">
        <v>420</v>
      </c>
      <c r="AN487" s="176" t="s">
        <v>420</v>
      </c>
      <c r="AO487" s="176" t="s">
        <v>420</v>
      </c>
      <c r="AP487" s="176">
        <v>24</v>
      </c>
      <c r="AQ487" s="176">
        <v>216</v>
      </c>
      <c r="AR487" s="176" t="s">
        <v>420</v>
      </c>
      <c r="AS487" s="193" t="s">
        <v>420</v>
      </c>
    </row>
    <row r="488" spans="1:45" ht="16.5" customHeight="1">
      <c r="A488" s="175">
        <v>46187</v>
      </c>
      <c r="B488" s="176" t="s">
        <v>217</v>
      </c>
      <c r="C488" s="176" t="s">
        <v>17443</v>
      </c>
      <c r="E488" s="176" t="s">
        <v>474</v>
      </c>
      <c r="F488" s="176" t="s">
        <v>16817</v>
      </c>
      <c r="G488" s="176">
        <v>600</v>
      </c>
      <c r="H488" s="176" t="s">
        <v>16144</v>
      </c>
      <c r="I488" s="176">
        <v>5</v>
      </c>
      <c r="J488" s="176">
        <v>15</v>
      </c>
      <c r="K488" s="176">
        <v>0</v>
      </c>
      <c r="L488" s="176">
        <v>9169</v>
      </c>
      <c r="M488" s="176">
        <v>8625</v>
      </c>
      <c r="R488" s="176">
        <v>19</v>
      </c>
      <c r="S488" s="176">
        <v>0</v>
      </c>
      <c r="T488" s="176">
        <v>9124</v>
      </c>
      <c r="U488" s="176">
        <v>8830</v>
      </c>
      <c r="V488" s="176">
        <v>18</v>
      </c>
      <c r="W488" s="176">
        <v>0</v>
      </c>
      <c r="X488" s="176">
        <v>9037</v>
      </c>
      <c r="Y488" s="176">
        <v>8709</v>
      </c>
      <c r="Z488" s="176">
        <v>1.4090019569471623</v>
      </c>
      <c r="AA488" s="176">
        <v>17.333333333333332</v>
      </c>
      <c r="AB488" s="176">
        <v>1</v>
      </c>
      <c r="AC488" s="176">
        <v>89.156666666666666</v>
      </c>
      <c r="AD488" s="176">
        <v>2.1666666666666665</v>
      </c>
      <c r="AE488" s="176">
        <v>2.1666666666666665</v>
      </c>
      <c r="AF488" s="176" t="s">
        <v>213</v>
      </c>
      <c r="AG488" s="176">
        <v>1</v>
      </c>
      <c r="AH488" s="176" t="s">
        <v>649</v>
      </c>
      <c r="AI488" s="176" t="s">
        <v>638</v>
      </c>
      <c r="AJ488" s="176" t="s">
        <v>638</v>
      </c>
      <c r="AK488" s="176" t="s">
        <v>734</v>
      </c>
      <c r="AL488" s="1191" t="s">
        <v>252</v>
      </c>
      <c r="AM488" s="176" t="s">
        <v>126</v>
      </c>
      <c r="AN488" s="176">
        <v>0.91100000000000003</v>
      </c>
      <c r="AO488" s="176">
        <v>0.6</v>
      </c>
      <c r="AP488" s="176">
        <v>24</v>
      </c>
      <c r="AQ488" s="176">
        <v>216</v>
      </c>
      <c r="AR488" s="176">
        <v>1.6</v>
      </c>
      <c r="AS488" s="193">
        <v>7556.1984000000011</v>
      </c>
    </row>
    <row r="489" spans="1:45" ht="16.5" customHeight="1">
      <c r="A489" s="175">
        <v>46187</v>
      </c>
      <c r="B489" s="176" t="s">
        <v>218</v>
      </c>
      <c r="C489" s="176" t="s">
        <v>17260</v>
      </c>
      <c r="E489" s="176" t="s">
        <v>17335</v>
      </c>
      <c r="F489" s="176" t="s">
        <v>17276</v>
      </c>
      <c r="G489" s="176">
        <v>600</v>
      </c>
      <c r="H489" s="176" t="s">
        <v>15907</v>
      </c>
      <c r="I489" s="176">
        <v>5</v>
      </c>
      <c r="J489" s="176">
        <v>20</v>
      </c>
      <c r="K489" s="176">
        <v>4</v>
      </c>
      <c r="L489" s="176">
        <v>9489</v>
      </c>
      <c r="M489" s="176">
        <v>9786</v>
      </c>
      <c r="R489" s="176">
        <v>26</v>
      </c>
      <c r="S489" s="176">
        <v>2</v>
      </c>
      <c r="T489" s="176">
        <v>9467</v>
      </c>
      <c r="U489" s="176">
        <v>9905</v>
      </c>
      <c r="V489" s="176">
        <v>24</v>
      </c>
      <c r="W489" s="176">
        <v>1</v>
      </c>
      <c r="X489" s="176">
        <v>9377</v>
      </c>
      <c r="Y489" s="176">
        <v>9886</v>
      </c>
      <c r="Z489" s="176">
        <v>2.8015564202334629</v>
      </c>
      <c r="AA489" s="176">
        <v>11.666666666666666</v>
      </c>
      <c r="AB489" s="176">
        <v>0.98798744658119653</v>
      </c>
      <c r="AC489" s="176">
        <v>96.516666666666666</v>
      </c>
      <c r="AD489" s="176">
        <v>1.4583333333333333</v>
      </c>
      <c r="AE489" s="176">
        <v>1.3125</v>
      </c>
      <c r="AF489" s="176" t="s">
        <v>213</v>
      </c>
      <c r="AG489" s="176">
        <v>0.5</v>
      </c>
      <c r="AH489" s="176" t="s">
        <v>649</v>
      </c>
      <c r="AI489" s="176" t="s">
        <v>638</v>
      </c>
      <c r="AJ489" s="176" t="s">
        <v>638</v>
      </c>
      <c r="AK489" s="176" t="s">
        <v>734</v>
      </c>
      <c r="AL489" s="1191" t="s">
        <v>251</v>
      </c>
      <c r="AM489" s="176" t="s">
        <v>126</v>
      </c>
      <c r="AN489" s="176">
        <v>0.91100000000000003</v>
      </c>
      <c r="AO489" s="176">
        <v>1.7</v>
      </c>
      <c r="AP489" s="176">
        <v>24</v>
      </c>
      <c r="AQ489" s="176">
        <v>216</v>
      </c>
      <c r="AR489" s="176">
        <v>2.7</v>
      </c>
      <c r="AS489" s="193">
        <v>12751.084800000001</v>
      </c>
    </row>
    <row r="490" spans="1:45" ht="16.5" customHeight="1">
      <c r="A490" s="175">
        <v>46187</v>
      </c>
      <c r="B490" s="176" t="s">
        <v>219</v>
      </c>
      <c r="C490" s="176" t="s">
        <v>16766</v>
      </c>
      <c r="D490" s="176" t="s">
        <v>16769</v>
      </c>
      <c r="E490" s="176" t="s">
        <v>1472</v>
      </c>
      <c r="F490" s="176" t="s">
        <v>16217</v>
      </c>
      <c r="G490" s="176">
        <v>630</v>
      </c>
      <c r="H490" s="176" t="s">
        <v>629</v>
      </c>
      <c r="I490" s="176">
        <v>2</v>
      </c>
      <c r="J490" s="176">
        <v>12</v>
      </c>
      <c r="K490" s="176">
        <v>1</v>
      </c>
      <c r="L490" s="176">
        <v>9149</v>
      </c>
      <c r="M490" s="176">
        <v>9238</v>
      </c>
      <c r="R490" s="176">
        <v>14</v>
      </c>
      <c r="S490" s="176">
        <v>2</v>
      </c>
      <c r="T490" s="176">
        <v>9197</v>
      </c>
      <c r="U490" s="176">
        <v>9551</v>
      </c>
      <c r="V490" s="176">
        <v>14</v>
      </c>
      <c r="W490" s="176">
        <v>3</v>
      </c>
      <c r="X490" s="176">
        <v>9295</v>
      </c>
      <c r="Y490" s="176">
        <v>9513</v>
      </c>
      <c r="Z490" s="176">
        <v>2.4615384615384617</v>
      </c>
      <c r="AA490" s="176">
        <v>13.333333333333334</v>
      </c>
      <c r="AB490" s="176">
        <v>0.98828125</v>
      </c>
      <c r="AC490" s="176">
        <v>93.238333333333344</v>
      </c>
      <c r="AD490" s="176">
        <v>1.6666666666666667</v>
      </c>
      <c r="AE490" s="176">
        <v>1.4166666666666667</v>
      </c>
      <c r="AF490" s="176" t="s">
        <v>213</v>
      </c>
      <c r="AG490" s="176">
        <v>1</v>
      </c>
      <c r="AH490" s="176" t="s">
        <v>838</v>
      </c>
      <c r="AI490" s="176" t="s">
        <v>638</v>
      </c>
      <c r="AJ490" s="176" t="s">
        <v>638</v>
      </c>
      <c r="AK490" s="176" t="s">
        <v>734</v>
      </c>
      <c r="AL490" s="1191" t="s">
        <v>251</v>
      </c>
      <c r="AM490" s="176" t="s">
        <v>951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46187</v>
      </c>
      <c r="B491" s="176" t="s">
        <v>220</v>
      </c>
      <c r="C491" s="176" t="s">
        <v>640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640</v>
      </c>
      <c r="P491" s="176" t="s">
        <v>640</v>
      </c>
      <c r="T491" s="176" t="s">
        <v>640</v>
      </c>
      <c r="X491" s="176" t="s">
        <v>640</v>
      </c>
      <c r="Z491" s="176" t="s">
        <v>420</v>
      </c>
      <c r="AA491" s="176" t="s">
        <v>640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648</v>
      </c>
      <c r="AI491" s="176" t="s">
        <v>648</v>
      </c>
      <c r="AJ491" s="176" t="s">
        <v>648</v>
      </c>
      <c r="AK491" s="176" t="s">
        <v>648</v>
      </c>
      <c r="AL491" s="119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46187</v>
      </c>
      <c r="B492" s="176" t="s">
        <v>221</v>
      </c>
      <c r="C492" s="176" t="s">
        <v>16787</v>
      </c>
      <c r="E492" s="176" t="s">
        <v>624</v>
      </c>
      <c r="F492" s="176" t="s">
        <v>16747</v>
      </c>
      <c r="G492" s="176">
        <v>600</v>
      </c>
      <c r="H492" s="176" t="s">
        <v>476</v>
      </c>
      <c r="I492" s="176">
        <v>5</v>
      </c>
      <c r="J492" s="176">
        <v>12</v>
      </c>
      <c r="K492" s="176">
        <v>3</v>
      </c>
      <c r="L492" s="176">
        <v>9050</v>
      </c>
      <c r="M492" s="176">
        <v>8743</v>
      </c>
      <c r="R492" s="176">
        <v>6</v>
      </c>
      <c r="S492" s="176">
        <v>0</v>
      </c>
      <c r="T492" s="176">
        <v>9195</v>
      </c>
      <c r="U492" s="176">
        <v>8870</v>
      </c>
      <c r="V492" s="176">
        <v>13</v>
      </c>
      <c r="W492" s="176">
        <v>0</v>
      </c>
      <c r="X492" s="176">
        <v>9113</v>
      </c>
      <c r="Y492" s="176">
        <v>8832</v>
      </c>
      <c r="Z492" s="176">
        <v>2.8685258964143427</v>
      </c>
      <c r="AA492" s="176">
        <v>10.333333333333334</v>
      </c>
      <c r="AB492" s="176">
        <v>0.99497195512820513</v>
      </c>
      <c r="AC492" s="176">
        <v>89.671666666666667</v>
      </c>
      <c r="AD492" s="176">
        <v>1.2916666666666667</v>
      </c>
      <c r="AE492" s="176">
        <v>1.1666666666666667</v>
      </c>
      <c r="AF492" s="176" t="s">
        <v>213</v>
      </c>
      <c r="AG492" s="176">
        <v>1</v>
      </c>
      <c r="AH492" s="176" t="s">
        <v>649</v>
      </c>
      <c r="AI492" s="176" t="s">
        <v>638</v>
      </c>
      <c r="AJ492" s="176" t="s">
        <v>638</v>
      </c>
      <c r="AK492" s="176" t="s">
        <v>734</v>
      </c>
      <c r="AL492" s="119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46187</v>
      </c>
      <c r="B493" s="176" t="s">
        <v>222</v>
      </c>
      <c r="C493" s="176" t="s">
        <v>17282</v>
      </c>
      <c r="E493" s="176" t="s">
        <v>17283</v>
      </c>
      <c r="F493" s="176" t="s">
        <v>17284</v>
      </c>
      <c r="G493" s="176">
        <v>575</v>
      </c>
      <c r="H493" s="176" t="s">
        <v>468</v>
      </c>
      <c r="I493" s="176">
        <v>4</v>
      </c>
      <c r="L493" s="176" t="s">
        <v>127</v>
      </c>
      <c r="P493" s="176" t="s">
        <v>640</v>
      </c>
      <c r="Q493" s="176" t="s">
        <v>127</v>
      </c>
      <c r="T493" s="176" t="s">
        <v>640</v>
      </c>
      <c r="U493" s="176" t="s">
        <v>127</v>
      </c>
      <c r="X493" s="176" t="s">
        <v>640</v>
      </c>
      <c r="Y493" s="176" t="s">
        <v>127</v>
      </c>
      <c r="Z493" s="176">
        <v>1.1009174311926606</v>
      </c>
      <c r="AA493" s="176" t="s">
        <v>127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649</v>
      </c>
      <c r="AI493" s="176" t="s">
        <v>644</v>
      </c>
      <c r="AJ493" s="176" t="s">
        <v>644</v>
      </c>
      <c r="AK493" s="176" t="s">
        <v>15379</v>
      </c>
      <c r="AL493" s="1191" t="s">
        <v>251</v>
      </c>
      <c r="AM493" s="176" t="s">
        <v>126</v>
      </c>
      <c r="AN493" s="176">
        <v>0.91100000000000003</v>
      </c>
      <c r="AO493" s="176">
        <v>0.9</v>
      </c>
      <c r="AP493" s="176">
        <v>24</v>
      </c>
      <c r="AQ493" s="176">
        <v>216</v>
      </c>
      <c r="AR493" s="176">
        <v>1.9</v>
      </c>
      <c r="AS493" s="193">
        <v>8972.9856</v>
      </c>
    </row>
    <row r="494" spans="1:45" ht="16.5" customHeight="1">
      <c r="A494" s="175">
        <v>46187</v>
      </c>
      <c r="B494" s="176" t="s">
        <v>223</v>
      </c>
      <c r="C494" s="176" t="s">
        <v>640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640</v>
      </c>
      <c r="P494" s="176" t="s">
        <v>640</v>
      </c>
      <c r="T494" s="176" t="s">
        <v>640</v>
      </c>
      <c r="X494" s="176" t="s">
        <v>640</v>
      </c>
      <c r="Z494" s="176" t="s">
        <v>420</v>
      </c>
      <c r="AA494" s="176" t="s">
        <v>640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648</v>
      </c>
      <c r="AI494" s="176" t="s">
        <v>648</v>
      </c>
      <c r="AJ494" s="176" t="s">
        <v>648</v>
      </c>
      <c r="AK494" s="176" t="s">
        <v>648</v>
      </c>
      <c r="AL494" s="119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46187</v>
      </c>
      <c r="B495" s="176" t="s">
        <v>224</v>
      </c>
      <c r="C495" s="176" t="s">
        <v>640</v>
      </c>
      <c r="E495" s="176" t="s">
        <v>420</v>
      </c>
      <c r="F495" s="176" t="s">
        <v>420</v>
      </c>
      <c r="G495" s="176" t="s">
        <v>420</v>
      </c>
      <c r="H495" s="176" t="s">
        <v>420</v>
      </c>
      <c r="I495" s="176" t="s">
        <v>420</v>
      </c>
      <c r="L495" s="176" t="s">
        <v>640</v>
      </c>
      <c r="P495" s="176" t="s">
        <v>640</v>
      </c>
      <c r="T495" s="176" t="s">
        <v>640</v>
      </c>
      <c r="X495" s="176" t="s">
        <v>640</v>
      </c>
      <c r="Z495" s="176" t="s">
        <v>420</v>
      </c>
      <c r="AA495" s="176" t="s">
        <v>640</v>
      </c>
      <c r="AB495" s="176" t="s">
        <v>420</v>
      </c>
      <c r="AC495" s="176" t="s">
        <v>420</v>
      </c>
      <c r="AD495" s="176" t="s">
        <v>420</v>
      </c>
      <c r="AE495" s="176" t="s">
        <v>420</v>
      </c>
      <c r="AF495" s="176" t="s">
        <v>213</v>
      </c>
      <c r="AG495" s="176">
        <v>1</v>
      </c>
      <c r="AH495" s="176" t="s">
        <v>648</v>
      </c>
      <c r="AI495" s="176" t="s">
        <v>648</v>
      </c>
      <c r="AJ495" s="176" t="s">
        <v>648</v>
      </c>
      <c r="AK495" s="176" t="s">
        <v>648</v>
      </c>
      <c r="AL495" s="1191" t="s">
        <v>420</v>
      </c>
      <c r="AM495" s="176" t="s">
        <v>420</v>
      </c>
      <c r="AN495" s="176" t="s">
        <v>420</v>
      </c>
      <c r="AO495" s="176" t="s">
        <v>420</v>
      </c>
      <c r="AP495" s="176">
        <v>24</v>
      </c>
      <c r="AQ495" s="176">
        <v>216</v>
      </c>
      <c r="AR495" s="176" t="s">
        <v>420</v>
      </c>
      <c r="AS495" s="193" t="s">
        <v>420</v>
      </c>
    </row>
    <row r="496" spans="1:45" ht="16.5" customHeight="1">
      <c r="A496" s="175">
        <v>46187</v>
      </c>
      <c r="B496" s="176" t="s">
        <v>225</v>
      </c>
      <c r="C496" s="176" t="s">
        <v>17285</v>
      </c>
      <c r="E496" s="176" t="s">
        <v>17231</v>
      </c>
      <c r="F496" s="176" t="s">
        <v>17286</v>
      </c>
      <c r="G496" s="176">
        <v>650</v>
      </c>
      <c r="H496" s="176" t="s">
        <v>16749</v>
      </c>
      <c r="I496" s="176">
        <v>5</v>
      </c>
      <c r="J496" s="176">
        <v>17</v>
      </c>
      <c r="K496" s="176">
        <v>6</v>
      </c>
      <c r="L496" s="176">
        <v>9213</v>
      </c>
      <c r="M496" s="176">
        <v>9613</v>
      </c>
      <c r="R496" s="176">
        <v>25</v>
      </c>
      <c r="S496" s="176">
        <v>2</v>
      </c>
      <c r="T496" s="176">
        <v>9176</v>
      </c>
      <c r="U496" s="176">
        <v>9592</v>
      </c>
      <c r="V496" s="176">
        <v>18</v>
      </c>
      <c r="W496" s="176">
        <v>0</v>
      </c>
      <c r="X496" s="176">
        <v>8953</v>
      </c>
      <c r="Y496" s="176">
        <v>9666</v>
      </c>
      <c r="Z496" s="176">
        <v>3.0638297872340425</v>
      </c>
      <c r="AA496" s="176">
        <v>20</v>
      </c>
      <c r="AB496" s="176">
        <v>0.98744658119658124</v>
      </c>
      <c r="AC496" s="176">
        <v>93.688333333333333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838</v>
      </c>
      <c r="AI496" s="176" t="s">
        <v>638</v>
      </c>
      <c r="AJ496" s="176" t="s">
        <v>638</v>
      </c>
      <c r="AK496" s="176" t="s">
        <v>734</v>
      </c>
      <c r="AL496" s="1191" t="s">
        <v>252</v>
      </c>
      <c r="AM496" s="176" t="s">
        <v>126</v>
      </c>
      <c r="AN496" s="176">
        <v>0.91100000000000003</v>
      </c>
      <c r="AO496" s="176">
        <v>3</v>
      </c>
      <c r="AP496" s="176">
        <v>24</v>
      </c>
      <c r="AQ496" s="176">
        <v>216</v>
      </c>
      <c r="AR496" s="176">
        <v>4</v>
      </c>
      <c r="AS496" s="193">
        <v>18890.495999999999</v>
      </c>
    </row>
    <row r="497" spans="1:45" ht="16.5" customHeight="1">
      <c r="A497" s="175">
        <v>46187</v>
      </c>
      <c r="B497" s="176" t="s">
        <v>226</v>
      </c>
      <c r="C497" s="176" t="s">
        <v>640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640</v>
      </c>
      <c r="P497" s="176" t="s">
        <v>640</v>
      </c>
      <c r="T497" s="176" t="s">
        <v>640</v>
      </c>
      <c r="X497" s="176" t="s">
        <v>640</v>
      </c>
      <c r="Z497" s="176" t="s">
        <v>420</v>
      </c>
      <c r="AA497" s="176" t="s">
        <v>640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648</v>
      </c>
      <c r="AI497" s="176" t="s">
        <v>648</v>
      </c>
      <c r="AJ497" s="176" t="s">
        <v>648</v>
      </c>
      <c r="AK497" s="176" t="s">
        <v>648</v>
      </c>
      <c r="AL497" s="119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46187</v>
      </c>
      <c r="B498" s="176" t="s">
        <v>227</v>
      </c>
      <c r="C498" s="176" t="s">
        <v>640</v>
      </c>
      <c r="E498" s="176" t="s">
        <v>420</v>
      </c>
      <c r="F498" s="176" t="s">
        <v>420</v>
      </c>
      <c r="G498" s="176" t="s">
        <v>420</v>
      </c>
      <c r="H498" s="176" t="s">
        <v>420</v>
      </c>
      <c r="I498" s="176" t="s">
        <v>420</v>
      </c>
      <c r="L498" s="176" t="s">
        <v>640</v>
      </c>
      <c r="P498" s="176" t="s">
        <v>640</v>
      </c>
      <c r="T498" s="176" t="s">
        <v>640</v>
      </c>
      <c r="X498" s="176" t="s">
        <v>640</v>
      </c>
      <c r="Z498" s="176" t="s">
        <v>420</v>
      </c>
      <c r="AA498" s="176" t="s">
        <v>640</v>
      </c>
      <c r="AB498" s="176" t="s">
        <v>420</v>
      </c>
      <c r="AC498" s="176" t="s">
        <v>420</v>
      </c>
      <c r="AD498" s="176" t="s">
        <v>420</v>
      </c>
      <c r="AE498" s="176" t="s">
        <v>420</v>
      </c>
      <c r="AF498" s="176" t="s">
        <v>213</v>
      </c>
      <c r="AG498" s="176">
        <v>1</v>
      </c>
      <c r="AH498" s="176" t="s">
        <v>648</v>
      </c>
      <c r="AI498" s="176" t="s">
        <v>648</v>
      </c>
      <c r="AJ498" s="176" t="s">
        <v>648</v>
      </c>
      <c r="AK498" s="176" t="s">
        <v>648</v>
      </c>
      <c r="AL498" s="1191" t="s">
        <v>420</v>
      </c>
      <c r="AM498" s="176" t="s">
        <v>420</v>
      </c>
      <c r="AN498" s="176" t="s">
        <v>420</v>
      </c>
      <c r="AO498" s="176" t="s">
        <v>420</v>
      </c>
      <c r="AP498" s="176">
        <v>24</v>
      </c>
      <c r="AQ498" s="176">
        <v>216</v>
      </c>
      <c r="AR498" s="176" t="s">
        <v>420</v>
      </c>
      <c r="AS498" s="193" t="s">
        <v>420</v>
      </c>
    </row>
    <row r="499" spans="1:45" ht="16.5" customHeight="1">
      <c r="A499" s="175">
        <v>46187</v>
      </c>
      <c r="B499" s="176" t="s">
        <v>228</v>
      </c>
      <c r="C499" s="176" t="s">
        <v>17446</v>
      </c>
      <c r="E499" s="176" t="s">
        <v>17447</v>
      </c>
      <c r="F499" s="176" t="s">
        <v>17448</v>
      </c>
      <c r="G499" s="176">
        <v>550</v>
      </c>
      <c r="H499" s="176" t="s">
        <v>16736</v>
      </c>
      <c r="I499" s="176">
        <v>5</v>
      </c>
      <c r="J499" s="176">
        <v>26</v>
      </c>
      <c r="K499" s="176">
        <v>16</v>
      </c>
      <c r="L499" s="176">
        <v>8777</v>
      </c>
      <c r="M499" s="176">
        <v>8919</v>
      </c>
      <c r="R499" s="176">
        <v>18</v>
      </c>
      <c r="S499" s="176">
        <v>4</v>
      </c>
      <c r="T499" s="176">
        <v>9137</v>
      </c>
      <c r="U499" s="176">
        <v>9001</v>
      </c>
      <c r="V499" s="176">
        <v>28</v>
      </c>
      <c r="W499" s="176">
        <v>0</v>
      </c>
      <c r="X499" s="176">
        <v>9124</v>
      </c>
      <c r="Y499" s="176">
        <v>8953</v>
      </c>
      <c r="Z499" s="176">
        <v>5.161290322580645</v>
      </c>
      <c r="AA499" s="176">
        <v>12</v>
      </c>
      <c r="AB499" s="176">
        <v>0.98137019230769229</v>
      </c>
      <c r="AC499" s="176">
        <v>89.851666666666659</v>
      </c>
      <c r="AD499" s="176">
        <v>1.5</v>
      </c>
      <c r="AE499" s="176">
        <v>1.0833333333333333</v>
      </c>
      <c r="AF499" s="176" t="s">
        <v>213</v>
      </c>
      <c r="AG499" s="176">
        <v>0.5</v>
      </c>
      <c r="AH499" s="176" t="s">
        <v>649</v>
      </c>
      <c r="AI499" s="176" t="s">
        <v>638</v>
      </c>
      <c r="AJ499" s="176" t="s">
        <v>638</v>
      </c>
      <c r="AK499" s="176" t="s">
        <v>734</v>
      </c>
      <c r="AL499" s="1191" t="s">
        <v>251</v>
      </c>
      <c r="AM499" s="176" t="s">
        <v>651</v>
      </c>
      <c r="AN499" s="176">
        <v>1.859</v>
      </c>
      <c r="AO499" s="176">
        <v>2.8</v>
      </c>
      <c r="AP499" s="176">
        <v>24</v>
      </c>
      <c r="AQ499" s="176">
        <v>216</v>
      </c>
      <c r="AR499" s="176">
        <v>3.8</v>
      </c>
      <c r="AS499" s="193">
        <v>36620.8128</v>
      </c>
    </row>
    <row r="500" spans="1:45" ht="16.5" customHeight="1">
      <c r="A500" s="175">
        <v>46187</v>
      </c>
      <c r="B500" s="176" t="s">
        <v>229</v>
      </c>
      <c r="C500" s="176" t="s">
        <v>640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640</v>
      </c>
      <c r="P500" s="176" t="s">
        <v>640</v>
      </c>
      <c r="T500" s="176" t="s">
        <v>640</v>
      </c>
      <c r="X500" s="176" t="s">
        <v>640</v>
      </c>
      <c r="Z500" s="176" t="s">
        <v>420</v>
      </c>
      <c r="AA500" s="176" t="s">
        <v>640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648</v>
      </c>
      <c r="AI500" s="176" t="s">
        <v>648</v>
      </c>
      <c r="AJ500" s="176" t="s">
        <v>648</v>
      </c>
      <c r="AK500" s="176" t="s">
        <v>648</v>
      </c>
      <c r="AL500" s="119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46187</v>
      </c>
      <c r="B501" s="176" t="s">
        <v>230</v>
      </c>
      <c r="C501" s="176" t="s">
        <v>640</v>
      </c>
      <c r="E501" s="176" t="s">
        <v>420</v>
      </c>
      <c r="F501" s="176" t="s">
        <v>420</v>
      </c>
      <c r="G501" s="176" t="s">
        <v>420</v>
      </c>
      <c r="H501" s="176" t="s">
        <v>420</v>
      </c>
      <c r="I501" s="176" t="s">
        <v>420</v>
      </c>
      <c r="L501" s="176" t="s">
        <v>640</v>
      </c>
      <c r="P501" s="176" t="s">
        <v>640</v>
      </c>
      <c r="T501" s="176" t="s">
        <v>640</v>
      </c>
      <c r="X501" s="176" t="s">
        <v>640</v>
      </c>
      <c r="Z501" s="176" t="s">
        <v>420</v>
      </c>
      <c r="AA501" s="176" t="s">
        <v>640</v>
      </c>
      <c r="AB501" s="176" t="s">
        <v>420</v>
      </c>
      <c r="AC501" s="176" t="s">
        <v>420</v>
      </c>
      <c r="AD501" s="176" t="s">
        <v>420</v>
      </c>
      <c r="AE501" s="176" t="s">
        <v>420</v>
      </c>
      <c r="AF501" s="176" t="s">
        <v>213</v>
      </c>
      <c r="AG501" s="176">
        <v>1</v>
      </c>
      <c r="AH501" s="176" t="s">
        <v>648</v>
      </c>
      <c r="AI501" s="176" t="s">
        <v>648</v>
      </c>
      <c r="AJ501" s="176" t="s">
        <v>648</v>
      </c>
      <c r="AK501" s="176" t="s">
        <v>648</v>
      </c>
      <c r="AL501" s="1191" t="s">
        <v>420</v>
      </c>
      <c r="AM501" s="176" t="s">
        <v>420</v>
      </c>
      <c r="AN501" s="176" t="s">
        <v>420</v>
      </c>
      <c r="AO501" s="176" t="s">
        <v>420</v>
      </c>
      <c r="AP501" s="176">
        <v>24</v>
      </c>
      <c r="AQ501" s="176">
        <v>216</v>
      </c>
      <c r="AR501" s="176" t="s">
        <v>420</v>
      </c>
      <c r="AS501" s="193" t="s">
        <v>420</v>
      </c>
    </row>
    <row r="502" spans="1:45" ht="16.5" customHeight="1">
      <c r="A502" s="175">
        <v>46187</v>
      </c>
      <c r="B502" s="176" t="s">
        <v>231</v>
      </c>
      <c r="C502" s="176" t="s">
        <v>640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640</v>
      </c>
      <c r="P502" s="176" t="s">
        <v>640</v>
      </c>
      <c r="T502" s="176" t="s">
        <v>640</v>
      </c>
      <c r="X502" s="176" t="s">
        <v>640</v>
      </c>
      <c r="Z502" s="176" t="s">
        <v>420</v>
      </c>
      <c r="AA502" s="176" t="s">
        <v>640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648</v>
      </c>
      <c r="AI502" s="176" t="s">
        <v>648</v>
      </c>
      <c r="AJ502" s="176" t="s">
        <v>648</v>
      </c>
      <c r="AK502" s="176" t="s">
        <v>648</v>
      </c>
      <c r="AL502" s="119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46187</v>
      </c>
      <c r="B503" s="176" t="s">
        <v>233</v>
      </c>
      <c r="C503" s="176" t="s">
        <v>17336</v>
      </c>
      <c r="D503" s="176" t="s">
        <v>641</v>
      </c>
      <c r="E503" s="176" t="s">
        <v>16740</v>
      </c>
      <c r="F503" s="176" t="s">
        <v>17289</v>
      </c>
      <c r="G503" s="176">
        <v>600</v>
      </c>
      <c r="H503" s="176" t="s">
        <v>7798</v>
      </c>
      <c r="I503" s="176">
        <v>5.5</v>
      </c>
      <c r="J503" s="176">
        <v>23</v>
      </c>
      <c r="K503" s="176">
        <v>2</v>
      </c>
      <c r="L503" s="176">
        <v>6380</v>
      </c>
      <c r="R503" s="176">
        <v>31</v>
      </c>
      <c r="S503" s="176">
        <v>6</v>
      </c>
      <c r="T503" s="176">
        <v>6520</v>
      </c>
      <c r="V503" s="176">
        <v>36</v>
      </c>
      <c r="W503" s="176">
        <v>10</v>
      </c>
      <c r="X503" s="176">
        <v>6400</v>
      </c>
      <c r="Z503" s="176">
        <v>5.8536585365853666</v>
      </c>
      <c r="AA503" s="176">
        <v>30</v>
      </c>
      <c r="AB503" s="176">
        <v>0.98521634615384612</v>
      </c>
      <c r="AC503" s="176">
        <v>64.333333333333329</v>
      </c>
      <c r="AD503" s="176">
        <v>3.75</v>
      </c>
      <c r="AE503" s="176">
        <v>3</v>
      </c>
      <c r="AF503" s="176" t="s">
        <v>232</v>
      </c>
      <c r="AG503" s="176">
        <v>1</v>
      </c>
      <c r="AH503" s="176" t="s">
        <v>15862</v>
      </c>
      <c r="AI503" s="176" t="s">
        <v>824</v>
      </c>
      <c r="AJ503" s="176" t="s">
        <v>824</v>
      </c>
      <c r="AK503" s="176" t="s">
        <v>15379</v>
      </c>
      <c r="AL503" s="1191" t="s">
        <v>251</v>
      </c>
      <c r="AM503" s="176" t="s">
        <v>651</v>
      </c>
      <c r="AN503" s="176">
        <v>1.859</v>
      </c>
      <c r="AO503" s="176">
        <v>2.1</v>
      </c>
      <c r="AP503" s="176">
        <v>24</v>
      </c>
      <c r="AQ503" s="176">
        <v>216</v>
      </c>
      <c r="AR503" s="176">
        <v>3.1</v>
      </c>
      <c r="AS503" s="193">
        <v>29874.873599999999</v>
      </c>
    </row>
    <row r="504" spans="1:45" ht="16.5" customHeight="1">
      <c r="A504" s="175">
        <v>46187</v>
      </c>
      <c r="B504" s="176" t="s">
        <v>234</v>
      </c>
      <c r="C504" s="176" t="s">
        <v>640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640</v>
      </c>
      <c r="P504" s="176" t="s">
        <v>640</v>
      </c>
      <c r="T504" s="176" t="s">
        <v>640</v>
      </c>
      <c r="X504" s="176" t="s">
        <v>640</v>
      </c>
      <c r="Z504" s="176" t="s">
        <v>420</v>
      </c>
      <c r="AA504" s="176" t="s">
        <v>640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648</v>
      </c>
      <c r="AI504" s="176" t="s">
        <v>648</v>
      </c>
      <c r="AJ504" s="176" t="s">
        <v>648</v>
      </c>
      <c r="AK504" s="176" t="s">
        <v>648</v>
      </c>
      <c r="AL504" s="119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46187</v>
      </c>
      <c r="B505" s="176" t="s">
        <v>235</v>
      </c>
      <c r="C505" s="176" t="s">
        <v>17287</v>
      </c>
      <c r="D505" s="176" t="s">
        <v>641</v>
      </c>
      <c r="E505" s="176" t="s">
        <v>16740</v>
      </c>
      <c r="F505" s="176" t="s">
        <v>17269</v>
      </c>
      <c r="G505" s="176">
        <v>700</v>
      </c>
      <c r="H505" s="176" t="s">
        <v>1032</v>
      </c>
      <c r="I505" s="176">
        <v>5.5</v>
      </c>
      <c r="J505" s="176">
        <v>43</v>
      </c>
      <c r="K505" s="176">
        <v>0</v>
      </c>
      <c r="L505" s="176">
        <v>9440</v>
      </c>
      <c r="M505" s="176">
        <v>9170</v>
      </c>
      <c r="R505" s="176">
        <v>34</v>
      </c>
      <c r="S505" s="176">
        <v>1</v>
      </c>
      <c r="T505" s="176">
        <v>9260</v>
      </c>
      <c r="U505" s="176">
        <v>9070</v>
      </c>
      <c r="V505" s="176">
        <v>42</v>
      </c>
      <c r="W505" s="176">
        <v>12</v>
      </c>
      <c r="X505" s="176">
        <v>9350</v>
      </c>
      <c r="Y505" s="176">
        <v>9260</v>
      </c>
      <c r="Z505" s="176">
        <v>5.8299595141700413</v>
      </c>
      <c r="AA505" s="176">
        <v>39.666666666666664</v>
      </c>
      <c r="AB505" s="176">
        <v>0.98927951388888891</v>
      </c>
      <c r="AC505" s="176">
        <v>92.583333333333343</v>
      </c>
      <c r="AD505" s="176">
        <v>4.958333333333333</v>
      </c>
      <c r="AE505" s="176">
        <v>4.416666666666667</v>
      </c>
      <c r="AF505" s="176" t="s">
        <v>236</v>
      </c>
      <c r="AG505" s="176">
        <v>1</v>
      </c>
      <c r="AH505" s="176" t="s">
        <v>659</v>
      </c>
      <c r="AI505" s="176" t="s">
        <v>824</v>
      </c>
      <c r="AJ505" s="176" t="s">
        <v>824</v>
      </c>
      <c r="AK505" s="176" t="s">
        <v>15890</v>
      </c>
      <c r="AL505" s="1191" t="s">
        <v>252</v>
      </c>
      <c r="AM505" s="176" t="s">
        <v>462</v>
      </c>
      <c r="AN505" s="176">
        <v>1.1890000000000001</v>
      </c>
      <c r="AO505" s="176">
        <v>3</v>
      </c>
      <c r="AP505" s="176">
        <v>24</v>
      </c>
      <c r="AQ505" s="176">
        <v>216</v>
      </c>
      <c r="AR505" s="176">
        <v>4</v>
      </c>
      <c r="AS505" s="193">
        <v>24655.103999999999</v>
      </c>
    </row>
    <row r="506" spans="1:45" ht="16.5" customHeight="1">
      <c r="A506" s="175">
        <v>46187</v>
      </c>
      <c r="B506" s="176" t="s">
        <v>237</v>
      </c>
      <c r="C506" s="176" t="s">
        <v>17288</v>
      </c>
      <c r="D506" s="176" t="s">
        <v>641</v>
      </c>
      <c r="E506" s="176" t="s">
        <v>16740</v>
      </c>
      <c r="F506" s="176" t="s">
        <v>17289</v>
      </c>
      <c r="G506" s="176">
        <v>700</v>
      </c>
      <c r="H506" s="176" t="s">
        <v>957</v>
      </c>
      <c r="I506" s="176">
        <v>5.5</v>
      </c>
      <c r="J506" s="176">
        <v>67</v>
      </c>
      <c r="K506" s="176">
        <v>34</v>
      </c>
      <c r="L506" s="176">
        <v>7690</v>
      </c>
      <c r="M506" s="176">
        <v>8150</v>
      </c>
      <c r="R506" s="176">
        <v>62</v>
      </c>
      <c r="S506" s="176">
        <v>20</v>
      </c>
      <c r="T506" s="176">
        <v>8060</v>
      </c>
      <c r="U506" s="176">
        <v>9540</v>
      </c>
      <c r="V506" s="176">
        <v>69</v>
      </c>
      <c r="W506" s="176">
        <v>28</v>
      </c>
      <c r="X506" s="176">
        <v>8610</v>
      </c>
      <c r="Y506" s="176">
        <v>9630</v>
      </c>
      <c r="Z506" s="176">
        <v>5.8299595141700413</v>
      </c>
      <c r="AA506" s="176">
        <v>66</v>
      </c>
      <c r="AB506" s="176">
        <v>0.93237847222222225</v>
      </c>
      <c r="AC506" s="176">
        <v>86.13333333333334</v>
      </c>
      <c r="AD506" s="176">
        <v>8.25</v>
      </c>
      <c r="AE506" s="176">
        <v>4.833333333333333</v>
      </c>
      <c r="AF506" s="176" t="s">
        <v>236</v>
      </c>
      <c r="AG506" s="176">
        <v>1</v>
      </c>
      <c r="AH506" s="176" t="s">
        <v>646</v>
      </c>
      <c r="AI506" s="176" t="s">
        <v>844</v>
      </c>
      <c r="AJ506" s="176" t="s">
        <v>844</v>
      </c>
      <c r="AK506" s="176" t="s">
        <v>17477</v>
      </c>
      <c r="AL506" s="1191" t="s">
        <v>251</v>
      </c>
      <c r="AM506" s="176" t="s">
        <v>462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46187</v>
      </c>
      <c r="B507" s="176" t="s">
        <v>238</v>
      </c>
      <c r="C507" s="176" t="s">
        <v>640</v>
      </c>
      <c r="E507" s="176" t="s">
        <v>420</v>
      </c>
      <c r="F507" s="176" t="s">
        <v>420</v>
      </c>
      <c r="G507" s="176" t="s">
        <v>420</v>
      </c>
      <c r="H507" s="176" t="s">
        <v>420</v>
      </c>
      <c r="I507" s="176" t="s">
        <v>420</v>
      </c>
      <c r="L507" s="176" t="s">
        <v>640</v>
      </c>
      <c r="P507" s="176" t="s">
        <v>640</v>
      </c>
      <c r="T507" s="176" t="s">
        <v>640</v>
      </c>
      <c r="X507" s="176" t="s">
        <v>640</v>
      </c>
      <c r="Z507" s="176" t="s">
        <v>420</v>
      </c>
      <c r="AA507" s="176" t="s">
        <v>640</v>
      </c>
      <c r="AB507" s="176" t="s">
        <v>420</v>
      </c>
      <c r="AC507" s="176" t="s">
        <v>420</v>
      </c>
      <c r="AD507" s="176" t="s">
        <v>420</v>
      </c>
      <c r="AE507" s="176" t="s">
        <v>420</v>
      </c>
      <c r="AF507" s="176" t="s">
        <v>236</v>
      </c>
      <c r="AG507" s="176">
        <v>2</v>
      </c>
      <c r="AH507" s="176" t="s">
        <v>659</v>
      </c>
      <c r="AI507" s="176" t="s">
        <v>648</v>
      </c>
      <c r="AJ507" s="176" t="s">
        <v>648</v>
      </c>
      <c r="AK507" s="176" t="s">
        <v>648</v>
      </c>
      <c r="AL507" s="1191" t="s">
        <v>420</v>
      </c>
      <c r="AM507" s="176" t="s">
        <v>420</v>
      </c>
      <c r="AN507" s="176" t="s">
        <v>420</v>
      </c>
      <c r="AO507" s="176" t="s">
        <v>420</v>
      </c>
      <c r="AP507" s="176">
        <v>24</v>
      </c>
      <c r="AQ507" s="176">
        <v>216</v>
      </c>
      <c r="AR507" s="176" t="s">
        <v>420</v>
      </c>
      <c r="AS507" s="193" t="s">
        <v>420</v>
      </c>
    </row>
    <row r="508" spans="1:45" ht="16.5" customHeight="1">
      <c r="A508" s="175">
        <v>46187</v>
      </c>
      <c r="B508" s="176" t="s">
        <v>239</v>
      </c>
      <c r="C508" s="176" t="s">
        <v>640</v>
      </c>
      <c r="E508" s="176" t="s">
        <v>420</v>
      </c>
      <c r="F508" s="176" t="s">
        <v>420</v>
      </c>
      <c r="G508" s="176" t="s">
        <v>420</v>
      </c>
      <c r="H508" s="176" t="s">
        <v>420</v>
      </c>
      <c r="I508" s="176" t="s">
        <v>420</v>
      </c>
      <c r="L508" s="176" t="s">
        <v>640</v>
      </c>
      <c r="P508" s="176" t="s">
        <v>640</v>
      </c>
      <c r="T508" s="176" t="s">
        <v>640</v>
      </c>
      <c r="X508" s="176" t="s">
        <v>640</v>
      </c>
      <c r="Z508" s="176" t="s">
        <v>420</v>
      </c>
      <c r="AA508" s="176" t="s">
        <v>640</v>
      </c>
      <c r="AB508" s="176" t="s">
        <v>420</v>
      </c>
      <c r="AC508" s="176" t="s">
        <v>420</v>
      </c>
      <c r="AD508" s="176" t="s">
        <v>420</v>
      </c>
      <c r="AE508" s="176" t="s">
        <v>420</v>
      </c>
      <c r="AF508" s="176" t="s">
        <v>236</v>
      </c>
      <c r="AG508" s="176">
        <v>2</v>
      </c>
      <c r="AH508" s="176" t="s">
        <v>646</v>
      </c>
      <c r="AI508" s="176" t="s">
        <v>844</v>
      </c>
      <c r="AJ508" s="176" t="s">
        <v>844</v>
      </c>
      <c r="AK508" s="176" t="s">
        <v>647</v>
      </c>
      <c r="AL508" s="1191" t="s">
        <v>420</v>
      </c>
      <c r="AM508" s="176" t="s">
        <v>420</v>
      </c>
      <c r="AN508" s="176" t="s">
        <v>420</v>
      </c>
      <c r="AO508" s="176" t="s">
        <v>420</v>
      </c>
      <c r="AP508" s="176">
        <v>24</v>
      </c>
      <c r="AQ508" s="176">
        <v>216</v>
      </c>
      <c r="AR508" s="176" t="s">
        <v>420</v>
      </c>
      <c r="AS508" s="193" t="s">
        <v>420</v>
      </c>
    </row>
    <row r="509" spans="1:45" ht="16.5" customHeight="1">
      <c r="A509" s="175">
        <v>46187</v>
      </c>
      <c r="B509" s="176" t="s">
        <v>239</v>
      </c>
      <c r="C509" s="176" t="s">
        <v>17412</v>
      </c>
      <c r="D509" s="176" t="s">
        <v>641</v>
      </c>
      <c r="E509" s="176" t="s">
        <v>16744</v>
      </c>
      <c r="F509" s="176" t="s">
        <v>17414</v>
      </c>
      <c r="G509" s="176">
        <v>550</v>
      </c>
      <c r="H509" s="176" t="s">
        <v>877</v>
      </c>
      <c r="I509" s="176">
        <v>5.5</v>
      </c>
      <c r="J509" s="176">
        <v>16</v>
      </c>
      <c r="K509" s="176">
        <v>0</v>
      </c>
      <c r="M509" s="176">
        <v>9070</v>
      </c>
      <c r="R509" s="176">
        <v>16</v>
      </c>
      <c r="S509" s="176">
        <v>0</v>
      </c>
      <c r="T509" s="176">
        <v>9070</v>
      </c>
      <c r="V509" s="176">
        <v>7</v>
      </c>
      <c r="W509" s="176">
        <v>7</v>
      </c>
      <c r="X509" s="176">
        <v>9170</v>
      </c>
      <c r="Z509" s="176">
        <v>6.6055045871559646</v>
      </c>
      <c r="AA509" s="176">
        <v>26</v>
      </c>
      <c r="AB509" s="176">
        <v>0.9949051816239316</v>
      </c>
      <c r="AC509" s="176">
        <v>91.033333333333346</v>
      </c>
      <c r="AD509" s="176">
        <v>3.25</v>
      </c>
      <c r="AE509" s="176">
        <v>2.6666666666666665</v>
      </c>
      <c r="AF509" s="176" t="s">
        <v>236</v>
      </c>
      <c r="AG509" s="176">
        <v>2</v>
      </c>
      <c r="AH509" s="176" t="s">
        <v>15346</v>
      </c>
      <c r="AI509" s="176" t="s">
        <v>844</v>
      </c>
      <c r="AJ509" s="176" t="s">
        <v>844</v>
      </c>
      <c r="AK509" s="176" t="s">
        <v>647</v>
      </c>
      <c r="AL509" s="1191" t="s">
        <v>252</v>
      </c>
      <c r="AM509" s="176" t="s">
        <v>651</v>
      </c>
      <c r="AN509" s="176">
        <v>1.859</v>
      </c>
      <c r="AO509" s="176">
        <v>3.3</v>
      </c>
      <c r="AP509" s="176">
        <v>24</v>
      </c>
      <c r="AQ509" s="176">
        <v>216</v>
      </c>
      <c r="AR509" s="176">
        <v>4.3</v>
      </c>
      <c r="AS509" s="193">
        <v>41439.340799999998</v>
      </c>
    </row>
    <row r="510" spans="1:45" ht="16.5" customHeight="1">
      <c r="A510" s="175">
        <v>46187</v>
      </c>
      <c r="B510" s="176" t="s">
        <v>389</v>
      </c>
      <c r="C510" s="176" t="s">
        <v>17403</v>
      </c>
      <c r="D510" s="176" t="s">
        <v>641</v>
      </c>
      <c r="E510" s="176" t="s">
        <v>16740</v>
      </c>
      <c r="F510" s="176" t="s">
        <v>17269</v>
      </c>
      <c r="G510" s="176">
        <v>700</v>
      </c>
      <c r="H510" s="176" t="s">
        <v>840</v>
      </c>
      <c r="I510" s="176">
        <v>5.5</v>
      </c>
      <c r="J510" s="176">
        <v>27</v>
      </c>
      <c r="K510" s="176">
        <v>0</v>
      </c>
      <c r="L510" s="176">
        <v>8060</v>
      </c>
      <c r="M510" s="176">
        <v>9910</v>
      </c>
      <c r="R510" s="176">
        <v>17</v>
      </c>
      <c r="S510" s="176">
        <v>0</v>
      </c>
      <c r="T510" s="176">
        <v>7960</v>
      </c>
      <c r="U510" s="176">
        <v>9720</v>
      </c>
      <c r="V510" s="176">
        <v>24</v>
      </c>
      <c r="W510" s="176">
        <v>4</v>
      </c>
      <c r="X510" s="176">
        <v>8060</v>
      </c>
      <c r="Y510" s="176">
        <v>10000</v>
      </c>
      <c r="Z510" s="176">
        <v>5.8299595141700413</v>
      </c>
      <c r="AA510" s="176">
        <v>22.666666666666668</v>
      </c>
      <c r="AB510" s="176">
        <v>0.99670138888888893</v>
      </c>
      <c r="AC510" s="176">
        <v>89.516666666666666</v>
      </c>
      <c r="AD510" s="176">
        <v>2.8333333333333335</v>
      </c>
      <c r="AE510" s="176">
        <v>2.6666666666666665</v>
      </c>
      <c r="AF510" s="176" t="s">
        <v>236</v>
      </c>
      <c r="AG510" s="176">
        <v>1</v>
      </c>
      <c r="AH510" s="176" t="s">
        <v>659</v>
      </c>
      <c r="AI510" s="176" t="s">
        <v>824</v>
      </c>
      <c r="AJ510" s="176" t="s">
        <v>824</v>
      </c>
      <c r="AK510" s="176" t="s">
        <v>15890</v>
      </c>
      <c r="AL510" s="1191" t="s">
        <v>252</v>
      </c>
      <c r="AM510" s="176" t="s">
        <v>462</v>
      </c>
      <c r="AN510" s="176">
        <v>1.1890000000000001</v>
      </c>
      <c r="AO510" s="176">
        <v>2.8</v>
      </c>
      <c r="AP510" s="176">
        <v>24</v>
      </c>
      <c r="AQ510" s="176">
        <v>216</v>
      </c>
      <c r="AR510" s="176">
        <v>3.8</v>
      </c>
      <c r="AS510" s="193">
        <v>23422.3488</v>
      </c>
    </row>
    <row r="511" spans="1:45" ht="16.5" customHeight="1">
      <c r="A511" s="175">
        <v>46187</v>
      </c>
      <c r="B511" s="176" t="s">
        <v>418</v>
      </c>
      <c r="C511" s="176" t="s">
        <v>17262</v>
      </c>
      <c r="D511" s="176" t="s">
        <v>641</v>
      </c>
      <c r="E511" s="176" t="s">
        <v>16740</v>
      </c>
      <c r="F511" s="176" t="s">
        <v>17269</v>
      </c>
      <c r="G511" s="176">
        <v>700</v>
      </c>
      <c r="H511" s="176" t="s">
        <v>812</v>
      </c>
      <c r="I511" s="176">
        <v>5.5</v>
      </c>
      <c r="J511" s="176">
        <v>46</v>
      </c>
      <c r="K511" s="176">
        <v>2</v>
      </c>
      <c r="L511" s="176">
        <v>10000</v>
      </c>
      <c r="M511" s="176">
        <v>9350</v>
      </c>
      <c r="R511" s="176">
        <v>16</v>
      </c>
      <c r="S511" s="176">
        <v>0</v>
      </c>
      <c r="T511" s="176">
        <v>10000</v>
      </c>
      <c r="U511" s="176">
        <v>8610</v>
      </c>
      <c r="V511" s="176">
        <v>39</v>
      </c>
      <c r="W511" s="176">
        <v>0</v>
      </c>
      <c r="X511" s="176">
        <v>10000</v>
      </c>
      <c r="Y511" s="176">
        <v>9440</v>
      </c>
      <c r="Z511" s="176">
        <v>5.8299595141700413</v>
      </c>
      <c r="AA511" s="176">
        <v>33.666666666666664</v>
      </c>
      <c r="AB511" s="176">
        <v>0.99835069444444446</v>
      </c>
      <c r="AC511" s="176">
        <v>95.666666666666657</v>
      </c>
      <c r="AD511" s="176">
        <v>4.208333333333333</v>
      </c>
      <c r="AE511" s="176">
        <v>4.125</v>
      </c>
      <c r="AF511" s="176" t="s">
        <v>236</v>
      </c>
      <c r="AG511" s="176">
        <v>1</v>
      </c>
      <c r="AH511" s="176" t="s">
        <v>646</v>
      </c>
      <c r="AI511" s="176" t="s">
        <v>844</v>
      </c>
      <c r="AJ511" s="176" t="s">
        <v>844</v>
      </c>
      <c r="AK511" s="176" t="s">
        <v>647</v>
      </c>
      <c r="AL511" s="1191" t="s">
        <v>252</v>
      </c>
      <c r="AM511" s="176" t="s">
        <v>462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46187</v>
      </c>
      <c r="B512" s="176" t="s">
        <v>240</v>
      </c>
      <c r="C512" s="176" t="s">
        <v>640</v>
      </c>
      <c r="E512" s="176" t="s">
        <v>420</v>
      </c>
      <c r="F512" s="176" t="s">
        <v>420</v>
      </c>
      <c r="G512" s="176" t="s">
        <v>420</v>
      </c>
      <c r="H512" s="176" t="s">
        <v>420</v>
      </c>
      <c r="I512" s="176" t="s">
        <v>420</v>
      </c>
      <c r="L512" s="176" t="s">
        <v>640</v>
      </c>
      <c r="P512" s="176" t="s">
        <v>640</v>
      </c>
      <c r="T512" s="176" t="s">
        <v>640</v>
      </c>
      <c r="X512" s="176" t="s">
        <v>640</v>
      </c>
      <c r="Z512" s="176" t="s">
        <v>420</v>
      </c>
      <c r="AA512" s="176" t="s">
        <v>640</v>
      </c>
      <c r="AB512" s="176" t="s">
        <v>420</v>
      </c>
      <c r="AC512" s="176" t="s">
        <v>420</v>
      </c>
      <c r="AD512" s="176" t="s">
        <v>420</v>
      </c>
      <c r="AE512" s="176" t="s">
        <v>420</v>
      </c>
      <c r="AF512" s="176" t="s">
        <v>241</v>
      </c>
      <c r="AG512" s="176">
        <v>12</v>
      </c>
      <c r="AH512" s="176" t="s">
        <v>648</v>
      </c>
      <c r="AI512" s="176" t="s">
        <v>648</v>
      </c>
      <c r="AJ512" s="176" t="s">
        <v>648</v>
      </c>
      <c r="AK512" s="176" t="s">
        <v>648</v>
      </c>
      <c r="AL512" s="1191" t="s">
        <v>420</v>
      </c>
      <c r="AM512" s="176" t="s">
        <v>420</v>
      </c>
      <c r="AN512" s="176" t="s">
        <v>420</v>
      </c>
      <c r="AO512" s="176" t="s">
        <v>420</v>
      </c>
      <c r="AP512" s="176">
        <v>24</v>
      </c>
      <c r="AQ512" s="176">
        <v>216</v>
      </c>
      <c r="AR512" s="176" t="s">
        <v>420</v>
      </c>
      <c r="AS512" s="193" t="s">
        <v>420</v>
      </c>
    </row>
    <row r="513" spans="1:45" ht="16.5" customHeight="1">
      <c r="A513" s="175">
        <v>46187</v>
      </c>
      <c r="B513" s="176" t="s">
        <v>242</v>
      </c>
      <c r="C513" s="176" t="s">
        <v>386</v>
      </c>
      <c r="E513" s="176" t="s">
        <v>420</v>
      </c>
      <c r="F513" s="176" t="s">
        <v>420</v>
      </c>
      <c r="G513" s="176" t="s">
        <v>420</v>
      </c>
      <c r="H513" s="176" t="s">
        <v>420</v>
      </c>
      <c r="I513" s="176" t="s">
        <v>420</v>
      </c>
      <c r="L513" s="176" t="s">
        <v>386</v>
      </c>
      <c r="P513" s="176" t="s">
        <v>386</v>
      </c>
      <c r="T513" s="176" t="s">
        <v>386</v>
      </c>
      <c r="X513" s="176" t="s">
        <v>386</v>
      </c>
      <c r="Z513" s="176" t="s">
        <v>420</v>
      </c>
      <c r="AA513" s="176" t="s">
        <v>386</v>
      </c>
      <c r="AB513" s="176" t="s">
        <v>420</v>
      </c>
      <c r="AC513" s="176" t="s">
        <v>420</v>
      </c>
      <c r="AD513" s="176" t="s">
        <v>420</v>
      </c>
      <c r="AE513" s="176" t="s">
        <v>420</v>
      </c>
      <c r="AF513" s="176" t="s">
        <v>241</v>
      </c>
      <c r="AG513" s="176">
        <v>5</v>
      </c>
      <c r="AH513" s="176" t="s">
        <v>838</v>
      </c>
      <c r="AI513" s="176" t="s">
        <v>644</v>
      </c>
      <c r="AJ513" s="176" t="s">
        <v>644</v>
      </c>
      <c r="AK513" s="176" t="s">
        <v>648</v>
      </c>
      <c r="AL513" s="1191" t="s">
        <v>420</v>
      </c>
      <c r="AM513" s="176" t="s">
        <v>420</v>
      </c>
      <c r="AN513" s="176" t="s">
        <v>420</v>
      </c>
      <c r="AO513" s="176" t="s">
        <v>420</v>
      </c>
      <c r="AP513" s="176">
        <v>24</v>
      </c>
      <c r="AQ513" s="176">
        <v>216</v>
      </c>
      <c r="AR513" s="176" t="s">
        <v>420</v>
      </c>
      <c r="AS513" s="193" t="s">
        <v>420</v>
      </c>
    </row>
    <row r="514" spans="1:45" ht="16.5" customHeight="1">
      <c r="A514" s="175">
        <v>46188</v>
      </c>
      <c r="B514" s="176" t="s">
        <v>212</v>
      </c>
      <c r="C514" s="176" t="s">
        <v>640</v>
      </c>
      <c r="E514" s="176" t="s">
        <v>420</v>
      </c>
      <c r="F514" s="176" t="s">
        <v>420</v>
      </c>
      <c r="G514" s="176" t="s">
        <v>420</v>
      </c>
      <c r="H514" s="176" t="s">
        <v>420</v>
      </c>
      <c r="I514" s="176" t="s">
        <v>420</v>
      </c>
      <c r="L514" s="176" t="s">
        <v>640</v>
      </c>
      <c r="P514" s="176" t="s">
        <v>640</v>
      </c>
      <c r="T514" s="176" t="s">
        <v>640</v>
      </c>
      <c r="X514" s="176" t="s">
        <v>640</v>
      </c>
      <c r="Z514" s="176" t="s">
        <v>420</v>
      </c>
      <c r="AA514" s="176" t="s">
        <v>640</v>
      </c>
      <c r="AB514" s="176" t="s">
        <v>420</v>
      </c>
      <c r="AC514" s="176" t="s">
        <v>420</v>
      </c>
      <c r="AD514" s="176" t="s">
        <v>420</v>
      </c>
      <c r="AE514" s="176" t="s">
        <v>420</v>
      </c>
      <c r="AF514" s="176" t="s">
        <v>213</v>
      </c>
      <c r="AG514" s="176">
        <v>1</v>
      </c>
      <c r="AH514" s="176" t="s">
        <v>656</v>
      </c>
      <c r="AI514" s="176" t="s">
        <v>656</v>
      </c>
      <c r="AJ514" s="176" t="s">
        <v>656</v>
      </c>
      <c r="AK514" s="176" t="s">
        <v>656</v>
      </c>
      <c r="AL514" s="1191" t="s">
        <v>420</v>
      </c>
      <c r="AM514" s="176" t="s">
        <v>420</v>
      </c>
      <c r="AN514" s="176" t="s">
        <v>420</v>
      </c>
      <c r="AO514" s="176" t="s">
        <v>420</v>
      </c>
      <c r="AP514" s="176">
        <v>24</v>
      </c>
      <c r="AQ514" s="176">
        <v>216</v>
      </c>
      <c r="AR514" s="176" t="s">
        <v>420</v>
      </c>
      <c r="AS514" s="193" t="s">
        <v>420</v>
      </c>
    </row>
    <row r="515" spans="1:45" ht="16.5" customHeight="1">
      <c r="A515" s="175">
        <v>46188</v>
      </c>
      <c r="B515" s="176" t="s">
        <v>214</v>
      </c>
      <c r="C515" s="176" t="s">
        <v>640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640</v>
      </c>
      <c r="P515" s="176" t="s">
        <v>640</v>
      </c>
      <c r="T515" s="176" t="s">
        <v>640</v>
      </c>
      <c r="X515" s="176" t="s">
        <v>640</v>
      </c>
      <c r="Z515" s="176" t="s">
        <v>420</v>
      </c>
      <c r="AA515" s="176" t="s">
        <v>640</v>
      </c>
      <c r="AB515" s="176" t="s">
        <v>420</v>
      </c>
      <c r="AC515" s="176" t="s">
        <v>420</v>
      </c>
      <c r="AD515" s="176" t="s">
        <v>420</v>
      </c>
      <c r="AE515" s="176" t="s">
        <v>420</v>
      </c>
      <c r="AF515" s="176" t="s">
        <v>213</v>
      </c>
      <c r="AG515" s="176">
        <v>1</v>
      </c>
      <c r="AH515" s="176" t="s">
        <v>656</v>
      </c>
      <c r="AI515" s="176" t="s">
        <v>656</v>
      </c>
      <c r="AJ515" s="176" t="s">
        <v>656</v>
      </c>
      <c r="AK515" s="176" t="s">
        <v>656</v>
      </c>
      <c r="AL515" s="119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46188</v>
      </c>
      <c r="B516" s="176" t="s">
        <v>215</v>
      </c>
      <c r="C516" s="176" t="s">
        <v>640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640</v>
      </c>
      <c r="P516" s="176" t="s">
        <v>640</v>
      </c>
      <c r="T516" s="176" t="s">
        <v>640</v>
      </c>
      <c r="X516" s="176" t="s">
        <v>640</v>
      </c>
      <c r="Z516" s="176" t="s">
        <v>420</v>
      </c>
      <c r="AA516" s="176" t="s">
        <v>640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213</v>
      </c>
      <c r="AG516" s="176">
        <v>1</v>
      </c>
      <c r="AH516" s="176" t="s">
        <v>656</v>
      </c>
      <c r="AI516" s="176" t="s">
        <v>656</v>
      </c>
      <c r="AJ516" s="176" t="s">
        <v>656</v>
      </c>
      <c r="AK516" s="176" t="s">
        <v>656</v>
      </c>
      <c r="AL516" s="119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46188</v>
      </c>
      <c r="B517" s="176" t="s">
        <v>216</v>
      </c>
      <c r="C517" s="176" t="s">
        <v>640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640</v>
      </c>
      <c r="P517" s="176" t="s">
        <v>640</v>
      </c>
      <c r="T517" s="176" t="s">
        <v>640</v>
      </c>
      <c r="X517" s="176" t="s">
        <v>640</v>
      </c>
      <c r="Z517" s="176" t="s">
        <v>420</v>
      </c>
      <c r="AA517" s="176" t="s">
        <v>640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213</v>
      </c>
      <c r="AG517" s="176">
        <v>1</v>
      </c>
      <c r="AH517" s="176" t="s">
        <v>648</v>
      </c>
      <c r="AI517" s="176" t="s">
        <v>656</v>
      </c>
      <c r="AJ517" s="176" t="s">
        <v>656</v>
      </c>
      <c r="AK517" s="176" t="s">
        <v>656</v>
      </c>
      <c r="AL517" s="119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46188</v>
      </c>
      <c r="B518" s="176" t="s">
        <v>217</v>
      </c>
      <c r="C518" s="176" t="s">
        <v>17443</v>
      </c>
      <c r="E518" s="176" t="s">
        <v>474</v>
      </c>
      <c r="F518" s="176" t="s">
        <v>16817</v>
      </c>
      <c r="G518" s="176">
        <v>600</v>
      </c>
      <c r="H518" s="176" t="s">
        <v>16144</v>
      </c>
      <c r="I518" s="176">
        <v>5</v>
      </c>
      <c r="J518" s="176">
        <v>18</v>
      </c>
      <c r="K518" s="176">
        <v>1</v>
      </c>
      <c r="L518" s="176">
        <v>9001</v>
      </c>
      <c r="M518" s="176">
        <v>8714</v>
      </c>
      <c r="R518" s="176">
        <v>29</v>
      </c>
      <c r="S518" s="176">
        <v>0</v>
      </c>
      <c r="T518" s="176">
        <v>9000</v>
      </c>
      <c r="U518" s="176">
        <v>8775</v>
      </c>
      <c r="V518" s="176">
        <v>13</v>
      </c>
      <c r="W518" s="176">
        <v>1</v>
      </c>
      <c r="X518" s="176">
        <v>9179</v>
      </c>
      <c r="Y518" s="176">
        <v>8774</v>
      </c>
      <c r="Z518" s="176">
        <v>1.4090019569471623</v>
      </c>
      <c r="AA518" s="176">
        <v>20</v>
      </c>
      <c r="AB518" s="176">
        <v>0.99317574786324792</v>
      </c>
      <c r="AC518" s="176">
        <v>89.071666666666658</v>
      </c>
      <c r="AD518" s="176">
        <v>2.5</v>
      </c>
      <c r="AE518" s="176">
        <v>2.4166666666666665</v>
      </c>
      <c r="AF518" s="176" t="s">
        <v>213</v>
      </c>
      <c r="AG518" s="176">
        <v>1</v>
      </c>
      <c r="AH518" s="176" t="s">
        <v>16172</v>
      </c>
      <c r="AI518" s="176" t="s">
        <v>638</v>
      </c>
      <c r="AJ518" s="176" t="s">
        <v>638</v>
      </c>
      <c r="AK518" s="176" t="s">
        <v>642</v>
      </c>
      <c r="AL518" s="1191" t="s">
        <v>252</v>
      </c>
      <c r="AM518" s="176" t="s">
        <v>126</v>
      </c>
      <c r="AN518" s="176">
        <v>0.91100000000000003</v>
      </c>
      <c r="AO518" s="176">
        <v>0.6</v>
      </c>
      <c r="AP518" s="176">
        <v>24</v>
      </c>
      <c r="AQ518" s="176">
        <v>216</v>
      </c>
      <c r="AR518" s="176">
        <v>1.6</v>
      </c>
      <c r="AS518" s="193">
        <v>7556.1984000000011</v>
      </c>
    </row>
    <row r="519" spans="1:45" ht="16.5" customHeight="1">
      <c r="A519" s="175">
        <v>46188</v>
      </c>
      <c r="B519" s="176" t="s">
        <v>218</v>
      </c>
      <c r="C519" s="176" t="s">
        <v>17260</v>
      </c>
      <c r="E519" s="176" t="s">
        <v>17335</v>
      </c>
      <c r="F519" s="176" t="s">
        <v>17276</v>
      </c>
      <c r="G519" s="176">
        <v>600</v>
      </c>
      <c r="H519" s="176" t="s">
        <v>15907</v>
      </c>
      <c r="I519" s="176">
        <v>5</v>
      </c>
      <c r="J519" s="176">
        <v>18</v>
      </c>
      <c r="K519" s="176">
        <v>0</v>
      </c>
      <c r="L519" s="176">
        <v>9342</v>
      </c>
      <c r="M519" s="176">
        <v>9660</v>
      </c>
      <c r="R519" s="176">
        <v>20</v>
      </c>
      <c r="S519" s="176">
        <v>2</v>
      </c>
      <c r="T519" s="176">
        <v>9193</v>
      </c>
      <c r="U519" s="176">
        <v>9747</v>
      </c>
      <c r="V519" s="176">
        <v>12</v>
      </c>
      <c r="W519" s="176">
        <v>2</v>
      </c>
      <c r="X519" s="176">
        <v>9485</v>
      </c>
      <c r="Y519" s="176">
        <v>9787</v>
      </c>
      <c r="Z519" s="176">
        <v>2.8015564202334629</v>
      </c>
      <c r="AA519" s="176">
        <v>8.3333333333333339</v>
      </c>
      <c r="AB519" s="176">
        <v>0.99313568376068373</v>
      </c>
      <c r="AC519" s="176">
        <v>95.356666666666655</v>
      </c>
      <c r="AD519" s="176">
        <v>1.0416666666666667</v>
      </c>
      <c r="AE519" s="176">
        <v>0.95833333333333337</v>
      </c>
      <c r="AF519" s="176" t="s">
        <v>213</v>
      </c>
      <c r="AG519" s="176">
        <v>0.5</v>
      </c>
      <c r="AH519" s="176" t="s">
        <v>16172</v>
      </c>
      <c r="AI519" s="176" t="s">
        <v>638</v>
      </c>
      <c r="AJ519" s="176" t="s">
        <v>638</v>
      </c>
      <c r="AK519" s="176" t="s">
        <v>642</v>
      </c>
      <c r="AL519" s="1191" t="s">
        <v>251</v>
      </c>
      <c r="AM519" s="176" t="s">
        <v>126</v>
      </c>
      <c r="AN519" s="176">
        <v>0.91100000000000003</v>
      </c>
      <c r="AO519" s="176">
        <v>1.7</v>
      </c>
      <c r="AP519" s="176">
        <v>24</v>
      </c>
      <c r="AQ519" s="176">
        <v>216</v>
      </c>
      <c r="AR519" s="176">
        <v>2.7</v>
      </c>
      <c r="AS519" s="193">
        <v>12751.084800000001</v>
      </c>
    </row>
    <row r="520" spans="1:45" ht="16.5" customHeight="1">
      <c r="A520" s="175">
        <v>46188</v>
      </c>
      <c r="B520" s="176" t="s">
        <v>219</v>
      </c>
      <c r="C520" s="176" t="s">
        <v>16766</v>
      </c>
      <c r="D520" s="176" t="s">
        <v>16769</v>
      </c>
      <c r="E520" s="176" t="s">
        <v>1472</v>
      </c>
      <c r="F520" s="176" t="s">
        <v>16217</v>
      </c>
      <c r="G520" s="176">
        <v>630</v>
      </c>
      <c r="H520" s="176" t="s">
        <v>629</v>
      </c>
      <c r="I520" s="176">
        <v>2</v>
      </c>
      <c r="J520" s="176">
        <v>16</v>
      </c>
      <c r="K520" s="176">
        <v>0</v>
      </c>
      <c r="L520" s="176">
        <v>9296</v>
      </c>
      <c r="M520" s="176">
        <v>9403</v>
      </c>
      <c r="R520" s="176">
        <v>16</v>
      </c>
      <c r="S520" s="176">
        <v>5</v>
      </c>
      <c r="T520" s="176">
        <v>9405</v>
      </c>
      <c r="U520" s="176">
        <v>9448</v>
      </c>
      <c r="V520" s="176">
        <v>15</v>
      </c>
      <c r="W520" s="176">
        <v>0</v>
      </c>
      <c r="X520" s="176">
        <v>9224</v>
      </c>
      <c r="Y520" s="176">
        <v>9598</v>
      </c>
      <c r="Z520" s="176">
        <v>2.4615384615384617</v>
      </c>
      <c r="AA520" s="176">
        <v>15.666666666666666</v>
      </c>
      <c r="AB520" s="176">
        <v>0.990234375</v>
      </c>
      <c r="AC520" s="176">
        <v>93.956666666666663</v>
      </c>
      <c r="AD520" s="176">
        <v>1.9583333333333333</v>
      </c>
      <c r="AE520" s="176">
        <v>1.75</v>
      </c>
      <c r="AF520" s="176" t="s">
        <v>213</v>
      </c>
      <c r="AG520" s="176">
        <v>1</v>
      </c>
      <c r="AH520" s="176" t="s">
        <v>16172</v>
      </c>
      <c r="AI520" s="176" t="s">
        <v>638</v>
      </c>
      <c r="AJ520" s="176" t="s">
        <v>638</v>
      </c>
      <c r="AK520" s="176" t="s">
        <v>642</v>
      </c>
      <c r="AL520" s="1191" t="s">
        <v>251</v>
      </c>
      <c r="AM520" s="176" t="s">
        <v>951</v>
      </c>
      <c r="AN520" s="176">
        <v>0.56200000000000006</v>
      </c>
      <c r="AO520" s="176">
        <v>1.1000000000000001</v>
      </c>
      <c r="AP520" s="176">
        <v>24</v>
      </c>
      <c r="AQ520" s="176">
        <v>216</v>
      </c>
      <c r="AR520" s="176">
        <v>2.1</v>
      </c>
      <c r="AS520" s="193">
        <v>6118.1568000000007</v>
      </c>
    </row>
    <row r="521" spans="1:45" ht="16.5" customHeight="1">
      <c r="A521" s="175">
        <v>46188</v>
      </c>
      <c r="B521" s="176" t="s">
        <v>220</v>
      </c>
      <c r="C521" s="176" t="s">
        <v>640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640</v>
      </c>
      <c r="P521" s="176" t="s">
        <v>640</v>
      </c>
      <c r="T521" s="176" t="s">
        <v>640</v>
      </c>
      <c r="X521" s="176" t="s">
        <v>640</v>
      </c>
      <c r="Z521" s="176" t="s">
        <v>420</v>
      </c>
      <c r="AA521" s="176" t="s">
        <v>640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213</v>
      </c>
      <c r="AG521" s="176">
        <v>1</v>
      </c>
      <c r="AH521" s="176" t="s">
        <v>648</v>
      </c>
      <c r="AI521" s="176" t="s">
        <v>648</v>
      </c>
      <c r="AJ521" s="176" t="s">
        <v>648</v>
      </c>
      <c r="AK521" s="176" t="s">
        <v>648</v>
      </c>
      <c r="AL521" s="119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46188</v>
      </c>
      <c r="B522" s="176" t="s">
        <v>221</v>
      </c>
      <c r="C522" s="176" t="s">
        <v>16787</v>
      </c>
      <c r="E522" s="176" t="s">
        <v>624</v>
      </c>
      <c r="F522" s="176" t="s">
        <v>16747</v>
      </c>
      <c r="G522" s="176">
        <v>600</v>
      </c>
      <c r="H522" s="176" t="s">
        <v>476</v>
      </c>
      <c r="I522" s="176">
        <v>5</v>
      </c>
      <c r="J522" s="176">
        <v>8</v>
      </c>
      <c r="K522" s="176">
        <v>0</v>
      </c>
      <c r="L522" s="176">
        <v>8898</v>
      </c>
      <c r="M522" s="176">
        <v>8657</v>
      </c>
      <c r="R522" s="176">
        <v>11</v>
      </c>
      <c r="S522" s="176">
        <v>0</v>
      </c>
      <c r="T522" s="176">
        <v>7688</v>
      </c>
      <c r="U522" s="176">
        <v>7416</v>
      </c>
      <c r="V522" s="176">
        <v>12</v>
      </c>
      <c r="W522" s="176">
        <v>0</v>
      </c>
      <c r="X522" s="176">
        <v>8580</v>
      </c>
      <c r="Y522" s="176">
        <v>8772</v>
      </c>
      <c r="Z522" s="176">
        <v>2.8685258964143427</v>
      </c>
      <c r="AA522" s="176">
        <v>10.333333333333334</v>
      </c>
      <c r="AB522" s="176">
        <v>1</v>
      </c>
      <c r="AC522" s="176">
        <v>83.351666666666659</v>
      </c>
      <c r="AD522" s="176">
        <v>1.2916666666666667</v>
      </c>
      <c r="AE522" s="176">
        <v>1.2916666666666667</v>
      </c>
      <c r="AF522" s="176" t="s">
        <v>213</v>
      </c>
      <c r="AG522" s="176">
        <v>1</v>
      </c>
      <c r="AH522" s="176" t="s">
        <v>16172</v>
      </c>
      <c r="AI522" s="176" t="s">
        <v>638</v>
      </c>
      <c r="AJ522" s="176" t="s">
        <v>638</v>
      </c>
      <c r="AK522" s="176" t="s">
        <v>642</v>
      </c>
      <c r="AL522" s="1191" t="s">
        <v>251</v>
      </c>
      <c r="AM522" s="176" t="s">
        <v>126</v>
      </c>
      <c r="AN522" s="176">
        <v>0.91100000000000003</v>
      </c>
      <c r="AO522" s="176">
        <v>3</v>
      </c>
      <c r="AP522" s="176">
        <v>24</v>
      </c>
      <c r="AQ522" s="176">
        <v>216</v>
      </c>
      <c r="AR522" s="176">
        <v>4</v>
      </c>
      <c r="AS522" s="193">
        <v>18890.495999999999</v>
      </c>
    </row>
    <row r="523" spans="1:45" ht="16.5" customHeight="1">
      <c r="A523" s="175">
        <v>46188</v>
      </c>
      <c r="B523" s="176" t="s">
        <v>222</v>
      </c>
      <c r="C523" s="176" t="s">
        <v>640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640</v>
      </c>
      <c r="P523" s="176" t="s">
        <v>640</v>
      </c>
      <c r="T523" s="176" t="s">
        <v>640</v>
      </c>
      <c r="X523" s="176" t="s">
        <v>640</v>
      </c>
      <c r="Z523" s="176" t="s">
        <v>420</v>
      </c>
      <c r="AA523" s="176" t="s">
        <v>640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213</v>
      </c>
      <c r="AG523" s="176">
        <v>1</v>
      </c>
      <c r="AH523" s="176" t="s">
        <v>648</v>
      </c>
      <c r="AI523" s="176" t="s">
        <v>648</v>
      </c>
      <c r="AJ523" s="176" t="s">
        <v>648</v>
      </c>
      <c r="AK523" s="176" t="s">
        <v>648</v>
      </c>
      <c r="AL523" s="119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46188</v>
      </c>
      <c r="B524" s="176" t="s">
        <v>223</v>
      </c>
      <c r="C524" s="176" t="s">
        <v>640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640</v>
      </c>
      <c r="P524" s="176" t="s">
        <v>640</v>
      </c>
      <c r="T524" s="176" t="s">
        <v>640</v>
      </c>
      <c r="X524" s="176" t="s">
        <v>640</v>
      </c>
      <c r="Z524" s="176" t="s">
        <v>420</v>
      </c>
      <c r="AA524" s="176" t="s">
        <v>640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648</v>
      </c>
      <c r="AI524" s="176" t="s">
        <v>648</v>
      </c>
      <c r="AJ524" s="176" t="s">
        <v>648</v>
      </c>
      <c r="AK524" s="176" t="s">
        <v>648</v>
      </c>
      <c r="AL524" s="119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46188</v>
      </c>
      <c r="B525" s="176" t="s">
        <v>224</v>
      </c>
      <c r="C525" s="176" t="s">
        <v>640</v>
      </c>
      <c r="E525" s="176" t="s">
        <v>420</v>
      </c>
      <c r="F525" s="176" t="s">
        <v>420</v>
      </c>
      <c r="G525" s="176" t="s">
        <v>420</v>
      </c>
      <c r="H525" s="176" t="s">
        <v>420</v>
      </c>
      <c r="I525" s="176" t="s">
        <v>420</v>
      </c>
      <c r="L525" s="176" t="s">
        <v>640</v>
      </c>
      <c r="P525" s="176" t="s">
        <v>640</v>
      </c>
      <c r="T525" s="176" t="s">
        <v>640</v>
      </c>
      <c r="X525" s="176" t="s">
        <v>640</v>
      </c>
      <c r="Z525" s="176" t="s">
        <v>420</v>
      </c>
      <c r="AA525" s="176" t="s">
        <v>640</v>
      </c>
      <c r="AB525" s="176" t="s">
        <v>420</v>
      </c>
      <c r="AC525" s="176" t="s">
        <v>420</v>
      </c>
      <c r="AD525" s="176" t="s">
        <v>420</v>
      </c>
      <c r="AE525" s="176" t="s">
        <v>420</v>
      </c>
      <c r="AF525" s="176" t="s">
        <v>213</v>
      </c>
      <c r="AG525" s="176">
        <v>1</v>
      </c>
      <c r="AH525" s="176" t="s">
        <v>648</v>
      </c>
      <c r="AI525" s="176" t="s">
        <v>648</v>
      </c>
      <c r="AJ525" s="176" t="s">
        <v>648</v>
      </c>
      <c r="AK525" s="176" t="s">
        <v>648</v>
      </c>
      <c r="AL525" s="1191" t="s">
        <v>420</v>
      </c>
      <c r="AM525" s="176" t="s">
        <v>420</v>
      </c>
      <c r="AN525" s="176" t="s">
        <v>420</v>
      </c>
      <c r="AO525" s="176" t="s">
        <v>420</v>
      </c>
      <c r="AP525" s="176">
        <v>24</v>
      </c>
      <c r="AQ525" s="176">
        <v>216</v>
      </c>
      <c r="AR525" s="176" t="s">
        <v>420</v>
      </c>
      <c r="AS525" s="193" t="s">
        <v>420</v>
      </c>
    </row>
    <row r="526" spans="1:45" ht="16.5" customHeight="1">
      <c r="A526" s="175">
        <v>46188</v>
      </c>
      <c r="B526" s="176" t="s">
        <v>225</v>
      </c>
      <c r="C526" s="176" t="s">
        <v>17285</v>
      </c>
      <c r="E526" s="176" t="s">
        <v>17231</v>
      </c>
      <c r="F526" s="176" t="s">
        <v>17286</v>
      </c>
      <c r="G526" s="176">
        <v>650</v>
      </c>
      <c r="H526" s="176" t="s">
        <v>16749</v>
      </c>
      <c r="I526" s="176">
        <v>5</v>
      </c>
      <c r="J526" s="176">
        <v>13</v>
      </c>
      <c r="K526" s="176">
        <v>0</v>
      </c>
      <c r="L526" s="176">
        <v>8889</v>
      </c>
      <c r="M526" s="176">
        <v>9301</v>
      </c>
      <c r="R526" s="176">
        <v>28</v>
      </c>
      <c r="S526" s="176">
        <v>1</v>
      </c>
      <c r="T526" s="176">
        <v>8728</v>
      </c>
      <c r="U526" s="176">
        <v>9401</v>
      </c>
      <c r="V526" s="176">
        <v>16</v>
      </c>
      <c r="W526" s="176">
        <v>1</v>
      </c>
      <c r="X526" s="176">
        <v>9021</v>
      </c>
      <c r="Y526" s="176">
        <v>9349</v>
      </c>
      <c r="Z526" s="176">
        <v>3.0638297872340425</v>
      </c>
      <c r="AA526" s="176">
        <v>19</v>
      </c>
      <c r="AB526" s="176">
        <v>0.99686164529914534</v>
      </c>
      <c r="AC526" s="176">
        <v>91.148333333333341</v>
      </c>
      <c r="AD526" s="176">
        <v>2.375</v>
      </c>
      <c r="AE526" s="176">
        <v>2.2916666666666665</v>
      </c>
      <c r="AF526" s="176" t="s">
        <v>213</v>
      </c>
      <c r="AG526" s="176">
        <v>1</v>
      </c>
      <c r="AH526" s="176" t="s">
        <v>838</v>
      </c>
      <c r="AI526" s="176" t="s">
        <v>638</v>
      </c>
      <c r="AJ526" s="176" t="s">
        <v>638</v>
      </c>
      <c r="AK526" s="176" t="s">
        <v>642</v>
      </c>
      <c r="AL526" s="1191" t="s">
        <v>252</v>
      </c>
      <c r="AM526" s="176" t="s">
        <v>126</v>
      </c>
      <c r="AN526" s="176">
        <v>0.91100000000000003</v>
      </c>
      <c r="AO526" s="176">
        <v>3</v>
      </c>
      <c r="AP526" s="176">
        <v>24</v>
      </c>
      <c r="AQ526" s="176">
        <v>216</v>
      </c>
      <c r="AR526" s="176">
        <v>4</v>
      </c>
      <c r="AS526" s="193">
        <v>18890.495999999999</v>
      </c>
    </row>
    <row r="527" spans="1:45" ht="16.5" customHeight="1">
      <c r="A527" s="175">
        <v>46188</v>
      </c>
      <c r="B527" s="176" t="s">
        <v>226</v>
      </c>
      <c r="C527" s="176" t="s">
        <v>640</v>
      </c>
      <c r="E527" s="176" t="s">
        <v>420</v>
      </c>
      <c r="F527" s="176" t="s">
        <v>420</v>
      </c>
      <c r="G527" s="176" t="s">
        <v>420</v>
      </c>
      <c r="H527" s="176" t="s">
        <v>420</v>
      </c>
      <c r="I527" s="176" t="s">
        <v>420</v>
      </c>
      <c r="L527" s="176" t="s">
        <v>640</v>
      </c>
      <c r="P527" s="176" t="s">
        <v>640</v>
      </c>
      <c r="T527" s="176" t="s">
        <v>640</v>
      </c>
      <c r="X527" s="176" t="s">
        <v>640</v>
      </c>
      <c r="Z527" s="176" t="s">
        <v>420</v>
      </c>
      <c r="AA527" s="176" t="s">
        <v>640</v>
      </c>
      <c r="AB527" s="176" t="s">
        <v>420</v>
      </c>
      <c r="AC527" s="176" t="s">
        <v>420</v>
      </c>
      <c r="AD527" s="176" t="s">
        <v>420</v>
      </c>
      <c r="AE527" s="176" t="s">
        <v>420</v>
      </c>
      <c r="AF527" s="176" t="s">
        <v>213</v>
      </c>
      <c r="AG527" s="176">
        <v>1</v>
      </c>
      <c r="AH527" s="176" t="s">
        <v>648</v>
      </c>
      <c r="AI527" s="176" t="s">
        <v>648</v>
      </c>
      <c r="AJ527" s="176" t="s">
        <v>648</v>
      </c>
      <c r="AK527" s="176" t="s">
        <v>648</v>
      </c>
      <c r="AL527" s="1191" t="s">
        <v>420</v>
      </c>
      <c r="AM527" s="176" t="s">
        <v>420</v>
      </c>
      <c r="AN527" s="176" t="s">
        <v>420</v>
      </c>
      <c r="AO527" s="176" t="s">
        <v>420</v>
      </c>
      <c r="AP527" s="176">
        <v>24</v>
      </c>
      <c r="AQ527" s="176">
        <v>216</v>
      </c>
      <c r="AR527" s="176" t="s">
        <v>420</v>
      </c>
      <c r="AS527" s="193" t="s">
        <v>420</v>
      </c>
    </row>
    <row r="528" spans="1:45" ht="16.5" customHeight="1">
      <c r="A528" s="175">
        <v>46188</v>
      </c>
      <c r="B528" s="176" t="s">
        <v>227</v>
      </c>
      <c r="C528" s="176" t="s">
        <v>640</v>
      </c>
      <c r="E528" s="176" t="s">
        <v>420</v>
      </c>
      <c r="F528" s="176" t="s">
        <v>420</v>
      </c>
      <c r="G528" s="176" t="s">
        <v>420</v>
      </c>
      <c r="H528" s="176" t="s">
        <v>420</v>
      </c>
      <c r="I528" s="176" t="s">
        <v>420</v>
      </c>
      <c r="L528" s="176" t="s">
        <v>640</v>
      </c>
      <c r="P528" s="176" t="s">
        <v>640</v>
      </c>
      <c r="T528" s="176" t="s">
        <v>640</v>
      </c>
      <c r="X528" s="176" t="s">
        <v>640</v>
      </c>
      <c r="Z528" s="176" t="s">
        <v>420</v>
      </c>
      <c r="AA528" s="176" t="s">
        <v>640</v>
      </c>
      <c r="AB528" s="176" t="s">
        <v>420</v>
      </c>
      <c r="AC528" s="176" t="s">
        <v>420</v>
      </c>
      <c r="AD528" s="176" t="s">
        <v>420</v>
      </c>
      <c r="AE528" s="176" t="s">
        <v>420</v>
      </c>
      <c r="AF528" s="176" t="s">
        <v>213</v>
      </c>
      <c r="AG528" s="176">
        <v>1</v>
      </c>
      <c r="AH528" s="176" t="s">
        <v>648</v>
      </c>
      <c r="AI528" s="176" t="s">
        <v>648</v>
      </c>
      <c r="AJ528" s="176" t="s">
        <v>648</v>
      </c>
      <c r="AK528" s="176" t="s">
        <v>648</v>
      </c>
      <c r="AL528" s="1191" t="s">
        <v>420</v>
      </c>
      <c r="AM528" s="176" t="s">
        <v>420</v>
      </c>
      <c r="AN528" s="176" t="s">
        <v>420</v>
      </c>
      <c r="AO528" s="176" t="s">
        <v>420</v>
      </c>
      <c r="AP528" s="176">
        <v>24</v>
      </c>
      <c r="AQ528" s="176">
        <v>216</v>
      </c>
      <c r="AR528" s="176" t="s">
        <v>420</v>
      </c>
      <c r="AS528" s="193" t="s">
        <v>420</v>
      </c>
    </row>
    <row r="529" spans="1:45" ht="16.5" customHeight="1">
      <c r="A529" s="175">
        <v>46188</v>
      </c>
      <c r="B529" s="176" t="s">
        <v>228</v>
      </c>
      <c r="C529" s="176" t="s">
        <v>17446</v>
      </c>
      <c r="E529" s="176" t="s">
        <v>17447</v>
      </c>
      <c r="F529" s="176" t="s">
        <v>17448</v>
      </c>
      <c r="G529" s="176">
        <v>550</v>
      </c>
      <c r="H529" s="176" t="s">
        <v>16736</v>
      </c>
      <c r="I529" s="176">
        <v>5</v>
      </c>
      <c r="J529" s="176">
        <v>20</v>
      </c>
      <c r="K529" s="176">
        <v>0</v>
      </c>
      <c r="L529" s="176">
        <v>8912</v>
      </c>
      <c r="M529" s="176">
        <v>8457</v>
      </c>
      <c r="R529" s="176">
        <v>34</v>
      </c>
      <c r="S529" s="176">
        <v>2</v>
      </c>
      <c r="T529" s="176">
        <v>9025</v>
      </c>
      <c r="U529" s="176">
        <v>8301</v>
      </c>
      <c r="V529" s="176">
        <v>10</v>
      </c>
      <c r="W529" s="176">
        <v>0</v>
      </c>
      <c r="X529" s="176">
        <v>9246</v>
      </c>
      <c r="Y529" s="176">
        <v>8843</v>
      </c>
      <c r="Z529" s="176">
        <v>5.161290322580645</v>
      </c>
      <c r="AA529" s="176">
        <v>10.666666666666666</v>
      </c>
      <c r="AB529" s="176">
        <v>0.99813701923076925</v>
      </c>
      <c r="AC529" s="176">
        <v>87.973333333333343</v>
      </c>
      <c r="AD529" s="176">
        <v>1.3333333333333333</v>
      </c>
      <c r="AE529" s="176">
        <v>1.2916666666666667</v>
      </c>
      <c r="AF529" s="176" t="s">
        <v>213</v>
      </c>
      <c r="AG529" s="176">
        <v>0.5</v>
      </c>
      <c r="AH529" s="176" t="s">
        <v>16172</v>
      </c>
      <c r="AI529" s="176" t="s">
        <v>638</v>
      </c>
      <c r="AJ529" s="176" t="s">
        <v>638</v>
      </c>
      <c r="AK529" s="176" t="s">
        <v>642</v>
      </c>
      <c r="AL529" s="1191" t="s">
        <v>251</v>
      </c>
      <c r="AM529" s="176" t="s">
        <v>651</v>
      </c>
      <c r="AN529" s="176">
        <v>1.859</v>
      </c>
      <c r="AO529" s="176">
        <v>2.8</v>
      </c>
      <c r="AP529" s="176">
        <v>24</v>
      </c>
      <c r="AQ529" s="176">
        <v>216</v>
      </c>
      <c r="AR529" s="176">
        <v>3.8</v>
      </c>
      <c r="AS529" s="193">
        <v>36620.8128</v>
      </c>
    </row>
    <row r="530" spans="1:45" ht="16.5" customHeight="1">
      <c r="A530" s="175">
        <v>46188</v>
      </c>
      <c r="B530" s="176" t="s">
        <v>229</v>
      </c>
      <c r="C530" s="176" t="s">
        <v>640</v>
      </c>
      <c r="E530" s="176" t="s">
        <v>420</v>
      </c>
      <c r="F530" s="176" t="s">
        <v>420</v>
      </c>
      <c r="G530" s="176" t="s">
        <v>420</v>
      </c>
      <c r="H530" s="176" t="s">
        <v>420</v>
      </c>
      <c r="I530" s="176" t="s">
        <v>420</v>
      </c>
      <c r="L530" s="176" t="s">
        <v>640</v>
      </c>
      <c r="P530" s="176" t="s">
        <v>640</v>
      </c>
      <c r="T530" s="176" t="s">
        <v>640</v>
      </c>
      <c r="X530" s="176" t="s">
        <v>640</v>
      </c>
      <c r="Z530" s="176" t="s">
        <v>420</v>
      </c>
      <c r="AA530" s="176" t="s">
        <v>640</v>
      </c>
      <c r="AB530" s="176" t="s">
        <v>420</v>
      </c>
      <c r="AC530" s="176" t="s">
        <v>420</v>
      </c>
      <c r="AD530" s="176" t="s">
        <v>420</v>
      </c>
      <c r="AE530" s="176" t="s">
        <v>420</v>
      </c>
      <c r="AF530" s="176" t="s">
        <v>213</v>
      </c>
      <c r="AG530" s="176">
        <v>1</v>
      </c>
      <c r="AH530" s="176" t="s">
        <v>648</v>
      </c>
      <c r="AI530" s="176" t="s">
        <v>648</v>
      </c>
      <c r="AJ530" s="176" t="s">
        <v>648</v>
      </c>
      <c r="AK530" s="176" t="s">
        <v>648</v>
      </c>
      <c r="AL530" s="1191" t="s">
        <v>420</v>
      </c>
      <c r="AM530" s="176" t="s">
        <v>420</v>
      </c>
      <c r="AN530" s="176" t="s">
        <v>420</v>
      </c>
      <c r="AO530" s="176" t="s">
        <v>420</v>
      </c>
      <c r="AP530" s="176">
        <v>24</v>
      </c>
      <c r="AQ530" s="176">
        <v>216</v>
      </c>
      <c r="AR530" s="176" t="s">
        <v>420</v>
      </c>
      <c r="AS530" s="193" t="s">
        <v>420</v>
      </c>
    </row>
    <row r="531" spans="1:45" ht="16.5" customHeight="1">
      <c r="A531" s="175">
        <v>46188</v>
      </c>
      <c r="B531" s="176" t="s">
        <v>230</v>
      </c>
      <c r="C531" s="176" t="s">
        <v>640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640</v>
      </c>
      <c r="P531" s="176" t="s">
        <v>640</v>
      </c>
      <c r="T531" s="176" t="s">
        <v>640</v>
      </c>
      <c r="X531" s="176" t="s">
        <v>640</v>
      </c>
      <c r="Z531" s="176" t="s">
        <v>420</v>
      </c>
      <c r="AA531" s="176" t="s">
        <v>640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648</v>
      </c>
      <c r="AI531" s="176" t="s">
        <v>648</v>
      </c>
      <c r="AJ531" s="176" t="s">
        <v>648</v>
      </c>
      <c r="AK531" s="176" t="s">
        <v>648</v>
      </c>
      <c r="AL531" s="119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46188</v>
      </c>
      <c r="B532" s="176" t="s">
        <v>231</v>
      </c>
      <c r="C532" s="176" t="s">
        <v>640</v>
      </c>
      <c r="E532" s="176" t="s">
        <v>420</v>
      </c>
      <c r="F532" s="176" t="s">
        <v>420</v>
      </c>
      <c r="G532" s="176" t="s">
        <v>420</v>
      </c>
      <c r="H532" s="176" t="s">
        <v>420</v>
      </c>
      <c r="I532" s="176" t="s">
        <v>420</v>
      </c>
      <c r="L532" s="176" t="s">
        <v>640</v>
      </c>
      <c r="P532" s="176" t="s">
        <v>640</v>
      </c>
      <c r="T532" s="176" t="s">
        <v>640</v>
      </c>
      <c r="X532" s="176" t="s">
        <v>640</v>
      </c>
      <c r="Z532" s="176" t="s">
        <v>420</v>
      </c>
      <c r="AA532" s="176" t="s">
        <v>640</v>
      </c>
      <c r="AB532" s="176" t="s">
        <v>420</v>
      </c>
      <c r="AC532" s="176" t="s">
        <v>420</v>
      </c>
      <c r="AD532" s="176" t="s">
        <v>420</v>
      </c>
      <c r="AE532" s="176" t="s">
        <v>420</v>
      </c>
      <c r="AF532" s="176" t="s">
        <v>232</v>
      </c>
      <c r="AG532" s="176">
        <v>1</v>
      </c>
      <c r="AH532" s="176" t="s">
        <v>648</v>
      </c>
      <c r="AI532" s="176" t="s">
        <v>648</v>
      </c>
      <c r="AJ532" s="176" t="s">
        <v>648</v>
      </c>
      <c r="AK532" s="176" t="s">
        <v>648</v>
      </c>
      <c r="AL532" s="1191" t="s">
        <v>420</v>
      </c>
      <c r="AM532" s="176" t="s">
        <v>420</v>
      </c>
      <c r="AN532" s="176" t="s">
        <v>420</v>
      </c>
      <c r="AO532" s="176" t="s">
        <v>420</v>
      </c>
      <c r="AP532" s="176">
        <v>24</v>
      </c>
      <c r="AQ532" s="176">
        <v>216</v>
      </c>
      <c r="AR532" s="176" t="s">
        <v>420</v>
      </c>
      <c r="AS532" s="193" t="s">
        <v>420</v>
      </c>
    </row>
    <row r="533" spans="1:45" ht="16.5" customHeight="1">
      <c r="A533" s="175">
        <v>46188</v>
      </c>
      <c r="B533" s="176" t="s">
        <v>233</v>
      </c>
      <c r="C533" s="176" t="s">
        <v>17336</v>
      </c>
      <c r="D533" s="176" t="s">
        <v>641</v>
      </c>
      <c r="E533" s="176" t="s">
        <v>16740</v>
      </c>
      <c r="F533" s="176" t="s">
        <v>17289</v>
      </c>
      <c r="G533" s="176">
        <v>600</v>
      </c>
      <c r="H533" s="176" t="s">
        <v>7798</v>
      </c>
      <c r="I533" s="176">
        <v>5.5</v>
      </c>
      <c r="J533" s="176">
        <v>30</v>
      </c>
      <c r="K533" s="176">
        <v>7</v>
      </c>
      <c r="L533" s="176">
        <v>6240</v>
      </c>
      <c r="R533" s="176">
        <v>23</v>
      </c>
      <c r="S533" s="176">
        <v>8</v>
      </c>
      <c r="T533" s="176">
        <v>6440</v>
      </c>
      <c r="V533" s="176">
        <v>30</v>
      </c>
      <c r="W533" s="176">
        <v>7</v>
      </c>
      <c r="X533" s="176">
        <v>5970</v>
      </c>
      <c r="Z533" s="176">
        <v>5.8536585365853666</v>
      </c>
      <c r="AA533" s="176">
        <v>27.666666666666668</v>
      </c>
      <c r="AB533" s="176">
        <v>0.98193108974358978</v>
      </c>
      <c r="AC533" s="176">
        <v>62.166666666666671</v>
      </c>
      <c r="AD533" s="176">
        <v>3.4583333333333335</v>
      </c>
      <c r="AE533" s="176">
        <v>2.5416666666666665</v>
      </c>
      <c r="AF533" s="176" t="s">
        <v>232</v>
      </c>
      <c r="AG533" s="176">
        <v>1</v>
      </c>
      <c r="AH533" s="176" t="s">
        <v>15862</v>
      </c>
      <c r="AI533" s="176" t="s">
        <v>824</v>
      </c>
      <c r="AJ533" s="176" t="s">
        <v>824</v>
      </c>
      <c r="AK533" s="176" t="s">
        <v>645</v>
      </c>
      <c r="AL533" s="1191" t="s">
        <v>251</v>
      </c>
      <c r="AM533" s="176" t="s">
        <v>651</v>
      </c>
      <c r="AN533" s="176">
        <v>1.859</v>
      </c>
      <c r="AO533" s="176">
        <v>2.1</v>
      </c>
      <c r="AP533" s="176">
        <v>24</v>
      </c>
      <c r="AQ533" s="176">
        <v>216</v>
      </c>
      <c r="AR533" s="176">
        <v>3.1</v>
      </c>
      <c r="AS533" s="193">
        <v>29874.873599999999</v>
      </c>
    </row>
    <row r="534" spans="1:45" ht="16.5" customHeight="1">
      <c r="A534" s="175">
        <v>46188</v>
      </c>
      <c r="B534" s="176" t="s">
        <v>234</v>
      </c>
      <c r="C534" s="176" t="s">
        <v>640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640</v>
      </c>
      <c r="P534" s="176" t="s">
        <v>640</v>
      </c>
      <c r="T534" s="176" t="s">
        <v>640</v>
      </c>
      <c r="X534" s="176" t="s">
        <v>640</v>
      </c>
      <c r="Z534" s="176" t="s">
        <v>420</v>
      </c>
      <c r="AA534" s="176" t="s">
        <v>640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232</v>
      </c>
      <c r="AG534" s="176">
        <v>1</v>
      </c>
      <c r="AH534" s="176" t="s">
        <v>648</v>
      </c>
      <c r="AI534" s="176" t="s">
        <v>648</v>
      </c>
      <c r="AJ534" s="176" t="s">
        <v>648</v>
      </c>
      <c r="AK534" s="176" t="s">
        <v>648</v>
      </c>
      <c r="AL534" s="119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46188</v>
      </c>
      <c r="B535" s="176" t="s">
        <v>235</v>
      </c>
      <c r="C535" s="176" t="s">
        <v>17287</v>
      </c>
      <c r="D535" s="176" t="s">
        <v>641</v>
      </c>
      <c r="E535" s="176" t="s">
        <v>16740</v>
      </c>
      <c r="F535" s="176" t="s">
        <v>17269</v>
      </c>
      <c r="G535" s="176">
        <v>700</v>
      </c>
      <c r="H535" s="176" t="s">
        <v>1032</v>
      </c>
      <c r="I535" s="176">
        <v>5.5</v>
      </c>
      <c r="J535" s="176">
        <v>40</v>
      </c>
      <c r="K535" s="176">
        <v>3</v>
      </c>
      <c r="L535" s="176">
        <v>8330</v>
      </c>
      <c r="M535" s="176">
        <v>8700</v>
      </c>
      <c r="R535" s="176">
        <v>31</v>
      </c>
      <c r="S535" s="176">
        <v>0</v>
      </c>
      <c r="T535" s="176">
        <v>8150</v>
      </c>
      <c r="U535" s="176">
        <v>7960</v>
      </c>
      <c r="V535" s="176">
        <v>65</v>
      </c>
      <c r="W535" s="176">
        <v>9</v>
      </c>
      <c r="X535" s="176">
        <v>9440</v>
      </c>
      <c r="Y535" s="176">
        <v>9350</v>
      </c>
      <c r="Z535" s="176">
        <v>5.8299595141700413</v>
      </c>
      <c r="AA535" s="176">
        <v>45.333333333333336</v>
      </c>
      <c r="AB535" s="176">
        <v>0.99010416666666667</v>
      </c>
      <c r="AC535" s="176">
        <v>86.55</v>
      </c>
      <c r="AD535" s="176">
        <v>5.666666666666667</v>
      </c>
      <c r="AE535" s="176">
        <v>5.166666666666667</v>
      </c>
      <c r="AF535" s="176" t="s">
        <v>236</v>
      </c>
      <c r="AG535" s="176">
        <v>1</v>
      </c>
      <c r="AH535" s="176" t="s">
        <v>646</v>
      </c>
      <c r="AI535" s="176" t="s">
        <v>824</v>
      </c>
      <c r="AJ535" s="176" t="s">
        <v>824</v>
      </c>
      <c r="AK535" s="176" t="s">
        <v>15890</v>
      </c>
      <c r="AL535" s="1191" t="s">
        <v>252</v>
      </c>
      <c r="AM535" s="176" t="s">
        <v>462</v>
      </c>
      <c r="AN535" s="176">
        <v>1.1890000000000001</v>
      </c>
      <c r="AO535" s="176">
        <v>3</v>
      </c>
      <c r="AP535" s="176">
        <v>24</v>
      </c>
      <c r="AQ535" s="176">
        <v>216</v>
      </c>
      <c r="AR535" s="176">
        <v>4</v>
      </c>
      <c r="AS535" s="193">
        <v>24655.103999999999</v>
      </c>
    </row>
    <row r="536" spans="1:45" ht="16.5" customHeight="1">
      <c r="A536" s="175">
        <v>46188</v>
      </c>
      <c r="B536" s="176" t="s">
        <v>237</v>
      </c>
      <c r="C536" s="176" t="s">
        <v>17288</v>
      </c>
      <c r="D536" s="176" t="s">
        <v>641</v>
      </c>
      <c r="E536" s="176" t="s">
        <v>16740</v>
      </c>
      <c r="F536" s="176" t="s">
        <v>17289</v>
      </c>
      <c r="G536" s="176">
        <v>700</v>
      </c>
      <c r="H536" s="176" t="s">
        <v>957</v>
      </c>
      <c r="I536" s="176">
        <v>5.5</v>
      </c>
      <c r="J536" s="176">
        <v>52</v>
      </c>
      <c r="K536" s="176">
        <v>21</v>
      </c>
      <c r="L536" s="176">
        <v>8610</v>
      </c>
      <c r="M536" s="176">
        <v>9260</v>
      </c>
      <c r="P536" s="176" t="s">
        <v>127</v>
      </c>
      <c r="T536" s="176" t="s">
        <v>127</v>
      </c>
      <c r="X536" s="176" t="s">
        <v>127</v>
      </c>
      <c r="Z536" s="176">
        <v>5.8299595141700413</v>
      </c>
      <c r="AA536" s="176">
        <v>17.333333333333332</v>
      </c>
      <c r="AB536" s="176">
        <v>0.98268229166666665</v>
      </c>
      <c r="AC536" s="176">
        <v>89.35</v>
      </c>
      <c r="AD536" s="176">
        <v>2.1666666666666665</v>
      </c>
      <c r="AE536" s="176">
        <v>1.2916666666666667</v>
      </c>
      <c r="AF536" s="176" t="s">
        <v>236</v>
      </c>
      <c r="AG536" s="176">
        <v>1</v>
      </c>
      <c r="AH536" s="176" t="s">
        <v>659</v>
      </c>
      <c r="AI536" s="176" t="s">
        <v>844</v>
      </c>
      <c r="AJ536" s="176" t="s">
        <v>844</v>
      </c>
      <c r="AK536" s="176" t="s">
        <v>647</v>
      </c>
      <c r="AL536" s="1191" t="s">
        <v>251</v>
      </c>
      <c r="AM536" s="176" t="s">
        <v>462</v>
      </c>
      <c r="AN536" s="176">
        <v>1.1890000000000001</v>
      </c>
      <c r="AO536" s="176">
        <v>2.9</v>
      </c>
      <c r="AP536" s="176">
        <v>24</v>
      </c>
      <c r="AQ536" s="176">
        <v>216</v>
      </c>
      <c r="AR536" s="176">
        <v>3.9</v>
      </c>
      <c r="AS536" s="193">
        <v>24038.7264</v>
      </c>
    </row>
    <row r="537" spans="1:45" ht="16.5" customHeight="1">
      <c r="A537" s="175">
        <v>46188</v>
      </c>
      <c r="B537" s="176" t="s">
        <v>238</v>
      </c>
      <c r="C537" s="176" t="s">
        <v>640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640</v>
      </c>
      <c r="P537" s="176" t="s">
        <v>640</v>
      </c>
      <c r="T537" s="176" t="s">
        <v>640</v>
      </c>
      <c r="X537" s="176" t="s">
        <v>640</v>
      </c>
      <c r="Z537" s="176" t="s">
        <v>420</v>
      </c>
      <c r="AA537" s="176" t="s">
        <v>640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236</v>
      </c>
      <c r="AG537" s="176">
        <v>2</v>
      </c>
      <c r="AH537" s="176" t="s">
        <v>648</v>
      </c>
      <c r="AI537" s="176" t="s">
        <v>648</v>
      </c>
      <c r="AJ537" s="176" t="s">
        <v>648</v>
      </c>
      <c r="AK537" s="176" t="s">
        <v>648</v>
      </c>
      <c r="AL537" s="119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46188</v>
      </c>
      <c r="B538" s="176" t="s">
        <v>239</v>
      </c>
      <c r="C538" s="176" t="s">
        <v>17490</v>
      </c>
      <c r="E538" s="176" t="s">
        <v>17491</v>
      </c>
      <c r="F538" s="176" t="s">
        <v>17492</v>
      </c>
      <c r="G538" s="176">
        <v>650</v>
      </c>
      <c r="H538" s="176" t="s">
        <v>17493</v>
      </c>
      <c r="I538" s="176">
        <v>5</v>
      </c>
      <c r="L538" s="176" t="s">
        <v>650</v>
      </c>
      <c r="P538" s="176" t="s">
        <v>650</v>
      </c>
      <c r="T538" s="176" t="s">
        <v>479</v>
      </c>
      <c r="V538" s="176">
        <v>26</v>
      </c>
      <c r="W538" s="176">
        <v>0</v>
      </c>
      <c r="X538" s="176">
        <v>3980</v>
      </c>
      <c r="Z538" s="176">
        <v>1.5483870967741935</v>
      </c>
      <c r="AA538" s="176" t="s">
        <v>650</v>
      </c>
      <c r="AB538" s="176" t="s">
        <v>420</v>
      </c>
      <c r="AC538" s="176" t="s">
        <v>420</v>
      </c>
      <c r="AD538" s="176" t="s">
        <v>420</v>
      </c>
      <c r="AE538" s="176" t="s">
        <v>420</v>
      </c>
      <c r="AF538" s="176" t="s">
        <v>236</v>
      </c>
      <c r="AG538" s="176">
        <v>2</v>
      </c>
      <c r="AH538" s="176" t="s">
        <v>659</v>
      </c>
      <c r="AI538" s="176" t="s">
        <v>844</v>
      </c>
      <c r="AJ538" s="176" t="s">
        <v>844</v>
      </c>
      <c r="AK538" s="176" t="s">
        <v>647</v>
      </c>
      <c r="AL538" s="1191" t="s">
        <v>252</v>
      </c>
      <c r="AM538" s="176" t="s">
        <v>126</v>
      </c>
      <c r="AN538" s="176">
        <v>0.91100000000000003</v>
      </c>
      <c r="AO538" s="176">
        <v>1</v>
      </c>
      <c r="AP538" s="176">
        <v>24</v>
      </c>
      <c r="AQ538" s="176">
        <v>216</v>
      </c>
      <c r="AR538" s="176">
        <v>2</v>
      </c>
      <c r="AS538" s="193">
        <v>9445.2479999999996</v>
      </c>
    </row>
    <row r="539" spans="1:45" ht="16.5" customHeight="1">
      <c r="A539" s="175">
        <v>46188</v>
      </c>
      <c r="B539" s="176" t="s">
        <v>239</v>
      </c>
      <c r="C539" s="176" t="s">
        <v>17412</v>
      </c>
      <c r="D539" s="176" t="s">
        <v>641</v>
      </c>
      <c r="E539" s="176" t="s">
        <v>16744</v>
      </c>
      <c r="F539" s="176" t="s">
        <v>17414</v>
      </c>
      <c r="G539" s="176">
        <v>550</v>
      </c>
      <c r="H539" s="176" t="s">
        <v>877</v>
      </c>
      <c r="I539" s="176">
        <v>5.5</v>
      </c>
      <c r="J539" s="176">
        <v>16</v>
      </c>
      <c r="K539" s="176">
        <v>8</v>
      </c>
      <c r="M539" s="176">
        <v>9170</v>
      </c>
      <c r="R539" s="176">
        <v>10</v>
      </c>
      <c r="S539" s="176">
        <v>0</v>
      </c>
      <c r="T539" s="176">
        <v>8980</v>
      </c>
      <c r="V539" s="176">
        <v>11</v>
      </c>
      <c r="W539" s="176">
        <v>11</v>
      </c>
      <c r="X539" s="176">
        <v>8980</v>
      </c>
      <c r="Z539" s="176">
        <v>6.6055045871559646</v>
      </c>
      <c r="AA539" s="176">
        <v>24.666666666666668</v>
      </c>
      <c r="AB539" s="176">
        <v>0.98617120726495722</v>
      </c>
      <c r="AC539" s="176">
        <v>90.433333333333337</v>
      </c>
      <c r="AD539" s="176">
        <v>3.0833333333333335</v>
      </c>
      <c r="AE539" s="176">
        <v>1.5</v>
      </c>
      <c r="AF539" s="176" t="s">
        <v>236</v>
      </c>
      <c r="AG539" s="176">
        <v>2</v>
      </c>
      <c r="AH539" s="176" t="s">
        <v>659</v>
      </c>
      <c r="AI539" s="176" t="s">
        <v>844</v>
      </c>
      <c r="AJ539" s="176" t="s">
        <v>844</v>
      </c>
      <c r="AK539" s="176" t="s">
        <v>647</v>
      </c>
      <c r="AM539" s="176" t="s">
        <v>651</v>
      </c>
      <c r="AN539" s="176">
        <v>1.859</v>
      </c>
      <c r="AO539" s="176">
        <v>3.3</v>
      </c>
      <c r="AP539" s="176">
        <v>24</v>
      </c>
      <c r="AQ539" s="176">
        <v>216</v>
      </c>
      <c r="AR539" s="176">
        <v>4.3</v>
      </c>
      <c r="AS539" s="193">
        <v>41439.340799999998</v>
      </c>
    </row>
    <row r="540" spans="1:45" ht="16.5" customHeight="1">
      <c r="A540" s="175">
        <v>46188</v>
      </c>
      <c r="B540" s="176" t="s">
        <v>389</v>
      </c>
      <c r="C540" s="176" t="s">
        <v>17403</v>
      </c>
      <c r="D540" s="176" t="s">
        <v>641</v>
      </c>
      <c r="E540" s="176" t="s">
        <v>16740</v>
      </c>
      <c r="F540" s="176" t="s">
        <v>17269</v>
      </c>
      <c r="G540" s="176">
        <v>700</v>
      </c>
      <c r="H540" s="176" t="s">
        <v>840</v>
      </c>
      <c r="I540" s="176">
        <v>5.5</v>
      </c>
      <c r="J540" s="176">
        <v>36</v>
      </c>
      <c r="K540" s="176">
        <v>0</v>
      </c>
      <c r="L540" s="176">
        <v>7780</v>
      </c>
      <c r="M540" s="176">
        <v>10000</v>
      </c>
      <c r="R540" s="176">
        <v>26</v>
      </c>
      <c r="S540" s="176">
        <v>0</v>
      </c>
      <c r="T540" s="176">
        <v>7500</v>
      </c>
      <c r="U540" s="176">
        <v>9910</v>
      </c>
      <c r="V540" s="176">
        <v>23</v>
      </c>
      <c r="W540" s="176">
        <v>1</v>
      </c>
      <c r="X540" s="176">
        <v>7690</v>
      </c>
      <c r="Y540" s="176">
        <v>10000</v>
      </c>
      <c r="Z540" s="176">
        <v>5.8299595141700413</v>
      </c>
      <c r="AA540" s="176">
        <v>28.333333333333332</v>
      </c>
      <c r="AB540" s="176">
        <v>0.99917534722222223</v>
      </c>
      <c r="AC540" s="176">
        <v>88.13333333333334</v>
      </c>
      <c r="AD540" s="176">
        <v>3.5416666666666665</v>
      </c>
      <c r="AE540" s="176">
        <v>3.5</v>
      </c>
      <c r="AF540" s="176" t="s">
        <v>236</v>
      </c>
      <c r="AG540" s="176">
        <v>1</v>
      </c>
      <c r="AH540" s="176" t="s">
        <v>646</v>
      </c>
      <c r="AI540" s="176" t="s">
        <v>824</v>
      </c>
      <c r="AJ540" s="176" t="s">
        <v>824</v>
      </c>
      <c r="AK540" s="176" t="s">
        <v>15890</v>
      </c>
      <c r="AL540" s="1191" t="s">
        <v>252</v>
      </c>
      <c r="AM540" s="176" t="s">
        <v>462</v>
      </c>
      <c r="AN540" s="176">
        <v>1.1890000000000001</v>
      </c>
      <c r="AO540" s="176">
        <v>2.8</v>
      </c>
      <c r="AP540" s="176">
        <v>24</v>
      </c>
      <c r="AQ540" s="176">
        <v>216</v>
      </c>
      <c r="AR540" s="176">
        <v>3.8</v>
      </c>
      <c r="AS540" s="193">
        <v>23422.3488</v>
      </c>
    </row>
    <row r="541" spans="1:45" ht="16.5" customHeight="1">
      <c r="A541" s="175">
        <v>46188</v>
      </c>
      <c r="B541" s="176" t="s">
        <v>418</v>
      </c>
      <c r="C541" s="176" t="s">
        <v>17262</v>
      </c>
      <c r="D541" s="176" t="s">
        <v>641</v>
      </c>
      <c r="E541" s="176" t="s">
        <v>16740</v>
      </c>
      <c r="F541" s="176" t="s">
        <v>17269</v>
      </c>
      <c r="G541" s="176">
        <v>700</v>
      </c>
      <c r="H541" s="176" t="s">
        <v>812</v>
      </c>
      <c r="I541" s="176">
        <v>5.5</v>
      </c>
      <c r="J541" s="176">
        <v>44</v>
      </c>
      <c r="K541" s="176">
        <v>2</v>
      </c>
      <c r="L541" s="176">
        <v>8720</v>
      </c>
      <c r="M541" s="176">
        <v>8800</v>
      </c>
      <c r="R541" s="176">
        <v>27</v>
      </c>
      <c r="S541" s="176">
        <v>0</v>
      </c>
      <c r="T541" s="176">
        <v>9170</v>
      </c>
      <c r="U541" s="176">
        <v>9540</v>
      </c>
      <c r="V541" s="176">
        <v>18</v>
      </c>
      <c r="W541" s="176">
        <v>2</v>
      </c>
      <c r="X541" s="176">
        <v>9260</v>
      </c>
      <c r="Y541" s="176">
        <v>8520</v>
      </c>
      <c r="Z541" s="176">
        <v>5.8299595141700413</v>
      </c>
      <c r="AA541" s="176">
        <v>29.666666666666668</v>
      </c>
      <c r="AB541" s="176">
        <v>0.99670138888888893</v>
      </c>
      <c r="AC541" s="176">
        <v>90.016666666666666</v>
      </c>
      <c r="AD541" s="176">
        <v>3.7083333333333335</v>
      </c>
      <c r="AE541" s="176">
        <v>3.5416666666666665</v>
      </c>
      <c r="AF541" s="176" t="s">
        <v>236</v>
      </c>
      <c r="AG541" s="176">
        <v>1</v>
      </c>
      <c r="AH541" s="176" t="s">
        <v>659</v>
      </c>
      <c r="AI541" s="176" t="s">
        <v>844</v>
      </c>
      <c r="AJ541" s="176" t="s">
        <v>844</v>
      </c>
      <c r="AK541" s="176" t="s">
        <v>647</v>
      </c>
      <c r="AL541" s="1191" t="s">
        <v>252</v>
      </c>
      <c r="AM541" s="176" t="s">
        <v>462</v>
      </c>
      <c r="AN541" s="176">
        <v>1.1890000000000001</v>
      </c>
      <c r="AO541" s="176">
        <v>2.8</v>
      </c>
      <c r="AP541" s="176">
        <v>24</v>
      </c>
      <c r="AQ541" s="176">
        <v>216</v>
      </c>
      <c r="AR541" s="176">
        <v>3.8</v>
      </c>
      <c r="AS541" s="193">
        <v>23422.3488</v>
      </c>
    </row>
    <row r="542" spans="1:45" ht="16.5" customHeight="1">
      <c r="A542" s="175">
        <v>46188</v>
      </c>
      <c r="B542" s="176" t="s">
        <v>240</v>
      </c>
      <c r="C542" s="176" t="s">
        <v>640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640</v>
      </c>
      <c r="P542" s="176" t="s">
        <v>640</v>
      </c>
      <c r="T542" s="176" t="s">
        <v>640</v>
      </c>
      <c r="X542" s="176" t="s">
        <v>640</v>
      </c>
      <c r="Z542" s="176" t="s">
        <v>420</v>
      </c>
      <c r="AA542" s="176" t="s">
        <v>640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241</v>
      </c>
      <c r="AG542" s="176">
        <v>12</v>
      </c>
      <c r="AH542" s="176" t="s">
        <v>648</v>
      </c>
      <c r="AI542" s="176" t="s">
        <v>648</v>
      </c>
      <c r="AJ542" s="176" t="s">
        <v>648</v>
      </c>
      <c r="AK542" s="176" t="s">
        <v>648</v>
      </c>
      <c r="AL542" s="119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46188</v>
      </c>
      <c r="B543" s="176" t="s">
        <v>242</v>
      </c>
      <c r="C543" s="176" t="s">
        <v>386</v>
      </c>
      <c r="E543" s="176" t="s">
        <v>420</v>
      </c>
      <c r="F543" s="176" t="s">
        <v>420</v>
      </c>
      <c r="G543" s="176" t="s">
        <v>420</v>
      </c>
      <c r="H543" s="176" t="s">
        <v>420</v>
      </c>
      <c r="I543" s="176" t="s">
        <v>420</v>
      </c>
      <c r="L543" s="176" t="s">
        <v>386</v>
      </c>
      <c r="P543" s="176" t="s">
        <v>386</v>
      </c>
      <c r="T543" s="176" t="s">
        <v>386</v>
      </c>
      <c r="X543" s="176" t="s">
        <v>386</v>
      </c>
      <c r="Z543" s="176" t="s">
        <v>420</v>
      </c>
      <c r="AA543" s="176" t="s">
        <v>386</v>
      </c>
      <c r="AB543" s="176" t="s">
        <v>420</v>
      </c>
      <c r="AC543" s="176" t="s">
        <v>420</v>
      </c>
      <c r="AD543" s="176" t="s">
        <v>420</v>
      </c>
      <c r="AE543" s="176" t="s">
        <v>420</v>
      </c>
      <c r="AF543" s="176" t="s">
        <v>241</v>
      </c>
      <c r="AG543" s="176">
        <v>5</v>
      </c>
      <c r="AH543" s="176" t="s">
        <v>648</v>
      </c>
      <c r="AI543" s="176" t="s">
        <v>648</v>
      </c>
      <c r="AJ543" s="176" t="s">
        <v>648</v>
      </c>
      <c r="AK543" s="176" t="s">
        <v>648</v>
      </c>
      <c r="AL543" s="1191" t="s">
        <v>420</v>
      </c>
      <c r="AM543" s="176" t="s">
        <v>420</v>
      </c>
      <c r="AN543" s="176" t="s">
        <v>420</v>
      </c>
      <c r="AO543" s="176" t="s">
        <v>420</v>
      </c>
      <c r="AP543" s="176">
        <v>24</v>
      </c>
      <c r="AQ543" s="176">
        <v>216</v>
      </c>
      <c r="AR543" s="176" t="s">
        <v>420</v>
      </c>
      <c r="AS543" s="193" t="s">
        <v>420</v>
      </c>
    </row>
    <row r="544" spans="1:45" ht="16.5" customHeight="1">
      <c r="A544" s="175">
        <v>46189</v>
      </c>
      <c r="B544" s="176" t="s">
        <v>212</v>
      </c>
      <c r="C544" s="176" t="s">
        <v>640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640</v>
      </c>
      <c r="P544" s="176" t="s">
        <v>640</v>
      </c>
      <c r="T544" s="176" t="s">
        <v>640</v>
      </c>
      <c r="X544" s="176" t="s">
        <v>640</v>
      </c>
      <c r="Z544" s="176" t="s">
        <v>420</v>
      </c>
      <c r="AA544" s="176" t="s">
        <v>640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213</v>
      </c>
      <c r="AG544" s="176">
        <v>1</v>
      </c>
      <c r="AH544" s="176" t="s">
        <v>656</v>
      </c>
      <c r="AI544" s="176" t="s">
        <v>656</v>
      </c>
      <c r="AJ544" s="176" t="s">
        <v>656</v>
      </c>
      <c r="AK544" s="176" t="s">
        <v>656</v>
      </c>
      <c r="AL544" s="119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46189</v>
      </c>
      <c r="B545" s="176" t="s">
        <v>214</v>
      </c>
      <c r="C545" s="176" t="s">
        <v>640</v>
      </c>
      <c r="E545" s="176" t="s">
        <v>420</v>
      </c>
      <c r="F545" s="176" t="s">
        <v>420</v>
      </c>
      <c r="G545" s="176" t="s">
        <v>420</v>
      </c>
      <c r="H545" s="176" t="s">
        <v>420</v>
      </c>
      <c r="I545" s="176" t="s">
        <v>420</v>
      </c>
      <c r="L545" s="176" t="s">
        <v>640</v>
      </c>
      <c r="P545" s="176" t="s">
        <v>640</v>
      </c>
      <c r="T545" s="176" t="s">
        <v>640</v>
      </c>
      <c r="X545" s="176" t="s">
        <v>640</v>
      </c>
      <c r="Z545" s="176" t="s">
        <v>420</v>
      </c>
      <c r="AA545" s="176" t="s">
        <v>640</v>
      </c>
      <c r="AB545" s="176" t="s">
        <v>420</v>
      </c>
      <c r="AC545" s="176" t="s">
        <v>420</v>
      </c>
      <c r="AD545" s="176" t="s">
        <v>420</v>
      </c>
      <c r="AE545" s="176" t="s">
        <v>420</v>
      </c>
      <c r="AF545" s="176" t="s">
        <v>213</v>
      </c>
      <c r="AG545" s="176">
        <v>1</v>
      </c>
      <c r="AH545" s="176" t="s">
        <v>656</v>
      </c>
      <c r="AI545" s="176" t="s">
        <v>656</v>
      </c>
      <c r="AJ545" s="176" t="s">
        <v>656</v>
      </c>
      <c r="AK545" s="176" t="s">
        <v>656</v>
      </c>
      <c r="AL545" s="1191" t="s">
        <v>420</v>
      </c>
      <c r="AM545" s="176" t="s">
        <v>420</v>
      </c>
      <c r="AN545" s="176" t="s">
        <v>420</v>
      </c>
      <c r="AO545" s="176" t="s">
        <v>420</v>
      </c>
      <c r="AP545" s="176">
        <v>24</v>
      </c>
      <c r="AQ545" s="176">
        <v>216</v>
      </c>
      <c r="AR545" s="176" t="s">
        <v>420</v>
      </c>
      <c r="AS545" s="193" t="s">
        <v>420</v>
      </c>
    </row>
    <row r="546" spans="1:45" ht="16.5" customHeight="1">
      <c r="A546" s="175">
        <v>46189</v>
      </c>
      <c r="B546" s="176" t="s">
        <v>215</v>
      </c>
      <c r="C546" s="176" t="s">
        <v>640</v>
      </c>
      <c r="E546" s="176" t="s">
        <v>420</v>
      </c>
      <c r="F546" s="176" t="s">
        <v>420</v>
      </c>
      <c r="G546" s="176" t="s">
        <v>420</v>
      </c>
      <c r="H546" s="176" t="s">
        <v>420</v>
      </c>
      <c r="I546" s="176" t="s">
        <v>420</v>
      </c>
      <c r="L546" s="176" t="s">
        <v>640</v>
      </c>
      <c r="P546" s="176" t="s">
        <v>640</v>
      </c>
      <c r="T546" s="176" t="s">
        <v>640</v>
      </c>
      <c r="X546" s="176" t="s">
        <v>640</v>
      </c>
      <c r="Z546" s="176" t="s">
        <v>420</v>
      </c>
      <c r="AA546" s="176" t="s">
        <v>640</v>
      </c>
      <c r="AB546" s="176" t="s">
        <v>420</v>
      </c>
      <c r="AC546" s="176" t="s">
        <v>420</v>
      </c>
      <c r="AD546" s="176" t="s">
        <v>420</v>
      </c>
      <c r="AE546" s="176" t="s">
        <v>420</v>
      </c>
      <c r="AF546" s="176" t="s">
        <v>213</v>
      </c>
      <c r="AG546" s="176">
        <v>1</v>
      </c>
      <c r="AH546" s="176" t="s">
        <v>656</v>
      </c>
      <c r="AI546" s="176" t="s">
        <v>656</v>
      </c>
      <c r="AJ546" s="176" t="s">
        <v>656</v>
      </c>
      <c r="AK546" s="176" t="s">
        <v>656</v>
      </c>
      <c r="AL546" s="1191" t="s">
        <v>420</v>
      </c>
      <c r="AM546" s="176" t="s">
        <v>420</v>
      </c>
      <c r="AN546" s="176" t="s">
        <v>420</v>
      </c>
      <c r="AO546" s="176" t="s">
        <v>420</v>
      </c>
      <c r="AP546" s="176">
        <v>24</v>
      </c>
      <c r="AQ546" s="176">
        <v>216</v>
      </c>
      <c r="AR546" s="176" t="s">
        <v>420</v>
      </c>
      <c r="AS546" s="193" t="s">
        <v>420</v>
      </c>
    </row>
    <row r="547" spans="1:45" ht="16.5" customHeight="1">
      <c r="A547" s="175">
        <v>46189</v>
      </c>
      <c r="B547" s="176" t="s">
        <v>216</v>
      </c>
      <c r="C547" s="176" t="s">
        <v>640</v>
      </c>
      <c r="E547" s="176" t="s">
        <v>420</v>
      </c>
      <c r="F547" s="176" t="s">
        <v>420</v>
      </c>
      <c r="G547" s="176" t="s">
        <v>420</v>
      </c>
      <c r="H547" s="176" t="s">
        <v>420</v>
      </c>
      <c r="I547" s="176" t="s">
        <v>420</v>
      </c>
      <c r="L547" s="176" t="s">
        <v>640</v>
      </c>
      <c r="P547" s="176" t="s">
        <v>640</v>
      </c>
      <c r="T547" s="176" t="s">
        <v>640</v>
      </c>
      <c r="X547" s="176" t="s">
        <v>640</v>
      </c>
      <c r="Z547" s="176" t="s">
        <v>420</v>
      </c>
      <c r="AA547" s="176" t="s">
        <v>640</v>
      </c>
      <c r="AB547" s="176" t="s">
        <v>420</v>
      </c>
      <c r="AC547" s="176" t="s">
        <v>420</v>
      </c>
      <c r="AD547" s="176" t="s">
        <v>420</v>
      </c>
      <c r="AE547" s="176" t="s">
        <v>420</v>
      </c>
      <c r="AF547" s="176" t="s">
        <v>213</v>
      </c>
      <c r="AG547" s="176">
        <v>1</v>
      </c>
      <c r="AH547" s="176" t="s">
        <v>648</v>
      </c>
      <c r="AI547" s="176" t="s">
        <v>656</v>
      </c>
      <c r="AJ547" s="176" t="s">
        <v>656</v>
      </c>
      <c r="AK547" s="176" t="s">
        <v>656</v>
      </c>
      <c r="AL547" s="1191" t="s">
        <v>420</v>
      </c>
      <c r="AM547" s="176" t="s">
        <v>420</v>
      </c>
      <c r="AN547" s="176" t="s">
        <v>420</v>
      </c>
      <c r="AO547" s="176" t="s">
        <v>420</v>
      </c>
      <c r="AP547" s="176">
        <v>24</v>
      </c>
      <c r="AQ547" s="176">
        <v>216</v>
      </c>
      <c r="AR547" s="176" t="s">
        <v>420</v>
      </c>
      <c r="AS547" s="193" t="s">
        <v>420</v>
      </c>
    </row>
    <row r="548" spans="1:45" ht="16.5" customHeight="1">
      <c r="A548" s="175">
        <v>46189</v>
      </c>
      <c r="B548" s="176" t="s">
        <v>217</v>
      </c>
      <c r="C548" s="176" t="s">
        <v>17443</v>
      </c>
      <c r="E548" s="176" t="s">
        <v>474</v>
      </c>
      <c r="F548" s="176" t="s">
        <v>16817</v>
      </c>
      <c r="G548" s="176">
        <v>600</v>
      </c>
      <c r="H548" s="176" t="s">
        <v>16144</v>
      </c>
      <c r="I548" s="176">
        <v>5</v>
      </c>
      <c r="J548" s="176">
        <v>17</v>
      </c>
      <c r="K548" s="176">
        <v>0</v>
      </c>
      <c r="L548" s="176">
        <v>9117</v>
      </c>
      <c r="M548" s="176">
        <v>8970</v>
      </c>
      <c r="R548" s="176">
        <v>12</v>
      </c>
      <c r="S548" s="176">
        <v>0</v>
      </c>
      <c r="T548" s="176">
        <v>9262</v>
      </c>
      <c r="U548" s="176">
        <v>9000</v>
      </c>
      <c r="V548" s="176">
        <v>14</v>
      </c>
      <c r="W548" s="176">
        <v>1</v>
      </c>
      <c r="X548" s="176">
        <v>9180</v>
      </c>
      <c r="Y548" s="176">
        <v>8875</v>
      </c>
      <c r="Z548" s="176">
        <v>1.4090019569471623</v>
      </c>
      <c r="AA548" s="176">
        <v>14.333333333333334</v>
      </c>
      <c r="AB548" s="176">
        <v>0.99658787393162396</v>
      </c>
      <c r="AC548" s="176">
        <v>90.673333333333346</v>
      </c>
      <c r="AD548" s="176">
        <v>1.7916666666666667</v>
      </c>
      <c r="AE548" s="176">
        <v>1.75</v>
      </c>
      <c r="AF548" s="176" t="s">
        <v>213</v>
      </c>
      <c r="AG548" s="176">
        <v>1</v>
      </c>
      <c r="AH548" s="176" t="s">
        <v>16172</v>
      </c>
      <c r="AI548" s="176" t="s">
        <v>638</v>
      </c>
      <c r="AJ548" s="176" t="s">
        <v>638</v>
      </c>
      <c r="AK548" s="176" t="s">
        <v>642</v>
      </c>
      <c r="AL548" s="1191" t="s">
        <v>252</v>
      </c>
      <c r="AM548" s="176" t="s">
        <v>126</v>
      </c>
      <c r="AN548" s="176">
        <v>0.91100000000000003</v>
      </c>
      <c r="AO548" s="176">
        <v>0.6</v>
      </c>
      <c r="AP548" s="176">
        <v>24</v>
      </c>
      <c r="AQ548" s="176">
        <v>216</v>
      </c>
      <c r="AR548" s="176">
        <v>1.6</v>
      </c>
      <c r="AS548" s="193">
        <v>7556.1984000000011</v>
      </c>
    </row>
    <row r="549" spans="1:45" ht="16.5" customHeight="1">
      <c r="A549" s="175">
        <v>46189</v>
      </c>
      <c r="B549" s="176" t="s">
        <v>218</v>
      </c>
      <c r="C549" s="176" t="s">
        <v>17260</v>
      </c>
      <c r="E549" s="176" t="s">
        <v>17335</v>
      </c>
      <c r="F549" s="176" t="s">
        <v>17276</v>
      </c>
      <c r="G549" s="176">
        <v>600</v>
      </c>
      <c r="H549" s="176" t="s">
        <v>15907</v>
      </c>
      <c r="I549" s="176">
        <v>5</v>
      </c>
      <c r="J549" s="176">
        <v>14</v>
      </c>
      <c r="K549" s="176">
        <v>0</v>
      </c>
      <c r="L549" s="176">
        <v>9411</v>
      </c>
      <c r="M549" s="176">
        <v>9847</v>
      </c>
      <c r="R549" s="176">
        <v>20</v>
      </c>
      <c r="S549" s="176">
        <v>4</v>
      </c>
      <c r="T549" s="176">
        <v>9319</v>
      </c>
      <c r="U549" s="176">
        <v>9835</v>
      </c>
      <c r="V549" s="176">
        <v>28</v>
      </c>
      <c r="W549" s="176">
        <v>4</v>
      </c>
      <c r="X549" s="176">
        <v>9113</v>
      </c>
      <c r="Y549" s="176">
        <v>9660</v>
      </c>
      <c r="Z549" s="176">
        <v>2.8015564202334629</v>
      </c>
      <c r="AA549" s="176">
        <v>10.333333333333334</v>
      </c>
      <c r="AB549" s="176">
        <v>0.98627136752136757</v>
      </c>
      <c r="AC549" s="176">
        <v>95.308333333333337</v>
      </c>
      <c r="AD549" s="176">
        <v>1.2916666666666667</v>
      </c>
      <c r="AE549" s="176">
        <v>1.125</v>
      </c>
      <c r="AF549" s="176" t="s">
        <v>213</v>
      </c>
      <c r="AG549" s="176">
        <v>0.5</v>
      </c>
      <c r="AH549" s="176" t="s">
        <v>16172</v>
      </c>
      <c r="AI549" s="176" t="s">
        <v>638</v>
      </c>
      <c r="AJ549" s="176" t="s">
        <v>638</v>
      </c>
      <c r="AK549" s="176" t="s">
        <v>642</v>
      </c>
      <c r="AL549" s="1191" t="s">
        <v>251</v>
      </c>
      <c r="AM549" s="176" t="s">
        <v>126</v>
      </c>
      <c r="AN549" s="176">
        <v>0.91100000000000003</v>
      </c>
      <c r="AO549" s="176">
        <v>1.7</v>
      </c>
      <c r="AP549" s="176">
        <v>24</v>
      </c>
      <c r="AQ549" s="176">
        <v>216</v>
      </c>
      <c r="AR549" s="176">
        <v>2.7</v>
      </c>
      <c r="AS549" s="193">
        <v>12751.084800000001</v>
      </c>
    </row>
    <row r="550" spans="1:45" ht="16.5" customHeight="1">
      <c r="A550" s="175">
        <v>46189</v>
      </c>
      <c r="B550" s="176" t="s">
        <v>219</v>
      </c>
      <c r="C550" s="176" t="s">
        <v>16766</v>
      </c>
      <c r="D550" s="176" t="s">
        <v>16769</v>
      </c>
      <c r="E550" s="176" t="s">
        <v>1472</v>
      </c>
      <c r="F550" s="176" t="s">
        <v>16217</v>
      </c>
      <c r="G550" s="176">
        <v>630</v>
      </c>
      <c r="H550" s="176" t="s">
        <v>629</v>
      </c>
      <c r="I550" s="176">
        <v>2</v>
      </c>
      <c r="J550" s="176">
        <v>18</v>
      </c>
      <c r="K550" s="176">
        <v>0</v>
      </c>
      <c r="L550" s="176">
        <v>9012</v>
      </c>
      <c r="M550" s="176">
        <v>9458</v>
      </c>
      <c r="R550" s="176">
        <v>20</v>
      </c>
      <c r="S550" s="176">
        <v>3</v>
      </c>
      <c r="T550" s="176">
        <v>9196</v>
      </c>
      <c r="U550" s="176">
        <v>9548</v>
      </c>
      <c r="V550" s="176">
        <v>11</v>
      </c>
      <c r="W550" s="176">
        <v>1</v>
      </c>
      <c r="X550" s="176">
        <v>8916</v>
      </c>
      <c r="Y550" s="176">
        <v>9507</v>
      </c>
      <c r="Z550" s="176">
        <v>2.4615384615384617</v>
      </c>
      <c r="AA550" s="176">
        <v>16.333333333333332</v>
      </c>
      <c r="AB550" s="176">
        <v>0.9921875</v>
      </c>
      <c r="AC550" s="176">
        <v>92.728333333333339</v>
      </c>
      <c r="AD550" s="176">
        <v>2.0416666666666665</v>
      </c>
      <c r="AE550" s="176">
        <v>1.875</v>
      </c>
      <c r="AF550" s="176" t="s">
        <v>213</v>
      </c>
      <c r="AG550" s="176">
        <v>1</v>
      </c>
      <c r="AH550" s="176" t="s">
        <v>16172</v>
      </c>
      <c r="AI550" s="176" t="s">
        <v>638</v>
      </c>
      <c r="AJ550" s="176" t="s">
        <v>638</v>
      </c>
      <c r="AK550" s="176" t="s">
        <v>642</v>
      </c>
      <c r="AL550" s="1191" t="s">
        <v>251</v>
      </c>
      <c r="AM550" s="176" t="s">
        <v>951</v>
      </c>
      <c r="AN550" s="176">
        <v>0.56200000000000006</v>
      </c>
      <c r="AO550" s="176">
        <v>1.1000000000000001</v>
      </c>
      <c r="AP550" s="176">
        <v>24</v>
      </c>
      <c r="AQ550" s="176">
        <v>216</v>
      </c>
      <c r="AR550" s="176">
        <v>2.1</v>
      </c>
      <c r="AS550" s="193">
        <v>6118.1568000000007</v>
      </c>
    </row>
    <row r="551" spans="1:45" ht="16.5" customHeight="1">
      <c r="A551" s="175">
        <v>46189</v>
      </c>
      <c r="B551" s="176" t="s">
        <v>220</v>
      </c>
      <c r="C551" s="176" t="s">
        <v>640</v>
      </c>
      <c r="E551" s="176" t="s">
        <v>420</v>
      </c>
      <c r="F551" s="176" t="s">
        <v>420</v>
      </c>
      <c r="G551" s="176" t="s">
        <v>420</v>
      </c>
      <c r="H551" s="176" t="s">
        <v>420</v>
      </c>
      <c r="I551" s="176" t="s">
        <v>420</v>
      </c>
      <c r="L551" s="176" t="s">
        <v>640</v>
      </c>
      <c r="P551" s="176" t="s">
        <v>640</v>
      </c>
      <c r="T551" s="176" t="s">
        <v>640</v>
      </c>
      <c r="X551" s="176" t="s">
        <v>640</v>
      </c>
      <c r="Z551" s="176" t="s">
        <v>420</v>
      </c>
      <c r="AA551" s="176" t="s">
        <v>640</v>
      </c>
      <c r="AB551" s="176" t="s">
        <v>420</v>
      </c>
      <c r="AC551" s="176" t="s">
        <v>420</v>
      </c>
      <c r="AD551" s="176" t="s">
        <v>420</v>
      </c>
      <c r="AE551" s="176" t="s">
        <v>420</v>
      </c>
      <c r="AF551" s="176" t="s">
        <v>213</v>
      </c>
      <c r="AG551" s="176">
        <v>1</v>
      </c>
      <c r="AH551" s="176" t="s">
        <v>648</v>
      </c>
      <c r="AI551" s="176" t="s">
        <v>648</v>
      </c>
      <c r="AJ551" s="176" t="s">
        <v>648</v>
      </c>
      <c r="AK551" s="176" t="s">
        <v>648</v>
      </c>
      <c r="AL551" s="1191" t="s">
        <v>420</v>
      </c>
      <c r="AM551" s="176" t="s">
        <v>420</v>
      </c>
      <c r="AN551" s="176" t="s">
        <v>420</v>
      </c>
      <c r="AO551" s="176" t="s">
        <v>420</v>
      </c>
      <c r="AP551" s="176">
        <v>24</v>
      </c>
      <c r="AQ551" s="176">
        <v>216</v>
      </c>
      <c r="AR551" s="176" t="s">
        <v>420</v>
      </c>
      <c r="AS551" s="193" t="s">
        <v>420</v>
      </c>
    </row>
    <row r="552" spans="1:45" ht="16.5" customHeight="1">
      <c r="A552" s="175">
        <v>46189</v>
      </c>
      <c r="B552" s="176" t="s">
        <v>221</v>
      </c>
      <c r="C552" s="176" t="s">
        <v>16787</v>
      </c>
      <c r="E552" s="176" t="s">
        <v>624</v>
      </c>
      <c r="F552" s="176" t="s">
        <v>16747</v>
      </c>
      <c r="G552" s="176">
        <v>600</v>
      </c>
      <c r="H552" s="176" t="s">
        <v>476</v>
      </c>
      <c r="I552" s="176">
        <v>5</v>
      </c>
      <c r="L552" s="176" t="s">
        <v>636</v>
      </c>
      <c r="P552" s="176" t="s">
        <v>16093</v>
      </c>
      <c r="T552" s="176" t="s">
        <v>127</v>
      </c>
      <c r="X552" s="176" t="s">
        <v>127</v>
      </c>
      <c r="Z552" s="176">
        <v>2.8685258964143427</v>
      </c>
      <c r="AA552" s="176" t="s">
        <v>636</v>
      </c>
      <c r="AB552" s="176" t="s">
        <v>420</v>
      </c>
      <c r="AC552" s="176" t="s">
        <v>420</v>
      </c>
      <c r="AD552" s="176" t="s">
        <v>420</v>
      </c>
      <c r="AE552" s="176" t="s">
        <v>420</v>
      </c>
      <c r="AF552" s="176" t="s">
        <v>213</v>
      </c>
      <c r="AG552" s="176">
        <v>1</v>
      </c>
      <c r="AH552" s="176" t="s">
        <v>16172</v>
      </c>
      <c r="AI552" s="176" t="s">
        <v>824</v>
      </c>
      <c r="AJ552" s="176" t="s">
        <v>824</v>
      </c>
      <c r="AK552" s="176" t="s">
        <v>642</v>
      </c>
      <c r="AL552" s="1191" t="s">
        <v>251</v>
      </c>
      <c r="AM552" s="176" t="s">
        <v>126</v>
      </c>
      <c r="AN552" s="176">
        <v>0.91100000000000003</v>
      </c>
      <c r="AO552" s="176">
        <v>3</v>
      </c>
      <c r="AP552" s="176">
        <v>24</v>
      </c>
      <c r="AQ552" s="176">
        <v>216</v>
      </c>
      <c r="AR552" s="176">
        <v>4</v>
      </c>
      <c r="AS552" s="193">
        <v>18890.495999999999</v>
      </c>
    </row>
    <row r="553" spans="1:45" ht="16.5" customHeight="1">
      <c r="A553" s="175">
        <v>46189</v>
      </c>
      <c r="B553" s="176" t="s">
        <v>222</v>
      </c>
      <c r="C553" s="176" t="s">
        <v>640</v>
      </c>
      <c r="E553" s="176" t="s">
        <v>420</v>
      </c>
      <c r="F553" s="176" t="s">
        <v>420</v>
      </c>
      <c r="G553" s="176" t="s">
        <v>420</v>
      </c>
      <c r="H553" s="176" t="s">
        <v>420</v>
      </c>
      <c r="I553" s="176" t="s">
        <v>420</v>
      </c>
      <c r="L553" s="176" t="s">
        <v>640</v>
      </c>
      <c r="P553" s="176" t="s">
        <v>640</v>
      </c>
      <c r="T553" s="176" t="s">
        <v>640</v>
      </c>
      <c r="X553" s="176" t="s">
        <v>640</v>
      </c>
      <c r="Z553" s="176" t="s">
        <v>420</v>
      </c>
      <c r="AA553" s="176" t="s">
        <v>640</v>
      </c>
      <c r="AB553" s="176" t="s">
        <v>420</v>
      </c>
      <c r="AC553" s="176" t="s">
        <v>420</v>
      </c>
      <c r="AD553" s="176" t="s">
        <v>420</v>
      </c>
      <c r="AE553" s="176" t="s">
        <v>420</v>
      </c>
      <c r="AF553" s="176" t="s">
        <v>213</v>
      </c>
      <c r="AG553" s="176">
        <v>1</v>
      </c>
      <c r="AH553" s="176" t="s">
        <v>648</v>
      </c>
      <c r="AI553" s="176" t="s">
        <v>648</v>
      </c>
      <c r="AJ553" s="176" t="s">
        <v>648</v>
      </c>
      <c r="AK553" s="176" t="s">
        <v>648</v>
      </c>
      <c r="AL553" s="1191" t="s">
        <v>420</v>
      </c>
      <c r="AM553" s="176" t="s">
        <v>420</v>
      </c>
      <c r="AN553" s="176" t="s">
        <v>420</v>
      </c>
      <c r="AO553" s="176" t="s">
        <v>420</v>
      </c>
      <c r="AP553" s="176">
        <v>24</v>
      </c>
      <c r="AQ553" s="176">
        <v>216</v>
      </c>
      <c r="AR553" s="176" t="s">
        <v>420</v>
      </c>
      <c r="AS553" s="193" t="s">
        <v>420</v>
      </c>
    </row>
    <row r="554" spans="1:45" ht="16.5" customHeight="1">
      <c r="A554" s="175">
        <v>46189</v>
      </c>
      <c r="B554" s="176" t="s">
        <v>223</v>
      </c>
      <c r="C554" s="176" t="s">
        <v>640</v>
      </c>
      <c r="E554" s="176" t="s">
        <v>420</v>
      </c>
      <c r="F554" s="176" t="s">
        <v>420</v>
      </c>
      <c r="G554" s="176" t="s">
        <v>420</v>
      </c>
      <c r="H554" s="176" t="s">
        <v>420</v>
      </c>
      <c r="I554" s="176" t="s">
        <v>420</v>
      </c>
      <c r="L554" s="176" t="s">
        <v>640</v>
      </c>
      <c r="P554" s="176" t="s">
        <v>640</v>
      </c>
      <c r="T554" s="176" t="s">
        <v>640</v>
      </c>
      <c r="X554" s="176" t="s">
        <v>640</v>
      </c>
      <c r="Z554" s="176" t="s">
        <v>420</v>
      </c>
      <c r="AA554" s="176" t="s">
        <v>640</v>
      </c>
      <c r="AB554" s="176" t="s">
        <v>420</v>
      </c>
      <c r="AC554" s="176" t="s">
        <v>420</v>
      </c>
      <c r="AD554" s="176" t="s">
        <v>420</v>
      </c>
      <c r="AE554" s="176" t="s">
        <v>420</v>
      </c>
      <c r="AF554" s="176" t="s">
        <v>213</v>
      </c>
      <c r="AG554" s="176">
        <v>1</v>
      </c>
      <c r="AH554" s="176" t="s">
        <v>648</v>
      </c>
      <c r="AI554" s="176" t="s">
        <v>648</v>
      </c>
      <c r="AJ554" s="176" t="s">
        <v>648</v>
      </c>
      <c r="AK554" s="176" t="s">
        <v>648</v>
      </c>
      <c r="AL554" s="1191" t="s">
        <v>420</v>
      </c>
      <c r="AM554" s="176" t="s">
        <v>420</v>
      </c>
      <c r="AN554" s="176" t="s">
        <v>420</v>
      </c>
      <c r="AO554" s="176" t="s">
        <v>420</v>
      </c>
      <c r="AP554" s="176">
        <v>24</v>
      </c>
      <c r="AQ554" s="176">
        <v>216</v>
      </c>
      <c r="AR554" s="176" t="s">
        <v>420</v>
      </c>
      <c r="AS554" s="193" t="s">
        <v>420</v>
      </c>
    </row>
    <row r="555" spans="1:45" ht="16.5" customHeight="1">
      <c r="A555" s="175">
        <v>46189</v>
      </c>
      <c r="B555" s="176" t="s">
        <v>224</v>
      </c>
      <c r="C555" s="176" t="s">
        <v>640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640</v>
      </c>
      <c r="P555" s="176" t="s">
        <v>640</v>
      </c>
      <c r="T555" s="176" t="s">
        <v>640</v>
      </c>
      <c r="X555" s="176" t="s">
        <v>640</v>
      </c>
      <c r="Z555" s="176" t="s">
        <v>420</v>
      </c>
      <c r="AA555" s="176" t="s">
        <v>640</v>
      </c>
      <c r="AB555" s="176" t="s">
        <v>420</v>
      </c>
      <c r="AC555" s="176" t="s">
        <v>420</v>
      </c>
      <c r="AD555" s="176" t="s">
        <v>420</v>
      </c>
      <c r="AE555" s="176" t="s">
        <v>420</v>
      </c>
      <c r="AF555" s="176" t="s">
        <v>213</v>
      </c>
      <c r="AG555" s="176">
        <v>1</v>
      </c>
      <c r="AH555" s="176" t="s">
        <v>648</v>
      </c>
      <c r="AI555" s="176" t="s">
        <v>648</v>
      </c>
      <c r="AJ555" s="176" t="s">
        <v>648</v>
      </c>
      <c r="AK555" s="176" t="s">
        <v>648</v>
      </c>
      <c r="AL555" s="119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46189</v>
      </c>
      <c r="B556" s="176" t="s">
        <v>225</v>
      </c>
      <c r="C556" s="176" t="s">
        <v>17285</v>
      </c>
      <c r="E556" s="176" t="s">
        <v>17231</v>
      </c>
      <c r="F556" s="176" t="s">
        <v>17286</v>
      </c>
      <c r="G556" s="176">
        <v>650</v>
      </c>
      <c r="H556" s="176" t="s">
        <v>16749</v>
      </c>
      <c r="I556" s="176">
        <v>5</v>
      </c>
      <c r="J556" s="176">
        <v>16</v>
      </c>
      <c r="K556" s="176">
        <v>0</v>
      </c>
      <c r="L556" s="176">
        <v>9059</v>
      </c>
      <c r="M556" s="176">
        <v>9460</v>
      </c>
      <c r="R556" s="176">
        <v>24</v>
      </c>
      <c r="S556" s="176">
        <v>2</v>
      </c>
      <c r="T556" s="176">
        <v>9064</v>
      </c>
      <c r="U556" s="176">
        <v>9436</v>
      </c>
      <c r="V556" s="176">
        <v>11</v>
      </c>
      <c r="W556" s="176">
        <v>1</v>
      </c>
      <c r="X556" s="176">
        <v>8961</v>
      </c>
      <c r="Y556" s="176">
        <v>9254</v>
      </c>
      <c r="Z556" s="176">
        <v>3.0638297872340425</v>
      </c>
      <c r="AA556" s="176">
        <v>17</v>
      </c>
      <c r="AB556" s="176">
        <v>0.99529246794871795</v>
      </c>
      <c r="AC556" s="176">
        <v>92.056666666666658</v>
      </c>
      <c r="AD556" s="176">
        <v>2.125</v>
      </c>
      <c r="AE556" s="176">
        <v>2</v>
      </c>
      <c r="AF556" s="176" t="s">
        <v>213</v>
      </c>
      <c r="AG556" s="176">
        <v>1</v>
      </c>
      <c r="AH556" s="176" t="s">
        <v>16172</v>
      </c>
      <c r="AI556" s="176" t="s">
        <v>638</v>
      </c>
      <c r="AJ556" s="176" t="s">
        <v>638</v>
      </c>
      <c r="AK556" s="176" t="s">
        <v>645</v>
      </c>
      <c r="AL556" s="1191" t="s">
        <v>252</v>
      </c>
      <c r="AM556" s="176" t="s">
        <v>126</v>
      </c>
      <c r="AN556" s="176">
        <v>0.91100000000000003</v>
      </c>
      <c r="AO556" s="176">
        <v>3</v>
      </c>
      <c r="AP556" s="176">
        <v>24</v>
      </c>
      <c r="AQ556" s="176">
        <v>216</v>
      </c>
      <c r="AR556" s="176">
        <v>4</v>
      </c>
      <c r="AS556" s="193">
        <v>18890.495999999999</v>
      </c>
    </row>
    <row r="557" spans="1:45" ht="16.5" customHeight="1">
      <c r="A557" s="175">
        <v>46189</v>
      </c>
      <c r="B557" s="176" t="s">
        <v>226</v>
      </c>
      <c r="C557" s="176" t="s">
        <v>640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640</v>
      </c>
      <c r="P557" s="176" t="s">
        <v>640</v>
      </c>
      <c r="T557" s="176" t="s">
        <v>640</v>
      </c>
      <c r="X557" s="176" t="s">
        <v>640</v>
      </c>
      <c r="Z557" s="176" t="s">
        <v>420</v>
      </c>
      <c r="AA557" s="176" t="s">
        <v>640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213</v>
      </c>
      <c r="AG557" s="176">
        <v>1</v>
      </c>
      <c r="AH557" s="176" t="s">
        <v>648</v>
      </c>
      <c r="AI557" s="176" t="s">
        <v>648</v>
      </c>
      <c r="AJ557" s="176" t="s">
        <v>648</v>
      </c>
      <c r="AK557" s="176" t="s">
        <v>648</v>
      </c>
      <c r="AL557" s="119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46189</v>
      </c>
      <c r="B558" s="176" t="s">
        <v>227</v>
      </c>
      <c r="C558" s="176" t="s">
        <v>17497</v>
      </c>
      <c r="E558" s="176" t="s">
        <v>8447</v>
      </c>
      <c r="F558" s="176" t="s">
        <v>17498</v>
      </c>
      <c r="G558" s="176">
        <v>600</v>
      </c>
      <c r="H558" s="176" t="s">
        <v>3222</v>
      </c>
      <c r="I558" s="176">
        <v>5</v>
      </c>
      <c r="L558" s="176" t="s">
        <v>650</v>
      </c>
      <c r="P558" s="176" t="s">
        <v>479</v>
      </c>
      <c r="T558" s="176" t="s">
        <v>640</v>
      </c>
      <c r="X558" s="176" t="s">
        <v>640</v>
      </c>
      <c r="Z558" s="176">
        <v>3.0638297872340425</v>
      </c>
      <c r="AA558" s="176" t="s">
        <v>650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213</v>
      </c>
      <c r="AG558" s="176">
        <v>1</v>
      </c>
      <c r="AH558" s="176" t="s">
        <v>838</v>
      </c>
      <c r="AI558" s="176" t="s">
        <v>824</v>
      </c>
      <c r="AJ558" s="176" t="s">
        <v>824</v>
      </c>
      <c r="AK558" s="176" t="s">
        <v>645</v>
      </c>
      <c r="AL558" s="1191" t="s">
        <v>251</v>
      </c>
      <c r="AM558" s="176" t="s">
        <v>462</v>
      </c>
      <c r="AN558" s="176">
        <v>1.1890000000000001</v>
      </c>
      <c r="AO558" s="176">
        <v>2.2000000000000002</v>
      </c>
      <c r="AP558" s="176">
        <v>24</v>
      </c>
      <c r="AQ558" s="176">
        <v>216</v>
      </c>
      <c r="AR558" s="176">
        <v>3.2</v>
      </c>
      <c r="AS558" s="193">
        <v>19724.083200000001</v>
      </c>
    </row>
    <row r="559" spans="1:45" ht="16.5" customHeight="1">
      <c r="A559" s="175">
        <v>46189</v>
      </c>
      <c r="B559" s="176" t="s">
        <v>228</v>
      </c>
      <c r="C559" s="176" t="s">
        <v>17446</v>
      </c>
      <c r="E559" s="176" t="s">
        <v>17447</v>
      </c>
      <c r="F559" s="176" t="s">
        <v>17448</v>
      </c>
      <c r="G559" s="176">
        <v>550</v>
      </c>
      <c r="H559" s="176" t="s">
        <v>16736</v>
      </c>
      <c r="I559" s="176">
        <v>5</v>
      </c>
      <c r="J559" s="176">
        <v>30</v>
      </c>
      <c r="K559" s="176">
        <v>0</v>
      </c>
      <c r="L559" s="176">
        <v>8804</v>
      </c>
      <c r="M559" s="176">
        <v>8952</v>
      </c>
      <c r="R559" s="176">
        <v>20</v>
      </c>
      <c r="S559" s="176">
        <v>2</v>
      </c>
      <c r="T559" s="176">
        <v>9235</v>
      </c>
      <c r="U559" s="176">
        <v>9064</v>
      </c>
      <c r="V559" s="176">
        <v>20</v>
      </c>
      <c r="W559" s="176">
        <v>6</v>
      </c>
      <c r="X559" s="176">
        <v>9057</v>
      </c>
      <c r="Y559" s="176">
        <v>9019</v>
      </c>
      <c r="Z559" s="176">
        <v>5.161290322580645</v>
      </c>
      <c r="AA559" s="176">
        <v>11.666666666666666</v>
      </c>
      <c r="AB559" s="176">
        <v>0.99254807692307689</v>
      </c>
      <c r="AC559" s="176">
        <v>90.218333333333334</v>
      </c>
      <c r="AD559" s="176">
        <v>1.4583333333333333</v>
      </c>
      <c r="AE559" s="176">
        <v>1.2916666666666667</v>
      </c>
      <c r="AF559" s="176" t="s">
        <v>213</v>
      </c>
      <c r="AG559" s="176">
        <v>0.5</v>
      </c>
      <c r="AH559" s="176" t="s">
        <v>16172</v>
      </c>
      <c r="AI559" s="176" t="s">
        <v>638</v>
      </c>
      <c r="AJ559" s="176" t="s">
        <v>638</v>
      </c>
      <c r="AK559" s="176" t="s">
        <v>642</v>
      </c>
      <c r="AL559" s="1191" t="s">
        <v>251</v>
      </c>
      <c r="AM559" s="176" t="s">
        <v>651</v>
      </c>
      <c r="AN559" s="176">
        <v>1.859</v>
      </c>
      <c r="AO559" s="176">
        <v>2.8</v>
      </c>
      <c r="AP559" s="176">
        <v>24</v>
      </c>
      <c r="AQ559" s="176">
        <v>216</v>
      </c>
      <c r="AR559" s="176">
        <v>3.8</v>
      </c>
      <c r="AS559" s="193">
        <v>36620.8128</v>
      </c>
    </row>
    <row r="560" spans="1:45" ht="16.5" customHeight="1">
      <c r="A560" s="175">
        <v>46189</v>
      </c>
      <c r="B560" s="176" t="s">
        <v>229</v>
      </c>
      <c r="C560" s="176" t="s">
        <v>640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640</v>
      </c>
      <c r="P560" s="176" t="s">
        <v>640</v>
      </c>
      <c r="T560" s="176" t="s">
        <v>640</v>
      </c>
      <c r="X560" s="176" t="s">
        <v>640</v>
      </c>
      <c r="Z560" s="176" t="s">
        <v>420</v>
      </c>
      <c r="AA560" s="176" t="s">
        <v>640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213</v>
      </c>
      <c r="AG560" s="176">
        <v>1</v>
      </c>
      <c r="AH560" s="176" t="s">
        <v>648</v>
      </c>
      <c r="AI560" s="176" t="s">
        <v>648</v>
      </c>
      <c r="AJ560" s="176" t="s">
        <v>648</v>
      </c>
      <c r="AK560" s="176" t="s">
        <v>648</v>
      </c>
      <c r="AL560" s="119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46189</v>
      </c>
      <c r="B561" s="176" t="s">
        <v>230</v>
      </c>
      <c r="C561" s="176" t="s">
        <v>640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640</v>
      </c>
      <c r="P561" s="176" t="s">
        <v>640</v>
      </c>
      <c r="T561" s="176" t="s">
        <v>640</v>
      </c>
      <c r="X561" s="176" t="s">
        <v>640</v>
      </c>
      <c r="Z561" s="176" t="s">
        <v>420</v>
      </c>
      <c r="AA561" s="176" t="s">
        <v>640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213</v>
      </c>
      <c r="AG561" s="176">
        <v>1</v>
      </c>
      <c r="AH561" s="176" t="s">
        <v>648</v>
      </c>
      <c r="AI561" s="176" t="s">
        <v>648</v>
      </c>
      <c r="AJ561" s="176" t="s">
        <v>648</v>
      </c>
      <c r="AK561" s="176" t="s">
        <v>648</v>
      </c>
      <c r="AL561" s="119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46189</v>
      </c>
      <c r="B562" s="176" t="s">
        <v>231</v>
      </c>
      <c r="C562" s="176" t="s">
        <v>640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640</v>
      </c>
      <c r="P562" s="176" t="s">
        <v>640</v>
      </c>
      <c r="T562" s="176" t="s">
        <v>640</v>
      </c>
      <c r="X562" s="176" t="s">
        <v>640</v>
      </c>
      <c r="Z562" s="176" t="s">
        <v>420</v>
      </c>
      <c r="AA562" s="176" t="s">
        <v>640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232</v>
      </c>
      <c r="AG562" s="176">
        <v>1</v>
      </c>
      <c r="AH562" s="176" t="s">
        <v>648</v>
      </c>
      <c r="AI562" s="176" t="s">
        <v>648</v>
      </c>
      <c r="AJ562" s="176" t="s">
        <v>648</v>
      </c>
      <c r="AK562" s="176" t="s">
        <v>648</v>
      </c>
      <c r="AL562" s="119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46189</v>
      </c>
      <c r="B563" s="176" t="s">
        <v>233</v>
      </c>
      <c r="C563" s="176" t="s">
        <v>17336</v>
      </c>
      <c r="D563" s="176" t="s">
        <v>641</v>
      </c>
      <c r="E563" s="176" t="s">
        <v>16740</v>
      </c>
      <c r="F563" s="176" t="s">
        <v>17289</v>
      </c>
      <c r="G563" s="176">
        <v>600</v>
      </c>
      <c r="H563" s="176" t="s">
        <v>7798</v>
      </c>
      <c r="I563" s="176">
        <v>5.5</v>
      </c>
      <c r="J563" s="176">
        <v>22</v>
      </c>
      <c r="K563" s="176">
        <v>1</v>
      </c>
      <c r="L563" s="176">
        <v>6430</v>
      </c>
      <c r="R563" s="176">
        <v>15</v>
      </c>
      <c r="S563" s="176">
        <v>2</v>
      </c>
      <c r="T563" s="176">
        <v>5770</v>
      </c>
      <c r="V563" s="176">
        <v>29</v>
      </c>
      <c r="W563" s="176">
        <v>5</v>
      </c>
      <c r="X563" s="176">
        <v>4770</v>
      </c>
      <c r="Z563" s="176">
        <v>5.8536585365853666</v>
      </c>
      <c r="AA563" s="176">
        <v>22</v>
      </c>
      <c r="AB563" s="176">
        <v>0.9934294871794872</v>
      </c>
      <c r="AC563" s="176">
        <v>56.56666666666667</v>
      </c>
      <c r="AD563" s="176">
        <v>2.75</v>
      </c>
      <c r="AE563" s="176">
        <v>2.4166666666666665</v>
      </c>
      <c r="AF563" s="176" t="s">
        <v>232</v>
      </c>
      <c r="AG563" s="176">
        <v>1</v>
      </c>
      <c r="AH563" s="176" t="s">
        <v>646</v>
      </c>
      <c r="AI563" s="176" t="s">
        <v>824</v>
      </c>
      <c r="AJ563" s="176" t="s">
        <v>824</v>
      </c>
      <c r="AK563" s="176" t="s">
        <v>645</v>
      </c>
      <c r="AL563" s="1191" t="s">
        <v>251</v>
      </c>
      <c r="AM563" s="176" t="s">
        <v>651</v>
      </c>
      <c r="AN563" s="176">
        <v>1.859</v>
      </c>
      <c r="AO563" s="176">
        <v>2.1</v>
      </c>
      <c r="AP563" s="176">
        <v>24</v>
      </c>
      <c r="AQ563" s="176">
        <v>216</v>
      </c>
      <c r="AR563" s="176">
        <v>3.1</v>
      </c>
      <c r="AS563" s="193">
        <v>29874.873599999999</v>
      </c>
    </row>
    <row r="564" spans="1:45" ht="16.5" customHeight="1">
      <c r="A564" s="175">
        <v>46189</v>
      </c>
      <c r="B564" s="176" t="s">
        <v>234</v>
      </c>
      <c r="C564" s="176" t="s">
        <v>640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640</v>
      </c>
      <c r="P564" s="176" t="s">
        <v>640</v>
      </c>
      <c r="T564" s="176" t="s">
        <v>640</v>
      </c>
      <c r="X564" s="176" t="s">
        <v>640</v>
      </c>
      <c r="Z564" s="176" t="s">
        <v>420</v>
      </c>
      <c r="AA564" s="176" t="s">
        <v>640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232</v>
      </c>
      <c r="AG564" s="176">
        <v>1</v>
      </c>
      <c r="AH564" s="176" t="s">
        <v>648</v>
      </c>
      <c r="AI564" s="176" t="s">
        <v>648</v>
      </c>
      <c r="AJ564" s="176" t="s">
        <v>648</v>
      </c>
      <c r="AK564" s="176" t="s">
        <v>648</v>
      </c>
      <c r="AL564" s="119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46189</v>
      </c>
      <c r="B565" s="176" t="s">
        <v>235</v>
      </c>
      <c r="C565" s="176" t="s">
        <v>17287</v>
      </c>
      <c r="D565" s="176" t="s">
        <v>641</v>
      </c>
      <c r="E565" s="176" t="s">
        <v>16740</v>
      </c>
      <c r="F565" s="176" t="s">
        <v>17269</v>
      </c>
      <c r="G565" s="176">
        <v>700</v>
      </c>
      <c r="H565" s="176" t="s">
        <v>1032</v>
      </c>
      <c r="I565" s="176">
        <v>5.5</v>
      </c>
      <c r="J565" s="176">
        <v>33</v>
      </c>
      <c r="K565" s="176">
        <v>0</v>
      </c>
      <c r="L565" s="176">
        <v>9440</v>
      </c>
      <c r="M565" s="176">
        <v>9260</v>
      </c>
      <c r="R565" s="176">
        <v>16</v>
      </c>
      <c r="S565" s="176">
        <v>0</v>
      </c>
      <c r="T565" s="176">
        <v>9260</v>
      </c>
      <c r="U565" s="176">
        <v>9260</v>
      </c>
      <c r="V565" s="176">
        <v>15</v>
      </c>
      <c r="W565" s="176">
        <v>0</v>
      </c>
      <c r="X565" s="176">
        <v>8890</v>
      </c>
      <c r="Y565" s="176">
        <v>8980</v>
      </c>
      <c r="Z565" s="176">
        <v>5.8299595141700413</v>
      </c>
      <c r="AA565" s="176">
        <v>21.333333333333332</v>
      </c>
      <c r="AB565" s="176">
        <v>1</v>
      </c>
      <c r="AC565" s="176">
        <v>91.816666666666663</v>
      </c>
      <c r="AD565" s="176">
        <v>2.6666666666666665</v>
      </c>
      <c r="AE565" s="176">
        <v>2.6666666666666665</v>
      </c>
      <c r="AF565" s="176" t="s">
        <v>236</v>
      </c>
      <c r="AG565" s="176">
        <v>1</v>
      </c>
      <c r="AH565" s="176" t="s">
        <v>659</v>
      </c>
      <c r="AI565" s="176" t="s">
        <v>15346</v>
      </c>
      <c r="AJ565" s="176" t="s">
        <v>15346</v>
      </c>
      <c r="AK565" s="176" t="s">
        <v>660</v>
      </c>
      <c r="AL565" s="1191" t="s">
        <v>252</v>
      </c>
      <c r="AM565" s="176" t="s">
        <v>462</v>
      </c>
      <c r="AN565" s="176">
        <v>1.1890000000000001</v>
      </c>
      <c r="AO565" s="176">
        <v>3</v>
      </c>
      <c r="AP565" s="176">
        <v>24</v>
      </c>
      <c r="AQ565" s="176">
        <v>216</v>
      </c>
      <c r="AR565" s="176">
        <v>4</v>
      </c>
      <c r="AS565" s="193">
        <v>24655.103999999999</v>
      </c>
    </row>
    <row r="566" spans="1:45" ht="16.5" customHeight="1">
      <c r="A566" s="175">
        <v>46189</v>
      </c>
      <c r="B566" s="176" t="s">
        <v>237</v>
      </c>
      <c r="C566" s="176" t="s">
        <v>17288</v>
      </c>
      <c r="D566" s="176" t="s">
        <v>641</v>
      </c>
      <c r="E566" s="176" t="s">
        <v>16740</v>
      </c>
      <c r="F566" s="176" t="s">
        <v>17289</v>
      </c>
      <c r="G566" s="176">
        <v>700</v>
      </c>
      <c r="H566" s="176" t="s">
        <v>957</v>
      </c>
      <c r="I566" s="176">
        <v>5.5</v>
      </c>
      <c r="L566" s="176" t="s">
        <v>127</v>
      </c>
      <c r="P566" s="176" t="s">
        <v>127</v>
      </c>
      <c r="T566" s="176" t="s">
        <v>635</v>
      </c>
      <c r="X566" s="176" t="s">
        <v>640</v>
      </c>
      <c r="Z566" s="176">
        <v>5.8299595141700413</v>
      </c>
      <c r="AA566" s="176" t="s">
        <v>127</v>
      </c>
      <c r="AB566" s="176" t="s">
        <v>420</v>
      </c>
      <c r="AC566" s="176" t="s">
        <v>420</v>
      </c>
      <c r="AD566" s="176" t="s">
        <v>420</v>
      </c>
      <c r="AE566" s="176" t="s">
        <v>420</v>
      </c>
      <c r="AF566" s="176" t="s">
        <v>236</v>
      </c>
      <c r="AG566" s="176">
        <v>1</v>
      </c>
      <c r="AH566" s="176" t="s">
        <v>659</v>
      </c>
      <c r="AI566" s="176" t="s">
        <v>824</v>
      </c>
      <c r="AJ566" s="176" t="s">
        <v>824</v>
      </c>
      <c r="AK566" s="176" t="s">
        <v>15890</v>
      </c>
      <c r="AL566" s="1191" t="s">
        <v>251</v>
      </c>
      <c r="AM566" s="176" t="s">
        <v>462</v>
      </c>
      <c r="AN566" s="176">
        <v>1.1890000000000001</v>
      </c>
      <c r="AO566" s="176">
        <v>2.9</v>
      </c>
      <c r="AP566" s="176">
        <v>24</v>
      </c>
      <c r="AQ566" s="176">
        <v>216</v>
      </c>
      <c r="AR566" s="176">
        <v>3.9</v>
      </c>
      <c r="AS566" s="193">
        <v>24038.7264</v>
      </c>
    </row>
    <row r="567" spans="1:45" ht="16.5" customHeight="1">
      <c r="A567" s="175">
        <v>46189</v>
      </c>
      <c r="B567" s="176" t="s">
        <v>238</v>
      </c>
      <c r="C567" s="176" t="s">
        <v>17499</v>
      </c>
      <c r="D567" s="176" t="s">
        <v>641</v>
      </c>
      <c r="E567" s="176" t="s">
        <v>16740</v>
      </c>
      <c r="F567" s="176" t="s">
        <v>17500</v>
      </c>
      <c r="G567" s="176">
        <v>670</v>
      </c>
      <c r="H567" s="176" t="s">
        <v>886</v>
      </c>
      <c r="I567" s="176">
        <v>5.5</v>
      </c>
      <c r="L567" s="176" t="s">
        <v>650</v>
      </c>
      <c r="P567" s="176" t="s">
        <v>479</v>
      </c>
      <c r="R567" s="176">
        <v>21</v>
      </c>
      <c r="S567" s="176">
        <v>0</v>
      </c>
      <c r="T567" s="176">
        <v>8060</v>
      </c>
      <c r="U567" s="176">
        <v>8890</v>
      </c>
      <c r="V567" s="176">
        <v>37</v>
      </c>
      <c r="W567" s="176">
        <v>0</v>
      </c>
      <c r="X567" s="176">
        <v>8330</v>
      </c>
      <c r="Y567" s="176">
        <v>8980</v>
      </c>
      <c r="Z567" s="176">
        <v>5.625</v>
      </c>
      <c r="AA567" s="176" t="s">
        <v>650</v>
      </c>
      <c r="AB567" s="176" t="s">
        <v>420</v>
      </c>
      <c r="AC567" s="176" t="s">
        <v>420</v>
      </c>
      <c r="AD567" s="176" t="s">
        <v>420</v>
      </c>
      <c r="AE567" s="176" t="s">
        <v>420</v>
      </c>
      <c r="AF567" s="176" t="s">
        <v>236</v>
      </c>
      <c r="AG567" s="176">
        <v>1</v>
      </c>
      <c r="AH567" s="176" t="s">
        <v>648</v>
      </c>
      <c r="AI567" s="176" t="s">
        <v>824</v>
      </c>
      <c r="AJ567" s="176" t="s">
        <v>824</v>
      </c>
      <c r="AK567" s="176" t="s">
        <v>660</v>
      </c>
      <c r="AL567" s="1191" t="s">
        <v>252</v>
      </c>
      <c r="AM567" s="176" t="s">
        <v>462</v>
      </c>
      <c r="AN567" s="176">
        <v>1.1890000000000001</v>
      </c>
      <c r="AO567" s="176">
        <v>3</v>
      </c>
      <c r="AP567" s="176">
        <v>24</v>
      </c>
      <c r="AQ567" s="176">
        <v>216</v>
      </c>
      <c r="AR567" s="176">
        <v>4</v>
      </c>
      <c r="AS567" s="193">
        <v>24655.103999999999</v>
      </c>
    </row>
    <row r="568" spans="1:45" ht="16.5" customHeight="1">
      <c r="A568" s="175">
        <v>46189</v>
      </c>
      <c r="B568" s="176" t="s">
        <v>239</v>
      </c>
      <c r="C568" s="176" t="s">
        <v>17490</v>
      </c>
      <c r="E568" s="176" t="s">
        <v>17491</v>
      </c>
      <c r="F568" s="176" t="s">
        <v>17492</v>
      </c>
      <c r="G568" s="176">
        <v>650</v>
      </c>
      <c r="H568" s="176" t="s">
        <v>17493</v>
      </c>
      <c r="I568" s="176">
        <v>5</v>
      </c>
      <c r="J568" s="176">
        <v>15</v>
      </c>
      <c r="K568" s="176">
        <v>0</v>
      </c>
      <c r="L568" s="176">
        <v>3330</v>
      </c>
      <c r="V568" s="176">
        <v>21</v>
      </c>
      <c r="W568" s="176">
        <v>0</v>
      </c>
      <c r="X568" s="176">
        <v>3060</v>
      </c>
      <c r="Z568" s="176">
        <v>1.5483870967741935</v>
      </c>
      <c r="AA568" s="176">
        <v>24</v>
      </c>
      <c r="AB568" s="176">
        <v>1</v>
      </c>
      <c r="AC568" s="176">
        <v>31.95</v>
      </c>
      <c r="AD568" s="176">
        <v>3</v>
      </c>
      <c r="AE568" s="176">
        <v>3</v>
      </c>
      <c r="AF568" s="176" t="s">
        <v>236</v>
      </c>
      <c r="AG568" s="176">
        <v>2</v>
      </c>
      <c r="AH568" s="176" t="s">
        <v>659</v>
      </c>
      <c r="AI568" s="176" t="s">
        <v>824</v>
      </c>
      <c r="AJ568" s="176" t="s">
        <v>824</v>
      </c>
      <c r="AK568" s="176" t="s">
        <v>15890</v>
      </c>
      <c r="AL568" s="1191" t="s">
        <v>252</v>
      </c>
      <c r="AM568" s="176" t="s">
        <v>126</v>
      </c>
      <c r="AN568" s="176">
        <v>0.91100000000000003</v>
      </c>
      <c r="AO568" s="176">
        <v>1</v>
      </c>
      <c r="AP568" s="176">
        <v>24</v>
      </c>
      <c r="AQ568" s="176">
        <v>216</v>
      </c>
      <c r="AR568" s="176">
        <v>2</v>
      </c>
      <c r="AS568" s="193">
        <v>9445.2479999999996</v>
      </c>
    </row>
    <row r="569" spans="1:45" ht="16.5" customHeight="1">
      <c r="A569" s="175">
        <v>46189</v>
      </c>
      <c r="B569" s="176" t="s">
        <v>239</v>
      </c>
      <c r="C569" s="176" t="s">
        <v>17412</v>
      </c>
      <c r="D569" s="176" t="s">
        <v>641</v>
      </c>
      <c r="E569" s="176" t="s">
        <v>16744</v>
      </c>
      <c r="F569" s="176" t="s">
        <v>17414</v>
      </c>
      <c r="G569" s="176">
        <v>550</v>
      </c>
      <c r="H569" s="176" t="s">
        <v>877</v>
      </c>
      <c r="I569" s="176">
        <v>5.5</v>
      </c>
      <c r="J569" s="176">
        <v>13</v>
      </c>
      <c r="K569" s="176">
        <v>9</v>
      </c>
      <c r="M569" s="176">
        <v>9070</v>
      </c>
      <c r="R569" s="176">
        <v>13</v>
      </c>
      <c r="S569" s="176">
        <v>1</v>
      </c>
      <c r="T569" s="176">
        <v>7500</v>
      </c>
      <c r="V569" s="176">
        <v>27</v>
      </c>
      <c r="W569" s="176">
        <v>11</v>
      </c>
      <c r="Y569" s="176">
        <v>8800</v>
      </c>
      <c r="Z569" s="176">
        <v>6.6055045871559646</v>
      </c>
      <c r="AA569" s="176">
        <v>35.333333333333336</v>
      </c>
      <c r="AB569" s="176">
        <v>0.98471554487179491</v>
      </c>
      <c r="AC569" s="176">
        <v>84.566666666666663</v>
      </c>
      <c r="AD569" s="176">
        <v>4.416666666666667</v>
      </c>
      <c r="AE569" s="176">
        <v>2.6666666666666665</v>
      </c>
      <c r="AF569" s="176" t="s">
        <v>236</v>
      </c>
      <c r="AG569" s="176">
        <v>2</v>
      </c>
      <c r="AH569" s="176" t="s">
        <v>659</v>
      </c>
      <c r="AI569" s="176" t="s">
        <v>824</v>
      </c>
      <c r="AJ569" s="176" t="s">
        <v>824</v>
      </c>
      <c r="AK569" s="176" t="s">
        <v>15890</v>
      </c>
      <c r="AM569" s="176" t="s">
        <v>651</v>
      </c>
      <c r="AN569" s="176">
        <v>1.859</v>
      </c>
      <c r="AO569" s="176">
        <v>3.3</v>
      </c>
      <c r="AP569" s="176">
        <v>24</v>
      </c>
      <c r="AQ569" s="176">
        <v>216</v>
      </c>
      <c r="AR569" s="176">
        <v>4.3</v>
      </c>
      <c r="AS569" s="193">
        <v>41439.340799999998</v>
      </c>
    </row>
    <row r="570" spans="1:45" ht="16.5" customHeight="1">
      <c r="A570" s="175">
        <v>46189</v>
      </c>
      <c r="B570" s="176" t="s">
        <v>389</v>
      </c>
      <c r="C570" s="176" t="s">
        <v>17403</v>
      </c>
      <c r="D570" s="176" t="s">
        <v>641</v>
      </c>
      <c r="E570" s="176" t="s">
        <v>16740</v>
      </c>
      <c r="F570" s="176" t="s">
        <v>17269</v>
      </c>
      <c r="G570" s="176">
        <v>700</v>
      </c>
      <c r="H570" s="176" t="s">
        <v>840</v>
      </c>
      <c r="I570" s="176">
        <v>5.5</v>
      </c>
      <c r="J570" s="176">
        <v>27</v>
      </c>
      <c r="K570" s="176">
        <v>0</v>
      </c>
      <c r="L570" s="176">
        <v>7590</v>
      </c>
      <c r="M570" s="176">
        <v>10000</v>
      </c>
      <c r="R570" s="176">
        <v>16</v>
      </c>
      <c r="S570" s="176">
        <v>0</v>
      </c>
      <c r="T570" s="176">
        <v>7590</v>
      </c>
      <c r="U570" s="176">
        <v>10000</v>
      </c>
      <c r="V570" s="176">
        <v>29</v>
      </c>
      <c r="W570" s="176">
        <v>0</v>
      </c>
      <c r="X570" s="176">
        <v>7500</v>
      </c>
      <c r="Y570" s="176">
        <v>9910</v>
      </c>
      <c r="Z570" s="176">
        <v>5.8299595141700413</v>
      </c>
      <c r="AA570" s="176">
        <v>24</v>
      </c>
      <c r="AB570" s="176">
        <v>1</v>
      </c>
      <c r="AC570" s="176">
        <v>87.65</v>
      </c>
      <c r="AD570" s="176">
        <v>3</v>
      </c>
      <c r="AE570" s="176">
        <v>3</v>
      </c>
      <c r="AF570" s="176" t="s">
        <v>236</v>
      </c>
      <c r="AG570" s="176">
        <v>1</v>
      </c>
      <c r="AH570" s="176" t="s">
        <v>646</v>
      </c>
      <c r="AI570" s="176" t="s">
        <v>15346</v>
      </c>
      <c r="AJ570" s="176" t="s">
        <v>15346</v>
      </c>
      <c r="AK570" s="176" t="s">
        <v>660</v>
      </c>
      <c r="AL570" s="1191" t="s">
        <v>252</v>
      </c>
      <c r="AM570" s="176" t="s">
        <v>462</v>
      </c>
      <c r="AN570" s="176">
        <v>1.1890000000000001</v>
      </c>
      <c r="AO570" s="176">
        <v>2.8</v>
      </c>
      <c r="AP570" s="176">
        <v>24</v>
      </c>
      <c r="AQ570" s="176">
        <v>216</v>
      </c>
      <c r="AR570" s="176">
        <v>3.8</v>
      </c>
      <c r="AS570" s="193">
        <v>23422.3488</v>
      </c>
    </row>
    <row r="571" spans="1:45" ht="16.5" customHeight="1">
      <c r="A571" s="175">
        <v>46189</v>
      </c>
      <c r="B571" s="176" t="s">
        <v>418</v>
      </c>
      <c r="C571" s="176" t="s">
        <v>17262</v>
      </c>
      <c r="D571" s="176" t="s">
        <v>641</v>
      </c>
      <c r="E571" s="176" t="s">
        <v>16740</v>
      </c>
      <c r="F571" s="176" t="s">
        <v>17269</v>
      </c>
      <c r="G571" s="176">
        <v>700</v>
      </c>
      <c r="H571" s="176" t="s">
        <v>812</v>
      </c>
      <c r="I571" s="176">
        <v>5.5</v>
      </c>
      <c r="J571" s="176">
        <v>73</v>
      </c>
      <c r="K571" s="176">
        <v>1</v>
      </c>
      <c r="L571" s="176">
        <v>9910</v>
      </c>
      <c r="M571" s="176">
        <v>9350</v>
      </c>
      <c r="R571" s="176">
        <v>33</v>
      </c>
      <c r="S571" s="176">
        <v>6</v>
      </c>
      <c r="T571" s="176">
        <v>9910</v>
      </c>
      <c r="U571" s="176">
        <v>9540</v>
      </c>
      <c r="V571" s="176">
        <v>29</v>
      </c>
      <c r="W571" s="176">
        <v>5</v>
      </c>
      <c r="X571" s="176">
        <v>9810</v>
      </c>
      <c r="Y571" s="176">
        <v>8520</v>
      </c>
      <c r="Z571" s="176">
        <v>5.8299595141700413</v>
      </c>
      <c r="AA571" s="176">
        <v>45</v>
      </c>
      <c r="AB571" s="176">
        <v>0.99010416666666667</v>
      </c>
      <c r="AC571" s="176">
        <v>95.066666666666663</v>
      </c>
      <c r="AD571" s="176">
        <v>5.625</v>
      </c>
      <c r="AE571" s="176">
        <v>5.125</v>
      </c>
      <c r="AF571" s="176" t="s">
        <v>236</v>
      </c>
      <c r="AG571" s="176">
        <v>1</v>
      </c>
      <c r="AH571" s="176" t="s">
        <v>646</v>
      </c>
      <c r="AI571" s="176" t="s">
        <v>15346</v>
      </c>
      <c r="AJ571" s="176" t="s">
        <v>15346</v>
      </c>
      <c r="AK571" s="176" t="s">
        <v>15890</v>
      </c>
      <c r="AL571" s="1191" t="s">
        <v>252</v>
      </c>
      <c r="AM571" s="176" t="s">
        <v>462</v>
      </c>
      <c r="AN571" s="176">
        <v>1.1890000000000001</v>
      </c>
      <c r="AO571" s="176">
        <v>2.8</v>
      </c>
      <c r="AP571" s="176">
        <v>24</v>
      </c>
      <c r="AQ571" s="176">
        <v>216</v>
      </c>
      <c r="AR571" s="176">
        <v>3.8</v>
      </c>
      <c r="AS571" s="193">
        <v>23422.3488</v>
      </c>
    </row>
    <row r="572" spans="1:45" ht="16.5" customHeight="1">
      <c r="A572" s="175">
        <v>46189</v>
      </c>
      <c r="B572" s="176" t="s">
        <v>240</v>
      </c>
      <c r="C572" s="176" t="s">
        <v>640</v>
      </c>
      <c r="E572" s="176" t="s">
        <v>420</v>
      </c>
      <c r="F572" s="176" t="s">
        <v>420</v>
      </c>
      <c r="G572" s="176" t="s">
        <v>420</v>
      </c>
      <c r="H572" s="176" t="s">
        <v>420</v>
      </c>
      <c r="I572" s="176" t="s">
        <v>420</v>
      </c>
      <c r="L572" s="176" t="s">
        <v>640</v>
      </c>
      <c r="P572" s="176" t="s">
        <v>640</v>
      </c>
      <c r="T572" s="176" t="s">
        <v>640</v>
      </c>
      <c r="X572" s="176" t="s">
        <v>640</v>
      </c>
      <c r="Z572" s="176" t="s">
        <v>420</v>
      </c>
      <c r="AA572" s="176" t="s">
        <v>640</v>
      </c>
      <c r="AB572" s="176" t="s">
        <v>420</v>
      </c>
      <c r="AC572" s="176" t="s">
        <v>420</v>
      </c>
      <c r="AD572" s="176" t="s">
        <v>420</v>
      </c>
      <c r="AE572" s="176" t="s">
        <v>420</v>
      </c>
      <c r="AF572" s="176" t="s">
        <v>241</v>
      </c>
      <c r="AG572" s="176">
        <v>12</v>
      </c>
      <c r="AH572" s="176" t="s">
        <v>648</v>
      </c>
      <c r="AI572" s="176" t="s">
        <v>648</v>
      </c>
      <c r="AJ572" s="176" t="s">
        <v>648</v>
      </c>
      <c r="AK572" s="176" t="s">
        <v>648</v>
      </c>
      <c r="AL572" s="1191" t="s">
        <v>420</v>
      </c>
      <c r="AM572" s="176" t="s">
        <v>420</v>
      </c>
      <c r="AN572" s="176" t="s">
        <v>420</v>
      </c>
      <c r="AO572" s="176" t="s">
        <v>420</v>
      </c>
      <c r="AP572" s="176">
        <v>24</v>
      </c>
      <c r="AQ572" s="176">
        <v>216</v>
      </c>
      <c r="AR572" s="176" t="s">
        <v>420</v>
      </c>
      <c r="AS572" s="193" t="s">
        <v>420</v>
      </c>
    </row>
    <row r="573" spans="1:45" ht="16.5" customHeight="1">
      <c r="A573" s="175">
        <v>46189</v>
      </c>
      <c r="B573" s="176" t="s">
        <v>242</v>
      </c>
      <c r="C573" s="176" t="s">
        <v>386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386</v>
      </c>
      <c r="P573" s="176" t="s">
        <v>386</v>
      </c>
      <c r="T573" s="176" t="s">
        <v>386</v>
      </c>
      <c r="X573" s="176" t="s">
        <v>386</v>
      </c>
      <c r="Z573" s="176" t="s">
        <v>420</v>
      </c>
      <c r="AA573" s="176" t="s">
        <v>386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241</v>
      </c>
      <c r="AG573" s="176">
        <v>5</v>
      </c>
      <c r="AH573" s="176" t="s">
        <v>648</v>
      </c>
      <c r="AI573" s="176" t="s">
        <v>648</v>
      </c>
      <c r="AJ573" s="176" t="s">
        <v>648</v>
      </c>
      <c r="AK573" s="176" t="s">
        <v>648</v>
      </c>
      <c r="AL573" s="119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46190</v>
      </c>
      <c r="B574" s="176" t="s">
        <v>212</v>
      </c>
      <c r="C574" s="176" t="s">
        <v>640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640</v>
      </c>
      <c r="P574" s="176" t="s">
        <v>640</v>
      </c>
      <c r="T574" s="176" t="s">
        <v>640</v>
      </c>
      <c r="X574" s="176" t="s">
        <v>640</v>
      </c>
      <c r="Z574" s="176" t="s">
        <v>420</v>
      </c>
      <c r="AA574" s="176" t="s">
        <v>640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656</v>
      </c>
      <c r="AI574" s="176" t="s">
        <v>656</v>
      </c>
      <c r="AJ574" s="176" t="s">
        <v>656</v>
      </c>
      <c r="AK574" s="176" t="s">
        <v>656</v>
      </c>
      <c r="AL574" s="119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46190</v>
      </c>
      <c r="B575" s="176" t="s">
        <v>214</v>
      </c>
      <c r="C575" s="176" t="s">
        <v>640</v>
      </c>
      <c r="E575" s="176" t="s">
        <v>420</v>
      </c>
      <c r="F575" s="176" t="s">
        <v>420</v>
      </c>
      <c r="G575" s="176" t="s">
        <v>420</v>
      </c>
      <c r="H575" s="176" t="s">
        <v>420</v>
      </c>
      <c r="I575" s="176" t="s">
        <v>420</v>
      </c>
      <c r="L575" s="176" t="s">
        <v>640</v>
      </c>
      <c r="P575" s="176" t="s">
        <v>640</v>
      </c>
      <c r="T575" s="176" t="s">
        <v>640</v>
      </c>
      <c r="X575" s="176" t="s">
        <v>640</v>
      </c>
      <c r="Z575" s="176" t="s">
        <v>420</v>
      </c>
      <c r="AA575" s="176" t="s">
        <v>640</v>
      </c>
      <c r="AB575" s="176" t="s">
        <v>420</v>
      </c>
      <c r="AC575" s="176" t="s">
        <v>420</v>
      </c>
      <c r="AD575" s="176" t="s">
        <v>420</v>
      </c>
      <c r="AE575" s="176" t="s">
        <v>420</v>
      </c>
      <c r="AF575" s="176" t="s">
        <v>213</v>
      </c>
      <c r="AG575" s="176">
        <v>1</v>
      </c>
      <c r="AH575" s="176" t="s">
        <v>656</v>
      </c>
      <c r="AI575" s="176" t="s">
        <v>656</v>
      </c>
      <c r="AJ575" s="176" t="s">
        <v>656</v>
      </c>
      <c r="AK575" s="176" t="s">
        <v>656</v>
      </c>
      <c r="AL575" s="1191" t="s">
        <v>420</v>
      </c>
      <c r="AM575" s="176" t="s">
        <v>420</v>
      </c>
      <c r="AN575" s="176" t="s">
        <v>420</v>
      </c>
      <c r="AO575" s="176" t="s">
        <v>420</v>
      </c>
      <c r="AP575" s="176">
        <v>24</v>
      </c>
      <c r="AQ575" s="176">
        <v>216</v>
      </c>
      <c r="AR575" s="176" t="s">
        <v>420</v>
      </c>
      <c r="AS575" s="193" t="s">
        <v>420</v>
      </c>
    </row>
    <row r="576" spans="1:45" ht="16.5" customHeight="1">
      <c r="A576" s="175">
        <v>46190</v>
      </c>
      <c r="B576" s="176" t="s">
        <v>215</v>
      </c>
      <c r="C576" s="176" t="s">
        <v>640</v>
      </c>
      <c r="E576" s="176" t="s">
        <v>420</v>
      </c>
      <c r="F576" s="176" t="s">
        <v>420</v>
      </c>
      <c r="G576" s="176" t="s">
        <v>420</v>
      </c>
      <c r="H576" s="176" t="s">
        <v>420</v>
      </c>
      <c r="I576" s="176" t="s">
        <v>420</v>
      </c>
      <c r="L576" s="176" t="s">
        <v>640</v>
      </c>
      <c r="P576" s="176" t="s">
        <v>640</v>
      </c>
      <c r="T576" s="176" t="s">
        <v>640</v>
      </c>
      <c r="X576" s="176" t="s">
        <v>640</v>
      </c>
      <c r="Z576" s="176" t="s">
        <v>420</v>
      </c>
      <c r="AA576" s="176" t="s">
        <v>640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656</v>
      </c>
      <c r="AI576" s="176" t="s">
        <v>656</v>
      </c>
      <c r="AJ576" s="176" t="s">
        <v>656</v>
      </c>
      <c r="AK576" s="176" t="s">
        <v>656</v>
      </c>
      <c r="AL576" s="1191" t="s">
        <v>420</v>
      </c>
      <c r="AM576" s="176" t="s">
        <v>420</v>
      </c>
      <c r="AN576" s="176" t="s">
        <v>420</v>
      </c>
      <c r="AO576" s="176" t="s">
        <v>420</v>
      </c>
      <c r="AP576" s="176">
        <v>24</v>
      </c>
      <c r="AQ576" s="176">
        <v>216</v>
      </c>
      <c r="AR576" s="176" t="s">
        <v>420</v>
      </c>
      <c r="AS576" s="193" t="s">
        <v>420</v>
      </c>
    </row>
    <row r="577" spans="1:45" ht="16.5" customHeight="1">
      <c r="A577" s="175">
        <v>46190</v>
      </c>
      <c r="B577" s="176" t="s">
        <v>216</v>
      </c>
      <c r="C577" s="176" t="s">
        <v>640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640</v>
      </c>
      <c r="P577" s="176" t="s">
        <v>640</v>
      </c>
      <c r="T577" s="176" t="s">
        <v>640</v>
      </c>
      <c r="X577" s="176" t="s">
        <v>640</v>
      </c>
      <c r="Z577" s="176" t="s">
        <v>420</v>
      </c>
      <c r="AA577" s="176" t="s">
        <v>640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656</v>
      </c>
      <c r="AI577" s="176" t="s">
        <v>656</v>
      </c>
      <c r="AJ577" s="176" t="s">
        <v>656</v>
      </c>
      <c r="AK577" s="176" t="s">
        <v>656</v>
      </c>
      <c r="AL577" s="119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46190</v>
      </c>
      <c r="B578" s="176" t="s">
        <v>217</v>
      </c>
      <c r="C578" s="176" t="s">
        <v>17443</v>
      </c>
      <c r="E578" s="176" t="s">
        <v>474</v>
      </c>
      <c r="F578" s="176" t="s">
        <v>16817</v>
      </c>
      <c r="G578" s="176">
        <v>600</v>
      </c>
      <c r="H578" s="176" t="s">
        <v>16144</v>
      </c>
      <c r="I578" s="176">
        <v>5</v>
      </c>
      <c r="L578" s="176" t="s">
        <v>635</v>
      </c>
      <c r="P578" s="176" t="s">
        <v>635</v>
      </c>
      <c r="T578" s="176" t="s">
        <v>635</v>
      </c>
      <c r="X578" s="176" t="s">
        <v>640</v>
      </c>
      <c r="Z578" s="176">
        <v>1.4090019569471623</v>
      </c>
      <c r="AA578" s="176" t="s">
        <v>635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16172</v>
      </c>
      <c r="AI578" s="176" t="s">
        <v>639</v>
      </c>
      <c r="AJ578" s="176" t="s">
        <v>639</v>
      </c>
      <c r="AK578" s="176" t="s">
        <v>642</v>
      </c>
      <c r="AL578" s="1191" t="s">
        <v>252</v>
      </c>
      <c r="AM578" s="176" t="s">
        <v>126</v>
      </c>
      <c r="AN578" s="176">
        <v>0.91100000000000003</v>
      </c>
      <c r="AO578" s="176">
        <v>0.6</v>
      </c>
      <c r="AP578" s="176">
        <v>24</v>
      </c>
      <c r="AQ578" s="176">
        <v>216</v>
      </c>
      <c r="AR578" s="176">
        <v>1.6</v>
      </c>
      <c r="AS578" s="193">
        <v>7556.1984000000011</v>
      </c>
    </row>
    <row r="579" spans="1:45" ht="16.5" customHeight="1">
      <c r="A579" s="175">
        <v>46190</v>
      </c>
      <c r="B579" s="176" t="s">
        <v>218</v>
      </c>
      <c r="C579" s="176" t="s">
        <v>17260</v>
      </c>
      <c r="E579" s="176" t="s">
        <v>17335</v>
      </c>
      <c r="F579" s="176" t="s">
        <v>17276</v>
      </c>
      <c r="G579" s="176">
        <v>600</v>
      </c>
      <c r="H579" s="176" t="s">
        <v>15907</v>
      </c>
      <c r="I579" s="176">
        <v>5</v>
      </c>
      <c r="J579" s="176">
        <v>28</v>
      </c>
      <c r="K579" s="176">
        <v>0</v>
      </c>
      <c r="L579" s="176">
        <v>9288</v>
      </c>
      <c r="M579" s="176">
        <v>9825</v>
      </c>
      <c r="R579" s="176">
        <v>18</v>
      </c>
      <c r="S579" s="176">
        <v>2</v>
      </c>
      <c r="T579" s="176">
        <v>9330</v>
      </c>
      <c r="U579" s="176">
        <v>9774</v>
      </c>
      <c r="V579" s="176">
        <v>20</v>
      </c>
      <c r="W579" s="176">
        <v>0</v>
      </c>
      <c r="X579" s="176">
        <v>9288</v>
      </c>
      <c r="Y579" s="176">
        <v>9620</v>
      </c>
      <c r="Z579" s="176">
        <v>2.8015564202334629</v>
      </c>
      <c r="AA579" s="176">
        <v>11</v>
      </c>
      <c r="AB579" s="176">
        <v>0.99656784188034186</v>
      </c>
      <c r="AC579" s="176">
        <v>95.208333333333343</v>
      </c>
      <c r="AD579" s="176">
        <v>1.375</v>
      </c>
      <c r="AE579" s="176">
        <v>1.3333333333333333</v>
      </c>
      <c r="AF579" s="176" t="s">
        <v>213</v>
      </c>
      <c r="AG579" s="176">
        <v>0.5</v>
      </c>
      <c r="AH579" s="176" t="s">
        <v>16172</v>
      </c>
      <c r="AI579" s="176" t="s">
        <v>639</v>
      </c>
      <c r="AJ579" s="176" t="s">
        <v>639</v>
      </c>
      <c r="AK579" s="176" t="s">
        <v>642</v>
      </c>
      <c r="AL579" s="1191" t="s">
        <v>251</v>
      </c>
      <c r="AM579" s="176" t="s">
        <v>126</v>
      </c>
      <c r="AN579" s="176">
        <v>0.91100000000000003</v>
      </c>
      <c r="AO579" s="176">
        <v>1.7</v>
      </c>
      <c r="AP579" s="176">
        <v>24</v>
      </c>
      <c r="AQ579" s="176">
        <v>216</v>
      </c>
      <c r="AR579" s="176">
        <v>2.7</v>
      </c>
      <c r="AS579" s="193">
        <v>12751.084800000001</v>
      </c>
    </row>
    <row r="580" spans="1:45" ht="16.5" customHeight="1">
      <c r="A580" s="175">
        <v>46190</v>
      </c>
      <c r="B580" s="176" t="s">
        <v>219</v>
      </c>
      <c r="C580" s="176" t="s">
        <v>16766</v>
      </c>
      <c r="D580" s="176" t="s">
        <v>16769</v>
      </c>
      <c r="E580" s="176" t="s">
        <v>1472</v>
      </c>
      <c r="F580" s="176" t="s">
        <v>16217</v>
      </c>
      <c r="G580" s="176">
        <v>630</v>
      </c>
      <c r="H580" s="176" t="s">
        <v>629</v>
      </c>
      <c r="I580" s="176">
        <v>2</v>
      </c>
      <c r="L580" s="176" t="s">
        <v>127</v>
      </c>
      <c r="P580" s="176" t="s">
        <v>127</v>
      </c>
      <c r="T580" s="176" t="s">
        <v>127</v>
      </c>
      <c r="X580" s="176" t="s">
        <v>127</v>
      </c>
      <c r="Z580" s="176">
        <v>2.4615384615384617</v>
      </c>
      <c r="AA580" s="176" t="s">
        <v>127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16172</v>
      </c>
      <c r="AI580" s="176" t="s">
        <v>639</v>
      </c>
      <c r="AJ580" s="176" t="s">
        <v>639</v>
      </c>
      <c r="AK580" s="176" t="s">
        <v>642</v>
      </c>
      <c r="AL580" s="1191" t="s">
        <v>251</v>
      </c>
      <c r="AM580" s="176" t="s">
        <v>951</v>
      </c>
      <c r="AN580" s="176">
        <v>0.56200000000000006</v>
      </c>
      <c r="AO580" s="176">
        <v>1.1000000000000001</v>
      </c>
      <c r="AP580" s="176">
        <v>24</v>
      </c>
      <c r="AQ580" s="176">
        <v>216</v>
      </c>
      <c r="AR580" s="176">
        <v>2.1</v>
      </c>
      <c r="AS580" s="193">
        <v>6118.1568000000007</v>
      </c>
    </row>
    <row r="581" spans="1:45" ht="16.5" customHeight="1">
      <c r="A581" s="175">
        <v>46190</v>
      </c>
      <c r="B581" s="176" t="s">
        <v>220</v>
      </c>
      <c r="C581" s="176" t="s">
        <v>640</v>
      </c>
      <c r="E581" s="176" t="s">
        <v>420</v>
      </c>
      <c r="F581" s="176" t="s">
        <v>420</v>
      </c>
      <c r="G581" s="176" t="s">
        <v>420</v>
      </c>
      <c r="H581" s="176" t="s">
        <v>420</v>
      </c>
      <c r="I581" s="176" t="s">
        <v>420</v>
      </c>
      <c r="L581" s="176" t="s">
        <v>640</v>
      </c>
      <c r="P581" s="176" t="s">
        <v>640</v>
      </c>
      <c r="T581" s="176" t="s">
        <v>640</v>
      </c>
      <c r="X581" s="176" t="s">
        <v>640</v>
      </c>
      <c r="Z581" s="176" t="s">
        <v>420</v>
      </c>
      <c r="AA581" s="176" t="s">
        <v>640</v>
      </c>
      <c r="AB581" s="176" t="s">
        <v>420</v>
      </c>
      <c r="AC581" s="176" t="s">
        <v>420</v>
      </c>
      <c r="AD581" s="176" t="s">
        <v>420</v>
      </c>
      <c r="AE581" s="176" t="s">
        <v>420</v>
      </c>
      <c r="AF581" s="176" t="s">
        <v>213</v>
      </c>
      <c r="AG581" s="176">
        <v>1</v>
      </c>
      <c r="AH581" s="176" t="s">
        <v>648</v>
      </c>
      <c r="AI581" s="176" t="s">
        <v>648</v>
      </c>
      <c r="AJ581" s="176" t="s">
        <v>648</v>
      </c>
      <c r="AK581" s="176" t="s">
        <v>648</v>
      </c>
      <c r="AL581" s="1191" t="s">
        <v>420</v>
      </c>
      <c r="AM581" s="176" t="s">
        <v>420</v>
      </c>
      <c r="AN581" s="176" t="s">
        <v>420</v>
      </c>
      <c r="AO581" s="176" t="s">
        <v>420</v>
      </c>
      <c r="AP581" s="176">
        <v>24</v>
      </c>
      <c r="AQ581" s="176">
        <v>216</v>
      </c>
      <c r="AR581" s="176" t="s">
        <v>420</v>
      </c>
      <c r="AS581" s="193" t="s">
        <v>420</v>
      </c>
    </row>
    <row r="582" spans="1:45" ht="16.5" customHeight="1">
      <c r="A582" s="175">
        <v>46190</v>
      </c>
      <c r="B582" s="176" t="s">
        <v>221</v>
      </c>
      <c r="C582" s="176" t="s">
        <v>16787</v>
      </c>
      <c r="E582" s="176" t="s">
        <v>624</v>
      </c>
      <c r="F582" s="176" t="s">
        <v>16747</v>
      </c>
      <c r="G582" s="176">
        <v>600</v>
      </c>
      <c r="H582" s="176" t="s">
        <v>476</v>
      </c>
      <c r="I582" s="176">
        <v>5</v>
      </c>
      <c r="L582" s="176" t="s">
        <v>127</v>
      </c>
      <c r="P582" s="176" t="s">
        <v>127</v>
      </c>
      <c r="T582" s="176" t="s">
        <v>127</v>
      </c>
      <c r="X582" s="176" t="s">
        <v>127</v>
      </c>
      <c r="Z582" s="176">
        <v>2.8685258964143427</v>
      </c>
      <c r="AA582" s="176" t="s">
        <v>127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213</v>
      </c>
      <c r="AG582" s="176">
        <v>1</v>
      </c>
      <c r="AH582" s="176" t="s">
        <v>16172</v>
      </c>
      <c r="AI582" s="176" t="s">
        <v>639</v>
      </c>
      <c r="AJ582" s="176" t="s">
        <v>639</v>
      </c>
      <c r="AK582" s="176" t="s">
        <v>642</v>
      </c>
      <c r="AL582" s="1191" t="s">
        <v>251</v>
      </c>
      <c r="AM582" s="176" t="s">
        <v>126</v>
      </c>
      <c r="AN582" s="176">
        <v>0.91100000000000003</v>
      </c>
      <c r="AO582" s="176">
        <v>3</v>
      </c>
      <c r="AP582" s="176">
        <v>24</v>
      </c>
      <c r="AQ582" s="176">
        <v>216</v>
      </c>
      <c r="AR582" s="176">
        <v>4</v>
      </c>
      <c r="AS582" s="193">
        <v>18890.495999999999</v>
      </c>
    </row>
    <row r="583" spans="1:45" ht="16.5" customHeight="1">
      <c r="A583" s="175">
        <v>46190</v>
      </c>
      <c r="B583" s="176" t="s">
        <v>222</v>
      </c>
      <c r="C583" s="176" t="s">
        <v>640</v>
      </c>
      <c r="E583" s="176" t="s">
        <v>420</v>
      </c>
      <c r="F583" s="176" t="s">
        <v>420</v>
      </c>
      <c r="G583" s="176" t="s">
        <v>420</v>
      </c>
      <c r="H583" s="176" t="s">
        <v>420</v>
      </c>
      <c r="I583" s="176" t="s">
        <v>420</v>
      </c>
      <c r="L583" s="176" t="s">
        <v>640</v>
      </c>
      <c r="P583" s="176" t="s">
        <v>640</v>
      </c>
      <c r="T583" s="176" t="s">
        <v>640</v>
      </c>
      <c r="X583" s="176" t="s">
        <v>640</v>
      </c>
      <c r="Z583" s="176" t="s">
        <v>420</v>
      </c>
      <c r="AA583" s="176" t="s">
        <v>640</v>
      </c>
      <c r="AB583" s="176" t="s">
        <v>420</v>
      </c>
      <c r="AC583" s="176" t="s">
        <v>420</v>
      </c>
      <c r="AD583" s="176" t="s">
        <v>420</v>
      </c>
      <c r="AE583" s="176" t="s">
        <v>420</v>
      </c>
      <c r="AF583" s="176" t="s">
        <v>213</v>
      </c>
      <c r="AG583" s="176">
        <v>1</v>
      </c>
      <c r="AH583" s="176" t="s">
        <v>648</v>
      </c>
      <c r="AI583" s="176" t="s">
        <v>648</v>
      </c>
      <c r="AJ583" s="176" t="s">
        <v>648</v>
      </c>
      <c r="AK583" s="176" t="s">
        <v>648</v>
      </c>
      <c r="AL583" s="1191" t="s">
        <v>420</v>
      </c>
      <c r="AM583" s="176" t="s">
        <v>420</v>
      </c>
      <c r="AN583" s="176" t="s">
        <v>420</v>
      </c>
      <c r="AO583" s="176" t="s">
        <v>420</v>
      </c>
      <c r="AP583" s="176">
        <v>24</v>
      </c>
      <c r="AQ583" s="176">
        <v>216</v>
      </c>
      <c r="AR583" s="176" t="s">
        <v>420</v>
      </c>
      <c r="AS583" s="193" t="s">
        <v>420</v>
      </c>
    </row>
    <row r="584" spans="1:45" ht="16.5" customHeight="1">
      <c r="A584" s="175">
        <v>46190</v>
      </c>
      <c r="B584" s="176" t="s">
        <v>223</v>
      </c>
      <c r="C584" s="176" t="s">
        <v>640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640</v>
      </c>
      <c r="P584" s="176" t="s">
        <v>640</v>
      </c>
      <c r="T584" s="176" t="s">
        <v>640</v>
      </c>
      <c r="X584" s="176" t="s">
        <v>640</v>
      </c>
      <c r="Z584" s="176" t="s">
        <v>420</v>
      </c>
      <c r="AA584" s="176" t="s">
        <v>640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213</v>
      </c>
      <c r="AG584" s="176">
        <v>1</v>
      </c>
      <c r="AH584" s="176" t="s">
        <v>648</v>
      </c>
      <c r="AI584" s="176" t="s">
        <v>648</v>
      </c>
      <c r="AJ584" s="176" t="s">
        <v>648</v>
      </c>
      <c r="AK584" s="176" t="s">
        <v>648</v>
      </c>
      <c r="AL584" s="119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46190</v>
      </c>
      <c r="B585" s="176" t="s">
        <v>224</v>
      </c>
      <c r="C585" s="176" t="s">
        <v>17510</v>
      </c>
      <c r="E585" s="176" t="s">
        <v>8522</v>
      </c>
      <c r="F585" s="176" t="s">
        <v>17515</v>
      </c>
      <c r="G585" s="176">
        <v>550</v>
      </c>
      <c r="H585" s="176" t="s">
        <v>628</v>
      </c>
      <c r="I585" s="176">
        <v>5</v>
      </c>
      <c r="L585" s="176" t="s">
        <v>650</v>
      </c>
      <c r="M585" s="176" t="s">
        <v>640</v>
      </c>
      <c r="P585" s="176" t="s">
        <v>650</v>
      </c>
      <c r="Q585" s="176" t="s">
        <v>640</v>
      </c>
      <c r="T585" s="176" t="s">
        <v>479</v>
      </c>
      <c r="U585" s="176" t="s">
        <v>640</v>
      </c>
      <c r="V585" s="176">
        <v>14</v>
      </c>
      <c r="W585" s="176">
        <v>0</v>
      </c>
      <c r="X585" s="176">
        <v>7611</v>
      </c>
      <c r="Y585" s="176" t="s">
        <v>640</v>
      </c>
      <c r="Z585" s="176">
        <v>5.5598455598455603</v>
      </c>
      <c r="AA585" s="176" t="s">
        <v>650</v>
      </c>
      <c r="AB585" s="176" t="s">
        <v>420</v>
      </c>
      <c r="AC585" s="176" t="s">
        <v>420</v>
      </c>
      <c r="AD585" s="176" t="s">
        <v>420</v>
      </c>
      <c r="AE585" s="176" t="s">
        <v>420</v>
      </c>
      <c r="AF585" s="176" t="s">
        <v>213</v>
      </c>
      <c r="AG585" s="176">
        <v>1</v>
      </c>
      <c r="AH585" s="176" t="s">
        <v>648</v>
      </c>
      <c r="AI585" s="176" t="s">
        <v>639</v>
      </c>
      <c r="AJ585" s="176" t="s">
        <v>639</v>
      </c>
      <c r="AK585" s="176" t="s">
        <v>642</v>
      </c>
      <c r="AL585" s="1191" t="s">
        <v>251</v>
      </c>
      <c r="AM585" s="176" t="s">
        <v>126</v>
      </c>
      <c r="AN585" s="176">
        <v>0.91100000000000003</v>
      </c>
      <c r="AO585" s="176">
        <v>2</v>
      </c>
      <c r="AP585" s="176">
        <v>24</v>
      </c>
      <c r="AQ585" s="176">
        <v>216</v>
      </c>
      <c r="AR585" s="176">
        <v>3</v>
      </c>
      <c r="AS585" s="193">
        <v>14167.871999999999</v>
      </c>
    </row>
    <row r="586" spans="1:45" ht="16.5" customHeight="1">
      <c r="A586" s="175">
        <v>46190</v>
      </c>
      <c r="B586" s="176" t="s">
        <v>225</v>
      </c>
      <c r="C586" s="176" t="s">
        <v>17285</v>
      </c>
      <c r="E586" s="176" t="s">
        <v>17231</v>
      </c>
      <c r="F586" s="176" t="s">
        <v>17286</v>
      </c>
      <c r="G586" s="176">
        <v>650</v>
      </c>
      <c r="H586" s="176" t="s">
        <v>16749</v>
      </c>
      <c r="I586" s="176">
        <v>5</v>
      </c>
      <c r="J586" s="176">
        <v>3</v>
      </c>
      <c r="K586" s="176">
        <v>0</v>
      </c>
      <c r="L586" s="176">
        <v>8974</v>
      </c>
      <c r="M586" s="176">
        <v>9080</v>
      </c>
      <c r="R586" s="176">
        <v>27</v>
      </c>
      <c r="S586" s="176">
        <v>9</v>
      </c>
      <c r="T586" s="176">
        <v>8865</v>
      </c>
      <c r="U586" s="176">
        <v>9259</v>
      </c>
      <c r="V586" s="176">
        <v>12</v>
      </c>
      <c r="W586" s="176">
        <v>5</v>
      </c>
      <c r="X586" s="176">
        <v>9144</v>
      </c>
      <c r="Y586" s="176">
        <v>9501</v>
      </c>
      <c r="Z586" s="176">
        <v>3.0638297872340425</v>
      </c>
      <c r="AA586" s="176">
        <v>14</v>
      </c>
      <c r="AB586" s="176">
        <v>0.97803151709401714</v>
      </c>
      <c r="AC586" s="176">
        <v>91.371666666666655</v>
      </c>
      <c r="AD586" s="176">
        <v>1.75</v>
      </c>
      <c r="AE586" s="176">
        <v>1.1666666666666667</v>
      </c>
      <c r="AF586" s="176" t="s">
        <v>213</v>
      </c>
      <c r="AG586" s="176">
        <v>1</v>
      </c>
      <c r="AH586" s="176" t="s">
        <v>16172</v>
      </c>
      <c r="AI586" s="176" t="s">
        <v>643</v>
      </c>
      <c r="AJ586" s="176" t="s">
        <v>643</v>
      </c>
      <c r="AK586" s="176" t="s">
        <v>645</v>
      </c>
      <c r="AL586" s="1191" t="s">
        <v>252</v>
      </c>
      <c r="AM586" s="176" t="s">
        <v>126</v>
      </c>
      <c r="AN586" s="176">
        <v>0.91100000000000003</v>
      </c>
      <c r="AO586" s="176">
        <v>3</v>
      </c>
      <c r="AP586" s="176">
        <v>24</v>
      </c>
      <c r="AQ586" s="176">
        <v>216</v>
      </c>
      <c r="AR586" s="176">
        <v>4</v>
      </c>
      <c r="AS586" s="193">
        <v>18890.495999999999</v>
      </c>
    </row>
    <row r="587" spans="1:45" ht="16.5" customHeight="1">
      <c r="A587" s="175">
        <v>46190</v>
      </c>
      <c r="B587" s="176" t="s">
        <v>226</v>
      </c>
      <c r="C587" s="176" t="s">
        <v>640</v>
      </c>
      <c r="E587" s="176" t="s">
        <v>420</v>
      </c>
      <c r="F587" s="176" t="s">
        <v>420</v>
      </c>
      <c r="G587" s="176" t="s">
        <v>420</v>
      </c>
      <c r="H587" s="176" t="s">
        <v>420</v>
      </c>
      <c r="I587" s="176" t="s">
        <v>420</v>
      </c>
      <c r="L587" s="176" t="s">
        <v>640</v>
      </c>
      <c r="P587" s="176" t="s">
        <v>640</v>
      </c>
      <c r="T587" s="176" t="s">
        <v>640</v>
      </c>
      <c r="X587" s="176" t="s">
        <v>640</v>
      </c>
      <c r="Z587" s="176" t="s">
        <v>420</v>
      </c>
      <c r="AA587" s="176" t="s">
        <v>640</v>
      </c>
      <c r="AB587" s="176" t="s">
        <v>420</v>
      </c>
      <c r="AC587" s="176" t="s">
        <v>420</v>
      </c>
      <c r="AD587" s="176" t="s">
        <v>420</v>
      </c>
      <c r="AE587" s="176" t="s">
        <v>420</v>
      </c>
      <c r="AF587" s="176" t="s">
        <v>213</v>
      </c>
      <c r="AG587" s="176">
        <v>1</v>
      </c>
      <c r="AH587" s="176" t="s">
        <v>648</v>
      </c>
      <c r="AI587" s="176" t="s">
        <v>648</v>
      </c>
      <c r="AJ587" s="176" t="s">
        <v>648</v>
      </c>
      <c r="AK587" s="176" t="s">
        <v>648</v>
      </c>
      <c r="AL587" s="1191" t="s">
        <v>420</v>
      </c>
      <c r="AM587" s="176" t="s">
        <v>420</v>
      </c>
      <c r="AN587" s="176" t="s">
        <v>420</v>
      </c>
      <c r="AO587" s="176" t="s">
        <v>420</v>
      </c>
      <c r="AP587" s="176">
        <v>24</v>
      </c>
      <c r="AQ587" s="176">
        <v>216</v>
      </c>
      <c r="AR587" s="176" t="s">
        <v>420</v>
      </c>
      <c r="AS587" s="193" t="s">
        <v>420</v>
      </c>
    </row>
    <row r="588" spans="1:45" ht="16.5" customHeight="1">
      <c r="A588" s="175">
        <v>46190</v>
      </c>
      <c r="B588" s="176" t="s">
        <v>227</v>
      </c>
      <c r="C588" s="176" t="s">
        <v>17497</v>
      </c>
      <c r="E588" s="176" t="s">
        <v>8447</v>
      </c>
      <c r="F588" s="176" t="s">
        <v>17498</v>
      </c>
      <c r="G588" s="176">
        <v>600</v>
      </c>
      <c r="H588" s="176" t="s">
        <v>3222</v>
      </c>
      <c r="I588" s="176">
        <v>5</v>
      </c>
      <c r="L588" s="176" t="s">
        <v>653</v>
      </c>
      <c r="P588" s="176" t="s">
        <v>479</v>
      </c>
      <c r="R588" s="176">
        <v>23</v>
      </c>
      <c r="S588" s="176">
        <v>0</v>
      </c>
      <c r="T588" s="176">
        <v>7930</v>
      </c>
      <c r="U588" s="176">
        <v>7145</v>
      </c>
      <c r="V588" s="176">
        <v>27</v>
      </c>
      <c r="W588" s="176">
        <v>2</v>
      </c>
      <c r="X588" s="176">
        <v>7693</v>
      </c>
      <c r="Y588" s="176">
        <v>7670</v>
      </c>
      <c r="Z588" s="176">
        <v>3.0638297872340425</v>
      </c>
      <c r="AA588" s="176" t="s">
        <v>653</v>
      </c>
      <c r="AB588" s="176" t="s">
        <v>420</v>
      </c>
      <c r="AC588" s="176" t="s">
        <v>420</v>
      </c>
      <c r="AD588" s="176" t="s">
        <v>420</v>
      </c>
      <c r="AE588" s="176" t="s">
        <v>420</v>
      </c>
      <c r="AF588" s="176" t="s">
        <v>213</v>
      </c>
      <c r="AG588" s="176">
        <v>1</v>
      </c>
      <c r="AH588" s="176" t="s">
        <v>838</v>
      </c>
      <c r="AI588" s="176" t="s">
        <v>643</v>
      </c>
      <c r="AJ588" s="176" t="s">
        <v>643</v>
      </c>
      <c r="AK588" s="176" t="s">
        <v>645</v>
      </c>
      <c r="AL588" s="1191" t="s">
        <v>251</v>
      </c>
      <c r="AM588" s="176" t="s">
        <v>462</v>
      </c>
      <c r="AN588" s="176">
        <v>1.1890000000000001</v>
      </c>
      <c r="AO588" s="176">
        <v>2.2000000000000002</v>
      </c>
      <c r="AP588" s="176">
        <v>24</v>
      </c>
      <c r="AQ588" s="176">
        <v>216</v>
      </c>
      <c r="AR588" s="176">
        <v>3.2</v>
      </c>
      <c r="AS588" s="193">
        <v>19724.083200000001</v>
      </c>
    </row>
    <row r="589" spans="1:45" ht="16.5" customHeight="1">
      <c r="A589" s="175">
        <v>46190</v>
      </c>
      <c r="B589" s="176" t="s">
        <v>228</v>
      </c>
      <c r="C589" s="176" t="s">
        <v>17446</v>
      </c>
      <c r="E589" s="176" t="s">
        <v>17447</v>
      </c>
      <c r="F589" s="176" t="s">
        <v>17448</v>
      </c>
      <c r="G589" s="176">
        <v>550</v>
      </c>
      <c r="H589" s="176" t="s">
        <v>16736</v>
      </c>
      <c r="I589" s="176">
        <v>5</v>
      </c>
      <c r="J589" s="176">
        <v>20</v>
      </c>
      <c r="K589" s="176">
        <v>0</v>
      </c>
      <c r="L589" s="176">
        <v>9195</v>
      </c>
      <c r="M589" s="176">
        <v>8753</v>
      </c>
      <c r="R589" s="176">
        <v>26</v>
      </c>
      <c r="S589" s="176">
        <v>0</v>
      </c>
      <c r="T589" s="176">
        <v>8932</v>
      </c>
      <c r="U589" s="176">
        <v>9020</v>
      </c>
      <c r="V589" s="176">
        <v>20</v>
      </c>
      <c r="W589" s="176">
        <v>4</v>
      </c>
      <c r="X589" s="176">
        <v>8896</v>
      </c>
      <c r="Y589" s="176">
        <v>8561</v>
      </c>
      <c r="Z589" s="176">
        <v>5.161290322580645</v>
      </c>
      <c r="AA589" s="176">
        <v>11</v>
      </c>
      <c r="AB589" s="176">
        <v>0.9962740384615385</v>
      </c>
      <c r="AC589" s="176">
        <v>88.928333333333342</v>
      </c>
      <c r="AD589" s="176">
        <v>1.375</v>
      </c>
      <c r="AE589" s="176">
        <v>1.2916666666666667</v>
      </c>
      <c r="AF589" s="176" t="s">
        <v>213</v>
      </c>
      <c r="AG589" s="176">
        <v>0.5</v>
      </c>
      <c r="AH589" s="176" t="s">
        <v>16172</v>
      </c>
      <c r="AI589" s="176" t="s">
        <v>639</v>
      </c>
      <c r="AJ589" s="176" t="s">
        <v>639</v>
      </c>
      <c r="AK589" s="176" t="s">
        <v>642</v>
      </c>
      <c r="AL589" s="1191" t="s">
        <v>251</v>
      </c>
      <c r="AM589" s="176" t="s">
        <v>651</v>
      </c>
      <c r="AN589" s="176">
        <v>1.859</v>
      </c>
      <c r="AO589" s="176">
        <v>2.8</v>
      </c>
      <c r="AP589" s="176">
        <v>24</v>
      </c>
      <c r="AQ589" s="176">
        <v>216</v>
      </c>
      <c r="AR589" s="176">
        <v>3.8</v>
      </c>
      <c r="AS589" s="193">
        <v>36620.8128</v>
      </c>
    </row>
    <row r="590" spans="1:45" ht="16.5" customHeight="1">
      <c r="A590" s="175">
        <v>46190</v>
      </c>
      <c r="B590" s="176" t="s">
        <v>229</v>
      </c>
      <c r="C590" s="176" t="s">
        <v>640</v>
      </c>
      <c r="E590" s="176" t="s">
        <v>420</v>
      </c>
      <c r="F590" s="176" t="s">
        <v>420</v>
      </c>
      <c r="G590" s="176" t="s">
        <v>420</v>
      </c>
      <c r="H590" s="176" t="s">
        <v>420</v>
      </c>
      <c r="I590" s="176" t="s">
        <v>420</v>
      </c>
      <c r="L590" s="176" t="s">
        <v>640</v>
      </c>
      <c r="P590" s="176" t="s">
        <v>640</v>
      </c>
      <c r="T590" s="176" t="s">
        <v>640</v>
      </c>
      <c r="X590" s="176" t="s">
        <v>640</v>
      </c>
      <c r="Z590" s="176" t="s">
        <v>420</v>
      </c>
      <c r="AA590" s="176" t="s">
        <v>640</v>
      </c>
      <c r="AB590" s="176" t="s">
        <v>420</v>
      </c>
      <c r="AC590" s="176" t="s">
        <v>420</v>
      </c>
      <c r="AD590" s="176" t="s">
        <v>420</v>
      </c>
      <c r="AE590" s="176" t="s">
        <v>420</v>
      </c>
      <c r="AF590" s="176" t="s">
        <v>213</v>
      </c>
      <c r="AG590" s="176">
        <v>1</v>
      </c>
      <c r="AH590" s="176" t="s">
        <v>648</v>
      </c>
      <c r="AI590" s="176" t="s">
        <v>648</v>
      </c>
      <c r="AJ590" s="176" t="s">
        <v>648</v>
      </c>
      <c r="AK590" s="176" t="s">
        <v>648</v>
      </c>
      <c r="AL590" s="1191" t="s">
        <v>420</v>
      </c>
      <c r="AM590" s="176" t="s">
        <v>420</v>
      </c>
      <c r="AN590" s="176" t="s">
        <v>420</v>
      </c>
      <c r="AO590" s="176" t="s">
        <v>420</v>
      </c>
      <c r="AP590" s="176">
        <v>24</v>
      </c>
      <c r="AQ590" s="176">
        <v>216</v>
      </c>
      <c r="AR590" s="176" t="s">
        <v>420</v>
      </c>
      <c r="AS590" s="193" t="s">
        <v>420</v>
      </c>
    </row>
    <row r="591" spans="1:45" ht="16.5" customHeight="1">
      <c r="A591" s="175">
        <v>46190</v>
      </c>
      <c r="B591" s="176" t="s">
        <v>230</v>
      </c>
      <c r="C591" s="176" t="s">
        <v>640</v>
      </c>
      <c r="E591" s="176" t="s">
        <v>420</v>
      </c>
      <c r="F591" s="176" t="s">
        <v>420</v>
      </c>
      <c r="G591" s="176" t="s">
        <v>420</v>
      </c>
      <c r="H591" s="176" t="s">
        <v>420</v>
      </c>
      <c r="I591" s="176" t="s">
        <v>420</v>
      </c>
      <c r="L591" s="176" t="s">
        <v>640</v>
      </c>
      <c r="P591" s="176" t="s">
        <v>640</v>
      </c>
      <c r="T591" s="176" t="s">
        <v>640</v>
      </c>
      <c r="X591" s="176" t="s">
        <v>640</v>
      </c>
      <c r="Z591" s="176" t="s">
        <v>420</v>
      </c>
      <c r="AA591" s="176" t="s">
        <v>640</v>
      </c>
      <c r="AB591" s="176" t="s">
        <v>420</v>
      </c>
      <c r="AC591" s="176" t="s">
        <v>420</v>
      </c>
      <c r="AD591" s="176" t="s">
        <v>420</v>
      </c>
      <c r="AE591" s="176" t="s">
        <v>420</v>
      </c>
      <c r="AF591" s="176" t="s">
        <v>213</v>
      </c>
      <c r="AG591" s="176">
        <v>1</v>
      </c>
      <c r="AH591" s="176" t="s">
        <v>648</v>
      </c>
      <c r="AI591" s="176" t="s">
        <v>648</v>
      </c>
      <c r="AJ591" s="176" t="s">
        <v>648</v>
      </c>
      <c r="AK591" s="176" t="s">
        <v>648</v>
      </c>
      <c r="AL591" s="1191" t="s">
        <v>420</v>
      </c>
      <c r="AM591" s="176" t="s">
        <v>420</v>
      </c>
      <c r="AN591" s="176" t="s">
        <v>420</v>
      </c>
      <c r="AO591" s="176" t="s">
        <v>420</v>
      </c>
      <c r="AP591" s="176">
        <v>24</v>
      </c>
      <c r="AQ591" s="176">
        <v>216</v>
      </c>
      <c r="AR591" s="176" t="s">
        <v>420</v>
      </c>
      <c r="AS591" s="193" t="s">
        <v>420</v>
      </c>
    </row>
    <row r="592" spans="1:45" ht="16.5" customHeight="1">
      <c r="A592" s="175">
        <v>46190</v>
      </c>
      <c r="B592" s="176" t="s">
        <v>231</v>
      </c>
      <c r="C592" s="176" t="s">
        <v>640</v>
      </c>
      <c r="E592" s="176" t="s">
        <v>420</v>
      </c>
      <c r="F592" s="176" t="s">
        <v>420</v>
      </c>
      <c r="G592" s="176" t="s">
        <v>420</v>
      </c>
      <c r="H592" s="176" t="s">
        <v>420</v>
      </c>
      <c r="I592" s="176" t="s">
        <v>420</v>
      </c>
      <c r="L592" s="176" t="s">
        <v>640</v>
      </c>
      <c r="P592" s="176" t="s">
        <v>640</v>
      </c>
      <c r="T592" s="176" t="s">
        <v>640</v>
      </c>
      <c r="X592" s="176" t="s">
        <v>640</v>
      </c>
      <c r="Z592" s="176" t="s">
        <v>420</v>
      </c>
      <c r="AA592" s="176" t="s">
        <v>640</v>
      </c>
      <c r="AB592" s="176" t="s">
        <v>420</v>
      </c>
      <c r="AC592" s="176" t="s">
        <v>420</v>
      </c>
      <c r="AD592" s="176" t="s">
        <v>420</v>
      </c>
      <c r="AE592" s="176" t="s">
        <v>420</v>
      </c>
      <c r="AF592" s="176" t="s">
        <v>232</v>
      </c>
      <c r="AG592" s="176">
        <v>1</v>
      </c>
      <c r="AH592" s="176" t="s">
        <v>648</v>
      </c>
      <c r="AI592" s="176" t="s">
        <v>648</v>
      </c>
      <c r="AJ592" s="176" t="s">
        <v>648</v>
      </c>
      <c r="AK592" s="176" t="s">
        <v>648</v>
      </c>
      <c r="AL592" s="1191" t="s">
        <v>420</v>
      </c>
      <c r="AM592" s="176" t="s">
        <v>420</v>
      </c>
      <c r="AN592" s="176" t="s">
        <v>420</v>
      </c>
      <c r="AO592" s="176" t="s">
        <v>420</v>
      </c>
      <c r="AP592" s="176">
        <v>24</v>
      </c>
      <c r="AQ592" s="176">
        <v>216</v>
      </c>
      <c r="AR592" s="176" t="s">
        <v>420</v>
      </c>
      <c r="AS592" s="193" t="s">
        <v>420</v>
      </c>
    </row>
    <row r="593" spans="1:45" ht="16.5" customHeight="1">
      <c r="A593" s="175">
        <v>46190</v>
      </c>
      <c r="B593" s="176" t="s">
        <v>233</v>
      </c>
      <c r="C593" s="176" t="s">
        <v>17336</v>
      </c>
      <c r="D593" s="176" t="s">
        <v>641</v>
      </c>
      <c r="E593" s="176" t="s">
        <v>16740</v>
      </c>
      <c r="F593" s="176" t="s">
        <v>17289</v>
      </c>
      <c r="G593" s="176">
        <v>600</v>
      </c>
      <c r="H593" s="176" t="s">
        <v>7798</v>
      </c>
      <c r="I593" s="176">
        <v>5.5</v>
      </c>
      <c r="L593" s="176" t="s">
        <v>127</v>
      </c>
      <c r="P593" s="176" t="s">
        <v>127</v>
      </c>
      <c r="T593" s="176" t="s">
        <v>127</v>
      </c>
      <c r="X593" s="176" t="s">
        <v>127</v>
      </c>
      <c r="Z593" s="176">
        <v>5.8536585365853666</v>
      </c>
      <c r="AA593" s="176" t="s">
        <v>127</v>
      </c>
      <c r="AB593" s="176" t="s">
        <v>420</v>
      </c>
      <c r="AC593" s="176" t="s">
        <v>420</v>
      </c>
      <c r="AD593" s="176" t="s">
        <v>420</v>
      </c>
      <c r="AE593" s="176" t="s">
        <v>420</v>
      </c>
      <c r="AF593" s="176" t="s">
        <v>232</v>
      </c>
      <c r="AG593" s="176">
        <v>1</v>
      </c>
      <c r="AH593" s="176" t="s">
        <v>646</v>
      </c>
      <c r="AI593" s="176" t="s">
        <v>15379</v>
      </c>
      <c r="AJ593" s="176" t="s">
        <v>15379</v>
      </c>
      <c r="AK593" s="176" t="s">
        <v>645</v>
      </c>
      <c r="AL593" s="1191" t="s">
        <v>251</v>
      </c>
      <c r="AM593" s="176" t="s">
        <v>651</v>
      </c>
      <c r="AN593" s="176">
        <v>1.859</v>
      </c>
      <c r="AO593" s="176">
        <v>2.1</v>
      </c>
      <c r="AP593" s="176">
        <v>24</v>
      </c>
      <c r="AQ593" s="176">
        <v>216</v>
      </c>
      <c r="AR593" s="176">
        <v>3.1</v>
      </c>
      <c r="AS593" s="193">
        <v>29874.873599999999</v>
      </c>
    </row>
    <row r="594" spans="1:45" ht="16.5" customHeight="1">
      <c r="A594" s="175">
        <v>46190</v>
      </c>
      <c r="B594" s="176" t="s">
        <v>234</v>
      </c>
      <c r="C594" s="176" t="s">
        <v>640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640</v>
      </c>
      <c r="P594" s="176" t="s">
        <v>640</v>
      </c>
      <c r="T594" s="176" t="s">
        <v>640</v>
      </c>
      <c r="X594" s="176" t="s">
        <v>640</v>
      </c>
      <c r="Z594" s="176" t="s">
        <v>420</v>
      </c>
      <c r="AA594" s="176" t="s">
        <v>640</v>
      </c>
      <c r="AB594" s="176" t="s">
        <v>420</v>
      </c>
      <c r="AC594" s="176" t="s">
        <v>420</v>
      </c>
      <c r="AD594" s="176" t="s">
        <v>420</v>
      </c>
      <c r="AE594" s="176" t="s">
        <v>420</v>
      </c>
      <c r="AF594" s="176" t="s">
        <v>232</v>
      </c>
      <c r="AG594" s="176">
        <v>1</v>
      </c>
      <c r="AH594" s="176" t="s">
        <v>648</v>
      </c>
      <c r="AI594" s="176" t="s">
        <v>648</v>
      </c>
      <c r="AJ594" s="176" t="s">
        <v>648</v>
      </c>
      <c r="AK594" s="176" t="s">
        <v>648</v>
      </c>
      <c r="AL594" s="119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46190</v>
      </c>
      <c r="B595" s="176" t="s">
        <v>235</v>
      </c>
      <c r="C595" s="176" t="s">
        <v>17287</v>
      </c>
      <c r="D595" s="176" t="s">
        <v>641</v>
      </c>
      <c r="E595" s="176" t="s">
        <v>16740</v>
      </c>
      <c r="F595" s="176" t="s">
        <v>17269</v>
      </c>
      <c r="G595" s="176">
        <v>700</v>
      </c>
      <c r="H595" s="176" t="s">
        <v>1032</v>
      </c>
      <c r="I595" s="176">
        <v>5.5</v>
      </c>
      <c r="J595" s="176">
        <v>43</v>
      </c>
      <c r="K595" s="176">
        <v>0</v>
      </c>
      <c r="L595" s="176">
        <v>8800</v>
      </c>
      <c r="M595" s="176">
        <v>8980</v>
      </c>
      <c r="R595" s="176">
        <v>22</v>
      </c>
      <c r="S595" s="176">
        <v>0</v>
      </c>
      <c r="T595" s="176">
        <v>9070</v>
      </c>
      <c r="U595" s="176">
        <v>9690</v>
      </c>
      <c r="V595" s="176">
        <v>30</v>
      </c>
      <c r="W595" s="176">
        <v>0</v>
      </c>
      <c r="X595" s="176">
        <v>7780</v>
      </c>
      <c r="Y595" s="176">
        <v>8700</v>
      </c>
      <c r="Z595" s="176">
        <v>5.8299595141700413</v>
      </c>
      <c r="AA595" s="176">
        <v>31.666666666666668</v>
      </c>
      <c r="AB595" s="176">
        <v>1</v>
      </c>
      <c r="AC595" s="176">
        <v>88.36666666666666</v>
      </c>
      <c r="AD595" s="176">
        <v>3.9583333333333335</v>
      </c>
      <c r="AE595" s="176">
        <v>3.9583333333333335</v>
      </c>
      <c r="AF595" s="176" t="s">
        <v>236</v>
      </c>
      <c r="AG595" s="176">
        <v>1</v>
      </c>
      <c r="AH595" s="176" t="s">
        <v>659</v>
      </c>
      <c r="AI595" s="176" t="s">
        <v>647</v>
      </c>
      <c r="AJ595" s="176" t="s">
        <v>647</v>
      </c>
      <c r="AK595" s="176" t="s">
        <v>660</v>
      </c>
      <c r="AL595" s="1191" t="s">
        <v>252</v>
      </c>
      <c r="AM595" s="176" t="s">
        <v>462</v>
      </c>
      <c r="AN595" s="176">
        <v>1.1890000000000001</v>
      </c>
      <c r="AO595" s="176">
        <v>3</v>
      </c>
      <c r="AP595" s="176">
        <v>24</v>
      </c>
      <c r="AQ595" s="176">
        <v>216</v>
      </c>
      <c r="AR595" s="176">
        <v>4</v>
      </c>
      <c r="AS595" s="193">
        <v>24655.103999999999</v>
      </c>
    </row>
    <row r="596" spans="1:45" ht="16.5" customHeight="1">
      <c r="A596" s="175">
        <v>46190</v>
      </c>
      <c r="B596" s="176" t="s">
        <v>237</v>
      </c>
      <c r="C596" s="176" t="s">
        <v>17502</v>
      </c>
      <c r="D596" s="176" t="s">
        <v>641</v>
      </c>
      <c r="E596" s="176" t="s">
        <v>16740</v>
      </c>
      <c r="F596" s="176" t="s">
        <v>17504</v>
      </c>
      <c r="G596" s="176">
        <v>700</v>
      </c>
      <c r="H596" s="176" t="s">
        <v>654</v>
      </c>
      <c r="I596" s="176">
        <v>5.5</v>
      </c>
      <c r="L596" s="176" t="s">
        <v>650</v>
      </c>
      <c r="P596" s="176" t="s">
        <v>650</v>
      </c>
      <c r="R596" s="176">
        <v>0</v>
      </c>
      <c r="S596" s="176">
        <v>0</v>
      </c>
      <c r="T596" s="176">
        <v>8520</v>
      </c>
      <c r="U596" s="176">
        <v>9740</v>
      </c>
      <c r="V596" s="176">
        <v>39</v>
      </c>
      <c r="W596" s="176">
        <v>0</v>
      </c>
      <c r="X596" s="176">
        <v>9170</v>
      </c>
      <c r="Y596" s="176">
        <v>9630</v>
      </c>
      <c r="Z596" s="176">
        <v>5.8775510204081636</v>
      </c>
      <c r="AA596" s="176" t="s">
        <v>650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236</v>
      </c>
      <c r="AG596" s="176">
        <v>1</v>
      </c>
      <c r="AH596" s="176" t="s">
        <v>659</v>
      </c>
      <c r="AI596" s="176" t="s">
        <v>15346</v>
      </c>
      <c r="AJ596" s="176" t="s">
        <v>15346</v>
      </c>
      <c r="AK596" s="176" t="s">
        <v>844</v>
      </c>
      <c r="AL596" s="1191" t="s">
        <v>251</v>
      </c>
      <c r="AM596" s="176" t="s">
        <v>462</v>
      </c>
      <c r="AN596" s="176">
        <v>1.1890000000000001</v>
      </c>
      <c r="AO596" s="176">
        <v>2.9</v>
      </c>
      <c r="AP596" s="176">
        <v>24</v>
      </c>
      <c r="AQ596" s="176">
        <v>216</v>
      </c>
      <c r="AR596" s="176">
        <v>3.9</v>
      </c>
      <c r="AS596" s="193">
        <v>24038.7264</v>
      </c>
    </row>
    <row r="597" spans="1:45" ht="16.5" customHeight="1">
      <c r="A597" s="175">
        <v>46190</v>
      </c>
      <c r="B597" s="176" t="s">
        <v>238</v>
      </c>
      <c r="C597" s="176" t="s">
        <v>17499</v>
      </c>
      <c r="D597" s="176" t="s">
        <v>641</v>
      </c>
      <c r="E597" s="176" t="s">
        <v>16740</v>
      </c>
      <c r="F597" s="176" t="s">
        <v>17500</v>
      </c>
      <c r="G597" s="176">
        <v>670</v>
      </c>
      <c r="H597" s="176" t="s">
        <v>886</v>
      </c>
      <c r="I597" s="176">
        <v>5.5</v>
      </c>
      <c r="J597" s="176">
        <v>48</v>
      </c>
      <c r="K597" s="176">
        <v>0</v>
      </c>
      <c r="L597" s="176">
        <v>8520</v>
      </c>
      <c r="M597" s="176">
        <v>8520</v>
      </c>
      <c r="R597" s="176">
        <v>53</v>
      </c>
      <c r="S597" s="176">
        <v>0</v>
      </c>
      <c r="T597" s="176">
        <v>8520</v>
      </c>
      <c r="U597" s="176">
        <v>7870</v>
      </c>
      <c r="V597" s="176">
        <v>62</v>
      </c>
      <c r="W597" s="176">
        <v>0</v>
      </c>
      <c r="X597" s="176">
        <v>8060</v>
      </c>
      <c r="Y597" s="176">
        <v>8150</v>
      </c>
      <c r="Z597" s="176">
        <v>5.625</v>
      </c>
      <c r="AA597" s="176">
        <v>54.333333333333336</v>
      </c>
      <c r="AB597" s="176">
        <v>1</v>
      </c>
      <c r="AC597" s="176">
        <v>82.733333333333334</v>
      </c>
      <c r="AD597" s="176">
        <v>6.791666666666667</v>
      </c>
      <c r="AE597" s="176">
        <v>6.791666666666667</v>
      </c>
      <c r="AF597" s="176" t="s">
        <v>236</v>
      </c>
      <c r="AG597" s="176">
        <v>1</v>
      </c>
      <c r="AH597" s="176" t="s">
        <v>648</v>
      </c>
      <c r="AI597" s="176" t="s">
        <v>647</v>
      </c>
      <c r="AJ597" s="176" t="s">
        <v>647</v>
      </c>
      <c r="AK597" s="176" t="s">
        <v>660</v>
      </c>
      <c r="AL597" s="1191" t="s">
        <v>252</v>
      </c>
      <c r="AM597" s="176" t="s">
        <v>462</v>
      </c>
      <c r="AN597" s="176">
        <v>1.1890000000000001</v>
      </c>
      <c r="AO597" s="176">
        <v>3</v>
      </c>
      <c r="AP597" s="176">
        <v>24</v>
      </c>
      <c r="AQ597" s="176">
        <v>216</v>
      </c>
      <c r="AR597" s="176">
        <v>4</v>
      </c>
      <c r="AS597" s="193">
        <v>24655.103999999999</v>
      </c>
    </row>
    <row r="598" spans="1:45" ht="16.5" customHeight="1">
      <c r="A598" s="175">
        <v>46190</v>
      </c>
      <c r="B598" s="176" t="s">
        <v>239</v>
      </c>
      <c r="C598" s="176" t="s">
        <v>17490</v>
      </c>
      <c r="E598" s="176" t="s">
        <v>17491</v>
      </c>
      <c r="F598" s="176" t="s">
        <v>17492</v>
      </c>
      <c r="G598" s="176">
        <v>650</v>
      </c>
      <c r="H598" s="176" t="s">
        <v>17493</v>
      </c>
      <c r="I598" s="176">
        <v>5</v>
      </c>
      <c r="L598" s="176" t="s">
        <v>127</v>
      </c>
      <c r="P598" s="176" t="s">
        <v>127</v>
      </c>
      <c r="T598" s="176" t="s">
        <v>127</v>
      </c>
      <c r="X598" s="176" t="s">
        <v>127</v>
      </c>
      <c r="Z598" s="176">
        <v>1.5483870967741935</v>
      </c>
      <c r="AA598" s="176" t="s">
        <v>127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236</v>
      </c>
      <c r="AG598" s="176">
        <v>2</v>
      </c>
      <c r="AH598" s="176" t="s">
        <v>659</v>
      </c>
      <c r="AI598" s="176" t="s">
        <v>647</v>
      </c>
      <c r="AJ598" s="176" t="s">
        <v>647</v>
      </c>
      <c r="AK598" s="176" t="s">
        <v>844</v>
      </c>
      <c r="AL598" s="1191" t="s">
        <v>252</v>
      </c>
      <c r="AM598" s="176" t="s">
        <v>126</v>
      </c>
      <c r="AN598" s="176">
        <v>0.91100000000000003</v>
      </c>
      <c r="AO598" s="176">
        <v>1</v>
      </c>
      <c r="AP598" s="176">
        <v>24</v>
      </c>
      <c r="AQ598" s="176">
        <v>216</v>
      </c>
      <c r="AR598" s="176">
        <v>2</v>
      </c>
      <c r="AS598" s="193">
        <v>9445.2479999999996</v>
      </c>
    </row>
    <row r="599" spans="1:45" ht="16.5" customHeight="1">
      <c r="A599" s="175">
        <v>46190</v>
      </c>
      <c r="B599" s="176" t="s">
        <v>239</v>
      </c>
      <c r="C599" s="176" t="s">
        <v>17412</v>
      </c>
      <c r="D599" s="176" t="s">
        <v>641</v>
      </c>
      <c r="E599" s="176" t="s">
        <v>16744</v>
      </c>
      <c r="F599" s="176" t="s">
        <v>17414</v>
      </c>
      <c r="G599" s="176">
        <v>550</v>
      </c>
      <c r="H599" s="176" t="s">
        <v>877</v>
      </c>
      <c r="I599" s="176">
        <v>5.5</v>
      </c>
      <c r="J599" s="176">
        <v>9</v>
      </c>
      <c r="K599" s="176">
        <v>0</v>
      </c>
      <c r="M599" s="176">
        <v>8800</v>
      </c>
      <c r="R599" s="176">
        <v>4</v>
      </c>
      <c r="S599" s="176">
        <v>3</v>
      </c>
      <c r="T599" s="176">
        <v>8610</v>
      </c>
      <c r="V599" s="176">
        <v>12</v>
      </c>
      <c r="W599" s="176">
        <v>0</v>
      </c>
      <c r="Y599" s="176">
        <v>8610</v>
      </c>
      <c r="Z599" s="176">
        <v>6.6055045871559646</v>
      </c>
      <c r="AA599" s="176">
        <v>16.666666666666668</v>
      </c>
      <c r="AB599" s="176">
        <v>0.99781650641025643</v>
      </c>
      <c r="AC599" s="176">
        <v>86.733333333333334</v>
      </c>
      <c r="AD599" s="176">
        <v>2.0833333333333335</v>
      </c>
      <c r="AE599" s="176">
        <v>1.8333333333333333</v>
      </c>
      <c r="AF599" s="176" t="s">
        <v>236</v>
      </c>
      <c r="AG599" s="176">
        <v>2</v>
      </c>
      <c r="AH599" s="176" t="s">
        <v>659</v>
      </c>
      <c r="AI599" s="176" t="s">
        <v>647</v>
      </c>
      <c r="AJ599" s="176" t="s">
        <v>647</v>
      </c>
      <c r="AK599" s="176" t="s">
        <v>844</v>
      </c>
      <c r="AM599" s="176" t="s">
        <v>651</v>
      </c>
      <c r="AN599" s="176">
        <v>1.859</v>
      </c>
      <c r="AO599" s="176">
        <v>3.3</v>
      </c>
      <c r="AP599" s="176">
        <v>24</v>
      </c>
      <c r="AQ599" s="176">
        <v>216</v>
      </c>
      <c r="AR599" s="176">
        <v>4.3</v>
      </c>
      <c r="AS599" s="193">
        <v>41439.340799999998</v>
      </c>
    </row>
    <row r="600" spans="1:45" ht="16.5" customHeight="1">
      <c r="A600" s="175">
        <v>46190</v>
      </c>
      <c r="B600" s="176" t="s">
        <v>389</v>
      </c>
      <c r="C600" s="176" t="s">
        <v>17403</v>
      </c>
      <c r="D600" s="176" t="s">
        <v>641</v>
      </c>
      <c r="E600" s="176" t="s">
        <v>16740</v>
      </c>
      <c r="F600" s="176" t="s">
        <v>17269</v>
      </c>
      <c r="G600" s="176">
        <v>700</v>
      </c>
      <c r="H600" s="176" t="s">
        <v>840</v>
      </c>
      <c r="I600" s="176">
        <v>5.5</v>
      </c>
      <c r="J600" s="176">
        <v>24</v>
      </c>
      <c r="K600" s="176">
        <v>2</v>
      </c>
      <c r="L600" s="176">
        <v>7500</v>
      </c>
      <c r="M600" s="176">
        <v>10000</v>
      </c>
      <c r="R600" s="176">
        <v>23</v>
      </c>
      <c r="S600" s="176">
        <v>0</v>
      </c>
      <c r="T600" s="176">
        <v>7590</v>
      </c>
      <c r="U600" s="176">
        <v>10000</v>
      </c>
      <c r="V600" s="176">
        <v>12</v>
      </c>
      <c r="W600" s="176">
        <v>0</v>
      </c>
      <c r="X600" s="176">
        <v>6940</v>
      </c>
      <c r="Y600" s="176">
        <v>10000</v>
      </c>
      <c r="Z600" s="176">
        <v>5.8299595141700413</v>
      </c>
      <c r="AA600" s="176">
        <v>19.666666666666668</v>
      </c>
      <c r="AB600" s="176">
        <v>0.99835069444444446</v>
      </c>
      <c r="AC600" s="176">
        <v>86.716666666666654</v>
      </c>
      <c r="AD600" s="176">
        <v>2.4583333333333335</v>
      </c>
      <c r="AE600" s="176">
        <v>2.375</v>
      </c>
      <c r="AF600" s="176" t="s">
        <v>236</v>
      </c>
      <c r="AG600" s="176">
        <v>1</v>
      </c>
      <c r="AH600" s="176" t="s">
        <v>646</v>
      </c>
      <c r="AI600" s="176" t="s">
        <v>15346</v>
      </c>
      <c r="AJ600" s="176" t="s">
        <v>15346</v>
      </c>
      <c r="AK600" s="176" t="s">
        <v>660</v>
      </c>
      <c r="AL600" s="1191" t="s">
        <v>252</v>
      </c>
      <c r="AM600" s="176" t="s">
        <v>462</v>
      </c>
      <c r="AN600" s="176">
        <v>1.1890000000000001</v>
      </c>
      <c r="AO600" s="176">
        <v>2.8</v>
      </c>
      <c r="AP600" s="176">
        <v>24</v>
      </c>
      <c r="AQ600" s="176">
        <v>216</v>
      </c>
      <c r="AR600" s="176">
        <v>3.8</v>
      </c>
      <c r="AS600" s="193">
        <v>23422.3488</v>
      </c>
    </row>
    <row r="601" spans="1:45" ht="16.5" customHeight="1">
      <c r="A601" s="175">
        <v>46190</v>
      </c>
      <c r="B601" s="176" t="s">
        <v>418</v>
      </c>
      <c r="C601" s="176" t="s">
        <v>17262</v>
      </c>
      <c r="D601" s="176" t="s">
        <v>641</v>
      </c>
      <c r="E601" s="176" t="s">
        <v>16740</v>
      </c>
      <c r="F601" s="176" t="s">
        <v>17269</v>
      </c>
      <c r="G601" s="176">
        <v>700</v>
      </c>
      <c r="H601" s="176" t="s">
        <v>812</v>
      </c>
      <c r="I601" s="176">
        <v>5.5</v>
      </c>
      <c r="J601" s="176">
        <v>53</v>
      </c>
      <c r="K601" s="176">
        <v>3</v>
      </c>
      <c r="L601" s="176">
        <v>10000</v>
      </c>
      <c r="M601" s="176">
        <v>9540</v>
      </c>
      <c r="R601" s="176">
        <v>21</v>
      </c>
      <c r="S601" s="176">
        <v>0</v>
      </c>
      <c r="T601" s="176">
        <v>8700</v>
      </c>
      <c r="U601" s="176">
        <v>9770</v>
      </c>
      <c r="V601" s="176">
        <v>22</v>
      </c>
      <c r="W601" s="176">
        <v>0</v>
      </c>
      <c r="X601" s="176">
        <v>9260</v>
      </c>
      <c r="Y601" s="176">
        <v>9070</v>
      </c>
      <c r="Z601" s="176">
        <v>5.8299595141700413</v>
      </c>
      <c r="AA601" s="176">
        <v>32</v>
      </c>
      <c r="AB601" s="176">
        <v>0.9975260416666667</v>
      </c>
      <c r="AC601" s="176">
        <v>93.9</v>
      </c>
      <c r="AD601" s="176">
        <v>4</v>
      </c>
      <c r="AE601" s="176">
        <v>3.875</v>
      </c>
      <c r="AF601" s="176" t="s">
        <v>236</v>
      </c>
      <c r="AG601" s="176">
        <v>1</v>
      </c>
      <c r="AH601" s="176" t="s">
        <v>646</v>
      </c>
      <c r="AI601" s="176" t="s">
        <v>15346</v>
      </c>
      <c r="AJ601" s="176" t="s">
        <v>15346</v>
      </c>
      <c r="AK601" s="176" t="s">
        <v>844</v>
      </c>
      <c r="AL601" s="1191" t="s">
        <v>252</v>
      </c>
      <c r="AM601" s="176" t="s">
        <v>462</v>
      </c>
      <c r="AN601" s="176">
        <v>1.1890000000000001</v>
      </c>
      <c r="AO601" s="176">
        <v>2.8</v>
      </c>
      <c r="AP601" s="176">
        <v>24</v>
      </c>
      <c r="AQ601" s="176">
        <v>216</v>
      </c>
      <c r="AR601" s="176">
        <v>3.8</v>
      </c>
      <c r="AS601" s="193">
        <v>23422.3488</v>
      </c>
    </row>
    <row r="602" spans="1:45" ht="16.5" customHeight="1">
      <c r="A602" s="175">
        <v>46190</v>
      </c>
      <c r="B602" s="176" t="s">
        <v>240</v>
      </c>
      <c r="C602" s="176" t="s">
        <v>640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640</v>
      </c>
      <c r="P602" s="176" t="s">
        <v>640</v>
      </c>
      <c r="T602" s="176" t="s">
        <v>640</v>
      </c>
      <c r="X602" s="176" t="s">
        <v>640</v>
      </c>
      <c r="Z602" s="176" t="s">
        <v>420</v>
      </c>
      <c r="AA602" s="176" t="s">
        <v>640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241</v>
      </c>
      <c r="AG602" s="176">
        <v>12</v>
      </c>
      <c r="AH602" s="176" t="s">
        <v>648</v>
      </c>
      <c r="AI602" s="176" t="s">
        <v>648</v>
      </c>
      <c r="AJ602" s="176" t="s">
        <v>648</v>
      </c>
      <c r="AK602" s="176" t="s">
        <v>648</v>
      </c>
      <c r="AL602" s="119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46190</v>
      </c>
      <c r="B603" s="176" t="s">
        <v>242</v>
      </c>
      <c r="C603" s="176" t="s">
        <v>386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386</v>
      </c>
      <c r="P603" s="176" t="s">
        <v>386</v>
      </c>
      <c r="T603" s="176" t="s">
        <v>386</v>
      </c>
      <c r="X603" s="176" t="s">
        <v>386</v>
      </c>
      <c r="Z603" s="176" t="s">
        <v>420</v>
      </c>
      <c r="AA603" s="176" t="s">
        <v>386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241</v>
      </c>
      <c r="AG603" s="176">
        <v>5</v>
      </c>
      <c r="AH603" s="176" t="s">
        <v>648</v>
      </c>
      <c r="AI603" s="176" t="s">
        <v>643</v>
      </c>
      <c r="AJ603" s="176" t="s">
        <v>643</v>
      </c>
      <c r="AK603" s="176" t="s">
        <v>648</v>
      </c>
      <c r="AL603" s="119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/>
    <row r="605" spans="1:45" ht="16.5" customHeight="1"/>
    <row r="606" spans="1:45" ht="16.5" customHeight="1"/>
    <row r="607" spans="1:45" ht="16.5" customHeight="1"/>
    <row r="608" spans="1:45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8" t="s">
        <v>151</v>
      </c>
      <c r="B1" s="1609"/>
      <c r="C1" s="1609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3.3990280121474559</v>
      </c>
      <c r="K4" s="640">
        <f>日報表!D184</f>
        <v>12.235294117647058</v>
      </c>
      <c r="L4" s="641">
        <f>日報表!F183</f>
        <v>635.96153846153845</v>
      </c>
      <c r="M4" s="641">
        <f>日報表!E183</f>
        <v>169.19134615384613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0.97841516464950307</v>
      </c>
      <c r="D5" s="1500">
        <f>C5*100</f>
        <v>97.841516464950303</v>
      </c>
      <c r="G5" s="1139" t="s">
        <v>275</v>
      </c>
      <c r="H5" s="679">
        <f>日報表!D184</f>
        <v>12.235294117647058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0.94622062367970805</v>
      </c>
      <c r="D6" s="1500">
        <f>C6*100</f>
        <v>94.622062367970798</v>
      </c>
      <c r="G6" s="1140" t="s">
        <v>276</v>
      </c>
      <c r="H6" s="680">
        <f>日報表!E183</f>
        <v>169.19134615384613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635.96153846153845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206789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644" priority="3" stopIfTrue="1" operator="lessThan">
      <formula>$B$4</formula>
    </cfRule>
  </conditionalFormatting>
  <conditionalFormatting sqref="C5">
    <cfRule type="cellIs" dxfId="643" priority="7" stopIfTrue="1" operator="lessThan">
      <formula>$B$5</formula>
    </cfRule>
  </conditionalFormatting>
  <conditionalFormatting sqref="C6">
    <cfRule type="cellIs" dxfId="642" priority="6" stopIfTrue="1" operator="lessThan">
      <formula>$B$6</formula>
    </cfRule>
  </conditionalFormatting>
  <conditionalFormatting sqref="C7">
    <cfRule type="cellIs" dxfId="641" priority="4" stopIfTrue="1" operator="greaterThan">
      <formula>$B$7</formula>
    </cfRule>
  </conditionalFormatting>
  <conditionalFormatting sqref="C8">
    <cfRule type="cellIs" dxfId="640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11" t="s">
        <v>184</v>
      </c>
      <c r="B2" s="421" t="s">
        <v>185</v>
      </c>
      <c r="C2" s="428">
        <f>日報表!K68*100</f>
        <v>96.280014352526862</v>
      </c>
      <c r="E2" s="1076" t="s">
        <v>16063</v>
      </c>
      <c r="F2" s="1054">
        <f>F22</f>
        <v>97.841516464950303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11"/>
      <c r="B3" s="421" t="s">
        <v>186</v>
      </c>
      <c r="C3" s="428">
        <f>日報表!K91*100</f>
        <v>97.064483256210238</v>
      </c>
      <c r="E3" s="1076" t="s">
        <v>16062</v>
      </c>
      <c r="F3" s="1054">
        <f>F24</f>
        <v>94.622062367970798</v>
      </c>
      <c r="H3" s="1191">
        <f>GETPIVOTDATA("計數 - 高低壓",高低壓!$A$3,"高低壓","低壓")</f>
        <v>121</v>
      </c>
      <c r="I3" s="1192">
        <f>GETPIVOTDATA("加總 - 耗氣量(立方/日)",高低壓!$A$3,"高低壓","低壓")</f>
        <v>2248378.0416000015</v>
      </c>
      <c r="J3" s="1193">
        <f>GETPIVOTDATA("計數 - 高低壓",高低壓!$A$3,"高低壓","高壓")</f>
        <v>107</v>
      </c>
      <c r="K3" s="1194">
        <f>GETPIVOTDATA("加總 - 耗氣量(立方/日)",高低壓!$A$3,"高低壓","高壓")</f>
        <v>2330211.628800001</v>
      </c>
    </row>
    <row r="4" spans="1:20" ht="16.5" customHeight="1">
      <c r="A4" s="1611"/>
      <c r="B4" s="421" t="s">
        <v>187</v>
      </c>
      <c r="C4" s="428">
        <f>日報表!K110*100</f>
        <v>85.508159063286669</v>
      </c>
      <c r="E4" s="1076" t="s">
        <v>16061</v>
      </c>
      <c r="F4" s="1404">
        <f>(F9/F15)*100</f>
        <v>2.7068452733406194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11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3.3990280121474559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12.235294117647058</v>
      </c>
      <c r="M5" s="690"/>
    </row>
    <row r="6" spans="1:20" ht="16.5" customHeight="1">
      <c r="A6" s="1611"/>
      <c r="B6" s="422" t="s">
        <v>159</v>
      </c>
      <c r="C6" s="428">
        <f>日報表!K182*100</f>
        <v>97.212137715665079</v>
      </c>
      <c r="E6" s="1057" t="s">
        <v>15064</v>
      </c>
      <c r="F6" s="1058">
        <f>日報表!D184</f>
        <v>12.235294117647058</v>
      </c>
      <c r="G6" s="1123">
        <f>F6/28</f>
        <v>0.43697478991596633</v>
      </c>
      <c r="H6" s="949">
        <f>F6</f>
        <v>12.235294117647058</v>
      </c>
      <c r="I6" s="950">
        <f>日報表!F183</f>
        <v>635.96153846153845</v>
      </c>
      <c r="J6" s="951">
        <f>F7</f>
        <v>169.19134615384613</v>
      </c>
      <c r="K6" s="1238" t="s">
        <v>15855</v>
      </c>
      <c r="L6" s="1238">
        <f>F13</f>
        <v>1656623.25</v>
      </c>
      <c r="M6" s="1240"/>
    </row>
    <row r="7" spans="1:20" ht="16.5" customHeight="1">
      <c r="A7" s="1611"/>
      <c r="B7" s="423" t="s">
        <v>189</v>
      </c>
      <c r="C7" s="428">
        <f>日報表!K184*100</f>
        <v>97.841516464950303</v>
      </c>
      <c r="E7" s="1059" t="s">
        <v>15065</v>
      </c>
      <c r="F7" s="1060">
        <f>日報表!E183</f>
        <v>169.19134615384613</v>
      </c>
      <c r="L7" s="1238"/>
      <c r="M7" s="1240"/>
    </row>
    <row r="8" spans="1:20" ht="16.5" customHeight="1">
      <c r="A8" s="1611" t="s">
        <v>190</v>
      </c>
      <c r="B8" s="421" t="s">
        <v>185</v>
      </c>
      <c r="C8" s="428">
        <f>日報表!N68*100</f>
        <v>90.475202165317228</v>
      </c>
      <c r="E8" s="1120" t="s">
        <v>15360</v>
      </c>
      <c r="F8" s="1060">
        <f>日報表!F183</f>
        <v>635.96153846153845</v>
      </c>
    </row>
    <row r="9" spans="1:20" ht="16.5" customHeight="1">
      <c r="A9" s="1611"/>
      <c r="B9" s="421" t="s">
        <v>186</v>
      </c>
      <c r="C9" s="428">
        <f>日報表!N91*100</f>
        <v>86.900903961822692</v>
      </c>
      <c r="E9" s="1242" t="s">
        <v>15856</v>
      </c>
      <c r="F9" s="1242">
        <f>'(示眾台)'!S35</f>
        <v>24000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11"/>
      <c r="B10" s="421" t="s">
        <v>187</v>
      </c>
      <c r="C10" s="428">
        <f>日報表!N110*100</f>
        <v>52.55053781582869</v>
      </c>
      <c r="E10" s="1243" t="s">
        <v>15857</v>
      </c>
      <c r="F10" s="1243">
        <f>'(示眾台)'!AM37</f>
        <v>206789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11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11"/>
      <c r="B12" s="422" t="s">
        <v>159</v>
      </c>
      <c r="C12" s="428">
        <f>日報表!N182*100</f>
        <v>92.753032206302663</v>
      </c>
      <c r="E12" s="1061" t="s">
        <v>15066</v>
      </c>
      <c r="F12" s="1062">
        <f>F20</f>
        <v>206789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11"/>
      <c r="B13" s="423" t="s">
        <v>189</v>
      </c>
      <c r="C13" s="428">
        <f>日報表!N184*100</f>
        <v>94.622062367970798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11" t="s">
        <v>191</v>
      </c>
      <c r="B14" s="421" t="s">
        <v>185</v>
      </c>
      <c r="C14" s="427">
        <f>日報表!M68</f>
        <v>2.2287403100775185</v>
      </c>
    </row>
    <row r="15" spans="1:20" ht="16.5" customHeight="1" thickBot="1">
      <c r="A15" s="1611"/>
      <c r="B15" s="421" t="s">
        <v>186</v>
      </c>
      <c r="C15" s="427">
        <f>日報表!M91</f>
        <v>4.7632051282051284</v>
      </c>
      <c r="E15" s="1263" t="s">
        <v>16048</v>
      </c>
      <c r="F15" s="1237">
        <f>日報表!P185</f>
        <v>886641</v>
      </c>
      <c r="G15" s="1356" t="s">
        <v>16173</v>
      </c>
    </row>
    <row r="16" spans="1:20" ht="16.5" customHeight="1">
      <c r="A16" s="1611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11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11"/>
      <c r="B18" s="422" t="s">
        <v>159</v>
      </c>
      <c r="C18" s="427">
        <f>日報表!M182</f>
        <v>4.641988636363636</v>
      </c>
      <c r="E18" s="1066" t="s">
        <v>15073</v>
      </c>
      <c r="F18" s="1067" t="s">
        <v>17258</v>
      </c>
      <c r="L18" s="1210" t="s">
        <v>15601</v>
      </c>
      <c r="M18" s="1620" t="s">
        <v>805</v>
      </c>
      <c r="N18" s="1621"/>
      <c r="O18" s="1622"/>
      <c r="P18" s="1620" t="s">
        <v>15602</v>
      </c>
      <c r="Q18" s="1622"/>
    </row>
    <row r="19" spans="1:17" ht="16.5" customHeight="1">
      <c r="A19" s="1611"/>
      <c r="B19" s="423" t="s">
        <v>189</v>
      </c>
      <c r="C19" s="427">
        <f>日報表!M184</f>
        <v>3.3990280121474559</v>
      </c>
      <c r="E19" s="1082" t="s">
        <v>15074</v>
      </c>
      <c r="F19" s="1079">
        <f>'(示眾台)'!Z36</f>
        <v>886641</v>
      </c>
      <c r="L19" s="1623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0" t="s">
        <v>192</v>
      </c>
      <c r="B20" s="1610"/>
      <c r="C20" s="466">
        <f>(日報表!B184/日報表!G184)*100</f>
        <v>6.9926836227965999E-2</v>
      </c>
      <c r="E20" s="1083" t="s">
        <v>15075</v>
      </c>
      <c r="F20" s="1080">
        <f>'(示眾台)'!AM37</f>
        <v>206789</v>
      </c>
      <c r="L20" s="1624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0" t="s">
        <v>193</v>
      </c>
      <c r="B21" s="1610"/>
      <c r="C21" s="426"/>
      <c r="E21" s="1084" t="s">
        <v>15076</v>
      </c>
      <c r="F21" s="1081">
        <f>F19-F20</f>
        <v>679852</v>
      </c>
      <c r="L21" s="1624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0" t="s">
        <v>194</v>
      </c>
      <c r="B22" s="1610"/>
      <c r="C22" s="501">
        <f>日報表!B185*100</f>
        <v>2400000</v>
      </c>
      <c r="E22" s="1085" t="s">
        <v>15077</v>
      </c>
      <c r="F22" s="1142">
        <f>日報表!K184*100</f>
        <v>97.841516464950303</v>
      </c>
      <c r="L22" s="1625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0" t="s">
        <v>195</v>
      </c>
      <c r="B23" s="1610"/>
      <c r="C23" s="426">
        <f>日報表!G184</f>
        <v>886641</v>
      </c>
      <c r="E23" s="1086" t="s">
        <v>15078</v>
      </c>
      <c r="F23" s="1143">
        <f>'(示眾台)'!AQ35*100</f>
        <v>97.184975553502824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94.622062367970798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12" t="s">
        <v>160</v>
      </c>
      <c r="B25" s="421" t="s">
        <v>185</v>
      </c>
      <c r="C25" s="427">
        <f>GETPIVOTDATA("效率平均",效率!$A$3,"機型","A")</f>
        <v>91.216381481481477</v>
      </c>
      <c r="E25" s="1084" t="s">
        <v>15080</v>
      </c>
      <c r="F25" s="1145">
        <f>'(示眾台)'!AR35*100</f>
        <v>92.892570735983711</v>
      </c>
      <c r="L25" s="1626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11"/>
      <c r="B26" s="421" t="s">
        <v>186</v>
      </c>
      <c r="C26" s="427">
        <f>GETPIVOTDATA("效率平均",效率!$A$3,"機型","J")</f>
        <v>65.850000000000009</v>
      </c>
      <c r="E26" s="1085" t="s">
        <v>15081</v>
      </c>
      <c r="F26" s="1142">
        <f>F4</f>
        <v>2.7068452733406194</v>
      </c>
      <c r="L26" s="1627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11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1.6553616387528436</v>
      </c>
      <c r="G27" s="1136" t="s">
        <v>15368</v>
      </c>
      <c r="H27" s="1137"/>
      <c r="I27" s="1137"/>
      <c r="J27" s="1137"/>
      <c r="K27" s="1137"/>
      <c r="L27" s="1212" t="s">
        <v>612</v>
      </c>
      <c r="M27" s="1614" t="s">
        <v>15617</v>
      </c>
      <c r="N27" s="1615"/>
      <c r="O27" s="1616"/>
      <c r="P27" s="1221"/>
      <c r="Q27" s="1235"/>
    </row>
    <row r="28" spans="1:17" ht="16.5" customHeight="1" thickBot="1">
      <c r="A28" s="1611"/>
      <c r="B28" s="422" t="s">
        <v>159</v>
      </c>
      <c r="C28" s="427">
        <f>GETPIVOTDATA("效率平均",效率!$A$3,"機型","T")</f>
        <v>84.163082437276003</v>
      </c>
      <c r="E28" s="1088" t="s">
        <v>15083</v>
      </c>
      <c r="F28" s="1068"/>
      <c r="L28" s="1212" t="s">
        <v>15618</v>
      </c>
      <c r="M28" s="1614" t="s">
        <v>15619</v>
      </c>
      <c r="N28" s="1615"/>
      <c r="O28" s="1616"/>
      <c r="P28" s="1221"/>
      <c r="Q28" s="1235"/>
    </row>
    <row r="29" spans="1:17" ht="16.5" customHeight="1" thickBot="1">
      <c r="A29" s="1611"/>
      <c r="B29" s="423" t="s">
        <v>189</v>
      </c>
      <c r="C29" s="427">
        <f>GETPIVOTDATA("效率平均",效率!$A$3)</f>
        <v>86.187198979591827</v>
      </c>
      <c r="E29" s="1084" t="s">
        <v>15084</v>
      </c>
      <c r="F29" s="1069"/>
      <c r="L29" s="1212" t="s">
        <v>15620</v>
      </c>
      <c r="M29" s="1617" t="s">
        <v>15621</v>
      </c>
      <c r="N29" s="1618"/>
      <c r="O29" s="1618"/>
      <c r="P29" s="1618"/>
      <c r="Q29" s="1619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12" t="s">
        <v>161</v>
      </c>
      <c r="B31" s="421" t="s">
        <v>185</v>
      </c>
      <c r="C31" s="491">
        <f>'(示眾台)'!L33</f>
        <v>40.200000000000003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11"/>
      <c r="B32" s="421" t="s">
        <v>186</v>
      </c>
      <c r="C32" s="491">
        <f>'(示眾台)'!M33</f>
        <v>50</v>
      </c>
      <c r="E32" s="1362" t="s">
        <v>551</v>
      </c>
      <c r="F32" s="873">
        <f>'(示眾台)'!AG36</f>
        <v>2842422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11"/>
      <c r="B33" s="421" t="s">
        <v>187</v>
      </c>
      <c r="C33" s="491">
        <f>'(示眾台)'!O33</f>
        <v>0.6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173632</v>
      </c>
      <c r="J33" s="1078">
        <f>日報表!D68</f>
        <v>6.1764705882352935</v>
      </c>
    </row>
    <row r="34" spans="1:10" ht="16.5" customHeight="1">
      <c r="A34" s="1611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58618</v>
      </c>
      <c r="J34" s="1078">
        <f>日報表!D91</f>
        <v>0.88235294117647056</v>
      </c>
    </row>
    <row r="35" spans="1:10" ht="16.5" customHeight="1">
      <c r="A35" s="1611"/>
      <c r="B35" s="422" t="s">
        <v>159</v>
      </c>
      <c r="C35" s="491">
        <f>'(示眾台)'!N33</f>
        <v>26.8</v>
      </c>
      <c r="E35" s="1195" t="s">
        <v>15089</v>
      </c>
      <c r="F35" s="873">
        <v>104660</v>
      </c>
      <c r="H35" s="1195" t="s">
        <v>652</v>
      </c>
      <c r="I35" s="873">
        <f>日報表!G110</f>
        <v>1540</v>
      </c>
      <c r="J35" s="1078">
        <f>日報表!D110</f>
        <v>8.8235294117647065E-2</v>
      </c>
    </row>
    <row r="36" spans="1:10" ht="16.5" customHeight="1">
      <c r="A36" s="1611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3.5666666666666669</v>
      </c>
      <c r="H37" s="1195" t="s">
        <v>483</v>
      </c>
      <c r="I37" s="873">
        <f>日報表!G182</f>
        <v>461430</v>
      </c>
      <c r="J37" s="1078">
        <f>日報表!D182</f>
        <v>5.0882352941176467</v>
      </c>
    </row>
    <row r="38" spans="1:10" ht="16.5" customHeight="1" thickBot="1">
      <c r="A38" s="1612" t="s">
        <v>162</v>
      </c>
      <c r="B38" s="421" t="s">
        <v>185</v>
      </c>
      <c r="C38" s="427">
        <f>GETPIVOTDATA("IAD",IAD!$A$3,"機型","A")*100</f>
        <v>99.153818270404813</v>
      </c>
      <c r="E38" s="873" t="s">
        <v>15069</v>
      </c>
      <c r="F38" s="1064">
        <f>H3/$F$41</f>
        <v>4.0333333333333332</v>
      </c>
    </row>
    <row r="39" spans="1:10" ht="16.5" customHeight="1">
      <c r="A39" s="1611"/>
      <c r="B39" s="421" t="s">
        <v>186</v>
      </c>
      <c r="C39" s="427">
        <f>GETPIVOTDATA("IAD",IAD!$A$3,"機型","J")*100</f>
        <v>98.957562869822496</v>
      </c>
      <c r="E39" s="873" t="s">
        <v>15070</v>
      </c>
      <c r="F39" s="1065">
        <f>K3/$F$41</f>
        <v>77673.720960000035</v>
      </c>
    </row>
    <row r="40" spans="1:10" ht="16.5" customHeight="1">
      <c r="A40" s="1611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74945.934720000048</v>
      </c>
    </row>
    <row r="41" spans="1:10" ht="16.5" customHeight="1">
      <c r="A41" s="1611"/>
      <c r="B41" s="422" t="s">
        <v>159</v>
      </c>
      <c r="C41" s="427">
        <f>GETPIVOTDATA("IAD",IAD!$A$3,"機型","T")*100</f>
        <v>99.479077635327641</v>
      </c>
      <c r="E41" s="1403" t="s">
        <v>15067</v>
      </c>
      <c r="F41" s="1403">
        <v>30</v>
      </c>
    </row>
    <row r="42" spans="1:10" ht="16.5" customHeight="1">
      <c r="A42" s="1611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1449834.25</v>
      </c>
    </row>
    <row r="48" spans="1:10" ht="16.5" customHeight="1">
      <c r="B48" s="424" t="s">
        <v>167</v>
      </c>
      <c r="E48" s="1333" t="s">
        <v>16084</v>
      </c>
      <c r="F48" s="1330">
        <f>F23</f>
        <v>97.184975553502824</v>
      </c>
    </row>
    <row r="49" spans="2:6" ht="16.5" customHeight="1">
      <c r="B49" s="424" t="s">
        <v>168</v>
      </c>
      <c r="E49" s="1333" t="s">
        <v>16085</v>
      </c>
      <c r="F49" s="1330">
        <f>F25</f>
        <v>92.892570735983711</v>
      </c>
    </row>
    <row r="50" spans="2:6" ht="16.5" customHeight="1">
      <c r="B50" s="424" t="s">
        <v>169</v>
      </c>
      <c r="E50" s="1333" t="s">
        <v>16086</v>
      </c>
      <c r="F50" s="1330">
        <f>F27</f>
        <v>1.6553616387528436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886641</v>
      </c>
    </row>
    <row r="58" spans="2:6" ht="16.5" customHeight="1">
      <c r="B58" s="424" t="s">
        <v>177</v>
      </c>
      <c r="E58" s="1333" t="s">
        <v>16084</v>
      </c>
      <c r="F58" s="1330">
        <f>F22</f>
        <v>97.841516464950303</v>
      </c>
    </row>
    <row r="59" spans="2:6" ht="16.5" customHeight="1">
      <c r="B59" s="424" t="s">
        <v>178</v>
      </c>
      <c r="E59" s="1333" t="s">
        <v>16085</v>
      </c>
      <c r="F59" s="1330">
        <f>F24</f>
        <v>94.622062367970798</v>
      </c>
    </row>
    <row r="60" spans="2:6" ht="16.5" customHeight="1">
      <c r="B60" s="424"/>
      <c r="E60" s="1333" t="s">
        <v>16086</v>
      </c>
      <c r="F60" s="1330">
        <f>F26</f>
        <v>2.7068452733406194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13" t="s">
        <v>196</v>
      </c>
      <c r="B74" s="511" t="s">
        <v>280</v>
      </c>
      <c r="C74" s="512">
        <f>C2</f>
        <v>96.280014352526862</v>
      </c>
    </row>
    <row r="75" spans="1:3" ht="16.5" customHeight="1">
      <c r="A75" s="1613"/>
      <c r="B75" s="513" t="s">
        <v>281</v>
      </c>
      <c r="C75" s="514">
        <f>C3</f>
        <v>97.064483256210238</v>
      </c>
    </row>
    <row r="76" spans="1:3" ht="16.5" customHeight="1">
      <c r="A76" s="1613"/>
      <c r="B76" s="513" t="s">
        <v>282</v>
      </c>
      <c r="C76" s="514">
        <f>C4</f>
        <v>85.508159063286669</v>
      </c>
    </row>
    <row r="77" spans="1:3" ht="16.5" customHeight="1">
      <c r="A77" s="1613"/>
      <c r="B77" s="513" t="s">
        <v>283</v>
      </c>
      <c r="C77" s="514">
        <f>C5</f>
        <v>0</v>
      </c>
    </row>
    <row r="78" spans="1:3" ht="16.5" customHeight="1" thickBot="1">
      <c r="A78" s="1613"/>
      <c r="B78" s="515" t="s">
        <v>284</v>
      </c>
      <c r="C78" s="516">
        <f>C6</f>
        <v>97.212137715665079</v>
      </c>
    </row>
    <row r="79" spans="1:3" ht="16.5" customHeight="1">
      <c r="A79" s="1613"/>
      <c r="B79" s="511" t="s">
        <v>285</v>
      </c>
      <c r="C79" s="512">
        <f>C8</f>
        <v>90.475202165317228</v>
      </c>
    </row>
    <row r="80" spans="1:3" ht="16.5" customHeight="1">
      <c r="A80" s="1613"/>
      <c r="B80" s="513" t="s">
        <v>286</v>
      </c>
      <c r="C80" s="514">
        <f>C9</f>
        <v>86.900903961822692</v>
      </c>
    </row>
    <row r="81" spans="1:3" ht="16.5" customHeight="1">
      <c r="A81" s="1613"/>
      <c r="B81" s="513" t="s">
        <v>287</v>
      </c>
      <c r="C81" s="514">
        <f>C10</f>
        <v>52.55053781582869</v>
      </c>
    </row>
    <row r="82" spans="1:3" ht="16.5" customHeight="1">
      <c r="A82" s="1613"/>
      <c r="B82" s="513" t="s">
        <v>288</v>
      </c>
      <c r="C82" s="514">
        <f>C11</f>
        <v>0</v>
      </c>
    </row>
    <row r="83" spans="1:3" ht="16.5" customHeight="1" thickBot="1">
      <c r="A83" s="1613"/>
      <c r="B83" s="515" t="s">
        <v>289</v>
      </c>
      <c r="C83" s="516">
        <f>C12</f>
        <v>92.753032206302663</v>
      </c>
    </row>
    <row r="84" spans="1:3" ht="16.5" customHeight="1">
      <c r="A84" s="1613"/>
      <c r="B84" s="511" t="s">
        <v>290</v>
      </c>
      <c r="C84" s="517">
        <f>C31</f>
        <v>40.200000000000003</v>
      </c>
    </row>
    <row r="85" spans="1:3" ht="16.5" customHeight="1">
      <c r="A85" s="1613"/>
      <c r="B85" s="513" t="s">
        <v>291</v>
      </c>
      <c r="C85" s="518">
        <f>C32</f>
        <v>50</v>
      </c>
    </row>
    <row r="86" spans="1:3" ht="16.5" customHeight="1">
      <c r="A86" s="1613"/>
      <c r="B86" s="513" t="s">
        <v>292</v>
      </c>
      <c r="C86" s="518">
        <f>C33</f>
        <v>0.6</v>
      </c>
    </row>
    <row r="87" spans="1:3" ht="16.5" customHeight="1">
      <c r="A87" s="1613"/>
      <c r="B87" s="513" t="s">
        <v>293</v>
      </c>
      <c r="C87" s="518" t="e">
        <f>C34</f>
        <v>#DIV/0!</v>
      </c>
    </row>
    <row r="88" spans="1:3" ht="16.5" customHeight="1" thickBot="1">
      <c r="A88" s="1613"/>
      <c r="B88" s="515" t="s">
        <v>294</v>
      </c>
      <c r="C88" s="519">
        <f>C35</f>
        <v>26.8</v>
      </c>
    </row>
    <row r="89" spans="1:3" ht="16.5" customHeight="1">
      <c r="A89" s="1613"/>
      <c r="B89" s="511" t="s">
        <v>295</v>
      </c>
      <c r="C89" s="517">
        <f>C38</f>
        <v>99.153818270404813</v>
      </c>
    </row>
    <row r="90" spans="1:3" ht="16.5" customHeight="1">
      <c r="A90" s="1613"/>
      <c r="B90" s="513" t="s">
        <v>296</v>
      </c>
      <c r="C90" s="518">
        <f>C39</f>
        <v>98.957562869822496</v>
      </c>
    </row>
    <row r="91" spans="1:3" ht="16.5" customHeight="1">
      <c r="A91" s="1613"/>
      <c r="B91" s="513" t="s">
        <v>297</v>
      </c>
      <c r="C91" s="518">
        <f>C40</f>
        <v>0</v>
      </c>
    </row>
    <row r="92" spans="1:3" ht="16.5" customHeight="1" thickBot="1">
      <c r="A92" s="1613"/>
      <c r="B92" s="515" t="s">
        <v>298</v>
      </c>
      <c r="C92" s="519">
        <f>C41</f>
        <v>99.479077635327641</v>
      </c>
    </row>
    <row r="93" spans="1:3" ht="16.5" customHeight="1">
      <c r="A93" s="1613"/>
      <c r="B93" s="421" t="s">
        <v>197</v>
      </c>
      <c r="C93" s="1166">
        <f>F19</f>
        <v>886641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19024</v>
      </c>
      <c r="E4" s="208">
        <f>日報表!K4</f>
        <v>0.938919259882254</v>
      </c>
      <c r="F4" s="208">
        <f>日報表!N4</f>
        <v>0.84650967199327165</v>
      </c>
      <c r="G4" s="209">
        <f>日報表!M4</f>
        <v>2.078125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8785</v>
      </c>
      <c r="E5" s="208">
        <f>日報表!K5</f>
        <v>1</v>
      </c>
      <c r="F5" s="208">
        <f>日報表!N5</f>
        <v>0.92885600455321571</v>
      </c>
      <c r="G5" s="209">
        <f>日報表!M5</f>
        <v>1.875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2F08T2</v>
      </c>
      <c r="B6" s="206" t="str">
        <f>日報表!B6</f>
        <v>50/72F2FC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>
        <f>日報表!M6</f>
        <v>0</v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2FA062</v>
      </c>
      <c r="B7" s="206" t="str">
        <f>日報表!B7</f>
        <v>75/72SRR5</v>
      </c>
      <c r="C7" s="207" t="str">
        <f>日報表!C7</f>
        <v>FP81631R</v>
      </c>
      <c r="D7" s="207">
        <f>日報表!G7</f>
        <v>15357</v>
      </c>
      <c r="E7" s="208">
        <f>日報表!K7</f>
        <v>0.95194373901152574</v>
      </c>
      <c r="F7" s="208">
        <f>日報表!N7</f>
        <v>0.77619326691411084</v>
      </c>
      <c r="G7" s="209">
        <f>日報表!M7</f>
        <v>3.6726190476190474</v>
      </c>
      <c r="H7" s="239" t="str">
        <f>日報表!S7</f>
        <v>P203</v>
      </c>
      <c r="I7" s="240" t="str">
        <f>日報表!T7</f>
        <v>0.7</v>
      </c>
      <c r="J7" s="242" t="str">
        <f>IF(ISNA(HLOOKUP(A7,IAD!$6:$10,5,0)),"",(HLOOKUP(A7,IAD!$6:$10,5,0)))</f>
        <v>白藍條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2FA072</v>
      </c>
      <c r="B8" s="206" t="str">
        <f>日報表!B8</f>
        <v>75/72SRR5</v>
      </c>
      <c r="C8" s="207" t="str">
        <f>日報表!C8</f>
        <v>FP81631R</v>
      </c>
      <c r="D8" s="207">
        <f>日報表!G8</f>
        <v>9249</v>
      </c>
      <c r="E8" s="208">
        <f>日報表!K8</f>
        <v>1</v>
      </c>
      <c r="F8" s="208">
        <f>日報表!N8</f>
        <v>0.92442426208238726</v>
      </c>
      <c r="G8" s="209">
        <f>日報表!M8</f>
        <v>2.7552083333333335</v>
      </c>
      <c r="H8" s="239" t="str">
        <f>日報表!S8</f>
        <v>P203</v>
      </c>
      <c r="I8" s="240" t="str">
        <f>日報表!T8</f>
        <v>0.6</v>
      </c>
      <c r="J8" s="242" t="str">
        <f>IF(ISNA(HLOOKUP(A8,IAD!$6:$10,5,0)),"",(HLOOKUP(A8,IAD!$6:$10,5,0)))</f>
        <v>橘底黑三角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2FA092</v>
      </c>
      <c r="B9" s="206" t="str">
        <f>日報表!B9</f>
        <v>75/72F2FC</v>
      </c>
      <c r="C9" s="207">
        <f>日報表!C9</f>
        <v>0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>
        <f>日報表!M9</f>
        <v>0</v>
      </c>
      <c r="H9" s="239">
        <f>日報表!S9</f>
        <v>0</v>
      </c>
      <c r="I9" s="240">
        <f>日報表!T9</f>
        <v>0</v>
      </c>
      <c r="J9" s="242" t="str">
        <f>IF(ISNA(HLOOKUP(A9,IAD!$6:$10,5,0)),"",(HLOOKUP(A9,IAD!$6:$10,5,0)))</f>
        <v/>
      </c>
      <c r="K9" s="682">
        <f>日報表!O9</f>
        <v>0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2F43P2</v>
      </c>
      <c r="B10" s="206" t="str">
        <f>日報表!B10</f>
        <v>150/48CDR</v>
      </c>
      <c r="C10" s="207" t="str">
        <f>日報表!C10</f>
        <v>FP82781</v>
      </c>
      <c r="D10" s="207">
        <f>日報表!G10</f>
        <v>47758</v>
      </c>
      <c r="E10" s="208">
        <f>日報表!K10</f>
        <v>0.9691988776749445</v>
      </c>
      <c r="F10" s="208">
        <f>日報表!N10</f>
        <v>0.93910967795971356</v>
      </c>
      <c r="G10" s="209">
        <f>日報表!M10</f>
        <v>1.9047619047619049</v>
      </c>
      <c r="H10" s="239" t="str">
        <f>日報表!S10</f>
        <v>P203</v>
      </c>
      <c r="I10" s="240" t="str">
        <f>日報表!T10</f>
        <v>3.0</v>
      </c>
      <c r="J10" s="242" t="str">
        <f>IF(ISNA(HLOOKUP(A10,IAD!$6:$10,5,0)),"",(HLOOKUP(A10,IAD!$6:$10,5,0)))</f>
        <v>綠藍雙色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2F43R2</v>
      </c>
      <c r="B11" s="206" t="str">
        <f>日報表!B11</f>
        <v>75/72/2SDr</v>
      </c>
      <c r="C11" s="207" t="str">
        <f>日報表!C11</f>
        <v>FP81390R×2</v>
      </c>
      <c r="D11" s="207">
        <f>日報表!G11</f>
        <v>18408</v>
      </c>
      <c r="E11" s="208">
        <f>日報表!K11</f>
        <v>1</v>
      </c>
      <c r="F11" s="208">
        <f>日報表!N11</f>
        <v>0.96153846153846156</v>
      </c>
      <c r="G11" s="209">
        <f>日報表!M11</f>
        <v>1.5608974358974359</v>
      </c>
      <c r="H11" s="239" t="str">
        <f>日報表!S11</f>
        <v>P203</v>
      </c>
      <c r="I11" s="240" t="str">
        <f>日報表!T11</f>
        <v>1.7</v>
      </c>
      <c r="J11" s="242" t="str">
        <f>IF(ISNA(HLOOKUP(A11,IAD!$6:$10,5,0)),"",(HLOOKUP(A11,IAD!$6:$10,5,0)))</f>
        <v>白底藍三角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2F43S2</v>
      </c>
      <c r="B12" s="206" t="str">
        <f>日報表!B12</f>
        <v>150/48SDr</v>
      </c>
      <c r="C12" s="207" t="str">
        <f>日報表!C12</f>
        <v>FP82179R</v>
      </c>
      <c r="D12" s="207">
        <f>日報表!G12</f>
        <v>36481</v>
      </c>
      <c r="E12" s="208">
        <f>日報表!K12</f>
        <v>0.91943751541898522</v>
      </c>
      <c r="F12" s="208">
        <f>日報表!N12</f>
        <v>0.8799100901839314</v>
      </c>
      <c r="G12" s="209">
        <f>日報表!M12</f>
        <v>3.0243055555555558</v>
      </c>
      <c r="H12" s="239" t="str">
        <f>日報表!S12</f>
        <v>P203</v>
      </c>
      <c r="I12" s="240" t="str">
        <f>日報表!T12</f>
        <v>3.0</v>
      </c>
      <c r="J12" s="242" t="str">
        <f>IF(ISNA(HLOOKUP(A12,IAD!$6:$10,5,0)),"",(HLOOKUP(A12,IAD!$6:$10,5,0)))</f>
        <v>藍底白十字</v>
      </c>
      <c r="K12" s="682">
        <f>日報表!O12</f>
        <v>5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2F6IQ2</v>
      </c>
      <c r="B13" s="206" t="str">
        <f>日報表!B13</f>
        <v>150/48/2CE</v>
      </c>
      <c r="C13" s="207" t="str">
        <f>日報表!C13</f>
        <v>FP02312×2</v>
      </c>
      <c r="D13" s="207">
        <f>日報表!G13</f>
        <v>18570</v>
      </c>
      <c r="E13" s="208">
        <f>日報表!K13</f>
        <v>1</v>
      </c>
      <c r="F13" s="208">
        <f>日報表!N13</f>
        <v>0.96122778675282716</v>
      </c>
      <c r="G13" s="209">
        <f>日報表!M13</f>
        <v>1.5885185185185184</v>
      </c>
      <c r="H13" s="239" t="str">
        <f>日報表!S13</f>
        <v>P227</v>
      </c>
      <c r="I13" s="240" t="str">
        <f>日報表!T13</f>
        <v>2.8</v>
      </c>
      <c r="J13" s="242" t="str">
        <f>IF(ISNA(HLOOKUP(A13,IAD!$6:$10,5,0)),"",(HLOOKUP(A13,IAD!$6:$10,5,0)))</f>
        <v>白底紅三角</v>
      </c>
      <c r="K13" s="682">
        <f>日報表!O13</f>
        <v>5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 t="str">
        <f>日報表!A14</f>
        <v>2F7E22</v>
      </c>
      <c r="B14" s="206" t="str">
        <f>日報表!B14</f>
        <v>165/48SR6</v>
      </c>
      <c r="C14" s="207" t="str">
        <f>日報表!C14</f>
        <v>FP82659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>
        <f>日報表!M14</f>
        <v>0</v>
      </c>
      <c r="H14" s="239" t="str">
        <f>日報表!S14</f>
        <v>P204</v>
      </c>
      <c r="I14" s="240" t="str">
        <f>日報表!T14</f>
        <v>2.2</v>
      </c>
      <c r="J14" s="242" t="str">
        <f>IF(ISNA(HLOOKUP(A14,IAD!$6:$10,5,0)),"",(HLOOKUP(A14,IAD!$6:$10,5,0)))</f>
        <v>綠藍三角</v>
      </c>
      <c r="K14" s="682">
        <f>日報表!O14</f>
        <v>5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 t="str">
        <f>日報表!A15</f>
        <v>2F7E31</v>
      </c>
      <c r="B15" s="206" t="str">
        <f>日報表!B15</f>
        <v>165/48/2SR6</v>
      </c>
      <c r="C15" s="207" t="str">
        <f>日報表!C15</f>
        <v>FP82659×2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>
        <f>日報表!M15</f>
        <v>0</v>
      </c>
      <c r="H15" s="239" t="str">
        <f>日報表!S15</f>
        <v>P203</v>
      </c>
      <c r="I15" s="240" t="str">
        <f>日報表!T15</f>
        <v>2.0</v>
      </c>
      <c r="J15" s="242" t="str">
        <f>IF(ISNA(HLOOKUP(A15,IAD!$6:$10,5,0)),"",(HLOOKUP(A15,IAD!$6:$10,5,0)))</f>
        <v>黃色</v>
      </c>
      <c r="K15" s="682">
        <f>日報表!O15</f>
        <v>5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7522</v>
      </c>
      <c r="E71" s="213">
        <f>日報表!K71</f>
        <v>0.87835681999468229</v>
      </c>
      <c r="F71" s="213">
        <f>日報表!N71</f>
        <v>0.61419835150225999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51096</v>
      </c>
      <c r="E72" s="213">
        <f>日報表!K72</f>
        <v>0.98522389228119622</v>
      </c>
      <c r="F72" s="213">
        <f>日報表!N72</f>
        <v>0.90740958196336308</v>
      </c>
      <c r="G72" s="214">
        <f>日報表!M72</f>
        <v>4.7632051282051284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1540</v>
      </c>
      <c r="E94" s="213">
        <f>日報表!K94</f>
        <v>0.85584415584415585</v>
      </c>
      <c r="F94" s="213">
        <f>日報表!N94</f>
        <v>0.52597402597402598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29637</v>
      </c>
      <c r="E149" s="213">
        <f>日報表!K149</f>
        <v>0.94972500590478115</v>
      </c>
      <c r="F149" s="213">
        <f>日報表!N149</f>
        <v>0.89297162330870195</v>
      </c>
      <c r="G149" s="214">
        <f>日報表!M149</f>
        <v>5.3888888888888893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32362</v>
      </c>
      <c r="E150" s="213">
        <f>日報表!K150</f>
        <v>0.956214078239911</v>
      </c>
      <c r="F150" s="213">
        <f>日報表!N150</f>
        <v>0.91310796613311906</v>
      </c>
      <c r="G150" s="214">
        <f>日報表!M150</f>
        <v>5.8981481481481479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3853</v>
      </c>
      <c r="E151" s="213">
        <f>日報表!K151</f>
        <v>0.79678172852322871</v>
      </c>
      <c r="F151" s="213">
        <f>日報表!N151</f>
        <v>0.556709057876979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18606</v>
      </c>
      <c r="E152" s="213">
        <f>日報表!K152</f>
        <v>0.87686767709341074</v>
      </c>
      <c r="F152" s="213">
        <f>日報表!N152</f>
        <v>0.73605288616575293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85840</v>
      </c>
      <c r="E154" s="213">
        <f>日報表!K154</f>
        <v>0.98132572227399817</v>
      </c>
      <c r="F154" s="213">
        <f>日報表!N154</f>
        <v>0.93610205032618821</v>
      </c>
      <c r="G154" s="214">
        <f>日報表!M154</f>
        <v>4.5751111111111111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82382</v>
      </c>
      <c r="E155" s="213">
        <f>日報表!K155</f>
        <v>0.98063897453327187</v>
      </c>
      <c r="F155" s="213">
        <f>日報表!N155</f>
        <v>0.94334927532713453</v>
      </c>
      <c r="G155" s="214">
        <f>日報表!M155</f>
        <v>5.2256944444444438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89826</v>
      </c>
      <c r="E156" s="213">
        <f>日報表!K156</f>
        <v>0.98252176429986859</v>
      </c>
      <c r="F156" s="213">
        <f>日報表!N156</f>
        <v>0.9489346069066863</v>
      </c>
      <c r="G156" s="214">
        <f>日報表!M156</f>
        <v>4.6013541666666669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 t="str">
        <f>日報表!C157</f>
        <v>FP82177R×2</v>
      </c>
      <c r="D157" s="212">
        <f>日報表!G157</f>
        <v>65510</v>
      </c>
      <c r="E157" s="213">
        <f>日報表!K157</f>
        <v>0.9875896809647382</v>
      </c>
      <c r="F157" s="213">
        <f>日報表!N157</f>
        <v>0.952068386505877</v>
      </c>
      <c r="G157" s="214">
        <f>日報表!M157</f>
        <v>3.0763888888888893</v>
      </c>
      <c r="H157" s="241" t="str">
        <f>日報表!S157</f>
        <v>P204</v>
      </c>
      <c r="I157" s="242">
        <f>日報表!T157</f>
        <v>2.8</v>
      </c>
      <c r="J157" s="242" t="str">
        <f>IF(ISNA(HLOOKUP(A157,IAD!$6:$10,5,0)),"",(HLOOKUP(A157,IAD!$6:$10,5,0)))</f>
        <v>白底黑點</v>
      </c>
      <c r="K157" s="682">
        <f>日報表!O157</f>
        <v>5.5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2F6IT2</v>
      </c>
      <c r="B158" s="211" t="str">
        <f>日報表!B158</f>
        <v>150/48/2SDr</v>
      </c>
      <c r="C158" s="212" t="str">
        <f>日報表!C158</f>
        <v>FP12902R×2</v>
      </c>
      <c r="D158" s="212">
        <f>日報表!G158</f>
        <v>4125</v>
      </c>
      <c r="E158" s="213">
        <f>日報表!K158</f>
        <v>1</v>
      </c>
      <c r="F158" s="213">
        <f>日報表!N158</f>
        <v>1</v>
      </c>
      <c r="G158" s="214">
        <f>日報表!M158</f>
        <v>6.791666666666667</v>
      </c>
      <c r="H158" s="241" t="str">
        <f>日報表!S158</f>
        <v>P204</v>
      </c>
      <c r="I158" s="242" t="str">
        <f>日報表!T158</f>
        <v>3.0</v>
      </c>
      <c r="J158" s="242" t="str">
        <f>IF(ISNA(HLOOKUP(A158,IAD!$6:$10,5,0)),"",(HLOOKUP(A158,IAD!$6:$10,5,0)))</f>
        <v>棕色</v>
      </c>
      <c r="K158" s="682">
        <f>日報表!O158</f>
        <v>5.5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2F6IU2</v>
      </c>
      <c r="B159" s="211" t="str">
        <f>日報表!B159</f>
        <v>150/48/2SDr</v>
      </c>
      <c r="C159" s="212" t="str">
        <f>日報表!C159</f>
        <v>FP82180R×2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白桔方塊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17689</v>
      </c>
      <c r="E161" s="213">
        <f>日報表!K161</f>
        <v>0.97467352592006329</v>
      </c>
      <c r="F161" s="213">
        <f>日報表!N161</f>
        <v>0.93091751936231559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2F7E13</v>
      </c>
      <c r="B162" s="211" t="str">
        <f>日報表!B162</f>
        <v>225/72/2SDr</v>
      </c>
      <c r="C162" s="212" t="str">
        <f>日報表!C162</f>
        <v>FP83025R×2</v>
      </c>
      <c r="D162" s="212">
        <f>日報表!G162</f>
        <v>26466</v>
      </c>
      <c r="E162" s="213">
        <f>日報表!K162</f>
        <v>1</v>
      </c>
      <c r="F162" s="213">
        <f>日報表!N162</f>
        <v>1</v>
      </c>
      <c r="G162" s="214">
        <f>日報表!M162</f>
        <v>3.9348148148148141</v>
      </c>
      <c r="H162" s="241" t="str">
        <f>日報表!S162</f>
        <v>P227</v>
      </c>
      <c r="I162" s="242" t="str">
        <f>日報表!T162</f>
        <v>3.3</v>
      </c>
      <c r="J162" s="242" t="str">
        <f>IF(ISNA(HLOOKUP(A162,IAD!$6:$10,5,0)),"",(HLOOKUP(A162,IAD!$6:$10,5,0)))</f>
        <v>白紅條紋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2FA082</v>
      </c>
      <c r="B163" s="211" t="str">
        <f>日報表!B163</f>
        <v>75/72BFSD</v>
      </c>
      <c r="C163" s="212" t="str">
        <f>日報表!C163</f>
        <v>FP01430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>
        <f>日報表!M163</f>
        <v>3</v>
      </c>
      <c r="H163" s="241" t="str">
        <f>日報表!S163</f>
        <v>P203</v>
      </c>
      <c r="I163" s="242" t="str">
        <f>日報表!T163</f>
        <v>1.0</v>
      </c>
      <c r="J163" s="242" t="str">
        <f>IF(ISNA(HLOOKUP(A163,IAD!$6:$10,5,0)),"",(HLOOKUP(A163,IAD!$6:$10,5,0)))</f>
        <v>白底紫十字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0.95737522166447153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0.93179035613793926</v>
      </c>
      <c r="N3" s="812" t="e">
        <f ca="1">AVERAGE(E20:E21)</f>
        <v>#DIV/0!</v>
      </c>
      <c r="O3" s="812">
        <f ca="1">AVERAGE(E22:E23)</f>
        <v>0.81343543501079252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0.938919259882254</v>
      </c>
      <c r="F4" s="794">
        <f ca="1">AVERAGEIF(斷絲!$44:$46,ABC區!A4,斷絲!$46:$46)</f>
        <v>0.84650967199327165</v>
      </c>
      <c r="G4" s="795">
        <f ca="1">SUMIF(斷絲!$44:$47,ABC區!A4,斷絲!$47:$47)</f>
        <v>19024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0.73582260477031702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0.91943751541898522</v>
      </c>
      <c r="F6" s="794">
        <f ca="1">AVERAGEIF(斷絲!$44:$46,ABC區!A6,斷絲!$46:$46)</f>
        <v>0.8799100901839314</v>
      </c>
      <c r="G6" s="795">
        <f ca="1">SUMIF(斷絲!$44:$47,ABC區!A6,斷絲!$47:$47)</f>
        <v>36481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0.89649762162125057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0.76080396673281148</v>
      </c>
      <c r="N7" s="812" t="e">
        <f ca="1">AVERAGE(F20:F21)</f>
        <v>#DIV/0!</v>
      </c>
      <c r="O7" s="812">
        <f ca="1">AVERAGE(F22:F23)</f>
        <v>0.78949951813402275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0.70388834399487776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0.93222867902907447</v>
      </c>
      <c r="F11" s="794">
        <f ca="1">AVERAGEIF(斷絲!$44:$46,ABC區!A11,斷絲!$46:$46)</f>
        <v>0.84406063633581496</v>
      </c>
      <c r="G11" s="795">
        <f ca="1">SUMIF(斷絲!$44:$47,ABC區!A11,斷絲!$47:$47)</f>
        <v>84116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0.98252176429986859</v>
      </c>
      <c r="F12" s="794">
        <f ca="1">AVERAGEIF(斷絲!$44:$46,ABC區!A12,斷絲!$46:$46)</f>
        <v>0.9489346069066863</v>
      </c>
      <c r="G12" s="795">
        <f ca="1">SUMIF(斷絲!$44:$47,ABC區!A12,斷絲!$47:$47)</f>
        <v>89826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0.9691988776749445</v>
      </c>
      <c r="F15" s="797">
        <f ca="1">AVERAGEIF(斷絲!$44:$46,ABC區!A15,斷絲!$46:$46)</f>
        <v>0.93910967795971356</v>
      </c>
      <c r="G15" s="798">
        <f ca="1">SUMIF(斷絲!$44:$47,ABC區!A15,斷絲!$47:$47)</f>
        <v>47758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0.5</v>
      </c>
      <c r="F16" s="797">
        <f ca="1">AVERAGEIF(斷絲!$44:$46,ABC區!A16,斷絲!$46:$46)</f>
        <v>0.46442800227660785</v>
      </c>
      <c r="G16" s="798">
        <f ca="1">SUMIF(斷絲!$44:$47,ABC區!A16,斷絲!$47:$47)</f>
        <v>8785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>
        <f ca="1">AVERAGEIF(斷絲!$44:$46,ABC區!A17,斷絲!$45:$45)</f>
        <v>0</v>
      </c>
      <c r="F17" s="797">
        <f ca="1">AVERAGEIF(斷絲!$44:$46,ABC區!A17,斷絲!$46:$46)</f>
        <v>0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>
        <f ca="1">AVERAGEIF(斷絲!$44:$46,ABC區!A18,斷絲!$45:$45)</f>
        <v>1</v>
      </c>
      <c r="F18" s="797">
        <f ca="1">AVERAGEIF(斷絲!$44:$46,ABC區!A18,斷絲!$46:$46)</f>
        <v>0.96122778675282716</v>
      </c>
      <c r="G18" s="798">
        <f ca="1">SUMIF(斷絲!$44:$47,ABC區!A18,斷絲!$47:$47)</f>
        <v>18570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0.93179035613793926</v>
      </c>
      <c r="F19" s="797">
        <f ca="1">AVERAGEIF(斷絲!$44:$46,ABC區!A19,斷絲!$46:$46)</f>
        <v>0.76080396673281148</v>
      </c>
      <c r="G19" s="798">
        <f ca="1">SUMIF(斷絲!$44:$47,ABC區!A19,斷絲!$47:$47)</f>
        <v>58618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0.96864636138156401</v>
      </c>
      <c r="F22" s="797">
        <f ca="1">AVERAGEIF(斷絲!$44:$46,ABC區!A22,斷絲!$46:$46)</f>
        <v>0.93535986314727371</v>
      </c>
      <c r="G22" s="798">
        <f ca="1">SUMIF(斷絲!$44:$47,ABC區!A22,斷絲!$47:$47)</f>
        <v>66124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0.65822450864002102</v>
      </c>
      <c r="F23" s="797">
        <f ca="1">AVERAGEIF(斷絲!$44:$46,ABC區!A23,斷絲!$46:$46)</f>
        <v>0.6436391731207719</v>
      </c>
      <c r="G23" s="798">
        <f ca="1">SUMIF(斷絲!$44:$47,ABC區!A23,斷絲!$47:$47)</f>
        <v>44155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0.97597186950576287</v>
      </c>
      <c r="F24" s="800">
        <f ca="1">AVERAGEIF(斷絲!$44:$46,ABC區!A24,斷絲!$46:$46)</f>
        <v>0.85030876449824899</v>
      </c>
      <c r="G24" s="801">
        <f ca="1">SUMIF(斷絲!$44:$47,ABC區!A24,斷絲!$47:$47)</f>
        <v>24606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0.96153846153846156</v>
      </c>
      <c r="G25" s="801">
        <f ca="1">SUMIF(斷絲!$44:$47,ABC區!A25,斷絲!$47:$47)</f>
        <v>18408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>
        <f ca="1">AVERAGEIF(斷絲!$44:$46,ABC區!A26,斷絲!$45:$45)</f>
        <v>0</v>
      </c>
      <c r="F26" s="800">
        <f ca="1">AVERAGEIF(斷絲!$44:$46,ABC區!A26,斷絲!$46:$46)</f>
        <v>0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>
        <f ca="1">AVERAGEIF(斷絲!$44:$46,ABC區!A27,斷絲!$45:$45)</f>
        <v>0</v>
      </c>
      <c r="F27" s="800">
        <f ca="1">AVERAGEIF(斷絲!$44:$46,ABC區!A27,斷絲!$46:$46)</f>
        <v>0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0.98132572227399817</v>
      </c>
      <c r="F33" s="800">
        <f ca="1">AVERAGEIF(斷絲!$44:$46,ABC區!A33,斷絲!$46:$46)</f>
        <v>0.93610205032618821</v>
      </c>
      <c r="G33" s="801">
        <f ca="1">SUMIF(斷絲!$44:$47,ABC區!A33,斷絲!$47:$47)</f>
        <v>85840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0.49031948726663593</v>
      </c>
      <c r="F34" s="800">
        <f ca="1">AVERAGEIF(斷絲!$44:$46,ABC區!A34,斷絲!$46:$46)</f>
        <v>0.47167463766356726</v>
      </c>
      <c r="G34" s="801">
        <f ca="1">SUMIF(斷絲!$44:$47,ABC區!A34,斷絲!$47:$47)</f>
        <v>82382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639" priority="1" operator="equal">
      <formula>"""C區"""</formula>
    </cfRule>
    <cfRule type="cellIs" dxfId="638" priority="2" operator="equal">
      <formula>"""B區"""</formula>
    </cfRule>
    <cfRule type="cellIs" dxfId="637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636" priority="1" stopIfTrue="1" operator="greaterThanOrEqual">
      <formula>5</formula>
    </cfRule>
  </conditionalFormatting>
  <conditionalFormatting sqref="U74:U85">
    <cfRule type="cellIs" dxfId="635" priority="141" stopIfTrue="1" operator="greaterThanOrEqual">
      <formula>5</formula>
    </cfRule>
  </conditionalFormatting>
  <conditionalFormatting sqref="V2:V71">
    <cfRule type="cellIs" dxfId="634" priority="2" stopIfTrue="1" operator="lessThanOrEqual">
      <formula>70</formula>
    </cfRule>
  </conditionalFormatting>
  <conditionalFormatting sqref="V74:V85">
    <cfRule type="cellIs" dxfId="633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632" priority="14" operator="containsText" text="×2">
      <formula>NOT(ISERROR(SEARCH("×2",F1)))</formula>
    </cfRule>
  </conditionalFormatting>
  <conditionalFormatting sqref="L1:L10 M2:M10">
    <cfRule type="containsText" dxfId="631" priority="561" operator="containsText" text="了機">
      <formula>NOT(ISERROR(SEARCH("了機",L1)))</formula>
    </cfRule>
  </conditionalFormatting>
  <conditionalFormatting sqref="L434:L435 M434:M443">
    <cfRule type="containsText" dxfId="630" priority="558" operator="containsText" text="清車">
      <formula>NOT(ISERROR(SEARCH("清車",L434)))</formula>
    </cfRule>
    <cfRule type="containsText" dxfId="629" priority="559" operator="containsText" text="改紡">
      <formula>NOT(ISERROR(SEARCH("改紡",L434)))</formula>
    </cfRule>
    <cfRule type="containsText" dxfId="628" priority="560" operator="containsText" text="了機">
      <formula>NOT(ISERROR(SEARCH("了機",L434)))</formula>
    </cfRule>
  </conditionalFormatting>
  <conditionalFormatting sqref="L435:L443">
    <cfRule type="containsText" dxfId="627" priority="555" operator="containsText" text="清車">
      <formula>NOT(ISERROR(SEARCH("清車",L435)))</formula>
    </cfRule>
    <cfRule type="containsText" dxfId="626" priority="556" operator="containsText" text="改紡">
      <formula>NOT(ISERROR(SEARCH("改紡",L435)))</formula>
    </cfRule>
    <cfRule type="containsText" dxfId="625" priority="557" operator="containsText" text="了機">
      <formula>NOT(ISERROR(SEARCH("了機",L435)))</formula>
    </cfRule>
  </conditionalFormatting>
  <conditionalFormatting sqref="L474:L475 M474:M483">
    <cfRule type="containsText" dxfId="624" priority="516" operator="containsText" text="清車">
      <formula>NOT(ISERROR(SEARCH("清車",L474)))</formula>
    </cfRule>
    <cfRule type="containsText" dxfId="623" priority="517" operator="containsText" text="改紡">
      <formula>NOT(ISERROR(SEARCH("改紡",L474)))</formula>
    </cfRule>
    <cfRule type="containsText" dxfId="622" priority="518" operator="containsText" text="了機">
      <formula>NOT(ISERROR(SEARCH("了機",L474)))</formula>
    </cfRule>
  </conditionalFormatting>
  <conditionalFormatting sqref="L475:L483">
    <cfRule type="containsText" dxfId="621" priority="513" operator="containsText" text="清車">
      <formula>NOT(ISERROR(SEARCH("清車",L475)))</formula>
    </cfRule>
    <cfRule type="containsText" dxfId="620" priority="514" operator="containsText" text="改紡">
      <formula>NOT(ISERROR(SEARCH("改紡",L475)))</formula>
    </cfRule>
    <cfRule type="containsText" dxfId="619" priority="515" operator="containsText" text="了機">
      <formula>NOT(ISERROR(SEARCH("了機",L475)))</formula>
    </cfRule>
  </conditionalFormatting>
  <conditionalFormatting sqref="L514:L515 M514:M523">
    <cfRule type="containsText" dxfId="618" priority="477" operator="containsText" text="清車">
      <formula>NOT(ISERROR(SEARCH("清車",L514)))</formula>
    </cfRule>
    <cfRule type="containsText" dxfId="617" priority="478" operator="containsText" text="改紡">
      <formula>NOT(ISERROR(SEARCH("改紡",L514)))</formula>
    </cfRule>
    <cfRule type="containsText" dxfId="616" priority="479" operator="containsText" text="了機">
      <formula>NOT(ISERROR(SEARCH("了機",L514)))</formula>
    </cfRule>
  </conditionalFormatting>
  <conditionalFormatting sqref="L515:L523">
    <cfRule type="containsText" dxfId="615" priority="474" operator="containsText" text="清車">
      <formula>NOT(ISERROR(SEARCH("清車",L515)))</formula>
    </cfRule>
    <cfRule type="containsText" dxfId="614" priority="475" operator="containsText" text="改紡">
      <formula>NOT(ISERROR(SEARCH("改紡",L515)))</formula>
    </cfRule>
    <cfRule type="containsText" dxfId="613" priority="476" operator="containsText" text="了機">
      <formula>NOT(ISERROR(SEARCH("了機",L515)))</formula>
    </cfRule>
  </conditionalFormatting>
  <conditionalFormatting sqref="L554:L555 M554:M563">
    <cfRule type="containsText" dxfId="612" priority="441" operator="containsText" text="清車">
      <formula>NOT(ISERROR(SEARCH("清車",L554)))</formula>
    </cfRule>
    <cfRule type="containsText" dxfId="611" priority="442" operator="containsText" text="改紡">
      <formula>NOT(ISERROR(SEARCH("改紡",L554)))</formula>
    </cfRule>
    <cfRule type="containsText" dxfId="610" priority="443" operator="containsText" text="了機">
      <formula>NOT(ISERROR(SEARCH("了機",L554)))</formula>
    </cfRule>
  </conditionalFormatting>
  <conditionalFormatting sqref="L555:L563">
    <cfRule type="containsText" dxfId="609" priority="438" operator="containsText" text="清車">
      <formula>NOT(ISERROR(SEARCH("清車",L555)))</formula>
    </cfRule>
    <cfRule type="containsText" dxfId="608" priority="439" operator="containsText" text="改紡">
      <formula>NOT(ISERROR(SEARCH("改紡",L555)))</formula>
    </cfRule>
    <cfRule type="containsText" dxfId="607" priority="440" operator="containsText" text="了機">
      <formula>NOT(ISERROR(SEARCH("了機",L555)))</formula>
    </cfRule>
  </conditionalFormatting>
  <conditionalFormatting sqref="L593:L594 M593:M602">
    <cfRule type="containsText" dxfId="606" priority="408" operator="containsText" text="清車">
      <formula>NOT(ISERROR(SEARCH("清車",L593)))</formula>
    </cfRule>
    <cfRule type="containsText" dxfId="605" priority="409" operator="containsText" text="改紡">
      <formula>NOT(ISERROR(SEARCH("改紡",L593)))</formula>
    </cfRule>
    <cfRule type="containsText" dxfId="604" priority="410" operator="containsText" text="了機">
      <formula>NOT(ISERROR(SEARCH("了機",L593)))</formula>
    </cfRule>
  </conditionalFormatting>
  <conditionalFormatting sqref="L594:L602">
    <cfRule type="containsText" dxfId="603" priority="405" operator="containsText" text="清車">
      <formula>NOT(ISERROR(SEARCH("清車",L594)))</formula>
    </cfRule>
    <cfRule type="containsText" dxfId="602" priority="406" operator="containsText" text="改紡">
      <formula>NOT(ISERROR(SEARCH("改紡",L594)))</formula>
    </cfRule>
    <cfRule type="containsText" dxfId="601" priority="407" operator="containsText" text="了機">
      <formula>NOT(ISERROR(SEARCH("了機",L594)))</formula>
    </cfRule>
  </conditionalFormatting>
  <conditionalFormatting sqref="L632:L633 M632:M641">
    <cfRule type="containsText" dxfId="600" priority="372" operator="containsText" text="清車">
      <formula>NOT(ISERROR(SEARCH("清車",L632)))</formula>
    </cfRule>
    <cfRule type="containsText" dxfId="599" priority="373" operator="containsText" text="改紡">
      <formula>NOT(ISERROR(SEARCH("改紡",L632)))</formula>
    </cfRule>
    <cfRule type="containsText" dxfId="598" priority="374" operator="containsText" text="了機">
      <formula>NOT(ISERROR(SEARCH("了機",L632)))</formula>
    </cfRule>
  </conditionalFormatting>
  <conditionalFormatting sqref="L633:L641">
    <cfRule type="containsText" dxfId="597" priority="369" operator="containsText" text="清車">
      <formula>NOT(ISERROR(SEARCH("清車",L633)))</formula>
    </cfRule>
    <cfRule type="containsText" dxfId="596" priority="370" operator="containsText" text="改紡">
      <formula>NOT(ISERROR(SEARCH("改紡",L633)))</formula>
    </cfRule>
    <cfRule type="containsText" dxfId="595" priority="371" operator="containsText" text="了機">
      <formula>NOT(ISERROR(SEARCH("了機",L633)))</formula>
    </cfRule>
  </conditionalFormatting>
  <conditionalFormatting sqref="L671:L672 M671:M680">
    <cfRule type="containsText" dxfId="594" priority="336" operator="containsText" text="清車">
      <formula>NOT(ISERROR(SEARCH("清車",L671)))</formula>
    </cfRule>
    <cfRule type="containsText" dxfId="593" priority="337" operator="containsText" text="改紡">
      <formula>NOT(ISERROR(SEARCH("改紡",L671)))</formula>
    </cfRule>
    <cfRule type="containsText" dxfId="592" priority="338" operator="containsText" text="了機">
      <formula>NOT(ISERROR(SEARCH("了機",L671)))</formula>
    </cfRule>
  </conditionalFormatting>
  <conditionalFormatting sqref="L672:L680">
    <cfRule type="containsText" dxfId="591" priority="333" operator="containsText" text="清車">
      <formula>NOT(ISERROR(SEARCH("清車",L672)))</formula>
    </cfRule>
    <cfRule type="containsText" dxfId="590" priority="334" operator="containsText" text="改紡">
      <formula>NOT(ISERROR(SEARCH("改紡",L672)))</formula>
    </cfRule>
    <cfRule type="containsText" dxfId="589" priority="335" operator="containsText" text="了機">
      <formula>NOT(ISERROR(SEARCH("了機",L672)))</formula>
    </cfRule>
  </conditionalFormatting>
  <conditionalFormatting sqref="L710:L711 M710:M719">
    <cfRule type="containsText" dxfId="588" priority="303" operator="containsText" text="清車">
      <formula>NOT(ISERROR(SEARCH("清車",L710)))</formula>
    </cfRule>
    <cfRule type="containsText" dxfId="587" priority="304" operator="containsText" text="改紡">
      <formula>NOT(ISERROR(SEARCH("改紡",L710)))</formula>
    </cfRule>
    <cfRule type="containsText" dxfId="586" priority="305" operator="containsText" text="了機">
      <formula>NOT(ISERROR(SEARCH("了機",L710)))</formula>
    </cfRule>
  </conditionalFormatting>
  <conditionalFormatting sqref="L711:L719">
    <cfRule type="containsText" dxfId="585" priority="300" operator="containsText" text="清車">
      <formula>NOT(ISERROR(SEARCH("清車",L711)))</formula>
    </cfRule>
    <cfRule type="containsText" dxfId="584" priority="301" operator="containsText" text="改紡">
      <formula>NOT(ISERROR(SEARCH("改紡",L711)))</formula>
    </cfRule>
    <cfRule type="containsText" dxfId="583" priority="302" operator="containsText" text="了機">
      <formula>NOT(ISERROR(SEARCH("了機",L711)))</formula>
    </cfRule>
  </conditionalFormatting>
  <conditionalFormatting sqref="L749:L750 M749:M758">
    <cfRule type="containsText" dxfId="582" priority="276" operator="containsText" text="清車">
      <formula>NOT(ISERROR(SEARCH("清車",L749)))</formula>
    </cfRule>
    <cfRule type="containsText" dxfId="581" priority="277" operator="containsText" text="改紡">
      <formula>NOT(ISERROR(SEARCH("改紡",L749)))</formula>
    </cfRule>
    <cfRule type="containsText" dxfId="580" priority="278" operator="containsText" text="了機">
      <formula>NOT(ISERROR(SEARCH("了機",L749)))</formula>
    </cfRule>
  </conditionalFormatting>
  <conditionalFormatting sqref="L750:L758">
    <cfRule type="containsText" dxfId="579" priority="273" operator="containsText" text="清車">
      <formula>NOT(ISERROR(SEARCH("清車",L750)))</formula>
    </cfRule>
    <cfRule type="containsText" dxfId="578" priority="274" operator="containsText" text="改紡">
      <formula>NOT(ISERROR(SEARCH("改紡",L750)))</formula>
    </cfRule>
    <cfRule type="containsText" dxfId="577" priority="275" operator="containsText" text="了機">
      <formula>NOT(ISERROR(SEARCH("了機",L750)))</formula>
    </cfRule>
  </conditionalFormatting>
  <conditionalFormatting sqref="L788:L789 M788:M797">
    <cfRule type="containsText" dxfId="576" priority="249" operator="containsText" text="清車">
      <formula>NOT(ISERROR(SEARCH("清車",L788)))</formula>
    </cfRule>
    <cfRule type="containsText" dxfId="575" priority="250" operator="containsText" text="改紡">
      <formula>NOT(ISERROR(SEARCH("改紡",L788)))</formula>
    </cfRule>
    <cfRule type="containsText" dxfId="574" priority="251" operator="containsText" text="了機">
      <formula>NOT(ISERROR(SEARCH("了機",L788)))</formula>
    </cfRule>
  </conditionalFormatting>
  <conditionalFormatting sqref="L789:L797">
    <cfRule type="containsText" dxfId="573" priority="246" operator="containsText" text="清車">
      <formula>NOT(ISERROR(SEARCH("清車",L789)))</formula>
    </cfRule>
    <cfRule type="containsText" dxfId="572" priority="247" operator="containsText" text="改紡">
      <formula>NOT(ISERROR(SEARCH("改紡",L789)))</formula>
    </cfRule>
    <cfRule type="containsText" dxfId="571" priority="248" operator="containsText" text="了機">
      <formula>NOT(ISERROR(SEARCH("了機",L789)))</formula>
    </cfRule>
  </conditionalFormatting>
  <conditionalFormatting sqref="L827:L828 M827:M836">
    <cfRule type="containsText" dxfId="570" priority="228" operator="containsText" text="清車">
      <formula>NOT(ISERROR(SEARCH("清車",L827)))</formula>
    </cfRule>
    <cfRule type="containsText" dxfId="569" priority="229" operator="containsText" text="改紡">
      <formula>NOT(ISERROR(SEARCH("改紡",L827)))</formula>
    </cfRule>
    <cfRule type="containsText" dxfId="568" priority="230" operator="containsText" text="了機">
      <formula>NOT(ISERROR(SEARCH("了機",L827)))</formula>
    </cfRule>
  </conditionalFormatting>
  <conditionalFormatting sqref="L828:L836">
    <cfRule type="containsText" dxfId="567" priority="225" operator="containsText" text="清車">
      <formula>NOT(ISERROR(SEARCH("清車",L828)))</formula>
    </cfRule>
    <cfRule type="containsText" dxfId="566" priority="226" operator="containsText" text="改紡">
      <formula>NOT(ISERROR(SEARCH("改紡",L828)))</formula>
    </cfRule>
    <cfRule type="containsText" dxfId="565" priority="227" operator="containsText" text="了機">
      <formula>NOT(ISERROR(SEARCH("了機",L828)))</formula>
    </cfRule>
  </conditionalFormatting>
  <conditionalFormatting sqref="L866:L867 M866:M875">
    <cfRule type="containsText" dxfId="564" priority="186" operator="containsText" text="清車">
      <formula>NOT(ISERROR(SEARCH("清車",L866)))</formula>
    </cfRule>
    <cfRule type="containsText" dxfId="563" priority="187" operator="containsText" text="改紡">
      <formula>NOT(ISERROR(SEARCH("改紡",L866)))</formula>
    </cfRule>
    <cfRule type="containsText" dxfId="562" priority="188" operator="containsText" text="了機">
      <formula>NOT(ISERROR(SEARCH("了機",L866)))</formula>
    </cfRule>
  </conditionalFormatting>
  <conditionalFormatting sqref="L867:L875">
    <cfRule type="containsText" dxfId="561" priority="183" operator="containsText" text="清車">
      <formula>NOT(ISERROR(SEARCH("清車",L867)))</formula>
    </cfRule>
    <cfRule type="containsText" dxfId="560" priority="184" operator="containsText" text="改紡">
      <formula>NOT(ISERROR(SEARCH("改紡",L867)))</formula>
    </cfRule>
    <cfRule type="containsText" dxfId="559" priority="185" operator="containsText" text="了機">
      <formula>NOT(ISERROR(SEARCH("了機",L867)))</formula>
    </cfRule>
  </conditionalFormatting>
  <conditionalFormatting sqref="L905:L906 M905:M914">
    <cfRule type="containsText" dxfId="558" priority="132" operator="containsText" text="清車">
      <formula>NOT(ISERROR(SEARCH("清車",L905)))</formula>
    </cfRule>
    <cfRule type="containsText" dxfId="557" priority="133" operator="containsText" text="改紡">
      <formula>NOT(ISERROR(SEARCH("改紡",L905)))</formula>
    </cfRule>
    <cfRule type="containsText" dxfId="556" priority="134" operator="containsText" text="了機">
      <formula>NOT(ISERROR(SEARCH("了機",L905)))</formula>
    </cfRule>
  </conditionalFormatting>
  <conditionalFormatting sqref="L906:L914">
    <cfRule type="containsText" dxfId="555" priority="129" operator="containsText" text="清車">
      <formula>NOT(ISERROR(SEARCH("清車",L906)))</formula>
    </cfRule>
    <cfRule type="containsText" dxfId="554" priority="130" operator="containsText" text="改紡">
      <formula>NOT(ISERROR(SEARCH("改紡",L906)))</formula>
    </cfRule>
    <cfRule type="containsText" dxfId="553" priority="131" operator="containsText" text="了機">
      <formula>NOT(ISERROR(SEARCH("了機",L906)))</formula>
    </cfRule>
  </conditionalFormatting>
  <conditionalFormatting sqref="L943">
    <cfRule type="containsText" dxfId="552" priority="60" operator="containsText" text="清車">
      <formula>NOT(ISERROR(SEARCH("清車",L943)))</formula>
    </cfRule>
    <cfRule type="containsText" dxfId="551" priority="61" operator="containsText" text="改紡">
      <formula>NOT(ISERROR(SEARCH("改紡",L943)))</formula>
    </cfRule>
    <cfRule type="containsText" dxfId="550" priority="62" operator="containsText" text="了機">
      <formula>NOT(ISERROR(SEARCH("了機",L943)))</formula>
    </cfRule>
  </conditionalFormatting>
  <conditionalFormatting sqref="L944:L945">
    <cfRule type="containsText" dxfId="549" priority="96" operator="containsText" text="清車">
      <formula>NOT(ISERROR(SEARCH("清車",L944)))</formula>
    </cfRule>
    <cfRule type="containsText" dxfId="548" priority="97" operator="containsText" text="改紡">
      <formula>NOT(ISERROR(SEARCH("改紡",L944)))</formula>
    </cfRule>
    <cfRule type="containsText" dxfId="547" priority="98" operator="containsText" text="了機">
      <formula>NOT(ISERROR(SEARCH("了機",L944)))</formula>
    </cfRule>
  </conditionalFormatting>
  <conditionalFormatting sqref="L945:L953">
    <cfRule type="containsText" dxfId="546" priority="93" operator="containsText" text="清車">
      <formula>NOT(ISERROR(SEARCH("清車",L945)))</formula>
    </cfRule>
    <cfRule type="containsText" dxfId="545" priority="94" operator="containsText" text="改紡">
      <formula>NOT(ISERROR(SEARCH("改紡",L945)))</formula>
    </cfRule>
    <cfRule type="containsText" dxfId="544" priority="95" operator="containsText" text="了機">
      <formula>NOT(ISERROR(SEARCH("了機",L945)))</formula>
    </cfRule>
  </conditionalFormatting>
  <conditionalFormatting sqref="L984 P984 T984">
    <cfRule type="containsText" dxfId="543" priority="52" operator="containsText" text="改紡">
      <formula>NOT(ISERROR(SEARCH("改紡",L984)))</formula>
    </cfRule>
    <cfRule type="containsText" dxfId="542" priority="53" operator="containsText" text="了機">
      <formula>NOT(ISERROR(SEARCH("了機",L984)))</formula>
    </cfRule>
  </conditionalFormatting>
  <conditionalFormatting sqref="L1023 P1023 T1023">
    <cfRule type="containsText" dxfId="541" priority="46" operator="containsText" text="改紡">
      <formula>NOT(ISERROR(SEARCH("改紡",L1023)))</formula>
    </cfRule>
    <cfRule type="containsText" dxfId="540" priority="47" operator="containsText" text="了機">
      <formula>NOT(ISERROR(SEARCH("了機",L1023)))</formula>
    </cfRule>
  </conditionalFormatting>
  <conditionalFormatting sqref="L1062 P1062 T1062">
    <cfRule type="containsText" dxfId="539" priority="40" operator="containsText" text="改紡">
      <formula>NOT(ISERROR(SEARCH("改紡",L1062)))</formula>
    </cfRule>
    <cfRule type="containsText" dxfId="538" priority="41" operator="containsText" text="了機">
      <formula>NOT(ISERROR(SEARCH("了機",L1062)))</formula>
    </cfRule>
  </conditionalFormatting>
  <conditionalFormatting sqref="L1101 P1101 T1101">
    <cfRule type="containsText" dxfId="537" priority="34" operator="containsText" text="改紡">
      <formula>NOT(ISERROR(SEARCH("改紡",L1101)))</formula>
    </cfRule>
    <cfRule type="containsText" dxfId="536" priority="35" operator="containsText" text="了機">
      <formula>NOT(ISERROR(SEARCH("了機",L1101)))</formula>
    </cfRule>
  </conditionalFormatting>
  <conditionalFormatting sqref="L1142 P1142 T1142">
    <cfRule type="containsText" dxfId="535" priority="28" operator="containsText" text="改紡">
      <formula>NOT(ISERROR(SEARCH("改紡",L1142)))</formula>
    </cfRule>
    <cfRule type="containsText" dxfId="534" priority="29" operator="containsText" text="了機">
      <formula>NOT(ISERROR(SEARCH("了機",L1142)))</formula>
    </cfRule>
  </conditionalFormatting>
  <conditionalFormatting sqref="L1183 P1183 T1183">
    <cfRule type="containsText" dxfId="533" priority="22" operator="containsText" text="改紡">
      <formula>NOT(ISERROR(SEARCH("改紡",L1183)))</formula>
    </cfRule>
    <cfRule type="containsText" dxfId="532" priority="23" operator="containsText" text="了機">
      <formula>NOT(ISERROR(SEARCH("了機",L1183)))</formula>
    </cfRule>
  </conditionalFormatting>
  <conditionalFormatting sqref="L1222:L1048576">
    <cfRule type="containsText" dxfId="531" priority="4" operator="containsText" text="了機">
      <formula>NOT(ISERROR(SEARCH("了機",L1222)))</formula>
    </cfRule>
  </conditionalFormatting>
  <conditionalFormatting sqref="L1223 P1223 T1223 M1222:M1231">
    <cfRule type="containsText" dxfId="530" priority="17" operator="containsText" text="了機">
      <formula>NOT(ISERROR(SEARCH("了機",L1222)))</formula>
    </cfRule>
  </conditionalFormatting>
  <conditionalFormatting sqref="L1223 P1223 T1223">
    <cfRule type="containsText" dxfId="529" priority="16" operator="containsText" text="改紡">
      <formula>NOT(ISERROR(SEARCH("改紡",L1223)))</formula>
    </cfRule>
  </conditionalFormatting>
  <conditionalFormatting sqref="L2:M433">
    <cfRule type="containsText" dxfId="528" priority="528" operator="containsText" text="清車">
      <formula>NOT(ISERROR(SEARCH("清車",L2)))</formula>
    </cfRule>
    <cfRule type="containsText" dxfId="527" priority="529" operator="containsText" text="改紡">
      <formula>NOT(ISERROR(SEARCH("改紡",L2)))</formula>
    </cfRule>
  </conditionalFormatting>
  <conditionalFormatting sqref="L11:M433">
    <cfRule type="containsText" dxfId="526" priority="530" operator="containsText" text="了機">
      <formula>NOT(ISERROR(SEARCH("了機",L11)))</formula>
    </cfRule>
  </conditionalFormatting>
  <conditionalFormatting sqref="L444:M473">
    <cfRule type="containsText" dxfId="525" priority="510" operator="containsText" text="清車">
      <formula>NOT(ISERROR(SEARCH("清車",L444)))</formula>
    </cfRule>
    <cfRule type="containsText" dxfId="524" priority="511" operator="containsText" text="改紡">
      <formula>NOT(ISERROR(SEARCH("改紡",L444)))</formula>
    </cfRule>
    <cfRule type="containsText" dxfId="523" priority="512" operator="containsText" text="了機">
      <formula>NOT(ISERROR(SEARCH("了機",L444)))</formula>
    </cfRule>
  </conditionalFormatting>
  <conditionalFormatting sqref="L484:M513">
    <cfRule type="containsText" dxfId="522" priority="471" operator="containsText" text="清車">
      <formula>NOT(ISERROR(SEARCH("清車",L484)))</formula>
    </cfRule>
    <cfRule type="containsText" dxfId="521" priority="472" operator="containsText" text="改紡">
      <formula>NOT(ISERROR(SEARCH("改紡",L484)))</formula>
    </cfRule>
    <cfRule type="containsText" dxfId="520" priority="473" operator="containsText" text="了機">
      <formula>NOT(ISERROR(SEARCH("了機",L484)))</formula>
    </cfRule>
  </conditionalFormatting>
  <conditionalFormatting sqref="L524:M553">
    <cfRule type="containsText" dxfId="519" priority="417" operator="containsText" text="清車">
      <formula>NOT(ISERROR(SEARCH("清車",L524)))</formula>
    </cfRule>
    <cfRule type="containsText" dxfId="518" priority="418" operator="containsText" text="改紡">
      <formula>NOT(ISERROR(SEARCH("改紡",L524)))</formula>
    </cfRule>
    <cfRule type="containsText" dxfId="517" priority="419" operator="containsText" text="了機">
      <formula>NOT(ISERROR(SEARCH("了機",L524)))</formula>
    </cfRule>
  </conditionalFormatting>
  <conditionalFormatting sqref="L564:M592">
    <cfRule type="containsText" dxfId="516" priority="402" operator="containsText" text="清車">
      <formula>NOT(ISERROR(SEARCH("清車",L564)))</formula>
    </cfRule>
    <cfRule type="containsText" dxfId="515" priority="403" operator="containsText" text="改紡">
      <formula>NOT(ISERROR(SEARCH("改紡",L564)))</formula>
    </cfRule>
    <cfRule type="containsText" dxfId="514" priority="404" operator="containsText" text="了機">
      <formula>NOT(ISERROR(SEARCH("了機",L564)))</formula>
    </cfRule>
  </conditionalFormatting>
  <conditionalFormatting sqref="L603:M631">
    <cfRule type="containsText" dxfId="513" priority="366" operator="containsText" text="清車">
      <formula>NOT(ISERROR(SEARCH("清車",L603)))</formula>
    </cfRule>
    <cfRule type="containsText" dxfId="512" priority="367" operator="containsText" text="改紡">
      <formula>NOT(ISERROR(SEARCH("改紡",L603)))</formula>
    </cfRule>
    <cfRule type="containsText" dxfId="511" priority="368" operator="containsText" text="了機">
      <formula>NOT(ISERROR(SEARCH("了機",L603)))</formula>
    </cfRule>
  </conditionalFormatting>
  <conditionalFormatting sqref="L642:M670">
    <cfRule type="containsText" dxfId="510" priority="285" operator="containsText" text="清車">
      <formula>NOT(ISERROR(SEARCH("清車",L642)))</formula>
    </cfRule>
    <cfRule type="containsText" dxfId="509" priority="286" operator="containsText" text="改紡">
      <formula>NOT(ISERROR(SEARCH("改紡",L642)))</formula>
    </cfRule>
    <cfRule type="containsText" dxfId="508" priority="287" operator="containsText" text="了機">
      <formula>NOT(ISERROR(SEARCH("了機",L642)))</formula>
    </cfRule>
  </conditionalFormatting>
  <conditionalFormatting sqref="L681:M709">
    <cfRule type="containsText" dxfId="507" priority="195" operator="containsText" text="清車">
      <formula>NOT(ISERROR(SEARCH("清車",L681)))</formula>
    </cfRule>
    <cfRule type="containsText" dxfId="506" priority="196" operator="containsText" text="改紡">
      <formula>NOT(ISERROR(SEARCH("改紡",L681)))</formula>
    </cfRule>
    <cfRule type="containsText" dxfId="505" priority="197" operator="containsText" text="了機">
      <formula>NOT(ISERROR(SEARCH("了機",L681)))</formula>
    </cfRule>
  </conditionalFormatting>
  <conditionalFormatting sqref="L720:M748">
    <cfRule type="containsText" dxfId="504" priority="270" operator="containsText" text="清車">
      <formula>NOT(ISERROR(SEARCH("清車",L720)))</formula>
    </cfRule>
    <cfRule type="containsText" dxfId="503" priority="271" operator="containsText" text="改紡">
      <formula>NOT(ISERROR(SEARCH("改紡",L720)))</formula>
    </cfRule>
    <cfRule type="containsText" dxfId="502" priority="272" operator="containsText" text="了機">
      <formula>NOT(ISERROR(SEARCH("了機",L720)))</formula>
    </cfRule>
  </conditionalFormatting>
  <conditionalFormatting sqref="L759:M787">
    <cfRule type="containsText" dxfId="501" priority="207" operator="containsText" text="清車">
      <formula>NOT(ISERROR(SEARCH("清車",L759)))</formula>
    </cfRule>
    <cfRule type="containsText" dxfId="500" priority="208" operator="containsText" text="改紡">
      <formula>NOT(ISERROR(SEARCH("改紡",L759)))</formula>
    </cfRule>
    <cfRule type="containsText" dxfId="499" priority="209" operator="containsText" text="了機">
      <formula>NOT(ISERROR(SEARCH("了機",L759)))</formula>
    </cfRule>
  </conditionalFormatting>
  <conditionalFormatting sqref="L798:M826">
    <cfRule type="containsText" dxfId="498" priority="222" operator="containsText" text="清車">
      <formula>NOT(ISERROR(SEARCH("清車",L798)))</formula>
    </cfRule>
    <cfRule type="containsText" dxfId="497" priority="223" operator="containsText" text="改紡">
      <formula>NOT(ISERROR(SEARCH("改紡",L798)))</formula>
    </cfRule>
    <cfRule type="containsText" dxfId="496" priority="224" operator="containsText" text="了機">
      <formula>NOT(ISERROR(SEARCH("了機",L798)))</formula>
    </cfRule>
  </conditionalFormatting>
  <conditionalFormatting sqref="L837:M865">
    <cfRule type="containsText" dxfId="495" priority="180" operator="containsText" text="清車">
      <formula>NOT(ISERROR(SEARCH("清車",L837)))</formula>
    </cfRule>
    <cfRule type="containsText" dxfId="494" priority="181" operator="containsText" text="改紡">
      <formula>NOT(ISERROR(SEARCH("改紡",L837)))</formula>
    </cfRule>
    <cfRule type="containsText" dxfId="493" priority="182" operator="containsText" text="了機">
      <formula>NOT(ISERROR(SEARCH("了機",L837)))</formula>
    </cfRule>
  </conditionalFormatting>
  <conditionalFormatting sqref="L876:M904">
    <cfRule type="containsText" dxfId="492" priority="105" operator="containsText" text="清車">
      <formula>NOT(ISERROR(SEARCH("清車",L876)))</formula>
    </cfRule>
    <cfRule type="containsText" dxfId="491" priority="106" operator="containsText" text="改紡">
      <formula>NOT(ISERROR(SEARCH("改紡",L876)))</formula>
    </cfRule>
    <cfRule type="containsText" dxfId="490" priority="107" operator="containsText" text="了機">
      <formula>NOT(ISERROR(SEARCH("了機",L876)))</formula>
    </cfRule>
  </conditionalFormatting>
  <conditionalFormatting sqref="L915:M942">
    <cfRule type="containsText" dxfId="489" priority="66" operator="containsText" text="清車">
      <formula>NOT(ISERROR(SEARCH("清車",L915)))</formula>
    </cfRule>
    <cfRule type="containsText" dxfId="488" priority="67" operator="containsText" text="改紡">
      <formula>NOT(ISERROR(SEARCH("改紡",L915)))</formula>
    </cfRule>
    <cfRule type="containsText" dxfId="487" priority="68" operator="containsText" text="了機">
      <formula>NOT(ISERROR(SEARCH("了機",L915)))</formula>
    </cfRule>
  </conditionalFormatting>
  <conditionalFormatting sqref="L954:M1221">
    <cfRule type="containsText" dxfId="486" priority="3" operator="containsText" text="了機">
      <formula>NOT(ISERROR(SEARCH("了機",L954)))</formula>
    </cfRule>
  </conditionalFormatting>
  <conditionalFormatting sqref="L954:M1231">
    <cfRule type="containsText" dxfId="485" priority="1" operator="containsText" text="清車">
      <formula>NOT(ISERROR(SEARCH("清車",L954)))</formula>
    </cfRule>
    <cfRule type="containsText" dxfId="484" priority="2" operator="containsText" text="改紡">
      <formula>NOT(ISERROR(SEARCH("改紡",L954)))</formula>
    </cfRule>
  </conditionalFormatting>
  <conditionalFormatting sqref="M943:M953">
    <cfRule type="containsText" dxfId="483" priority="90" operator="containsText" text="清車">
      <formula>NOT(ISERROR(SEARCH("清車",M943)))</formula>
    </cfRule>
    <cfRule type="containsText" dxfId="482" priority="91" operator="containsText" text="改紡">
      <formula>NOT(ISERROR(SEARCH("改紡",M943)))</formula>
    </cfRule>
    <cfRule type="containsText" dxfId="481" priority="92" operator="containsText" text="了機">
      <formula>NOT(ISERROR(SEARCH("了機",M943)))</formula>
    </cfRule>
  </conditionalFormatting>
  <conditionalFormatting sqref="P434:P435 Q434:Q443">
    <cfRule type="containsText" dxfId="480" priority="552" operator="containsText" text="清車">
      <formula>NOT(ISERROR(SEARCH("清車",P434)))</formula>
    </cfRule>
    <cfRule type="containsText" dxfId="479" priority="553" operator="containsText" text="改紡">
      <formula>NOT(ISERROR(SEARCH("改紡",P434)))</formula>
    </cfRule>
    <cfRule type="containsText" dxfId="478" priority="554" operator="containsText" text="了機">
      <formula>NOT(ISERROR(SEARCH("了機",P434)))</formula>
    </cfRule>
  </conditionalFormatting>
  <conditionalFormatting sqref="P435:P443">
    <cfRule type="containsText" dxfId="477" priority="549" operator="containsText" text="清車">
      <formula>NOT(ISERROR(SEARCH("清車",P435)))</formula>
    </cfRule>
    <cfRule type="containsText" dxfId="476" priority="550" operator="containsText" text="改紡">
      <formula>NOT(ISERROR(SEARCH("改紡",P435)))</formula>
    </cfRule>
    <cfRule type="containsText" dxfId="475" priority="551" operator="containsText" text="了機">
      <formula>NOT(ISERROR(SEARCH("了機",P435)))</formula>
    </cfRule>
  </conditionalFormatting>
  <conditionalFormatting sqref="P474:P475 Q474:Q483">
    <cfRule type="containsText" dxfId="474" priority="507" operator="containsText" text="清車">
      <formula>NOT(ISERROR(SEARCH("清車",P474)))</formula>
    </cfRule>
    <cfRule type="containsText" dxfId="473" priority="508" operator="containsText" text="改紡">
      <formula>NOT(ISERROR(SEARCH("改紡",P474)))</formula>
    </cfRule>
    <cfRule type="containsText" dxfId="472" priority="509" operator="containsText" text="了機">
      <formula>NOT(ISERROR(SEARCH("了機",P474)))</formula>
    </cfRule>
  </conditionalFormatting>
  <conditionalFormatting sqref="P475:P483">
    <cfRule type="containsText" dxfId="471" priority="504" operator="containsText" text="清車">
      <formula>NOT(ISERROR(SEARCH("清車",P475)))</formula>
    </cfRule>
    <cfRule type="containsText" dxfId="470" priority="505" operator="containsText" text="改紡">
      <formula>NOT(ISERROR(SEARCH("改紡",P475)))</formula>
    </cfRule>
    <cfRule type="containsText" dxfId="469" priority="506" operator="containsText" text="了機">
      <formula>NOT(ISERROR(SEARCH("了機",P475)))</formula>
    </cfRule>
  </conditionalFormatting>
  <conditionalFormatting sqref="P514:P515 Q514:Q523">
    <cfRule type="containsText" dxfId="468" priority="468" operator="containsText" text="清車">
      <formula>NOT(ISERROR(SEARCH("清車",P514)))</formula>
    </cfRule>
    <cfRule type="containsText" dxfId="467" priority="469" operator="containsText" text="改紡">
      <formula>NOT(ISERROR(SEARCH("改紡",P514)))</formula>
    </cfRule>
    <cfRule type="containsText" dxfId="466" priority="470" operator="containsText" text="了機">
      <formula>NOT(ISERROR(SEARCH("了機",P514)))</formula>
    </cfRule>
  </conditionalFormatting>
  <conditionalFormatting sqref="P515:P523">
    <cfRule type="containsText" dxfId="465" priority="465" operator="containsText" text="清車">
      <formula>NOT(ISERROR(SEARCH("清車",P515)))</formula>
    </cfRule>
    <cfRule type="containsText" dxfId="464" priority="466" operator="containsText" text="改紡">
      <formula>NOT(ISERROR(SEARCH("改紡",P515)))</formula>
    </cfRule>
    <cfRule type="containsText" dxfId="463" priority="467" operator="containsText" text="了機">
      <formula>NOT(ISERROR(SEARCH("了機",P515)))</formula>
    </cfRule>
  </conditionalFormatting>
  <conditionalFormatting sqref="P554:P555 Q554:Q563">
    <cfRule type="containsText" dxfId="462" priority="435" operator="containsText" text="清車">
      <formula>NOT(ISERROR(SEARCH("清車",P554)))</formula>
    </cfRule>
    <cfRule type="containsText" dxfId="461" priority="436" operator="containsText" text="改紡">
      <formula>NOT(ISERROR(SEARCH("改紡",P554)))</formula>
    </cfRule>
    <cfRule type="containsText" dxfId="460" priority="437" operator="containsText" text="了機">
      <formula>NOT(ISERROR(SEARCH("了機",P554)))</formula>
    </cfRule>
  </conditionalFormatting>
  <conditionalFormatting sqref="P555:P563">
    <cfRule type="containsText" dxfId="459" priority="432" operator="containsText" text="清車">
      <formula>NOT(ISERROR(SEARCH("清車",P555)))</formula>
    </cfRule>
    <cfRule type="containsText" dxfId="458" priority="433" operator="containsText" text="改紡">
      <formula>NOT(ISERROR(SEARCH("改紡",P555)))</formula>
    </cfRule>
    <cfRule type="containsText" dxfId="457" priority="434" operator="containsText" text="了機">
      <formula>NOT(ISERROR(SEARCH("了機",P555)))</formula>
    </cfRule>
  </conditionalFormatting>
  <conditionalFormatting sqref="P593:P594 Q593:Q602">
    <cfRule type="containsText" dxfId="456" priority="399" operator="containsText" text="清車">
      <formula>NOT(ISERROR(SEARCH("清車",P593)))</formula>
    </cfRule>
    <cfRule type="containsText" dxfId="455" priority="400" operator="containsText" text="改紡">
      <formula>NOT(ISERROR(SEARCH("改紡",P593)))</formula>
    </cfRule>
    <cfRule type="containsText" dxfId="454" priority="401" operator="containsText" text="了機">
      <formula>NOT(ISERROR(SEARCH("了機",P593)))</formula>
    </cfRule>
  </conditionalFormatting>
  <conditionalFormatting sqref="P594:P602">
    <cfRule type="containsText" dxfId="453" priority="396" operator="containsText" text="清車">
      <formula>NOT(ISERROR(SEARCH("清車",P594)))</formula>
    </cfRule>
    <cfRule type="containsText" dxfId="452" priority="397" operator="containsText" text="改紡">
      <formula>NOT(ISERROR(SEARCH("改紡",P594)))</formula>
    </cfRule>
    <cfRule type="containsText" dxfId="451" priority="398" operator="containsText" text="了機">
      <formula>NOT(ISERROR(SEARCH("了機",P594)))</formula>
    </cfRule>
  </conditionalFormatting>
  <conditionalFormatting sqref="P632:P633 Q632:Q641">
    <cfRule type="containsText" dxfId="450" priority="363" operator="containsText" text="清車">
      <formula>NOT(ISERROR(SEARCH("清車",P632)))</formula>
    </cfRule>
    <cfRule type="containsText" dxfId="449" priority="364" operator="containsText" text="改紡">
      <formula>NOT(ISERROR(SEARCH("改紡",P632)))</formula>
    </cfRule>
    <cfRule type="containsText" dxfId="448" priority="365" operator="containsText" text="了機">
      <formula>NOT(ISERROR(SEARCH("了機",P632)))</formula>
    </cfRule>
  </conditionalFormatting>
  <conditionalFormatting sqref="P633:P641">
    <cfRule type="containsText" dxfId="447" priority="360" operator="containsText" text="清車">
      <formula>NOT(ISERROR(SEARCH("清車",P633)))</formula>
    </cfRule>
    <cfRule type="containsText" dxfId="446" priority="361" operator="containsText" text="改紡">
      <formula>NOT(ISERROR(SEARCH("改紡",P633)))</formula>
    </cfRule>
    <cfRule type="containsText" dxfId="445" priority="362" operator="containsText" text="了機">
      <formula>NOT(ISERROR(SEARCH("了機",P633)))</formula>
    </cfRule>
  </conditionalFormatting>
  <conditionalFormatting sqref="P671:P672 Q671:Q680">
    <cfRule type="containsText" dxfId="444" priority="330" operator="containsText" text="清車">
      <formula>NOT(ISERROR(SEARCH("清車",P671)))</formula>
    </cfRule>
    <cfRule type="containsText" dxfId="443" priority="331" operator="containsText" text="改紡">
      <formula>NOT(ISERROR(SEARCH("改紡",P671)))</formula>
    </cfRule>
    <cfRule type="containsText" dxfId="442" priority="332" operator="containsText" text="了機">
      <formula>NOT(ISERROR(SEARCH("了機",P671)))</formula>
    </cfRule>
  </conditionalFormatting>
  <conditionalFormatting sqref="P672:P680">
    <cfRule type="containsText" dxfId="441" priority="327" operator="containsText" text="清車">
      <formula>NOT(ISERROR(SEARCH("清車",P672)))</formula>
    </cfRule>
    <cfRule type="containsText" dxfId="440" priority="328" operator="containsText" text="改紡">
      <formula>NOT(ISERROR(SEARCH("改紡",P672)))</formula>
    </cfRule>
    <cfRule type="containsText" dxfId="439" priority="329" operator="containsText" text="了機">
      <formula>NOT(ISERROR(SEARCH("了機",P672)))</formula>
    </cfRule>
  </conditionalFormatting>
  <conditionalFormatting sqref="P710:P711 Q710:Q719">
    <cfRule type="containsText" dxfId="438" priority="297" operator="containsText" text="清車">
      <formula>NOT(ISERROR(SEARCH("清車",P710)))</formula>
    </cfRule>
    <cfRule type="containsText" dxfId="437" priority="298" operator="containsText" text="改紡">
      <formula>NOT(ISERROR(SEARCH("改紡",P710)))</formula>
    </cfRule>
    <cfRule type="containsText" dxfId="436" priority="299" operator="containsText" text="了機">
      <formula>NOT(ISERROR(SEARCH("了機",P710)))</formula>
    </cfRule>
  </conditionalFormatting>
  <conditionalFormatting sqref="P711:P719">
    <cfRule type="containsText" dxfId="435" priority="294" operator="containsText" text="清車">
      <formula>NOT(ISERROR(SEARCH("清車",P711)))</formula>
    </cfRule>
    <cfRule type="containsText" dxfId="434" priority="295" operator="containsText" text="改紡">
      <formula>NOT(ISERROR(SEARCH("改紡",P711)))</formula>
    </cfRule>
    <cfRule type="containsText" dxfId="433" priority="296" operator="containsText" text="了機">
      <formula>NOT(ISERROR(SEARCH("了機",P711)))</formula>
    </cfRule>
  </conditionalFormatting>
  <conditionalFormatting sqref="P749:P750 Q749:Q758">
    <cfRule type="containsText" dxfId="432" priority="267" operator="containsText" text="清車">
      <formula>NOT(ISERROR(SEARCH("清車",P749)))</formula>
    </cfRule>
    <cfRule type="containsText" dxfId="431" priority="268" operator="containsText" text="改紡">
      <formula>NOT(ISERROR(SEARCH("改紡",P749)))</formula>
    </cfRule>
    <cfRule type="containsText" dxfId="430" priority="269" operator="containsText" text="了機">
      <formula>NOT(ISERROR(SEARCH("了機",P749)))</formula>
    </cfRule>
  </conditionalFormatting>
  <conditionalFormatting sqref="P750:P758">
    <cfRule type="containsText" dxfId="429" priority="264" operator="containsText" text="清車">
      <formula>NOT(ISERROR(SEARCH("清車",P750)))</formula>
    </cfRule>
    <cfRule type="containsText" dxfId="428" priority="265" operator="containsText" text="改紡">
      <formula>NOT(ISERROR(SEARCH("改紡",P750)))</formula>
    </cfRule>
    <cfRule type="containsText" dxfId="427" priority="266" operator="containsText" text="了機">
      <formula>NOT(ISERROR(SEARCH("了機",P750)))</formula>
    </cfRule>
  </conditionalFormatting>
  <conditionalFormatting sqref="P788:P789 Q788:Q797">
    <cfRule type="containsText" dxfId="426" priority="243" operator="containsText" text="清車">
      <formula>NOT(ISERROR(SEARCH("清車",P788)))</formula>
    </cfRule>
    <cfRule type="containsText" dxfId="425" priority="244" operator="containsText" text="改紡">
      <formula>NOT(ISERROR(SEARCH("改紡",P788)))</formula>
    </cfRule>
    <cfRule type="containsText" dxfId="424" priority="245" operator="containsText" text="了機">
      <formula>NOT(ISERROR(SEARCH("了機",P788)))</formula>
    </cfRule>
  </conditionalFormatting>
  <conditionalFormatting sqref="P789:P797">
    <cfRule type="containsText" dxfId="423" priority="240" operator="containsText" text="清車">
      <formula>NOT(ISERROR(SEARCH("清車",P789)))</formula>
    </cfRule>
    <cfRule type="containsText" dxfId="422" priority="241" operator="containsText" text="改紡">
      <formula>NOT(ISERROR(SEARCH("改紡",P789)))</formula>
    </cfRule>
    <cfRule type="containsText" dxfId="421" priority="242" operator="containsText" text="了機">
      <formula>NOT(ISERROR(SEARCH("了機",P789)))</formula>
    </cfRule>
  </conditionalFormatting>
  <conditionalFormatting sqref="P827:P828 Q827:Q836">
    <cfRule type="containsText" dxfId="420" priority="219" operator="containsText" text="清車">
      <formula>NOT(ISERROR(SEARCH("清車",P827)))</formula>
    </cfRule>
    <cfRule type="containsText" dxfId="419" priority="220" operator="containsText" text="改紡">
      <formula>NOT(ISERROR(SEARCH("改紡",P827)))</formula>
    </cfRule>
    <cfRule type="containsText" dxfId="418" priority="221" operator="containsText" text="了機">
      <formula>NOT(ISERROR(SEARCH("了機",P827)))</formula>
    </cfRule>
  </conditionalFormatting>
  <conditionalFormatting sqref="P828:P836">
    <cfRule type="containsText" dxfId="417" priority="216" operator="containsText" text="清車">
      <formula>NOT(ISERROR(SEARCH("清車",P828)))</formula>
    </cfRule>
    <cfRule type="containsText" dxfId="416" priority="217" operator="containsText" text="改紡">
      <formula>NOT(ISERROR(SEARCH("改紡",P828)))</formula>
    </cfRule>
    <cfRule type="containsText" dxfId="415" priority="218" operator="containsText" text="了機">
      <formula>NOT(ISERROR(SEARCH("了機",P828)))</formula>
    </cfRule>
  </conditionalFormatting>
  <conditionalFormatting sqref="P866:P867 Q866:Q875">
    <cfRule type="containsText" dxfId="414" priority="177" operator="containsText" text="清車">
      <formula>NOT(ISERROR(SEARCH("清車",P866)))</formula>
    </cfRule>
    <cfRule type="containsText" dxfId="413" priority="178" operator="containsText" text="改紡">
      <formula>NOT(ISERROR(SEARCH("改紡",P866)))</formula>
    </cfRule>
    <cfRule type="containsText" dxfId="412" priority="179" operator="containsText" text="了機">
      <formula>NOT(ISERROR(SEARCH("了機",P866)))</formula>
    </cfRule>
  </conditionalFormatting>
  <conditionalFormatting sqref="P867:P875">
    <cfRule type="containsText" dxfId="411" priority="174" operator="containsText" text="清車">
      <formula>NOT(ISERROR(SEARCH("清車",P867)))</formula>
    </cfRule>
    <cfRule type="containsText" dxfId="410" priority="175" operator="containsText" text="改紡">
      <formula>NOT(ISERROR(SEARCH("改紡",P867)))</formula>
    </cfRule>
    <cfRule type="containsText" dxfId="409" priority="176" operator="containsText" text="了機">
      <formula>NOT(ISERROR(SEARCH("了機",P867)))</formula>
    </cfRule>
  </conditionalFormatting>
  <conditionalFormatting sqref="P905:P906 Q905:Q914">
    <cfRule type="containsText" dxfId="408" priority="126" operator="containsText" text="清車">
      <formula>NOT(ISERROR(SEARCH("清車",P905)))</formula>
    </cfRule>
    <cfRule type="containsText" dxfId="407" priority="127" operator="containsText" text="改紡">
      <formula>NOT(ISERROR(SEARCH("改紡",P905)))</formula>
    </cfRule>
    <cfRule type="containsText" dxfId="406" priority="128" operator="containsText" text="了機">
      <formula>NOT(ISERROR(SEARCH("了機",P905)))</formula>
    </cfRule>
  </conditionalFormatting>
  <conditionalFormatting sqref="P906:P914">
    <cfRule type="containsText" dxfId="405" priority="123" operator="containsText" text="清車">
      <formula>NOT(ISERROR(SEARCH("清車",P906)))</formula>
    </cfRule>
    <cfRule type="containsText" dxfId="404" priority="124" operator="containsText" text="改紡">
      <formula>NOT(ISERROR(SEARCH("改紡",P906)))</formula>
    </cfRule>
    <cfRule type="containsText" dxfId="403" priority="125" operator="containsText" text="了機">
      <formula>NOT(ISERROR(SEARCH("了機",P906)))</formula>
    </cfRule>
  </conditionalFormatting>
  <conditionalFormatting sqref="P943">
    <cfRule type="containsText" dxfId="402" priority="63" operator="containsText" text="清車">
      <formula>NOT(ISERROR(SEARCH("清車",P943)))</formula>
    </cfRule>
    <cfRule type="containsText" dxfId="401" priority="64" operator="containsText" text="改紡">
      <formula>NOT(ISERROR(SEARCH("改紡",P943)))</formula>
    </cfRule>
    <cfRule type="containsText" dxfId="400" priority="65" operator="containsText" text="了機">
      <formula>NOT(ISERROR(SEARCH("了機",P943)))</formula>
    </cfRule>
  </conditionalFormatting>
  <conditionalFormatting sqref="P944:P945">
    <cfRule type="containsText" dxfId="399" priority="87" operator="containsText" text="清車">
      <formula>NOT(ISERROR(SEARCH("清車",P944)))</formula>
    </cfRule>
    <cfRule type="containsText" dxfId="398" priority="88" operator="containsText" text="改紡">
      <formula>NOT(ISERROR(SEARCH("改紡",P944)))</formula>
    </cfRule>
    <cfRule type="containsText" dxfId="397" priority="89" operator="containsText" text="了機">
      <formula>NOT(ISERROR(SEARCH("了機",P944)))</formula>
    </cfRule>
  </conditionalFormatting>
  <conditionalFormatting sqref="P945:P953">
    <cfRule type="containsText" dxfId="396" priority="84" operator="containsText" text="清車">
      <formula>NOT(ISERROR(SEARCH("清車",P945)))</formula>
    </cfRule>
    <cfRule type="containsText" dxfId="395" priority="85" operator="containsText" text="改紡">
      <formula>NOT(ISERROR(SEARCH("改紡",P945)))</formula>
    </cfRule>
    <cfRule type="containsText" dxfId="394" priority="86" operator="containsText" text="了機">
      <formula>NOT(ISERROR(SEARCH("了機",P945)))</formula>
    </cfRule>
  </conditionalFormatting>
  <conditionalFormatting sqref="P984 T984 L984">
    <cfRule type="containsText" dxfId="393" priority="51" operator="containsText" text="清車">
      <formula>NOT(ISERROR(SEARCH("清車",L984)))</formula>
    </cfRule>
  </conditionalFormatting>
  <conditionalFormatting sqref="P1023 T1023 L1023">
    <cfRule type="containsText" dxfId="392" priority="45" operator="containsText" text="清車">
      <formula>NOT(ISERROR(SEARCH("清車",L1023)))</formula>
    </cfRule>
  </conditionalFormatting>
  <conditionalFormatting sqref="P1062 T1062 L1062">
    <cfRule type="containsText" dxfId="391" priority="39" operator="containsText" text="清車">
      <formula>NOT(ISERROR(SEARCH("清車",L1062)))</formula>
    </cfRule>
  </conditionalFormatting>
  <conditionalFormatting sqref="P1101 T1101 L1101">
    <cfRule type="containsText" dxfId="390" priority="33" operator="containsText" text="清車">
      <formula>NOT(ISERROR(SEARCH("清車",L1101)))</formula>
    </cfRule>
  </conditionalFormatting>
  <conditionalFormatting sqref="P1142 T1142 L1142">
    <cfRule type="containsText" dxfId="389" priority="27" operator="containsText" text="清車">
      <formula>NOT(ISERROR(SEARCH("清車",L1142)))</formula>
    </cfRule>
  </conditionalFormatting>
  <conditionalFormatting sqref="P1183 T1183 L1183">
    <cfRule type="containsText" dxfId="388" priority="21" operator="containsText" text="清車">
      <formula>NOT(ISERROR(SEARCH("清車",L1183)))</formula>
    </cfRule>
  </conditionalFormatting>
  <conditionalFormatting sqref="P1223 T1223 L1223">
    <cfRule type="containsText" dxfId="387" priority="15" operator="containsText" text="清車">
      <formula>NOT(ISERROR(SEARCH("清車",L1223)))</formula>
    </cfRule>
  </conditionalFormatting>
  <conditionalFormatting sqref="P2:Q433">
    <cfRule type="containsText" dxfId="386" priority="531" operator="containsText" text="清車">
      <formula>NOT(ISERROR(SEARCH("清車",P2)))</formula>
    </cfRule>
    <cfRule type="containsText" dxfId="385" priority="532" operator="containsText" text="改紡">
      <formula>NOT(ISERROR(SEARCH("改紡",P2)))</formula>
    </cfRule>
    <cfRule type="containsText" dxfId="384" priority="533" operator="containsText" text="了機">
      <formula>NOT(ISERROR(SEARCH("了機",P2)))</formula>
    </cfRule>
  </conditionalFormatting>
  <conditionalFormatting sqref="P444:Q473">
    <cfRule type="containsText" dxfId="383" priority="501" operator="containsText" text="清車">
      <formula>NOT(ISERROR(SEARCH("清車",P444)))</formula>
    </cfRule>
    <cfRule type="containsText" dxfId="382" priority="502" operator="containsText" text="改紡">
      <formula>NOT(ISERROR(SEARCH("改紡",P444)))</formula>
    </cfRule>
    <cfRule type="containsText" dxfId="381" priority="503" operator="containsText" text="了機">
      <formula>NOT(ISERROR(SEARCH("了機",P444)))</formula>
    </cfRule>
  </conditionalFormatting>
  <conditionalFormatting sqref="P484:Q513">
    <cfRule type="containsText" dxfId="380" priority="462" operator="containsText" text="清車">
      <formula>NOT(ISERROR(SEARCH("清車",P484)))</formula>
    </cfRule>
    <cfRule type="containsText" dxfId="379" priority="463" operator="containsText" text="改紡">
      <formula>NOT(ISERROR(SEARCH("改紡",P484)))</formula>
    </cfRule>
    <cfRule type="containsText" dxfId="378" priority="464" operator="containsText" text="了機">
      <formula>NOT(ISERROR(SEARCH("了機",P484)))</formula>
    </cfRule>
  </conditionalFormatting>
  <conditionalFormatting sqref="P524:Q553">
    <cfRule type="containsText" dxfId="377" priority="429" operator="containsText" text="清車">
      <formula>NOT(ISERROR(SEARCH("清車",P524)))</formula>
    </cfRule>
    <cfRule type="containsText" dxfId="376" priority="430" operator="containsText" text="改紡">
      <formula>NOT(ISERROR(SEARCH("改紡",P524)))</formula>
    </cfRule>
    <cfRule type="containsText" dxfId="375" priority="431" operator="containsText" text="了機">
      <formula>NOT(ISERROR(SEARCH("了機",P524)))</formula>
    </cfRule>
  </conditionalFormatting>
  <conditionalFormatting sqref="P564:Q592">
    <cfRule type="containsText" dxfId="374" priority="387" operator="containsText" text="清車">
      <formula>NOT(ISERROR(SEARCH("清車",P564)))</formula>
    </cfRule>
    <cfRule type="containsText" dxfId="373" priority="388" operator="containsText" text="改紡">
      <formula>NOT(ISERROR(SEARCH("改紡",P564)))</formula>
    </cfRule>
    <cfRule type="containsText" dxfId="372" priority="389" operator="containsText" text="了機">
      <formula>NOT(ISERROR(SEARCH("了機",P564)))</formula>
    </cfRule>
  </conditionalFormatting>
  <conditionalFormatting sqref="P603:Q631">
    <cfRule type="containsText" dxfId="371" priority="351" operator="containsText" text="清車">
      <formula>NOT(ISERROR(SEARCH("清車",P603)))</formula>
    </cfRule>
    <cfRule type="containsText" dxfId="370" priority="352" operator="containsText" text="改紡">
      <formula>NOT(ISERROR(SEARCH("改紡",P603)))</formula>
    </cfRule>
    <cfRule type="containsText" dxfId="369" priority="353" operator="containsText" text="了機">
      <formula>NOT(ISERROR(SEARCH("了機",P603)))</formula>
    </cfRule>
  </conditionalFormatting>
  <conditionalFormatting sqref="P642:Q670">
    <cfRule type="containsText" dxfId="368" priority="318" operator="containsText" text="清車">
      <formula>NOT(ISERROR(SEARCH("清車",P642)))</formula>
    </cfRule>
    <cfRule type="containsText" dxfId="367" priority="319" operator="containsText" text="改紡">
      <formula>NOT(ISERROR(SEARCH("改紡",P642)))</formula>
    </cfRule>
    <cfRule type="containsText" dxfId="366" priority="320" operator="containsText" text="了機">
      <formula>NOT(ISERROR(SEARCH("了機",P642)))</formula>
    </cfRule>
  </conditionalFormatting>
  <conditionalFormatting sqref="P681:Q709">
    <cfRule type="containsText" dxfId="365" priority="255" operator="containsText" text="清車">
      <formula>NOT(ISERROR(SEARCH("清車",P681)))</formula>
    </cfRule>
    <cfRule type="containsText" dxfId="364" priority="256" operator="containsText" text="改紡">
      <formula>NOT(ISERROR(SEARCH("改紡",P681)))</formula>
    </cfRule>
    <cfRule type="containsText" dxfId="363" priority="257" operator="containsText" text="了機">
      <formula>NOT(ISERROR(SEARCH("了機",P681)))</formula>
    </cfRule>
  </conditionalFormatting>
  <conditionalFormatting sqref="P720:Q748">
    <cfRule type="containsText" dxfId="362" priority="204" operator="containsText" text="清車">
      <formula>NOT(ISERROR(SEARCH("清車",P720)))</formula>
    </cfRule>
    <cfRule type="containsText" dxfId="361" priority="205" operator="containsText" text="改紡">
      <formula>NOT(ISERROR(SEARCH("改紡",P720)))</formula>
    </cfRule>
    <cfRule type="containsText" dxfId="360" priority="206" operator="containsText" text="了機">
      <formula>NOT(ISERROR(SEARCH("了機",P720)))</formula>
    </cfRule>
  </conditionalFormatting>
  <conditionalFormatting sqref="P759:Q787">
    <cfRule type="containsText" dxfId="359" priority="159" operator="containsText" text="清車">
      <formula>NOT(ISERROR(SEARCH("清車",P759)))</formula>
    </cfRule>
    <cfRule type="containsText" dxfId="358" priority="160" operator="containsText" text="改紡">
      <formula>NOT(ISERROR(SEARCH("改紡",P759)))</formula>
    </cfRule>
    <cfRule type="containsText" dxfId="357" priority="161" operator="containsText" text="了機">
      <formula>NOT(ISERROR(SEARCH("了機",P759)))</formula>
    </cfRule>
  </conditionalFormatting>
  <conditionalFormatting sqref="P798:Q826">
    <cfRule type="containsText" dxfId="356" priority="141" operator="containsText" text="清車">
      <formula>NOT(ISERROR(SEARCH("清車",P798)))</formula>
    </cfRule>
    <cfRule type="containsText" dxfId="355" priority="142" operator="containsText" text="改紡">
      <formula>NOT(ISERROR(SEARCH("改紡",P798)))</formula>
    </cfRule>
    <cfRule type="containsText" dxfId="354" priority="143" operator="containsText" text="了機">
      <formula>NOT(ISERROR(SEARCH("了機",P798)))</formula>
    </cfRule>
  </conditionalFormatting>
  <conditionalFormatting sqref="P837:Q865">
    <cfRule type="containsText" dxfId="353" priority="150" operator="containsText" text="清車">
      <formula>NOT(ISERROR(SEARCH("清車",P837)))</formula>
    </cfRule>
    <cfRule type="containsText" dxfId="352" priority="151" operator="containsText" text="改紡">
      <formula>NOT(ISERROR(SEARCH("改紡",P837)))</formula>
    </cfRule>
    <cfRule type="containsText" dxfId="351" priority="152" operator="containsText" text="了機">
      <formula>NOT(ISERROR(SEARCH("了機",P837)))</formula>
    </cfRule>
  </conditionalFormatting>
  <conditionalFormatting sqref="P876:Q904">
    <cfRule type="containsText" dxfId="350" priority="111" operator="containsText" text="清車">
      <formula>NOT(ISERROR(SEARCH("清車",P876)))</formula>
    </cfRule>
    <cfRule type="containsText" dxfId="349" priority="112" operator="containsText" text="改紡">
      <formula>NOT(ISERROR(SEARCH("改紡",P876)))</formula>
    </cfRule>
    <cfRule type="containsText" dxfId="348" priority="113" operator="containsText" text="了機">
      <formula>NOT(ISERROR(SEARCH("了機",P876)))</formula>
    </cfRule>
  </conditionalFormatting>
  <conditionalFormatting sqref="P915:Q942">
    <cfRule type="containsText" dxfId="347" priority="69" operator="containsText" text="清車">
      <formula>NOT(ISERROR(SEARCH("清車",P915)))</formula>
    </cfRule>
    <cfRule type="containsText" dxfId="346" priority="70" operator="containsText" text="改紡">
      <formula>NOT(ISERROR(SEARCH("改紡",P915)))</formula>
    </cfRule>
    <cfRule type="containsText" dxfId="345" priority="71" operator="containsText" text="了機">
      <formula>NOT(ISERROR(SEARCH("了機",P915)))</formula>
    </cfRule>
  </conditionalFormatting>
  <conditionalFormatting sqref="P954:Q1231">
    <cfRule type="containsText" dxfId="344" priority="11" operator="containsText" text="清車">
      <formula>NOT(ISERROR(SEARCH("清車",P954)))</formula>
    </cfRule>
    <cfRule type="containsText" dxfId="343" priority="12" operator="containsText" text="改紡">
      <formula>NOT(ISERROR(SEARCH("改紡",P954)))</formula>
    </cfRule>
    <cfRule type="containsText" dxfId="342" priority="13" operator="containsText" text="了機">
      <formula>NOT(ISERROR(SEARCH("了機",P954)))</formula>
    </cfRule>
  </conditionalFormatting>
  <conditionalFormatting sqref="Q943:Q953">
    <cfRule type="containsText" dxfId="341" priority="75" operator="containsText" text="清車">
      <formula>NOT(ISERROR(SEARCH("清車",Q943)))</formula>
    </cfRule>
    <cfRule type="containsText" dxfId="340" priority="76" operator="containsText" text="改紡">
      <formula>NOT(ISERROR(SEARCH("改紡",Q943)))</formula>
    </cfRule>
    <cfRule type="containsText" dxfId="339" priority="77" operator="containsText" text="了機">
      <formula>NOT(ISERROR(SEARCH("了機",Q943)))</formula>
    </cfRule>
  </conditionalFormatting>
  <conditionalFormatting sqref="T434:T435 U434:U443">
    <cfRule type="containsText" dxfId="338" priority="546" operator="containsText" text="清車">
      <formula>NOT(ISERROR(SEARCH("清車",T434)))</formula>
    </cfRule>
    <cfRule type="containsText" dxfId="337" priority="547" operator="containsText" text="改紡">
      <formula>NOT(ISERROR(SEARCH("改紡",T434)))</formula>
    </cfRule>
    <cfRule type="containsText" dxfId="336" priority="548" operator="containsText" text="了機">
      <formula>NOT(ISERROR(SEARCH("了機",T434)))</formula>
    </cfRule>
  </conditionalFormatting>
  <conditionalFormatting sqref="T435:T443">
    <cfRule type="containsText" dxfId="335" priority="543" operator="containsText" text="清車">
      <formula>NOT(ISERROR(SEARCH("清車",T435)))</formula>
    </cfRule>
    <cfRule type="containsText" dxfId="334" priority="544" operator="containsText" text="改紡">
      <formula>NOT(ISERROR(SEARCH("改紡",T435)))</formula>
    </cfRule>
    <cfRule type="containsText" dxfId="333" priority="545" operator="containsText" text="了機">
      <formula>NOT(ISERROR(SEARCH("了機",T435)))</formula>
    </cfRule>
  </conditionalFormatting>
  <conditionalFormatting sqref="T474:T475 U474:U483">
    <cfRule type="containsText" dxfId="332" priority="498" operator="containsText" text="清車">
      <formula>NOT(ISERROR(SEARCH("清車",T474)))</formula>
    </cfRule>
    <cfRule type="containsText" dxfId="331" priority="499" operator="containsText" text="改紡">
      <formula>NOT(ISERROR(SEARCH("改紡",T474)))</formula>
    </cfRule>
    <cfRule type="containsText" dxfId="330" priority="500" operator="containsText" text="了機">
      <formula>NOT(ISERROR(SEARCH("了機",T474)))</formula>
    </cfRule>
  </conditionalFormatting>
  <conditionalFormatting sqref="T475:T483">
    <cfRule type="containsText" dxfId="329" priority="495" operator="containsText" text="清車">
      <formula>NOT(ISERROR(SEARCH("清車",T475)))</formula>
    </cfRule>
    <cfRule type="containsText" dxfId="328" priority="496" operator="containsText" text="改紡">
      <formula>NOT(ISERROR(SEARCH("改紡",T475)))</formula>
    </cfRule>
    <cfRule type="containsText" dxfId="327" priority="497" operator="containsText" text="了機">
      <formula>NOT(ISERROR(SEARCH("了機",T475)))</formula>
    </cfRule>
  </conditionalFormatting>
  <conditionalFormatting sqref="T514:T515 U514:U523">
    <cfRule type="containsText" dxfId="326" priority="459" operator="containsText" text="清車">
      <formula>NOT(ISERROR(SEARCH("清車",T514)))</formula>
    </cfRule>
    <cfRule type="containsText" dxfId="325" priority="460" operator="containsText" text="改紡">
      <formula>NOT(ISERROR(SEARCH("改紡",T514)))</formula>
    </cfRule>
    <cfRule type="containsText" dxfId="324" priority="461" operator="containsText" text="了機">
      <formula>NOT(ISERROR(SEARCH("了機",T514)))</formula>
    </cfRule>
  </conditionalFormatting>
  <conditionalFormatting sqref="T515:T523">
    <cfRule type="containsText" dxfId="323" priority="456" operator="containsText" text="清車">
      <formula>NOT(ISERROR(SEARCH("清車",T515)))</formula>
    </cfRule>
    <cfRule type="containsText" dxfId="322" priority="457" operator="containsText" text="改紡">
      <formula>NOT(ISERROR(SEARCH("改紡",T515)))</formula>
    </cfRule>
    <cfRule type="containsText" dxfId="321" priority="458" operator="containsText" text="了機">
      <formula>NOT(ISERROR(SEARCH("了機",T515)))</formula>
    </cfRule>
  </conditionalFormatting>
  <conditionalFormatting sqref="T554:T555 U554:U563">
    <cfRule type="containsText" dxfId="320" priority="426" operator="containsText" text="清車">
      <formula>NOT(ISERROR(SEARCH("清車",T554)))</formula>
    </cfRule>
    <cfRule type="containsText" dxfId="319" priority="427" operator="containsText" text="改紡">
      <formula>NOT(ISERROR(SEARCH("改紡",T554)))</formula>
    </cfRule>
    <cfRule type="containsText" dxfId="318" priority="428" operator="containsText" text="了機">
      <formula>NOT(ISERROR(SEARCH("了機",T554)))</formula>
    </cfRule>
  </conditionalFormatting>
  <conditionalFormatting sqref="T555:T563">
    <cfRule type="containsText" dxfId="317" priority="423" operator="containsText" text="清車">
      <formula>NOT(ISERROR(SEARCH("清車",T555)))</formula>
    </cfRule>
    <cfRule type="containsText" dxfId="316" priority="424" operator="containsText" text="改紡">
      <formula>NOT(ISERROR(SEARCH("改紡",T555)))</formula>
    </cfRule>
    <cfRule type="containsText" dxfId="315" priority="425" operator="containsText" text="了機">
      <formula>NOT(ISERROR(SEARCH("了機",T555)))</formula>
    </cfRule>
  </conditionalFormatting>
  <conditionalFormatting sqref="T593:T594 U593:U602">
    <cfRule type="containsText" dxfId="314" priority="393" operator="containsText" text="清車">
      <formula>NOT(ISERROR(SEARCH("清車",T593)))</formula>
    </cfRule>
    <cfRule type="containsText" dxfId="313" priority="394" operator="containsText" text="改紡">
      <formula>NOT(ISERROR(SEARCH("改紡",T593)))</formula>
    </cfRule>
    <cfRule type="containsText" dxfId="312" priority="395" operator="containsText" text="了機">
      <formula>NOT(ISERROR(SEARCH("了機",T593)))</formula>
    </cfRule>
  </conditionalFormatting>
  <conditionalFormatting sqref="T594:T602">
    <cfRule type="containsText" dxfId="311" priority="390" operator="containsText" text="清車">
      <formula>NOT(ISERROR(SEARCH("清車",T594)))</formula>
    </cfRule>
    <cfRule type="containsText" dxfId="310" priority="391" operator="containsText" text="改紡">
      <formula>NOT(ISERROR(SEARCH("改紡",T594)))</formula>
    </cfRule>
    <cfRule type="containsText" dxfId="309" priority="392" operator="containsText" text="了機">
      <formula>NOT(ISERROR(SEARCH("了機",T594)))</formula>
    </cfRule>
  </conditionalFormatting>
  <conditionalFormatting sqref="T632:T633 U632:U641">
    <cfRule type="containsText" dxfId="308" priority="357" operator="containsText" text="清車">
      <formula>NOT(ISERROR(SEARCH("清車",T632)))</formula>
    </cfRule>
    <cfRule type="containsText" dxfId="307" priority="358" operator="containsText" text="改紡">
      <formula>NOT(ISERROR(SEARCH("改紡",T632)))</formula>
    </cfRule>
    <cfRule type="containsText" dxfId="306" priority="359" operator="containsText" text="了機">
      <formula>NOT(ISERROR(SEARCH("了機",T632)))</formula>
    </cfRule>
  </conditionalFormatting>
  <conditionalFormatting sqref="T633:T641">
    <cfRule type="containsText" dxfId="305" priority="354" operator="containsText" text="清車">
      <formula>NOT(ISERROR(SEARCH("清車",T633)))</formula>
    </cfRule>
    <cfRule type="containsText" dxfId="304" priority="355" operator="containsText" text="改紡">
      <formula>NOT(ISERROR(SEARCH("改紡",T633)))</formula>
    </cfRule>
    <cfRule type="containsText" dxfId="303" priority="356" operator="containsText" text="了機">
      <formula>NOT(ISERROR(SEARCH("了機",T633)))</formula>
    </cfRule>
  </conditionalFormatting>
  <conditionalFormatting sqref="T671:T672 U671:U680">
    <cfRule type="containsText" dxfId="302" priority="324" operator="containsText" text="清車">
      <formula>NOT(ISERROR(SEARCH("清車",T671)))</formula>
    </cfRule>
    <cfRule type="containsText" dxfId="301" priority="325" operator="containsText" text="改紡">
      <formula>NOT(ISERROR(SEARCH("改紡",T671)))</formula>
    </cfRule>
    <cfRule type="containsText" dxfId="300" priority="326" operator="containsText" text="了機">
      <formula>NOT(ISERROR(SEARCH("了機",T671)))</formula>
    </cfRule>
  </conditionalFormatting>
  <conditionalFormatting sqref="T672:T680">
    <cfRule type="containsText" dxfId="299" priority="321" operator="containsText" text="清車">
      <formula>NOT(ISERROR(SEARCH("清車",T672)))</formula>
    </cfRule>
    <cfRule type="containsText" dxfId="298" priority="322" operator="containsText" text="改紡">
      <formula>NOT(ISERROR(SEARCH("改紡",T672)))</formula>
    </cfRule>
    <cfRule type="containsText" dxfId="297" priority="323" operator="containsText" text="了機">
      <formula>NOT(ISERROR(SEARCH("了機",T672)))</formula>
    </cfRule>
  </conditionalFormatting>
  <conditionalFormatting sqref="T710:T711 U710:U719">
    <cfRule type="containsText" dxfId="296" priority="291" operator="containsText" text="清車">
      <formula>NOT(ISERROR(SEARCH("清車",T710)))</formula>
    </cfRule>
    <cfRule type="containsText" dxfId="295" priority="292" operator="containsText" text="改紡">
      <formula>NOT(ISERROR(SEARCH("改紡",T710)))</formula>
    </cfRule>
    <cfRule type="containsText" dxfId="294" priority="293" operator="containsText" text="了機">
      <formula>NOT(ISERROR(SEARCH("了機",T710)))</formula>
    </cfRule>
  </conditionalFormatting>
  <conditionalFormatting sqref="T711:T719">
    <cfRule type="containsText" dxfId="293" priority="288" operator="containsText" text="清車">
      <formula>NOT(ISERROR(SEARCH("清車",T711)))</formula>
    </cfRule>
    <cfRule type="containsText" dxfId="292" priority="289" operator="containsText" text="改紡">
      <formula>NOT(ISERROR(SEARCH("改紡",T711)))</formula>
    </cfRule>
    <cfRule type="containsText" dxfId="291" priority="290" operator="containsText" text="了機">
      <formula>NOT(ISERROR(SEARCH("了機",T711)))</formula>
    </cfRule>
  </conditionalFormatting>
  <conditionalFormatting sqref="T749:T750 U749:U758">
    <cfRule type="containsText" dxfId="290" priority="261" operator="containsText" text="清車">
      <formula>NOT(ISERROR(SEARCH("清車",T749)))</formula>
    </cfRule>
    <cfRule type="containsText" dxfId="289" priority="262" operator="containsText" text="改紡">
      <formula>NOT(ISERROR(SEARCH("改紡",T749)))</formula>
    </cfRule>
    <cfRule type="containsText" dxfId="288" priority="263" operator="containsText" text="了機">
      <formula>NOT(ISERROR(SEARCH("了機",T749)))</formula>
    </cfRule>
  </conditionalFormatting>
  <conditionalFormatting sqref="T750:T758">
    <cfRule type="containsText" dxfId="287" priority="258" operator="containsText" text="清車">
      <formula>NOT(ISERROR(SEARCH("清車",T750)))</formula>
    </cfRule>
    <cfRule type="containsText" dxfId="286" priority="259" operator="containsText" text="改紡">
      <formula>NOT(ISERROR(SEARCH("改紡",T750)))</formula>
    </cfRule>
    <cfRule type="containsText" dxfId="285" priority="260" operator="containsText" text="了機">
      <formula>NOT(ISERROR(SEARCH("了機",T750)))</formula>
    </cfRule>
  </conditionalFormatting>
  <conditionalFormatting sqref="T789">
    <cfRule type="containsText" dxfId="284" priority="237" operator="containsText" text="清車">
      <formula>NOT(ISERROR(SEARCH("清車",T789)))</formula>
    </cfRule>
    <cfRule type="containsText" dxfId="283" priority="238" operator="containsText" text="改紡">
      <formula>NOT(ISERROR(SEARCH("改紡",T789)))</formula>
    </cfRule>
    <cfRule type="containsText" dxfId="282" priority="239" operator="containsText" text="了機">
      <formula>NOT(ISERROR(SEARCH("了機",T789)))</formula>
    </cfRule>
  </conditionalFormatting>
  <conditionalFormatting sqref="T827:T828 U827:U836">
    <cfRule type="containsText" dxfId="281" priority="213" operator="containsText" text="清車">
      <formula>NOT(ISERROR(SEARCH("清車",T827)))</formula>
    </cfRule>
    <cfRule type="containsText" dxfId="280" priority="214" operator="containsText" text="改紡">
      <formula>NOT(ISERROR(SEARCH("改紡",T827)))</formula>
    </cfRule>
    <cfRule type="containsText" dxfId="279" priority="215" operator="containsText" text="了機">
      <formula>NOT(ISERROR(SEARCH("了機",T827)))</formula>
    </cfRule>
  </conditionalFormatting>
  <conditionalFormatting sqref="T828:T836">
    <cfRule type="containsText" dxfId="278" priority="210" operator="containsText" text="清車">
      <formula>NOT(ISERROR(SEARCH("清車",T828)))</formula>
    </cfRule>
    <cfRule type="containsText" dxfId="277" priority="211" operator="containsText" text="改紡">
      <formula>NOT(ISERROR(SEARCH("改紡",T828)))</formula>
    </cfRule>
    <cfRule type="containsText" dxfId="276" priority="212" operator="containsText" text="了機">
      <formula>NOT(ISERROR(SEARCH("了機",T828)))</formula>
    </cfRule>
  </conditionalFormatting>
  <conditionalFormatting sqref="T866:T867 U866:U875">
    <cfRule type="containsText" dxfId="275" priority="171" operator="containsText" text="清車">
      <formula>NOT(ISERROR(SEARCH("清車",T866)))</formula>
    </cfRule>
    <cfRule type="containsText" dxfId="274" priority="172" operator="containsText" text="改紡">
      <formula>NOT(ISERROR(SEARCH("改紡",T866)))</formula>
    </cfRule>
    <cfRule type="containsText" dxfId="273" priority="173" operator="containsText" text="了機">
      <formula>NOT(ISERROR(SEARCH("了機",T866)))</formula>
    </cfRule>
  </conditionalFormatting>
  <conditionalFormatting sqref="T867:T875">
    <cfRule type="containsText" dxfId="272" priority="168" operator="containsText" text="清車">
      <formula>NOT(ISERROR(SEARCH("清車",T867)))</formula>
    </cfRule>
    <cfRule type="containsText" dxfId="271" priority="169" operator="containsText" text="改紡">
      <formula>NOT(ISERROR(SEARCH("改紡",T867)))</formula>
    </cfRule>
    <cfRule type="containsText" dxfId="270" priority="170" operator="containsText" text="了機">
      <formula>NOT(ISERROR(SEARCH("了機",T867)))</formula>
    </cfRule>
  </conditionalFormatting>
  <conditionalFormatting sqref="T905:T906 U905:U914">
    <cfRule type="containsText" dxfId="269" priority="120" operator="containsText" text="清車">
      <formula>NOT(ISERROR(SEARCH("清車",T905)))</formula>
    </cfRule>
    <cfRule type="containsText" dxfId="268" priority="121" operator="containsText" text="改紡">
      <formula>NOT(ISERROR(SEARCH("改紡",T905)))</formula>
    </cfRule>
    <cfRule type="containsText" dxfId="267" priority="122" operator="containsText" text="了機">
      <formula>NOT(ISERROR(SEARCH("了機",T905)))</formula>
    </cfRule>
  </conditionalFormatting>
  <conditionalFormatting sqref="T906:T914">
    <cfRule type="containsText" dxfId="266" priority="117" operator="containsText" text="清車">
      <formula>NOT(ISERROR(SEARCH("清車",T906)))</formula>
    </cfRule>
    <cfRule type="containsText" dxfId="265" priority="118" operator="containsText" text="改紡">
      <formula>NOT(ISERROR(SEARCH("改紡",T906)))</formula>
    </cfRule>
    <cfRule type="containsText" dxfId="264" priority="119" operator="containsText" text="了機">
      <formula>NOT(ISERROR(SEARCH("了機",T906)))</formula>
    </cfRule>
  </conditionalFormatting>
  <conditionalFormatting sqref="T944:T945 U944:U953">
    <cfRule type="containsText" dxfId="263" priority="81" operator="containsText" text="清車">
      <formula>NOT(ISERROR(SEARCH("清車",T944)))</formula>
    </cfRule>
    <cfRule type="containsText" dxfId="262" priority="82" operator="containsText" text="改紡">
      <formula>NOT(ISERROR(SEARCH("改紡",T944)))</formula>
    </cfRule>
    <cfRule type="containsText" dxfId="261" priority="83" operator="containsText" text="了機">
      <formula>NOT(ISERROR(SEARCH("了機",T944)))</formula>
    </cfRule>
  </conditionalFormatting>
  <conditionalFormatting sqref="T945:T953">
    <cfRule type="containsText" dxfId="260" priority="78" operator="containsText" text="清車">
      <formula>NOT(ISERROR(SEARCH("清車",T945)))</formula>
    </cfRule>
    <cfRule type="containsText" dxfId="259" priority="79" operator="containsText" text="改紡">
      <formula>NOT(ISERROR(SEARCH("改紡",T945)))</formula>
    </cfRule>
    <cfRule type="containsText" dxfId="258" priority="80" operator="containsText" text="了機">
      <formula>NOT(ISERROR(SEARCH("了機",T945)))</formula>
    </cfRule>
  </conditionalFormatting>
  <conditionalFormatting sqref="T2:U433">
    <cfRule type="containsText" dxfId="257" priority="489" operator="containsText" text="清車">
      <formula>NOT(ISERROR(SEARCH("清車",T2)))</formula>
    </cfRule>
    <cfRule type="containsText" dxfId="256" priority="490" operator="containsText" text="改紡">
      <formula>NOT(ISERROR(SEARCH("改紡",T2)))</formula>
    </cfRule>
    <cfRule type="containsText" dxfId="255" priority="491" operator="containsText" text="了機">
      <formula>NOT(ISERROR(SEARCH("了機",T2)))</formula>
    </cfRule>
  </conditionalFormatting>
  <conditionalFormatting sqref="T444:U473">
    <cfRule type="containsText" dxfId="254" priority="492" operator="containsText" text="清車">
      <formula>NOT(ISERROR(SEARCH("清車",T444)))</formula>
    </cfRule>
    <cfRule type="containsText" dxfId="253" priority="493" operator="containsText" text="改紡">
      <formula>NOT(ISERROR(SEARCH("改紡",T444)))</formula>
    </cfRule>
    <cfRule type="containsText" dxfId="252" priority="494" operator="containsText" text="了機">
      <formula>NOT(ISERROR(SEARCH("了機",T444)))</formula>
    </cfRule>
  </conditionalFormatting>
  <conditionalFormatting sqref="T484:U513">
    <cfRule type="containsText" dxfId="251" priority="453" operator="containsText" text="清車">
      <formula>NOT(ISERROR(SEARCH("清車",T484)))</formula>
    </cfRule>
    <cfRule type="containsText" dxfId="250" priority="454" operator="containsText" text="改紡">
      <formula>NOT(ISERROR(SEARCH("改紡",T484)))</formula>
    </cfRule>
    <cfRule type="containsText" dxfId="249" priority="455" operator="containsText" text="了機">
      <formula>NOT(ISERROR(SEARCH("了機",T484)))</formula>
    </cfRule>
  </conditionalFormatting>
  <conditionalFormatting sqref="T524:U553">
    <cfRule type="containsText" dxfId="248" priority="420" operator="containsText" text="清車">
      <formula>NOT(ISERROR(SEARCH("清車",T524)))</formula>
    </cfRule>
    <cfRule type="containsText" dxfId="247" priority="421" operator="containsText" text="改紡">
      <formula>NOT(ISERROR(SEARCH("改紡",T524)))</formula>
    </cfRule>
    <cfRule type="containsText" dxfId="246" priority="422" operator="containsText" text="了機">
      <formula>NOT(ISERROR(SEARCH("了機",T524)))</formula>
    </cfRule>
  </conditionalFormatting>
  <conditionalFormatting sqref="T564:U592">
    <cfRule type="containsText" dxfId="245" priority="384" operator="containsText" text="清車">
      <formula>NOT(ISERROR(SEARCH("清車",T564)))</formula>
    </cfRule>
    <cfRule type="containsText" dxfId="244" priority="385" operator="containsText" text="改紡">
      <formula>NOT(ISERROR(SEARCH("改紡",T564)))</formula>
    </cfRule>
    <cfRule type="containsText" dxfId="243" priority="386" operator="containsText" text="了機">
      <formula>NOT(ISERROR(SEARCH("了機",T564)))</formula>
    </cfRule>
  </conditionalFormatting>
  <conditionalFormatting sqref="T603:U631">
    <cfRule type="containsText" dxfId="242" priority="348" operator="containsText" text="清車">
      <formula>NOT(ISERROR(SEARCH("清車",T603)))</formula>
    </cfRule>
    <cfRule type="containsText" dxfId="241" priority="349" operator="containsText" text="改紡">
      <formula>NOT(ISERROR(SEARCH("改紡",T603)))</formula>
    </cfRule>
    <cfRule type="containsText" dxfId="240" priority="350" operator="containsText" text="了機">
      <formula>NOT(ISERROR(SEARCH("了機",T603)))</formula>
    </cfRule>
  </conditionalFormatting>
  <conditionalFormatting sqref="T642:U670">
    <cfRule type="containsText" dxfId="239" priority="315" operator="containsText" text="清車">
      <formula>NOT(ISERROR(SEARCH("清車",T642)))</formula>
    </cfRule>
    <cfRule type="containsText" dxfId="238" priority="316" operator="containsText" text="改紡">
      <formula>NOT(ISERROR(SEARCH("改紡",T642)))</formula>
    </cfRule>
    <cfRule type="containsText" dxfId="237" priority="317" operator="containsText" text="了機">
      <formula>NOT(ISERROR(SEARCH("了機",T642)))</formula>
    </cfRule>
  </conditionalFormatting>
  <conditionalFormatting sqref="T681:U709">
    <cfRule type="containsText" dxfId="236" priority="201" operator="containsText" text="清車">
      <formula>NOT(ISERROR(SEARCH("清車",T681)))</formula>
    </cfRule>
    <cfRule type="containsText" dxfId="235" priority="202" operator="containsText" text="改紡">
      <formula>NOT(ISERROR(SEARCH("改紡",T681)))</formula>
    </cfRule>
    <cfRule type="containsText" dxfId="234" priority="203" operator="containsText" text="了機">
      <formula>NOT(ISERROR(SEARCH("了機",T681)))</formula>
    </cfRule>
  </conditionalFormatting>
  <conditionalFormatting sqref="T720:U748">
    <cfRule type="containsText" dxfId="233" priority="165" operator="containsText" text="清車">
      <formula>NOT(ISERROR(SEARCH("清車",T720)))</formula>
    </cfRule>
    <cfRule type="containsText" dxfId="232" priority="166" operator="containsText" text="改紡">
      <formula>NOT(ISERROR(SEARCH("改紡",T720)))</formula>
    </cfRule>
    <cfRule type="containsText" dxfId="231" priority="167" operator="containsText" text="了機">
      <formula>NOT(ISERROR(SEARCH("了機",T720)))</formula>
    </cfRule>
  </conditionalFormatting>
  <conditionalFormatting sqref="T759:U826">
    <cfRule type="containsText" dxfId="230" priority="153" operator="containsText" text="清車">
      <formula>NOT(ISERROR(SEARCH("清車",T759)))</formula>
    </cfRule>
    <cfRule type="containsText" dxfId="229" priority="154" operator="containsText" text="改紡">
      <formula>NOT(ISERROR(SEARCH("改紡",T759)))</formula>
    </cfRule>
    <cfRule type="containsText" dxfId="228" priority="155" operator="containsText" text="了機">
      <formula>NOT(ISERROR(SEARCH("了機",T759)))</formula>
    </cfRule>
  </conditionalFormatting>
  <conditionalFormatting sqref="T837:U865">
    <cfRule type="containsText" dxfId="227" priority="147" operator="containsText" text="清車">
      <formula>NOT(ISERROR(SEARCH("清車",T837)))</formula>
    </cfRule>
    <cfRule type="containsText" dxfId="226" priority="148" operator="containsText" text="改紡">
      <formula>NOT(ISERROR(SEARCH("改紡",T837)))</formula>
    </cfRule>
    <cfRule type="containsText" dxfId="225" priority="149" operator="containsText" text="了機">
      <formula>NOT(ISERROR(SEARCH("了機",T837)))</formula>
    </cfRule>
  </conditionalFormatting>
  <conditionalFormatting sqref="T876:U904">
    <cfRule type="containsText" dxfId="224" priority="114" operator="containsText" text="清車">
      <formula>NOT(ISERROR(SEARCH("清車",T876)))</formula>
    </cfRule>
    <cfRule type="containsText" dxfId="223" priority="115" operator="containsText" text="改紡">
      <formula>NOT(ISERROR(SEARCH("改紡",T876)))</formula>
    </cfRule>
    <cfRule type="containsText" dxfId="222" priority="116" operator="containsText" text="了機">
      <formula>NOT(ISERROR(SEARCH("了機",T876)))</formula>
    </cfRule>
  </conditionalFormatting>
  <conditionalFormatting sqref="T915:U943">
    <cfRule type="containsText" dxfId="221" priority="72" operator="containsText" text="清車">
      <formula>NOT(ISERROR(SEARCH("清車",T915)))</formula>
    </cfRule>
    <cfRule type="containsText" dxfId="220" priority="73" operator="containsText" text="改紡">
      <formula>NOT(ISERROR(SEARCH("改紡",T915)))</formula>
    </cfRule>
    <cfRule type="containsText" dxfId="219" priority="74" operator="containsText" text="了機">
      <formula>NOT(ISERROR(SEARCH("了機",T915)))</formula>
    </cfRule>
  </conditionalFormatting>
  <conditionalFormatting sqref="T954:U1231">
    <cfRule type="containsText" dxfId="218" priority="8" operator="containsText" text="清車">
      <formula>NOT(ISERROR(SEARCH("清車",T954)))</formula>
    </cfRule>
    <cfRule type="containsText" dxfId="217" priority="9" operator="containsText" text="改紡">
      <formula>NOT(ISERROR(SEARCH("改紡",T954)))</formula>
    </cfRule>
    <cfRule type="containsText" dxfId="216" priority="10" operator="containsText" text="了機">
      <formula>NOT(ISERROR(SEARCH("了機",T954)))</formula>
    </cfRule>
  </conditionalFormatting>
  <conditionalFormatting sqref="X434:X435 Y434:Y443">
    <cfRule type="containsText" dxfId="215" priority="540" operator="containsText" text="清車">
      <formula>NOT(ISERROR(SEARCH("清車",X434)))</formula>
    </cfRule>
    <cfRule type="containsText" dxfId="214" priority="541" operator="containsText" text="改紡">
      <formula>NOT(ISERROR(SEARCH("改紡",X434)))</formula>
    </cfRule>
    <cfRule type="containsText" dxfId="213" priority="542" operator="containsText" text="了機">
      <formula>NOT(ISERROR(SEARCH("了機",X434)))</formula>
    </cfRule>
  </conditionalFormatting>
  <conditionalFormatting sqref="X435:X443">
    <cfRule type="containsText" dxfId="212" priority="537" operator="containsText" text="清車">
      <formula>NOT(ISERROR(SEARCH("清車",X435)))</formula>
    </cfRule>
    <cfRule type="containsText" dxfId="211" priority="538" operator="containsText" text="改紡">
      <formula>NOT(ISERROR(SEARCH("改紡",X435)))</formula>
    </cfRule>
    <cfRule type="containsText" dxfId="210" priority="539" operator="containsText" text="了機">
      <formula>NOT(ISERROR(SEARCH("了機",X435)))</formula>
    </cfRule>
  </conditionalFormatting>
  <conditionalFormatting sqref="X474:X475 Y474:Y483">
    <cfRule type="containsText" dxfId="209" priority="525" operator="containsText" text="清車">
      <formula>NOT(ISERROR(SEARCH("清車",X474)))</formula>
    </cfRule>
    <cfRule type="containsText" dxfId="208" priority="526" operator="containsText" text="改紡">
      <formula>NOT(ISERROR(SEARCH("改紡",X474)))</formula>
    </cfRule>
    <cfRule type="containsText" dxfId="207" priority="527" operator="containsText" text="了機">
      <formula>NOT(ISERROR(SEARCH("了機",X474)))</formula>
    </cfRule>
  </conditionalFormatting>
  <conditionalFormatting sqref="X475:X483">
    <cfRule type="containsText" dxfId="206" priority="522" operator="containsText" text="清車">
      <formula>NOT(ISERROR(SEARCH("清車",X475)))</formula>
    </cfRule>
    <cfRule type="containsText" dxfId="205" priority="523" operator="containsText" text="改紡">
      <formula>NOT(ISERROR(SEARCH("改紡",X475)))</formula>
    </cfRule>
    <cfRule type="containsText" dxfId="204" priority="524" operator="containsText" text="了機">
      <formula>NOT(ISERROR(SEARCH("了機",X475)))</formula>
    </cfRule>
  </conditionalFormatting>
  <conditionalFormatting sqref="X514:X515 Y514:Y523">
    <cfRule type="containsText" dxfId="203" priority="486" operator="containsText" text="清車">
      <formula>NOT(ISERROR(SEARCH("清車",X514)))</formula>
    </cfRule>
    <cfRule type="containsText" dxfId="202" priority="487" operator="containsText" text="改紡">
      <formula>NOT(ISERROR(SEARCH("改紡",X514)))</formula>
    </cfRule>
    <cfRule type="containsText" dxfId="201" priority="488" operator="containsText" text="了機">
      <formula>NOT(ISERROR(SEARCH("了機",X514)))</formula>
    </cfRule>
  </conditionalFormatting>
  <conditionalFormatting sqref="X515:X523">
    <cfRule type="containsText" dxfId="200" priority="483" operator="containsText" text="清車">
      <formula>NOT(ISERROR(SEARCH("清車",X515)))</formula>
    </cfRule>
    <cfRule type="containsText" dxfId="199" priority="484" operator="containsText" text="改紡">
      <formula>NOT(ISERROR(SEARCH("改紡",X515)))</formula>
    </cfRule>
    <cfRule type="containsText" dxfId="198" priority="485" operator="containsText" text="了機">
      <formula>NOT(ISERROR(SEARCH("了機",X515)))</formula>
    </cfRule>
  </conditionalFormatting>
  <conditionalFormatting sqref="X554:X555 Y554:Y563">
    <cfRule type="containsText" dxfId="197" priority="450" operator="containsText" text="清車">
      <formula>NOT(ISERROR(SEARCH("清車",X554)))</formula>
    </cfRule>
    <cfRule type="containsText" dxfId="196" priority="451" operator="containsText" text="改紡">
      <formula>NOT(ISERROR(SEARCH("改紡",X554)))</formula>
    </cfRule>
    <cfRule type="containsText" dxfId="195" priority="452" operator="containsText" text="了機">
      <formula>NOT(ISERROR(SEARCH("了機",X554)))</formula>
    </cfRule>
  </conditionalFormatting>
  <conditionalFormatting sqref="X555:X563">
    <cfRule type="containsText" dxfId="194" priority="447" operator="containsText" text="清車">
      <formula>NOT(ISERROR(SEARCH("清車",X555)))</formula>
    </cfRule>
    <cfRule type="containsText" dxfId="193" priority="448" operator="containsText" text="改紡">
      <formula>NOT(ISERROR(SEARCH("改紡",X555)))</formula>
    </cfRule>
    <cfRule type="containsText" dxfId="192" priority="449" operator="containsText" text="了機">
      <formula>NOT(ISERROR(SEARCH("了機",X555)))</formula>
    </cfRule>
  </conditionalFormatting>
  <conditionalFormatting sqref="X593:X594 Y593:Y602">
    <cfRule type="containsText" dxfId="191" priority="414" operator="containsText" text="清車">
      <formula>NOT(ISERROR(SEARCH("清車",X593)))</formula>
    </cfRule>
    <cfRule type="containsText" dxfId="190" priority="415" operator="containsText" text="改紡">
      <formula>NOT(ISERROR(SEARCH("改紡",X593)))</formula>
    </cfRule>
    <cfRule type="containsText" dxfId="189" priority="416" operator="containsText" text="了機">
      <formula>NOT(ISERROR(SEARCH("了機",X593)))</formula>
    </cfRule>
  </conditionalFormatting>
  <conditionalFormatting sqref="X594:X602">
    <cfRule type="containsText" dxfId="188" priority="411" operator="containsText" text="清車">
      <formula>NOT(ISERROR(SEARCH("清車",X594)))</formula>
    </cfRule>
    <cfRule type="containsText" dxfId="187" priority="412" operator="containsText" text="改紡">
      <formula>NOT(ISERROR(SEARCH("改紡",X594)))</formula>
    </cfRule>
    <cfRule type="containsText" dxfId="186" priority="413" operator="containsText" text="了機">
      <formula>NOT(ISERROR(SEARCH("了機",X594)))</formula>
    </cfRule>
  </conditionalFormatting>
  <conditionalFormatting sqref="X632:X633 Y632:Y641">
    <cfRule type="containsText" dxfId="185" priority="378" operator="containsText" text="清車">
      <formula>NOT(ISERROR(SEARCH("清車",X632)))</formula>
    </cfRule>
    <cfRule type="containsText" dxfId="184" priority="379" operator="containsText" text="改紡">
      <formula>NOT(ISERROR(SEARCH("改紡",X632)))</formula>
    </cfRule>
    <cfRule type="containsText" dxfId="183" priority="380" operator="containsText" text="了機">
      <formula>NOT(ISERROR(SEARCH("了機",X632)))</formula>
    </cfRule>
  </conditionalFormatting>
  <conditionalFormatting sqref="X633:X641">
    <cfRule type="containsText" dxfId="182" priority="375" operator="containsText" text="清車">
      <formula>NOT(ISERROR(SEARCH("清車",X633)))</formula>
    </cfRule>
    <cfRule type="containsText" dxfId="181" priority="376" operator="containsText" text="改紡">
      <formula>NOT(ISERROR(SEARCH("改紡",X633)))</formula>
    </cfRule>
    <cfRule type="containsText" dxfId="180" priority="377" operator="containsText" text="了機">
      <formula>NOT(ISERROR(SEARCH("了機",X633)))</formula>
    </cfRule>
  </conditionalFormatting>
  <conditionalFormatting sqref="X671:X672 Y671:Y680">
    <cfRule type="containsText" dxfId="179" priority="342" operator="containsText" text="清車">
      <formula>NOT(ISERROR(SEARCH("清車",X671)))</formula>
    </cfRule>
    <cfRule type="containsText" dxfId="178" priority="343" operator="containsText" text="改紡">
      <formula>NOT(ISERROR(SEARCH("改紡",X671)))</formula>
    </cfRule>
    <cfRule type="containsText" dxfId="177" priority="344" operator="containsText" text="了機">
      <formula>NOT(ISERROR(SEARCH("了機",X671)))</formula>
    </cfRule>
  </conditionalFormatting>
  <conditionalFormatting sqref="X672:X680">
    <cfRule type="containsText" dxfId="176" priority="339" operator="containsText" text="清車">
      <formula>NOT(ISERROR(SEARCH("清車",X672)))</formula>
    </cfRule>
    <cfRule type="containsText" dxfId="175" priority="340" operator="containsText" text="改紡">
      <formula>NOT(ISERROR(SEARCH("改紡",X672)))</formula>
    </cfRule>
    <cfRule type="containsText" dxfId="174" priority="341" operator="containsText" text="了機">
      <formula>NOT(ISERROR(SEARCH("了機",X672)))</formula>
    </cfRule>
  </conditionalFormatting>
  <conditionalFormatting sqref="X710:X711 Y710:Y719">
    <cfRule type="containsText" dxfId="173" priority="309" operator="containsText" text="清車">
      <formula>NOT(ISERROR(SEARCH("清車",X710)))</formula>
    </cfRule>
    <cfRule type="containsText" dxfId="172" priority="310" operator="containsText" text="改紡">
      <formula>NOT(ISERROR(SEARCH("改紡",X710)))</formula>
    </cfRule>
    <cfRule type="containsText" dxfId="171" priority="311" operator="containsText" text="了機">
      <formula>NOT(ISERROR(SEARCH("了機",X710)))</formula>
    </cfRule>
  </conditionalFormatting>
  <conditionalFormatting sqref="X711:X719">
    <cfRule type="containsText" dxfId="170" priority="306" operator="containsText" text="清車">
      <formula>NOT(ISERROR(SEARCH("清車",X711)))</formula>
    </cfRule>
    <cfRule type="containsText" dxfId="169" priority="307" operator="containsText" text="改紡">
      <formula>NOT(ISERROR(SEARCH("改紡",X711)))</formula>
    </cfRule>
    <cfRule type="containsText" dxfId="168" priority="308" operator="containsText" text="了機">
      <formula>NOT(ISERROR(SEARCH("了機",X711)))</formula>
    </cfRule>
  </conditionalFormatting>
  <conditionalFormatting sqref="X749:X750 Y749:Y758">
    <cfRule type="containsText" dxfId="167" priority="282" operator="containsText" text="清車">
      <formula>NOT(ISERROR(SEARCH("清車",X749)))</formula>
    </cfRule>
    <cfRule type="containsText" dxfId="166" priority="283" operator="containsText" text="改紡">
      <formula>NOT(ISERROR(SEARCH("改紡",X749)))</formula>
    </cfRule>
    <cfRule type="containsText" dxfId="165" priority="284" operator="containsText" text="了機">
      <formula>NOT(ISERROR(SEARCH("了機",X749)))</formula>
    </cfRule>
  </conditionalFormatting>
  <conditionalFormatting sqref="X750:X758">
    <cfRule type="containsText" dxfId="164" priority="279" operator="containsText" text="清車">
      <formula>NOT(ISERROR(SEARCH("清車",X750)))</formula>
    </cfRule>
    <cfRule type="containsText" dxfId="163" priority="280" operator="containsText" text="改紡">
      <formula>NOT(ISERROR(SEARCH("改紡",X750)))</formula>
    </cfRule>
    <cfRule type="containsText" dxfId="162" priority="281" operator="containsText" text="了機">
      <formula>NOT(ISERROR(SEARCH("了機",X750)))</formula>
    </cfRule>
  </conditionalFormatting>
  <conditionalFormatting sqref="X789">
    <cfRule type="containsText" dxfId="161" priority="252" operator="containsText" text="清車">
      <formula>NOT(ISERROR(SEARCH("清車",X789)))</formula>
    </cfRule>
    <cfRule type="containsText" dxfId="160" priority="253" operator="containsText" text="改紡">
      <formula>NOT(ISERROR(SEARCH("改紡",X789)))</formula>
    </cfRule>
    <cfRule type="containsText" dxfId="159" priority="254" operator="containsText" text="了機">
      <formula>NOT(ISERROR(SEARCH("了機",X789)))</formula>
    </cfRule>
  </conditionalFormatting>
  <conditionalFormatting sqref="X827:X828 Y827:Y836">
    <cfRule type="containsText" dxfId="158" priority="234" operator="containsText" text="清車">
      <formula>NOT(ISERROR(SEARCH("清車",X827)))</formula>
    </cfRule>
    <cfRule type="containsText" dxfId="157" priority="235" operator="containsText" text="改紡">
      <formula>NOT(ISERROR(SEARCH("改紡",X827)))</formula>
    </cfRule>
    <cfRule type="containsText" dxfId="156" priority="236" operator="containsText" text="了機">
      <formula>NOT(ISERROR(SEARCH("了機",X827)))</formula>
    </cfRule>
  </conditionalFormatting>
  <conditionalFormatting sqref="X828:X836">
    <cfRule type="containsText" dxfId="155" priority="231" operator="containsText" text="清車">
      <formula>NOT(ISERROR(SEARCH("清車",X828)))</formula>
    </cfRule>
    <cfRule type="containsText" dxfId="154" priority="232" operator="containsText" text="改紡">
      <formula>NOT(ISERROR(SEARCH("改紡",X828)))</formula>
    </cfRule>
    <cfRule type="containsText" dxfId="153" priority="233" operator="containsText" text="了機">
      <formula>NOT(ISERROR(SEARCH("了機",X828)))</formula>
    </cfRule>
  </conditionalFormatting>
  <conditionalFormatting sqref="X866:X867 Y866:Y875">
    <cfRule type="containsText" dxfId="152" priority="192" operator="containsText" text="清車">
      <formula>NOT(ISERROR(SEARCH("清車",X866)))</formula>
    </cfRule>
    <cfRule type="containsText" dxfId="151" priority="193" operator="containsText" text="改紡">
      <formula>NOT(ISERROR(SEARCH("改紡",X866)))</formula>
    </cfRule>
    <cfRule type="containsText" dxfId="150" priority="194" operator="containsText" text="了機">
      <formula>NOT(ISERROR(SEARCH("了機",X866)))</formula>
    </cfRule>
  </conditionalFormatting>
  <conditionalFormatting sqref="X867:X875">
    <cfRule type="containsText" dxfId="149" priority="189" operator="containsText" text="清車">
      <formula>NOT(ISERROR(SEARCH("清車",X867)))</formula>
    </cfRule>
    <cfRule type="containsText" dxfId="148" priority="190" operator="containsText" text="改紡">
      <formula>NOT(ISERROR(SEARCH("改紡",X867)))</formula>
    </cfRule>
    <cfRule type="containsText" dxfId="147" priority="191" operator="containsText" text="了機">
      <formula>NOT(ISERROR(SEARCH("了機",X867)))</formula>
    </cfRule>
  </conditionalFormatting>
  <conditionalFormatting sqref="X905:X906 Y905:Y914">
    <cfRule type="containsText" dxfId="146" priority="138" operator="containsText" text="清車">
      <formula>NOT(ISERROR(SEARCH("清車",X905)))</formula>
    </cfRule>
    <cfRule type="containsText" dxfId="145" priority="139" operator="containsText" text="改紡">
      <formula>NOT(ISERROR(SEARCH("改紡",X905)))</formula>
    </cfRule>
    <cfRule type="containsText" dxfId="144" priority="140" operator="containsText" text="了機">
      <formula>NOT(ISERROR(SEARCH("了機",X905)))</formula>
    </cfRule>
  </conditionalFormatting>
  <conditionalFormatting sqref="X906:X914">
    <cfRule type="containsText" dxfId="143" priority="135" operator="containsText" text="清車">
      <formula>NOT(ISERROR(SEARCH("清車",X906)))</formula>
    </cfRule>
    <cfRule type="containsText" dxfId="142" priority="136" operator="containsText" text="改紡">
      <formula>NOT(ISERROR(SEARCH("改紡",X906)))</formula>
    </cfRule>
    <cfRule type="containsText" dxfId="141" priority="137" operator="containsText" text="了機">
      <formula>NOT(ISERROR(SEARCH("了機",X906)))</formula>
    </cfRule>
  </conditionalFormatting>
  <conditionalFormatting sqref="X944:X945 Y944:Y953">
    <cfRule type="containsText" dxfId="140" priority="102" operator="containsText" text="清車">
      <formula>NOT(ISERROR(SEARCH("清車",X944)))</formula>
    </cfRule>
    <cfRule type="containsText" dxfId="139" priority="103" operator="containsText" text="改紡">
      <formula>NOT(ISERROR(SEARCH("改紡",X944)))</formula>
    </cfRule>
    <cfRule type="containsText" dxfId="138" priority="104" operator="containsText" text="了機">
      <formula>NOT(ISERROR(SEARCH("了機",X944)))</formula>
    </cfRule>
  </conditionalFormatting>
  <conditionalFormatting sqref="X945:X953">
    <cfRule type="containsText" dxfId="137" priority="99" operator="containsText" text="清車">
      <formula>NOT(ISERROR(SEARCH("清車",X945)))</formula>
    </cfRule>
    <cfRule type="containsText" dxfId="136" priority="100" operator="containsText" text="改紡">
      <formula>NOT(ISERROR(SEARCH("改紡",X945)))</formula>
    </cfRule>
    <cfRule type="containsText" dxfId="135" priority="101" operator="containsText" text="了機">
      <formula>NOT(ISERROR(SEARCH("了機",X945)))</formula>
    </cfRule>
  </conditionalFormatting>
  <conditionalFormatting sqref="X984">
    <cfRule type="containsText" dxfId="134" priority="54" operator="containsText" text="清車">
      <formula>NOT(ISERROR(SEARCH("清車",X984)))</formula>
    </cfRule>
    <cfRule type="containsText" dxfId="133" priority="55" operator="containsText" text="改紡">
      <formula>NOT(ISERROR(SEARCH("改紡",X984)))</formula>
    </cfRule>
    <cfRule type="containsText" dxfId="132" priority="56" operator="containsText" text="了機">
      <formula>NOT(ISERROR(SEARCH("了機",X984)))</formula>
    </cfRule>
  </conditionalFormatting>
  <conditionalFormatting sqref="X1023">
    <cfRule type="containsText" dxfId="131" priority="48" operator="containsText" text="清車">
      <formula>NOT(ISERROR(SEARCH("清車",X1023)))</formula>
    </cfRule>
    <cfRule type="containsText" dxfId="130" priority="49" operator="containsText" text="改紡">
      <formula>NOT(ISERROR(SEARCH("改紡",X1023)))</formula>
    </cfRule>
    <cfRule type="containsText" dxfId="129" priority="50" operator="containsText" text="了機">
      <formula>NOT(ISERROR(SEARCH("了機",X1023)))</formula>
    </cfRule>
  </conditionalFormatting>
  <conditionalFormatting sqref="X1062">
    <cfRule type="containsText" dxfId="128" priority="42" operator="containsText" text="清車">
      <formula>NOT(ISERROR(SEARCH("清車",X1062)))</formula>
    </cfRule>
    <cfRule type="containsText" dxfId="127" priority="43" operator="containsText" text="改紡">
      <formula>NOT(ISERROR(SEARCH("改紡",X1062)))</formula>
    </cfRule>
    <cfRule type="containsText" dxfId="126" priority="44" operator="containsText" text="了機">
      <formula>NOT(ISERROR(SEARCH("了機",X1062)))</formula>
    </cfRule>
  </conditionalFormatting>
  <conditionalFormatting sqref="X1101">
    <cfRule type="containsText" dxfId="125" priority="36" operator="containsText" text="清車">
      <formula>NOT(ISERROR(SEARCH("清車",X1101)))</formula>
    </cfRule>
    <cfRule type="containsText" dxfId="124" priority="37" operator="containsText" text="改紡">
      <formula>NOT(ISERROR(SEARCH("改紡",X1101)))</formula>
    </cfRule>
    <cfRule type="containsText" dxfId="123" priority="38" operator="containsText" text="了機">
      <formula>NOT(ISERROR(SEARCH("了機",X1101)))</formula>
    </cfRule>
  </conditionalFormatting>
  <conditionalFormatting sqref="X1142">
    <cfRule type="containsText" dxfId="122" priority="30" operator="containsText" text="清車">
      <formula>NOT(ISERROR(SEARCH("清車",X1142)))</formula>
    </cfRule>
    <cfRule type="containsText" dxfId="121" priority="31" operator="containsText" text="改紡">
      <formula>NOT(ISERROR(SEARCH("改紡",X1142)))</formula>
    </cfRule>
    <cfRule type="containsText" dxfId="120" priority="32" operator="containsText" text="了機">
      <formula>NOT(ISERROR(SEARCH("了機",X1142)))</formula>
    </cfRule>
  </conditionalFormatting>
  <conditionalFormatting sqref="X1183">
    <cfRule type="containsText" dxfId="119" priority="24" operator="containsText" text="清車">
      <formula>NOT(ISERROR(SEARCH("清車",X1183)))</formula>
    </cfRule>
    <cfRule type="containsText" dxfId="118" priority="25" operator="containsText" text="改紡">
      <formula>NOT(ISERROR(SEARCH("改紡",X1183)))</formula>
    </cfRule>
    <cfRule type="containsText" dxfId="117" priority="26" operator="containsText" text="了機">
      <formula>NOT(ISERROR(SEARCH("了機",X1183)))</formula>
    </cfRule>
  </conditionalFormatting>
  <conditionalFormatting sqref="X1223">
    <cfRule type="containsText" dxfId="116" priority="18" operator="containsText" text="清車">
      <formula>NOT(ISERROR(SEARCH("清車",X1223)))</formula>
    </cfRule>
    <cfRule type="containsText" dxfId="115" priority="19" operator="containsText" text="改紡">
      <formula>NOT(ISERROR(SEARCH("改紡",X1223)))</formula>
    </cfRule>
    <cfRule type="containsText" dxfId="114" priority="20" operator="containsText" text="了機">
      <formula>NOT(ISERROR(SEARCH("了機",X1223)))</formula>
    </cfRule>
  </conditionalFormatting>
  <conditionalFormatting sqref="X2:Y433">
    <cfRule type="containsText" dxfId="113" priority="534" operator="containsText" text="清車">
      <formula>NOT(ISERROR(SEARCH("清車",X2)))</formula>
    </cfRule>
    <cfRule type="containsText" dxfId="112" priority="535" operator="containsText" text="改紡">
      <formula>NOT(ISERROR(SEARCH("改紡",X2)))</formula>
    </cfRule>
    <cfRule type="containsText" dxfId="111" priority="536" operator="containsText" text="了機">
      <formula>NOT(ISERROR(SEARCH("了機",X2)))</formula>
    </cfRule>
  </conditionalFormatting>
  <conditionalFormatting sqref="X444:Y473">
    <cfRule type="containsText" dxfId="110" priority="519" operator="containsText" text="清車">
      <formula>NOT(ISERROR(SEARCH("清車",X444)))</formula>
    </cfRule>
    <cfRule type="containsText" dxfId="109" priority="520" operator="containsText" text="改紡">
      <formula>NOT(ISERROR(SEARCH("改紡",X444)))</formula>
    </cfRule>
    <cfRule type="containsText" dxfId="108" priority="521" operator="containsText" text="了機">
      <formula>NOT(ISERROR(SEARCH("了機",X444)))</formula>
    </cfRule>
  </conditionalFormatting>
  <conditionalFormatting sqref="X484:Y513">
    <cfRule type="containsText" dxfId="107" priority="480" operator="containsText" text="清車">
      <formula>NOT(ISERROR(SEARCH("清車",X484)))</formula>
    </cfRule>
    <cfRule type="containsText" dxfId="106" priority="481" operator="containsText" text="改紡">
      <formula>NOT(ISERROR(SEARCH("改紡",X484)))</formula>
    </cfRule>
    <cfRule type="containsText" dxfId="105" priority="482" operator="containsText" text="了機">
      <formula>NOT(ISERROR(SEARCH("了機",X484)))</formula>
    </cfRule>
  </conditionalFormatting>
  <conditionalFormatting sqref="X524:Y553">
    <cfRule type="containsText" dxfId="104" priority="444" operator="containsText" text="清車">
      <formula>NOT(ISERROR(SEARCH("清車",X524)))</formula>
    </cfRule>
    <cfRule type="containsText" dxfId="103" priority="445" operator="containsText" text="改紡">
      <formula>NOT(ISERROR(SEARCH("改紡",X524)))</formula>
    </cfRule>
    <cfRule type="containsText" dxfId="102" priority="446" operator="containsText" text="了機">
      <formula>NOT(ISERROR(SEARCH("了機",X524)))</formula>
    </cfRule>
  </conditionalFormatting>
  <conditionalFormatting sqref="X564:Y592">
    <cfRule type="containsText" dxfId="101" priority="381" operator="containsText" text="清車">
      <formula>NOT(ISERROR(SEARCH("清車",X564)))</formula>
    </cfRule>
    <cfRule type="containsText" dxfId="100" priority="382" operator="containsText" text="改紡">
      <formula>NOT(ISERROR(SEARCH("改紡",X564)))</formula>
    </cfRule>
    <cfRule type="containsText" dxfId="99" priority="383" operator="containsText" text="了機">
      <formula>NOT(ISERROR(SEARCH("了機",X564)))</formula>
    </cfRule>
  </conditionalFormatting>
  <conditionalFormatting sqref="X603:Y631">
    <cfRule type="containsText" dxfId="98" priority="345" operator="containsText" text="清車">
      <formula>NOT(ISERROR(SEARCH("清車",X603)))</formula>
    </cfRule>
    <cfRule type="containsText" dxfId="97" priority="346" operator="containsText" text="改紡">
      <formula>NOT(ISERROR(SEARCH("改紡",X603)))</formula>
    </cfRule>
    <cfRule type="containsText" dxfId="96" priority="347" operator="containsText" text="了機">
      <formula>NOT(ISERROR(SEARCH("了機",X603)))</formula>
    </cfRule>
  </conditionalFormatting>
  <conditionalFormatting sqref="X642:Y670">
    <cfRule type="containsText" dxfId="95" priority="312" operator="containsText" text="清車">
      <formula>NOT(ISERROR(SEARCH("清車",X642)))</formula>
    </cfRule>
    <cfRule type="containsText" dxfId="94" priority="313" operator="containsText" text="改紡">
      <formula>NOT(ISERROR(SEARCH("改紡",X642)))</formula>
    </cfRule>
    <cfRule type="containsText" dxfId="93" priority="314" operator="containsText" text="了機">
      <formula>NOT(ISERROR(SEARCH("了機",X642)))</formula>
    </cfRule>
  </conditionalFormatting>
  <conditionalFormatting sqref="X681:Y709">
    <cfRule type="containsText" dxfId="92" priority="198" operator="containsText" text="清車">
      <formula>NOT(ISERROR(SEARCH("清車",X681)))</formula>
    </cfRule>
    <cfRule type="containsText" dxfId="91" priority="199" operator="containsText" text="改紡">
      <formula>NOT(ISERROR(SEARCH("改紡",X681)))</formula>
    </cfRule>
    <cfRule type="containsText" dxfId="90" priority="200" operator="containsText" text="了機">
      <formula>NOT(ISERROR(SEARCH("了機",X681)))</formula>
    </cfRule>
  </conditionalFormatting>
  <conditionalFormatting sqref="X720:Y748">
    <cfRule type="containsText" dxfId="89" priority="162" operator="containsText" text="清車">
      <formula>NOT(ISERROR(SEARCH("清車",X720)))</formula>
    </cfRule>
    <cfRule type="containsText" dxfId="88" priority="163" operator="containsText" text="改紡">
      <formula>NOT(ISERROR(SEARCH("改紡",X720)))</formula>
    </cfRule>
    <cfRule type="containsText" dxfId="87" priority="164" operator="containsText" text="了機">
      <formula>NOT(ISERROR(SEARCH("了機",X720)))</formula>
    </cfRule>
  </conditionalFormatting>
  <conditionalFormatting sqref="X759:Y826">
    <cfRule type="containsText" dxfId="86" priority="156" operator="containsText" text="清車">
      <formula>NOT(ISERROR(SEARCH("清車",X759)))</formula>
    </cfRule>
    <cfRule type="containsText" dxfId="85" priority="157" operator="containsText" text="改紡">
      <formula>NOT(ISERROR(SEARCH("改紡",X759)))</formula>
    </cfRule>
    <cfRule type="containsText" dxfId="84" priority="158" operator="containsText" text="了機">
      <formula>NOT(ISERROR(SEARCH("了機",X759)))</formula>
    </cfRule>
  </conditionalFormatting>
  <conditionalFormatting sqref="X837:Y865">
    <cfRule type="containsText" dxfId="83" priority="144" operator="containsText" text="清車">
      <formula>NOT(ISERROR(SEARCH("清車",X837)))</formula>
    </cfRule>
    <cfRule type="containsText" dxfId="82" priority="145" operator="containsText" text="改紡">
      <formula>NOT(ISERROR(SEARCH("改紡",X837)))</formula>
    </cfRule>
    <cfRule type="containsText" dxfId="81" priority="146" operator="containsText" text="了機">
      <formula>NOT(ISERROR(SEARCH("了機",X837)))</formula>
    </cfRule>
  </conditionalFormatting>
  <conditionalFormatting sqref="X876:Y904">
    <cfRule type="containsText" dxfId="80" priority="108" operator="containsText" text="清車">
      <formula>NOT(ISERROR(SEARCH("清車",X876)))</formula>
    </cfRule>
    <cfRule type="containsText" dxfId="79" priority="109" operator="containsText" text="改紡">
      <formula>NOT(ISERROR(SEARCH("改紡",X876)))</formula>
    </cfRule>
    <cfRule type="containsText" dxfId="78" priority="110" operator="containsText" text="了機">
      <formula>NOT(ISERROR(SEARCH("了機",X876)))</formula>
    </cfRule>
  </conditionalFormatting>
  <conditionalFormatting sqref="X915:Y943">
    <cfRule type="containsText" dxfId="77" priority="57" operator="containsText" text="清車">
      <formula>NOT(ISERROR(SEARCH("清車",X915)))</formula>
    </cfRule>
    <cfRule type="containsText" dxfId="76" priority="58" operator="containsText" text="改紡">
      <formula>NOT(ISERROR(SEARCH("改紡",X915)))</formula>
    </cfRule>
    <cfRule type="containsText" dxfId="75" priority="59" operator="containsText" text="了機">
      <formula>NOT(ISERROR(SEARCH("了機",X915)))</formula>
    </cfRule>
  </conditionalFormatting>
  <conditionalFormatting sqref="X954:Y1231">
    <cfRule type="containsText" dxfId="74" priority="5" operator="containsText" text="清車">
      <formula>NOT(ISERROR(SEARCH("清車",X954)))</formula>
    </cfRule>
    <cfRule type="containsText" dxfId="73" priority="6" operator="containsText" text="改紡">
      <formula>NOT(ISERROR(SEARCH("改紡",X954)))</formula>
    </cfRule>
    <cfRule type="containsText" dxfId="72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2026-06-18T05:27:35Z</dcterms:modified>
</cp:coreProperties>
</file>