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mpletecovergroup.sharepoint.com/sites/MulsanneShare/Shared Documents/Underwriting and Pricing/Reserving/2025/6. June 25/3. Reserving Outputs/4. Finance, Pricing Outputs/7. Booking Spreadsheet/Sent/"/>
    </mc:Choice>
  </mc:AlternateContent>
  <xr:revisionPtr revIDLastSave="769" documentId="13_ncr:1_{EAFDFEFA-871B-47CE-990E-0DDA17775BEB}" xr6:coauthVersionLast="47" xr6:coauthVersionMax="47" xr10:uidLastSave="{0FCF6C21-56F9-4399-97C7-E5732736CA1A}"/>
  <bookViews>
    <workbookView xWindow="-120" yWindow="-120" windowWidth="29040" windowHeight="15720" activeTab="1" xr2:uid="{26EC698C-A97B-45EA-AEC0-AA4519FE1186}"/>
  </bookViews>
  <sheets>
    <sheet name="Booking Tabs ==&gt;&gt;&gt;" sheetId="1" r:id="rId1"/>
    <sheet name="30 Jun 2025 - Net" sheetId="18" r:id="rId2"/>
    <sheet name="30 Jun 2025 - Gross" sheetId="19" r:id="rId3"/>
    <sheet name="WTW Results &gt;" sheetId="21" r:id="rId4"/>
    <sheet name="Net Results by UW month" sheetId="22" r:id="rId5"/>
    <sheet name="Gross Results by UW month" sheetId="23" r:id="rId6"/>
    <sheet name="Vs Internal (MICL)" sheetId="24" r:id="rId7"/>
  </sheets>
  <definedNames>
    <definedName name="_xlnm.Print_Area" localSheetId="5">'Gross Results by UW month'!$A$1:$N$100</definedName>
    <definedName name="_xlnm.Print_Area" localSheetId="4">'Net Results by UW month'!$A$1:$Q$100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4" i="19" l="1" a="1"/>
  <c r="L74" i="19" s="1"/>
  <c r="L73" i="19" a="1"/>
  <c r="L73" i="19" s="1"/>
  <c r="L72" i="19" a="1"/>
  <c r="L72" i="19" s="1"/>
  <c r="L71" i="19" a="1"/>
  <c r="L71" i="19" s="1"/>
  <c r="L70" i="19" a="1"/>
  <c r="L70" i="19" s="1"/>
  <c r="L69" i="19" a="1"/>
  <c r="L69" i="19" s="1"/>
  <c r="K74" i="19" a="1"/>
  <c r="K74" i="19" s="1"/>
  <c r="U74" i="19" s="1"/>
  <c r="K73" i="19" a="1"/>
  <c r="K73" i="19" s="1"/>
  <c r="K72" i="19" a="1"/>
  <c r="K72" i="19" s="1"/>
  <c r="K71" i="19" a="1"/>
  <c r="K71" i="19" s="1"/>
  <c r="K70" i="19" a="1"/>
  <c r="K70" i="19" s="1"/>
  <c r="K69" i="19" a="1"/>
  <c r="K69" i="19" s="1"/>
  <c r="J74" i="19" a="1"/>
  <c r="J74" i="19" s="1"/>
  <c r="J73" i="19" a="1"/>
  <c r="J73" i="19" s="1"/>
  <c r="J72" i="19" a="1"/>
  <c r="J72" i="19" s="1"/>
  <c r="J71" i="19" a="1"/>
  <c r="J71" i="19" s="1"/>
  <c r="J70" i="19" a="1"/>
  <c r="J70" i="19" s="1"/>
  <c r="J69" i="19" a="1"/>
  <c r="J69" i="19" s="1"/>
  <c r="L67" i="19" a="1"/>
  <c r="L67" i="19" s="1"/>
  <c r="L66" i="19" a="1"/>
  <c r="L66" i="19" s="1"/>
  <c r="L65" i="19" a="1"/>
  <c r="L65" i="19" s="1"/>
  <c r="L64" i="19" a="1"/>
  <c r="L64" i="19" s="1"/>
  <c r="L63" i="19" a="1"/>
  <c r="L63" i="19" s="1"/>
  <c r="L62" i="19" a="1"/>
  <c r="L62" i="19" s="1"/>
  <c r="L61" i="19" a="1"/>
  <c r="L61" i="19" s="1"/>
  <c r="L60" i="19" a="1"/>
  <c r="L60" i="19" s="1"/>
  <c r="L59" i="19" a="1"/>
  <c r="L59" i="19" s="1"/>
  <c r="L58" i="19" a="1"/>
  <c r="L58" i="19" s="1"/>
  <c r="L57" i="19" a="1"/>
  <c r="L57" i="19" s="1"/>
  <c r="L56" i="19" a="1"/>
  <c r="L56" i="19" s="1"/>
  <c r="K67" i="19" a="1"/>
  <c r="K67" i="19" s="1"/>
  <c r="K66" i="19" a="1"/>
  <c r="K66" i="19" s="1"/>
  <c r="K65" i="19" a="1"/>
  <c r="K65" i="19" s="1"/>
  <c r="K64" i="19" a="1"/>
  <c r="K64" i="19" s="1"/>
  <c r="K63" i="19" a="1"/>
  <c r="K63" i="19" s="1"/>
  <c r="K62" i="19" a="1"/>
  <c r="K62" i="19" s="1"/>
  <c r="J67" i="19" a="1"/>
  <c r="J67" i="19" s="1"/>
  <c r="J66" i="19" a="1"/>
  <c r="J66" i="19" s="1"/>
  <c r="J65" i="19" a="1"/>
  <c r="J65" i="19" s="1"/>
  <c r="J64" i="19" a="1"/>
  <c r="J64" i="19" s="1"/>
  <c r="J63" i="19" a="1"/>
  <c r="J63" i="19" s="1"/>
  <c r="J62" i="19" a="1"/>
  <c r="J62" i="19" s="1"/>
  <c r="J61" i="19" a="1"/>
  <c r="J61" i="19" s="1"/>
  <c r="J60" i="19" a="1"/>
  <c r="J60" i="19" s="1"/>
  <c r="J59" i="19" a="1"/>
  <c r="J59" i="19" s="1"/>
  <c r="J58" i="19" a="1"/>
  <c r="J58" i="19" s="1"/>
  <c r="J57" i="19" a="1"/>
  <c r="J57" i="19" s="1"/>
  <c r="J56" i="19" a="1"/>
  <c r="J56" i="19" s="1"/>
  <c r="L54" i="19" a="1"/>
  <c r="L54" i="19" s="1"/>
  <c r="L53" i="19" a="1"/>
  <c r="L53" i="19" s="1"/>
  <c r="L52" i="19" a="1"/>
  <c r="L52" i="19" s="1"/>
  <c r="L51" i="19" a="1"/>
  <c r="L51" i="19" s="1"/>
  <c r="L50" i="19" a="1"/>
  <c r="L50" i="19" s="1"/>
  <c r="L49" i="19" a="1"/>
  <c r="L49" i="19" s="1"/>
  <c r="L48" i="19" a="1"/>
  <c r="L48" i="19" s="1"/>
  <c r="L47" i="19" a="1"/>
  <c r="L47" i="19" s="1"/>
  <c r="L46" i="19" a="1"/>
  <c r="L46" i="19" s="1"/>
  <c r="L45" i="19" a="1"/>
  <c r="L45" i="19" s="1"/>
  <c r="L44" i="19" a="1"/>
  <c r="L44" i="19" s="1"/>
  <c r="L43" i="19" a="1"/>
  <c r="L43" i="19" s="1"/>
  <c r="J43" i="19" a="1"/>
  <c r="J43" i="19" s="1"/>
  <c r="J44" i="19" a="1"/>
  <c r="J44" i="19"/>
  <c r="J45" i="19" a="1"/>
  <c r="J45" i="19" s="1"/>
  <c r="J46" i="19" a="1"/>
  <c r="J46" i="19" s="1"/>
  <c r="J47" i="19" a="1"/>
  <c r="J47" i="19"/>
  <c r="J48" i="19" a="1"/>
  <c r="J48" i="19" s="1"/>
  <c r="J49" i="19" a="1"/>
  <c r="J49" i="19" s="1"/>
  <c r="J50" i="19" a="1"/>
  <c r="J50" i="19" s="1"/>
  <c r="J51" i="19" a="1"/>
  <c r="J51" i="19" s="1"/>
  <c r="J52" i="19" a="1"/>
  <c r="J52" i="19" s="1"/>
  <c r="J53" i="19" a="1"/>
  <c r="J53" i="19" s="1"/>
  <c r="J54" i="19" a="1"/>
  <c r="J54" i="19" s="1"/>
  <c r="K74" i="18" a="1"/>
  <c r="K74" i="18" s="1"/>
  <c r="K73" i="18" a="1"/>
  <c r="K73" i="18" s="1"/>
  <c r="J73" i="18" a="1"/>
  <c r="J73" i="18" s="1"/>
  <c r="A98" i="23"/>
  <c r="B98" i="23"/>
  <c r="A99" i="23"/>
  <c r="B99" i="23"/>
  <c r="A100" i="23"/>
  <c r="B100" i="23"/>
  <c r="A98" i="22"/>
  <c r="B98" i="22"/>
  <c r="A99" i="22"/>
  <c r="B99" i="22"/>
  <c r="A100" i="22"/>
  <c r="B100" i="22"/>
  <c r="O73" i="19"/>
  <c r="O74" i="19"/>
  <c r="N73" i="19"/>
  <c r="N74" i="19"/>
  <c r="M73" i="19"/>
  <c r="M74" i="19"/>
  <c r="O74" i="18"/>
  <c r="N73" i="18"/>
  <c r="N74" i="18"/>
  <c r="M73" i="18"/>
  <c r="M74" i="18"/>
  <c r="C41" i="19"/>
  <c r="C41" i="18" s="1"/>
  <c r="C81" i="18" s="1"/>
  <c r="D41" i="19"/>
  <c r="N41" i="19" s="1"/>
  <c r="N81" i="19" s="1"/>
  <c r="E41" i="19"/>
  <c r="O41" i="19" s="1"/>
  <c r="C17" i="19"/>
  <c r="D17" i="19"/>
  <c r="E17" i="19"/>
  <c r="C18" i="19"/>
  <c r="D18" i="19"/>
  <c r="E18" i="19"/>
  <c r="A73" i="19"/>
  <c r="A74" i="19"/>
  <c r="E73" i="18"/>
  <c r="O73" i="18" s="1"/>
  <c r="E74" i="18"/>
  <c r="L74" i="18" s="1" a="1"/>
  <c r="L74" i="18" s="1"/>
  <c r="V74" i="18" s="1"/>
  <c r="D73" i="18"/>
  <c r="D74" i="18"/>
  <c r="C73" i="18"/>
  <c r="C74" i="18"/>
  <c r="J74" i="18" s="1" a="1"/>
  <c r="J74" i="18" s="1"/>
  <c r="T74" i="18" s="1"/>
  <c r="A73" i="18"/>
  <c r="A74" i="18"/>
  <c r="O72" i="19"/>
  <c r="N72" i="19"/>
  <c r="M72" i="19"/>
  <c r="O70" i="19"/>
  <c r="O71" i="19"/>
  <c r="N70" i="19"/>
  <c r="N71" i="19"/>
  <c r="M70" i="19"/>
  <c r="M71" i="19"/>
  <c r="S81" i="19"/>
  <c r="R81" i="19"/>
  <c r="Q81" i="19"/>
  <c r="P81" i="19"/>
  <c r="S81" i="18"/>
  <c r="R81" i="18"/>
  <c r="Q81" i="18"/>
  <c r="P81" i="18"/>
  <c r="U73" i="19" l="1"/>
  <c r="T73" i="18"/>
  <c r="L73" i="18" a="1"/>
  <c r="L73" i="18" s="1"/>
  <c r="V73" i="18" s="1"/>
  <c r="L41" i="19"/>
  <c r="T73" i="19"/>
  <c r="V73" i="19"/>
  <c r="T74" i="19"/>
  <c r="V74" i="19"/>
  <c r="V71" i="19"/>
  <c r="V70" i="19"/>
  <c r="K41" i="19"/>
  <c r="U71" i="19"/>
  <c r="U70" i="19"/>
  <c r="J41" i="19"/>
  <c r="T71" i="19"/>
  <c r="T70" i="19"/>
  <c r="E41" i="18"/>
  <c r="O41" i="18" s="1"/>
  <c r="O81" i="18" s="1"/>
  <c r="D41" i="18"/>
  <c r="D81" i="18" s="1"/>
  <c r="D81" i="19"/>
  <c r="E81" i="19"/>
  <c r="M41" i="19"/>
  <c r="M81" i="19" s="1"/>
  <c r="C81" i="19"/>
  <c r="M41" i="18"/>
  <c r="M81" i="18" s="1"/>
  <c r="O81" i="19"/>
  <c r="E81" i="18" l="1"/>
  <c r="N41" i="18"/>
  <c r="N81" i="18" s="1"/>
  <c r="E71" i="18"/>
  <c r="L71" i="18" s="1" a="1"/>
  <c r="L71" i="18" s="1"/>
  <c r="E72" i="18"/>
  <c r="L72" i="18" s="1" a="1"/>
  <c r="L72" i="18" s="1"/>
  <c r="L41" i="18" s="1"/>
  <c r="D71" i="18"/>
  <c r="K71" i="18" s="1" a="1"/>
  <c r="K71" i="18" s="1"/>
  <c r="D72" i="18"/>
  <c r="K72" i="18" s="1" a="1"/>
  <c r="K72" i="18" s="1"/>
  <c r="C71" i="18"/>
  <c r="J71" i="18" s="1" a="1"/>
  <c r="J71" i="18" s="1"/>
  <c r="C72" i="18"/>
  <c r="J72" i="18" s="1" a="1"/>
  <c r="J72" i="18" s="1"/>
  <c r="J41" i="18" s="1"/>
  <c r="F81" i="18"/>
  <c r="G81" i="18"/>
  <c r="H81" i="18"/>
  <c r="I81" i="18"/>
  <c r="Z81" i="18"/>
  <c r="AA81" i="18"/>
  <c r="AB81" i="18"/>
  <c r="AC81" i="18"/>
  <c r="F81" i="19"/>
  <c r="G81" i="19"/>
  <c r="H81" i="19"/>
  <c r="I81" i="19"/>
  <c r="Z81" i="19"/>
  <c r="AA81" i="19"/>
  <c r="AB81" i="19"/>
  <c r="AC81" i="19"/>
  <c r="A95" i="23"/>
  <c r="B95" i="23"/>
  <c r="A96" i="23"/>
  <c r="B96" i="23"/>
  <c r="A97" i="23"/>
  <c r="B97" i="23"/>
  <c r="M72" i="18" l="1"/>
  <c r="O72" i="18"/>
  <c r="M71" i="18"/>
  <c r="T71" i="18" s="1"/>
  <c r="N72" i="18"/>
  <c r="N71" i="18"/>
  <c r="U71" i="18" s="1"/>
  <c r="O71" i="18"/>
  <c r="V71" i="18" s="1"/>
  <c r="N41" i="24"/>
  <c r="C40" i="19" l="1"/>
  <c r="C39" i="19"/>
  <c r="C38" i="19"/>
  <c r="C37" i="19"/>
  <c r="C36" i="19"/>
  <c r="C35" i="19"/>
  <c r="C34" i="19"/>
  <c r="C33" i="19"/>
  <c r="C32" i="19"/>
  <c r="C21" i="19" l="1"/>
  <c r="C100" i="19" s="1"/>
  <c r="M40" i="19"/>
  <c r="M21" i="19" s="1"/>
  <c r="C40" i="18"/>
  <c r="M40" i="18" s="1"/>
  <c r="M21" i="18" s="1"/>
  <c r="D40" i="19"/>
  <c r="E40" i="19"/>
  <c r="C95" i="19" l="1"/>
  <c r="O40" i="19"/>
  <c r="O21" i="19" s="1"/>
  <c r="E21" i="19"/>
  <c r="E100" i="19" s="1"/>
  <c r="E40" i="18"/>
  <c r="O40" i="18" s="1"/>
  <c r="O21" i="18" s="1"/>
  <c r="N40" i="19"/>
  <c r="N21" i="19" s="1"/>
  <c r="D21" i="19"/>
  <c r="D100" i="19" s="1"/>
  <c r="D40" i="18"/>
  <c r="N40" i="18" s="1"/>
  <c r="N21" i="18" s="1"/>
  <c r="F27" i="24"/>
  <c r="I23" i="24"/>
  <c r="J23" i="24"/>
  <c r="K23" i="24"/>
  <c r="F23" i="24"/>
  <c r="G23" i="24"/>
  <c r="H23" i="24"/>
  <c r="C23" i="24"/>
  <c r="D23" i="24"/>
  <c r="E23" i="24"/>
  <c r="N21" i="24"/>
  <c r="A95" i="22"/>
  <c r="B95" i="22"/>
  <c r="A96" i="22"/>
  <c r="B96" i="22"/>
  <c r="A97" i="22"/>
  <c r="B97" i="22"/>
  <c r="C21" i="18"/>
  <c r="C70" i="18"/>
  <c r="D70" i="18"/>
  <c r="E70" i="18"/>
  <c r="A69" i="18"/>
  <c r="O69" i="19"/>
  <c r="N69" i="19"/>
  <c r="M69" i="19"/>
  <c r="A69" i="19"/>
  <c r="C19" i="19"/>
  <c r="C19" i="18" s="1"/>
  <c r="C36" i="18"/>
  <c r="C39" i="18"/>
  <c r="C35" i="18"/>
  <c r="C20" i="19"/>
  <c r="C20" i="18" s="1"/>
  <c r="C38" i="18"/>
  <c r="S80" i="19"/>
  <c r="R80" i="19"/>
  <c r="Q80" i="19"/>
  <c r="P80" i="19"/>
  <c r="S80" i="18"/>
  <c r="R80" i="18"/>
  <c r="Q80" i="18"/>
  <c r="P80" i="18"/>
  <c r="C69" i="18"/>
  <c r="J69" i="18" s="1" a="1"/>
  <c r="J69" i="18" s="1"/>
  <c r="D69" i="18"/>
  <c r="K69" i="18" s="1" a="1"/>
  <c r="K69" i="18" s="1"/>
  <c r="E69" i="18"/>
  <c r="L69" i="18" s="1" a="1"/>
  <c r="L69" i="18" s="1"/>
  <c r="C56" i="18"/>
  <c r="J56" i="18" s="1" a="1"/>
  <c r="J56" i="18" s="1"/>
  <c r="D56" i="18"/>
  <c r="E56" i="18"/>
  <c r="L56" i="18" s="1" a="1"/>
  <c r="L56" i="18" s="1"/>
  <c r="C57" i="18"/>
  <c r="J57" i="18" s="1" a="1"/>
  <c r="J57" i="18" s="1"/>
  <c r="D57" i="18"/>
  <c r="E57" i="18"/>
  <c r="L57" i="18" s="1" a="1"/>
  <c r="L57" i="18" s="1"/>
  <c r="C58" i="18"/>
  <c r="J58" i="18" s="1" a="1"/>
  <c r="J58" i="18" s="1"/>
  <c r="D58" i="18"/>
  <c r="E58" i="18"/>
  <c r="L58" i="18" s="1" a="1"/>
  <c r="L58" i="18" s="1"/>
  <c r="C59" i="18"/>
  <c r="J59" i="18" s="1" a="1"/>
  <c r="J59" i="18" s="1"/>
  <c r="D59" i="18"/>
  <c r="E59" i="18"/>
  <c r="L59" i="18" s="1" a="1"/>
  <c r="L59" i="18" s="1"/>
  <c r="C60" i="18"/>
  <c r="J60" i="18" s="1" a="1"/>
  <c r="J60" i="18" s="1"/>
  <c r="D60" i="18"/>
  <c r="E60" i="18"/>
  <c r="L60" i="18" s="1" a="1"/>
  <c r="L60" i="18" s="1"/>
  <c r="C61" i="18"/>
  <c r="J61" i="18" s="1" a="1"/>
  <c r="J61" i="18" s="1"/>
  <c r="D61" i="18"/>
  <c r="E61" i="18"/>
  <c r="L61" i="18" s="1" a="1"/>
  <c r="L61" i="18" s="1"/>
  <c r="C62" i="18"/>
  <c r="J62" i="18" s="1" a="1"/>
  <c r="J62" i="18" s="1"/>
  <c r="D62" i="18"/>
  <c r="K62" i="18" s="1" a="1"/>
  <c r="K62" i="18" s="1"/>
  <c r="E62" i="18"/>
  <c r="L62" i="18" s="1" a="1"/>
  <c r="L62" i="18" s="1"/>
  <c r="C63" i="18"/>
  <c r="J63" i="18" s="1" a="1"/>
  <c r="J63" i="18" s="1"/>
  <c r="D63" i="18"/>
  <c r="K63" i="18" s="1" a="1"/>
  <c r="K63" i="18" s="1"/>
  <c r="E63" i="18"/>
  <c r="L63" i="18" s="1" a="1"/>
  <c r="L63" i="18" s="1"/>
  <c r="C64" i="18"/>
  <c r="J64" i="18" s="1" a="1"/>
  <c r="J64" i="18" s="1"/>
  <c r="D64" i="18"/>
  <c r="K64" i="18" s="1" a="1"/>
  <c r="K64" i="18" s="1"/>
  <c r="E64" i="18"/>
  <c r="L64" i="18" s="1" a="1"/>
  <c r="L64" i="18" s="1"/>
  <c r="C65" i="18"/>
  <c r="J65" i="18" s="1" a="1"/>
  <c r="J65" i="18" s="1"/>
  <c r="D65" i="18"/>
  <c r="K65" i="18" s="1" a="1"/>
  <c r="K65" i="18" s="1"/>
  <c r="E65" i="18"/>
  <c r="L65" i="18" s="1" a="1"/>
  <c r="L65" i="18" s="1"/>
  <c r="C66" i="18"/>
  <c r="J66" i="18" s="1" a="1"/>
  <c r="J66" i="18" s="1"/>
  <c r="D66" i="18"/>
  <c r="K66" i="18" s="1" a="1"/>
  <c r="K66" i="18" s="1"/>
  <c r="E66" i="18"/>
  <c r="L66" i="18" s="1" a="1"/>
  <c r="L66" i="18" s="1"/>
  <c r="C67" i="18"/>
  <c r="J67" i="18" s="1" a="1"/>
  <c r="J67" i="18" s="1"/>
  <c r="D67" i="18"/>
  <c r="K67" i="18" s="1" a="1"/>
  <c r="K67" i="18" s="1"/>
  <c r="E67" i="18"/>
  <c r="L67" i="18" s="1" a="1"/>
  <c r="L67" i="18" s="1"/>
  <c r="C43" i="18"/>
  <c r="J43" i="18" s="1" a="1"/>
  <c r="J43" i="18" s="1"/>
  <c r="D43" i="18"/>
  <c r="E43" i="18"/>
  <c r="L43" i="18" s="1" a="1"/>
  <c r="L43" i="18" s="1"/>
  <c r="C44" i="18"/>
  <c r="J44" i="18" s="1" a="1"/>
  <c r="J44" i="18" s="1"/>
  <c r="D44" i="18"/>
  <c r="E44" i="18"/>
  <c r="L44" i="18" s="1" a="1"/>
  <c r="L44" i="18" s="1"/>
  <c r="C45" i="18"/>
  <c r="J45" i="18" s="1" a="1"/>
  <c r="J45" i="18" s="1"/>
  <c r="D45" i="18"/>
  <c r="E45" i="18"/>
  <c r="L45" i="18" s="1" a="1"/>
  <c r="L45" i="18" s="1"/>
  <c r="C46" i="18"/>
  <c r="J46" i="18" s="1" a="1"/>
  <c r="J46" i="18" s="1"/>
  <c r="D46" i="18"/>
  <c r="E46" i="18"/>
  <c r="L46" i="18" s="1" a="1"/>
  <c r="L46" i="18" s="1"/>
  <c r="C47" i="18"/>
  <c r="J47" i="18" s="1" a="1"/>
  <c r="J47" i="18" s="1"/>
  <c r="D47" i="18"/>
  <c r="E47" i="18"/>
  <c r="L47" i="18" s="1" a="1"/>
  <c r="L47" i="18" s="1"/>
  <c r="C48" i="18"/>
  <c r="J48" i="18" s="1" a="1"/>
  <c r="J48" i="18" s="1"/>
  <c r="D48" i="18"/>
  <c r="E48" i="18"/>
  <c r="L48" i="18" s="1" a="1"/>
  <c r="L48" i="18" s="1"/>
  <c r="C49" i="18"/>
  <c r="J49" i="18" s="1" a="1"/>
  <c r="J49" i="18" s="1"/>
  <c r="D49" i="18"/>
  <c r="E49" i="18"/>
  <c r="L49" i="18" s="1" a="1"/>
  <c r="L49" i="18" s="1"/>
  <c r="C50" i="18"/>
  <c r="J50" i="18" s="1" a="1"/>
  <c r="J50" i="18" s="1"/>
  <c r="D50" i="18"/>
  <c r="E50" i="18"/>
  <c r="L50" i="18" s="1" a="1"/>
  <c r="L50" i="18" s="1"/>
  <c r="C51" i="18"/>
  <c r="J51" i="18" s="1" a="1"/>
  <c r="J51" i="18" s="1"/>
  <c r="D51" i="18"/>
  <c r="E51" i="18"/>
  <c r="L51" i="18" s="1" a="1"/>
  <c r="L51" i="18" s="1"/>
  <c r="C52" i="18"/>
  <c r="J52" i="18" s="1" a="1"/>
  <c r="J52" i="18" s="1"/>
  <c r="D52" i="18"/>
  <c r="E52" i="18"/>
  <c r="L52" i="18" s="1" a="1"/>
  <c r="L52" i="18" s="1"/>
  <c r="C53" i="18"/>
  <c r="J53" i="18" s="1" a="1"/>
  <c r="J53" i="18" s="1"/>
  <c r="D53" i="18"/>
  <c r="E53" i="18"/>
  <c r="L53" i="18" s="1" a="1"/>
  <c r="L53" i="18" s="1"/>
  <c r="C54" i="18"/>
  <c r="J54" i="18" s="1" a="1"/>
  <c r="J54" i="18" s="1"/>
  <c r="D54" i="18"/>
  <c r="E54" i="18"/>
  <c r="L54" i="18" s="1" a="1"/>
  <c r="L54" i="18" s="1"/>
  <c r="C24" i="18"/>
  <c r="D24" i="18"/>
  <c r="E24" i="18"/>
  <c r="C25" i="18"/>
  <c r="D25" i="18"/>
  <c r="E25" i="18"/>
  <c r="C26" i="18"/>
  <c r="D26" i="18"/>
  <c r="E26" i="18"/>
  <c r="C27" i="18"/>
  <c r="D27" i="18"/>
  <c r="E27" i="18"/>
  <c r="C28" i="18"/>
  <c r="D28" i="18"/>
  <c r="E28" i="18"/>
  <c r="C29" i="18"/>
  <c r="D29" i="18"/>
  <c r="E29" i="18"/>
  <c r="C30" i="18"/>
  <c r="D30" i="18"/>
  <c r="E30" i="18"/>
  <c r="C31" i="18"/>
  <c r="D31" i="18"/>
  <c r="E31" i="18"/>
  <c r="C32" i="18"/>
  <c r="C33" i="18"/>
  <c r="C34" i="18"/>
  <c r="C37" i="18"/>
  <c r="C6" i="18"/>
  <c r="D6" i="18"/>
  <c r="E6" i="18"/>
  <c r="C7" i="18"/>
  <c r="D7" i="18"/>
  <c r="E7" i="18"/>
  <c r="C8" i="18"/>
  <c r="D8" i="18"/>
  <c r="E8" i="18"/>
  <c r="C9" i="18"/>
  <c r="D9" i="18"/>
  <c r="E9" i="18"/>
  <c r="C10" i="18"/>
  <c r="D10" i="18"/>
  <c r="E10" i="18"/>
  <c r="C11" i="18"/>
  <c r="D11" i="18"/>
  <c r="E11" i="18"/>
  <c r="C12" i="18"/>
  <c r="D12" i="18"/>
  <c r="E12" i="18"/>
  <c r="C13" i="18"/>
  <c r="D13" i="18"/>
  <c r="E13" i="18"/>
  <c r="C14" i="18"/>
  <c r="D14" i="18"/>
  <c r="E14" i="18"/>
  <c r="C15" i="18"/>
  <c r="D15" i="18"/>
  <c r="E15" i="18"/>
  <c r="C16" i="18"/>
  <c r="D16" i="18"/>
  <c r="E16" i="18"/>
  <c r="O70" i="18" l="1"/>
  <c r="L70" i="18" a="1"/>
  <c r="L70" i="18" s="1"/>
  <c r="N70" i="18"/>
  <c r="K70" i="18" a="1"/>
  <c r="K70" i="18" s="1"/>
  <c r="K40" i="18" s="1"/>
  <c r="M70" i="18"/>
  <c r="J70" i="18" a="1"/>
  <c r="J70" i="18" s="1"/>
  <c r="J40" i="18" s="1"/>
  <c r="C100" i="18"/>
  <c r="D95" i="19"/>
  <c r="E95" i="19"/>
  <c r="O69" i="18"/>
  <c r="C95" i="18"/>
  <c r="N69" i="18"/>
  <c r="M69" i="18"/>
  <c r="C18" i="18"/>
  <c r="C17" i="18"/>
  <c r="M39" i="18"/>
  <c r="U73" i="18" l="1"/>
  <c r="U74" i="18"/>
  <c r="K41" i="18"/>
  <c r="U40" i="18"/>
  <c r="T40" i="18"/>
  <c r="C22" i="18"/>
  <c r="C80" i="18"/>
  <c r="T69" i="18"/>
  <c r="T72" i="18" l="1"/>
  <c r="C22" i="19"/>
  <c r="M39" i="19"/>
  <c r="T69" i="19"/>
  <c r="C80" i="19"/>
  <c r="D18" i="18"/>
  <c r="D17" i="18"/>
  <c r="D37" i="19"/>
  <c r="D37" i="18" s="1"/>
  <c r="E37" i="19"/>
  <c r="E37" i="18" s="1"/>
  <c r="D38" i="19"/>
  <c r="E38" i="19"/>
  <c r="D39" i="19"/>
  <c r="D39" i="18" s="1"/>
  <c r="K39" i="18" s="1"/>
  <c r="E39" i="19"/>
  <c r="O39" i="19" s="1"/>
  <c r="D36" i="19"/>
  <c r="D36" i="18" s="1"/>
  <c r="E36" i="19"/>
  <c r="E36" i="18" s="1"/>
  <c r="D35" i="19"/>
  <c r="D35" i="18" s="1"/>
  <c r="E35" i="19"/>
  <c r="E35" i="18" s="1"/>
  <c r="D34" i="19"/>
  <c r="D34" i="18" s="1"/>
  <c r="E34" i="19"/>
  <c r="E34" i="18" s="1"/>
  <c r="D33" i="19"/>
  <c r="D33" i="18" s="1"/>
  <c r="E33" i="19"/>
  <c r="E33" i="18" s="1"/>
  <c r="D32" i="19"/>
  <c r="D32" i="18" s="1"/>
  <c r="E32" i="19"/>
  <c r="E32" i="18" s="1"/>
  <c r="Y24" i="18"/>
  <c r="Y25" i="18"/>
  <c r="Y26" i="18"/>
  <c r="Y27" i="18"/>
  <c r="Y28" i="18"/>
  <c r="X24" i="18"/>
  <c r="X25" i="18"/>
  <c r="X26" i="18"/>
  <c r="X27" i="18"/>
  <c r="X28" i="18"/>
  <c r="W24" i="18"/>
  <c r="W25" i="18"/>
  <c r="W26" i="18"/>
  <c r="W27" i="18"/>
  <c r="W28" i="18"/>
  <c r="AF17" i="19"/>
  <c r="AD17" i="19"/>
  <c r="Y17" i="19"/>
  <c r="W17" i="19"/>
  <c r="E38" i="18" l="1"/>
  <c r="D38" i="18"/>
  <c r="K38" i="18" s="1"/>
  <c r="E18" i="18"/>
  <c r="E17" i="18"/>
  <c r="E19" i="19"/>
  <c r="E19" i="18" s="1"/>
  <c r="D19" i="19"/>
  <c r="D19" i="18" s="1"/>
  <c r="E80" i="19"/>
  <c r="D80" i="19"/>
  <c r="E39" i="18"/>
  <c r="E20" i="19"/>
  <c r="N39" i="18"/>
  <c r="D20" i="19"/>
  <c r="E21" i="18"/>
  <c r="E100" i="18" s="1"/>
  <c r="N39" i="19"/>
  <c r="AD17" i="18"/>
  <c r="AF17" i="18"/>
  <c r="X17" i="19"/>
  <c r="E95" i="18" l="1"/>
  <c r="D80" i="18"/>
  <c r="D21" i="18"/>
  <c r="D100" i="18" s="1"/>
  <c r="E80" i="18"/>
  <c r="D20" i="18"/>
  <c r="N20" i="19"/>
  <c r="D22" i="19"/>
  <c r="E20" i="18"/>
  <c r="E22" i="19"/>
  <c r="O39" i="18"/>
  <c r="N25" i="18"/>
  <c r="U25" i="18" s="1"/>
  <c r="N24" i="18"/>
  <c r="U24" i="18" s="1"/>
  <c r="I37" i="18"/>
  <c r="H37" i="18"/>
  <c r="G37" i="18"/>
  <c r="F37" i="18"/>
  <c r="A57" i="18"/>
  <c r="A44" i="18"/>
  <c r="A35" i="18"/>
  <c r="A39" i="18" s="1"/>
  <c r="A34" i="18"/>
  <c r="A38" i="18" s="1"/>
  <c r="A33" i="18"/>
  <c r="A37" i="18" s="1"/>
  <c r="A32" i="18"/>
  <c r="A36" i="18" s="1"/>
  <c r="A15" i="18"/>
  <c r="A44" i="19"/>
  <c r="A57" i="19"/>
  <c r="O24" i="19"/>
  <c r="O25" i="19"/>
  <c r="O26" i="19"/>
  <c r="N25" i="19"/>
  <c r="U25" i="19" s="1"/>
  <c r="N26" i="19"/>
  <c r="U26" i="19" s="1"/>
  <c r="N27" i="19"/>
  <c r="U27" i="19" s="1"/>
  <c r="M25" i="19"/>
  <c r="N6" i="24"/>
  <c r="N7" i="24"/>
  <c r="N8" i="24"/>
  <c r="N9" i="24"/>
  <c r="N10" i="24"/>
  <c r="N11" i="24"/>
  <c r="N12" i="24"/>
  <c r="N13" i="24"/>
  <c r="N14" i="24"/>
  <c r="N34" i="24" s="1"/>
  <c r="N15" i="24"/>
  <c r="N35" i="24" s="1"/>
  <c r="N16" i="24"/>
  <c r="N36" i="24" s="1"/>
  <c r="N17" i="24"/>
  <c r="N37" i="24" s="1"/>
  <c r="N18" i="24"/>
  <c r="N38" i="24" s="1"/>
  <c r="N19" i="24"/>
  <c r="N39" i="24" s="1"/>
  <c r="N20" i="24"/>
  <c r="N40" i="24" s="1"/>
  <c r="B94" i="23"/>
  <c r="A94" i="23"/>
  <c r="B93" i="23"/>
  <c r="A93" i="23"/>
  <c r="B92" i="23"/>
  <c r="A92" i="23"/>
  <c r="B91" i="23"/>
  <c r="A91" i="23"/>
  <c r="B90" i="23"/>
  <c r="A90" i="23"/>
  <c r="B89" i="23"/>
  <c r="A89" i="23"/>
  <c r="B88" i="23"/>
  <c r="A88" i="23"/>
  <c r="B87" i="23"/>
  <c r="A87" i="23"/>
  <c r="B86" i="23"/>
  <c r="A86" i="23"/>
  <c r="B85" i="23"/>
  <c r="A85" i="23"/>
  <c r="B84" i="23"/>
  <c r="A84" i="23"/>
  <c r="B83" i="23"/>
  <c r="A83" i="23"/>
  <c r="B82" i="23"/>
  <c r="A82" i="23"/>
  <c r="B81" i="23"/>
  <c r="A81" i="23"/>
  <c r="B80" i="23"/>
  <c r="A80" i="23"/>
  <c r="B79" i="23"/>
  <c r="A79" i="23"/>
  <c r="B78" i="23"/>
  <c r="A78" i="23"/>
  <c r="B77" i="23"/>
  <c r="A77" i="23"/>
  <c r="B76" i="23"/>
  <c r="A76" i="23"/>
  <c r="B75" i="23"/>
  <c r="A75" i="23"/>
  <c r="B74" i="23"/>
  <c r="A74" i="23"/>
  <c r="B73" i="23"/>
  <c r="A73" i="23"/>
  <c r="B72" i="23"/>
  <c r="A72" i="23"/>
  <c r="B71" i="23"/>
  <c r="A71" i="23"/>
  <c r="B70" i="23"/>
  <c r="A70" i="23"/>
  <c r="B69" i="23"/>
  <c r="A69" i="23"/>
  <c r="B68" i="23"/>
  <c r="A68" i="23"/>
  <c r="B67" i="23"/>
  <c r="A67" i="23"/>
  <c r="B66" i="23"/>
  <c r="A66" i="23"/>
  <c r="B65" i="23"/>
  <c r="A65" i="23"/>
  <c r="B64" i="23"/>
  <c r="A64" i="23"/>
  <c r="B63" i="23"/>
  <c r="A63" i="23"/>
  <c r="B62" i="23"/>
  <c r="A62" i="23"/>
  <c r="B61" i="23"/>
  <c r="A61" i="23"/>
  <c r="B60" i="23"/>
  <c r="A60" i="23"/>
  <c r="B59" i="23"/>
  <c r="A59" i="23"/>
  <c r="B58" i="23"/>
  <c r="A58" i="23"/>
  <c r="B57" i="23"/>
  <c r="A57" i="23"/>
  <c r="B56" i="23"/>
  <c r="A56" i="23"/>
  <c r="B55" i="23"/>
  <c r="A55" i="23"/>
  <c r="B54" i="23"/>
  <c r="A54" i="23"/>
  <c r="B53" i="23"/>
  <c r="A53" i="23"/>
  <c r="B52" i="23"/>
  <c r="A52" i="23"/>
  <c r="B51" i="23"/>
  <c r="A51" i="23"/>
  <c r="B50" i="23"/>
  <c r="A50" i="23"/>
  <c r="B49" i="23"/>
  <c r="A49" i="23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B13" i="23"/>
  <c r="A13" i="23"/>
  <c r="B12" i="23"/>
  <c r="A12" i="23"/>
  <c r="B11" i="23"/>
  <c r="A11" i="23"/>
  <c r="B10" i="23"/>
  <c r="A10" i="23"/>
  <c r="B9" i="23"/>
  <c r="A9" i="23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A18" i="22"/>
  <c r="B17" i="22"/>
  <c r="A17" i="22"/>
  <c r="B16" i="22"/>
  <c r="A16" i="22"/>
  <c r="B15" i="22"/>
  <c r="A15" i="22"/>
  <c r="B14" i="22"/>
  <c r="A14" i="22"/>
  <c r="B13" i="22"/>
  <c r="A13" i="22"/>
  <c r="B12" i="22"/>
  <c r="A12" i="22"/>
  <c r="B11" i="22"/>
  <c r="A11" i="22"/>
  <c r="B10" i="22"/>
  <c r="A10" i="22"/>
  <c r="B9" i="22"/>
  <c r="A9" i="22"/>
  <c r="J14" i="19" l="1" a="1"/>
  <c r="J14" i="19" s="1"/>
  <c r="L14" i="19" a="1"/>
  <c r="L14" i="19" s="1"/>
  <c r="J24" i="19" a="1"/>
  <c r="J24" i="19" s="1"/>
  <c r="J30" i="19" a="1"/>
  <c r="J30" i="19" s="1"/>
  <c r="J31" i="19" a="1"/>
  <c r="J31" i="19" s="1"/>
  <c r="J28" i="19" a="1"/>
  <c r="J28" i="19" s="1"/>
  <c r="L24" i="19" a="1"/>
  <c r="L24" i="19" s="1"/>
  <c r="L30" i="19" a="1"/>
  <c r="L30" i="19" s="1"/>
  <c r="J25" i="19" a="1"/>
  <c r="J25" i="19" s="1"/>
  <c r="T25" i="19" s="1"/>
  <c r="L28" i="19" a="1"/>
  <c r="L28" i="19" s="1"/>
  <c r="L25" i="19" a="1"/>
  <c r="L25" i="19" s="1"/>
  <c r="V25" i="19" s="1"/>
  <c r="L31" i="19" a="1"/>
  <c r="L31" i="19" s="1"/>
  <c r="J26" i="19" a="1"/>
  <c r="J26" i="19" s="1"/>
  <c r="L26" i="19" a="1"/>
  <c r="L26" i="19" s="1"/>
  <c r="J27" i="19" a="1"/>
  <c r="J27" i="19" s="1"/>
  <c r="L27" i="19" a="1"/>
  <c r="L27" i="19" s="1"/>
  <c r="J29" i="19" a="1"/>
  <c r="J29" i="19" s="1"/>
  <c r="L29" i="19" a="1"/>
  <c r="L29" i="19" s="1"/>
  <c r="Q8" i="24"/>
  <c r="O21" i="24"/>
  <c r="P21" i="24"/>
  <c r="AB21" i="24" s="1"/>
  <c r="Q21" i="24"/>
  <c r="W21" i="24" s="1" a="1"/>
  <c r="W21" i="24" s="1"/>
  <c r="AI21" i="24" s="1"/>
  <c r="O20" i="24"/>
  <c r="R20" i="24" s="1" a="1"/>
  <c r="R20" i="24" s="1"/>
  <c r="S21" i="24" a="1"/>
  <c r="S21" i="24" s="1"/>
  <c r="AE21" i="24" s="1"/>
  <c r="R21" i="24" a="1"/>
  <c r="R21" i="24" s="1"/>
  <c r="AD21" i="24" s="1"/>
  <c r="R17" i="24" a="1"/>
  <c r="R17" i="24" s="1"/>
  <c r="T16" i="24" a="1"/>
  <c r="T16" i="24" s="1"/>
  <c r="T20" i="24" a="1"/>
  <c r="T20" i="24" s="1"/>
  <c r="L14" i="18" a="1"/>
  <c r="L14" i="18" s="1"/>
  <c r="J14" i="18" a="1"/>
  <c r="J14" i="18" s="1"/>
  <c r="L25" i="18" a="1"/>
  <c r="L25" i="18" s="1"/>
  <c r="J28" i="18" a="1"/>
  <c r="J28" i="18" s="1"/>
  <c r="J31" i="18" a="1"/>
  <c r="J31" i="18" s="1"/>
  <c r="J30" i="18" a="1"/>
  <c r="J30" i="18" s="1"/>
  <c r="J24" i="18" a="1"/>
  <c r="J24" i="18" s="1"/>
  <c r="L28" i="18" a="1"/>
  <c r="L28" i="18" s="1"/>
  <c r="J29" i="18" a="1"/>
  <c r="J29" i="18" s="1"/>
  <c r="L27" i="18" a="1"/>
  <c r="L27" i="18" s="1"/>
  <c r="J25" i="18" a="1"/>
  <c r="J25" i="18" s="1"/>
  <c r="J27" i="18" a="1"/>
  <c r="J27" i="18" s="1"/>
  <c r="L30" i="18" a="1"/>
  <c r="L30" i="18" s="1"/>
  <c r="L24" i="18" a="1"/>
  <c r="L24" i="18" s="1"/>
  <c r="L31" i="18" a="1"/>
  <c r="L31" i="18" s="1"/>
  <c r="L29" i="18" a="1"/>
  <c r="L29" i="18" s="1"/>
  <c r="L26" i="18" a="1"/>
  <c r="L26" i="18" s="1"/>
  <c r="J26" i="18" a="1"/>
  <c r="J26" i="18" s="1"/>
  <c r="P41" i="24"/>
  <c r="D95" i="18"/>
  <c r="A45" i="18"/>
  <c r="A70" i="19"/>
  <c r="A45" i="19"/>
  <c r="A16" i="18"/>
  <c r="J15" i="18" a="1"/>
  <c r="J15" i="18" s="1"/>
  <c r="L15" i="18" a="1"/>
  <c r="L15" i="18" s="1"/>
  <c r="W8" i="24" a="1"/>
  <c r="W8" i="24" s="1"/>
  <c r="W18" i="24" a="1"/>
  <c r="W18" i="24" s="1"/>
  <c r="V20" i="24" a="1"/>
  <c r="V20" i="24" s="1"/>
  <c r="V14" i="24" a="1"/>
  <c r="V14" i="24" s="1"/>
  <c r="U20" i="24" a="1"/>
  <c r="U20" i="24" s="1"/>
  <c r="V19" i="24" a="1"/>
  <c r="V19" i="24" s="1"/>
  <c r="U21" i="24" a="1"/>
  <c r="U21" i="24" s="1"/>
  <c r="AG21" i="24" s="1"/>
  <c r="W16" i="24" a="1"/>
  <c r="W16" i="24" s="1"/>
  <c r="V21" i="24" a="1"/>
  <c r="V21" i="24" s="1"/>
  <c r="AH21" i="24" s="1"/>
  <c r="U19" i="24" a="1"/>
  <c r="U19" i="24" s="1"/>
  <c r="A58" i="18"/>
  <c r="A70" i="18"/>
  <c r="U69" i="19"/>
  <c r="V69" i="19"/>
  <c r="P7" i="24"/>
  <c r="S7" i="24" s="1" a="1"/>
  <c r="S7" i="24" s="1"/>
  <c r="Q17" i="24"/>
  <c r="W17" i="24" s="1" a="1"/>
  <c r="W17" i="24" s="1"/>
  <c r="AI17" i="24" s="1"/>
  <c r="P8" i="24"/>
  <c r="S8" i="24" s="1" a="1"/>
  <c r="S8" i="24" s="1"/>
  <c r="Q18" i="24"/>
  <c r="AC18" i="24" s="1"/>
  <c r="Q16" i="24"/>
  <c r="AC16" i="24" s="1"/>
  <c r="Q12" i="24"/>
  <c r="W12" i="24" s="1" a="1"/>
  <c r="W12" i="24" s="1"/>
  <c r="P9" i="24"/>
  <c r="V9" i="24" s="1" a="1"/>
  <c r="V9" i="24" s="1"/>
  <c r="Q19" i="24"/>
  <c r="AC19" i="24" s="1"/>
  <c r="P14" i="24"/>
  <c r="Q20" i="24"/>
  <c r="O15" i="24"/>
  <c r="AA15" i="24" s="1"/>
  <c r="O14" i="24"/>
  <c r="U14" i="24" s="1" a="1"/>
  <c r="U14" i="24" s="1"/>
  <c r="P15" i="24"/>
  <c r="P35" i="24" s="1"/>
  <c r="P19" i="24"/>
  <c r="AB19" i="24" s="1"/>
  <c r="Q14" i="24"/>
  <c r="W14" i="24" s="1" a="1"/>
  <c r="W14" i="24" s="1"/>
  <c r="P20" i="24"/>
  <c r="AB20" i="24" s="1"/>
  <c r="Q6" i="24"/>
  <c r="T6" i="24" s="1" a="1"/>
  <c r="T6" i="24" s="1"/>
  <c r="P18" i="24"/>
  <c r="AB18" i="24" s="1"/>
  <c r="P6" i="24"/>
  <c r="V6" i="24" s="1" a="1"/>
  <c r="V6" i="24" s="1"/>
  <c r="Q7" i="24"/>
  <c r="T7" i="24" s="1" a="1"/>
  <c r="T7" i="24" s="1"/>
  <c r="O17" i="24"/>
  <c r="O37" i="24" s="1"/>
  <c r="O16" i="24"/>
  <c r="AA16" i="24" s="1"/>
  <c r="E22" i="18"/>
  <c r="D22" i="18"/>
  <c r="V69" i="18"/>
  <c r="O27" i="19"/>
  <c r="V27" i="19" s="1"/>
  <c r="M26" i="19"/>
  <c r="T26" i="19" s="1"/>
  <c r="M27" i="19"/>
  <c r="T27" i="19" s="1"/>
  <c r="A58" i="19"/>
  <c r="C94" i="18"/>
  <c r="O67" i="18"/>
  <c r="K91" i="18"/>
  <c r="N26" i="18"/>
  <c r="U26" i="18" s="1"/>
  <c r="O26" i="18"/>
  <c r="O27" i="18"/>
  <c r="N27" i="18"/>
  <c r="U27" i="18" s="1"/>
  <c r="M24" i="18"/>
  <c r="C91" i="18"/>
  <c r="O66" i="18"/>
  <c r="K92" i="18"/>
  <c r="O24" i="18"/>
  <c r="M26" i="18"/>
  <c r="M27" i="18"/>
  <c r="M25" i="18"/>
  <c r="O25" i="18"/>
  <c r="Q10" i="24"/>
  <c r="T10" i="24" s="1" a="1"/>
  <c r="T10" i="24" s="1"/>
  <c r="O10" i="24"/>
  <c r="U10" i="24" s="1" a="1"/>
  <c r="U10" i="24" s="1"/>
  <c r="O9" i="24"/>
  <c r="U9" i="24" s="1" a="1"/>
  <c r="U9" i="24" s="1"/>
  <c r="O12" i="24"/>
  <c r="U12" i="24" s="1" a="1"/>
  <c r="U12" i="24" s="1"/>
  <c r="P11" i="24"/>
  <c r="V11" i="24" s="1" a="1"/>
  <c r="V11" i="24" s="1"/>
  <c r="R12" i="24" a="1"/>
  <c r="R12" i="24" s="1"/>
  <c r="O11" i="24"/>
  <c r="U11" i="24" s="1" a="1"/>
  <c r="U11" i="24" s="1"/>
  <c r="P12" i="24"/>
  <c r="V12" i="24" s="1" a="1"/>
  <c r="V12" i="24" s="1"/>
  <c r="Q9" i="24"/>
  <c r="W9" i="24" s="1" a="1"/>
  <c r="W9" i="24" s="1"/>
  <c r="P13" i="24"/>
  <c r="S13" i="24" s="1" a="1"/>
  <c r="S13" i="24" s="1"/>
  <c r="Q11" i="24"/>
  <c r="T11" i="24" s="1" a="1"/>
  <c r="T11" i="24" s="1"/>
  <c r="O8" i="24"/>
  <c r="U8" i="24" s="1" a="1"/>
  <c r="U8" i="24" s="1"/>
  <c r="V7" i="24" a="1"/>
  <c r="V7" i="24" s="1"/>
  <c r="O19" i="24"/>
  <c r="R19" i="24" s="1" a="1"/>
  <c r="R19" i="24" s="1"/>
  <c r="O7" i="24"/>
  <c r="P16" i="24"/>
  <c r="P36" i="24" s="1"/>
  <c r="Q13" i="24"/>
  <c r="T13" i="24" s="1" a="1"/>
  <c r="T13" i="24" s="1"/>
  <c r="S12" i="24" a="1"/>
  <c r="S12" i="24" s="1"/>
  <c r="T8" i="24" a="1"/>
  <c r="T8" i="24" s="1"/>
  <c r="O13" i="24"/>
  <c r="U13" i="24" s="1" a="1"/>
  <c r="U13" i="24" s="1"/>
  <c r="P10" i="24"/>
  <c r="V10" i="24" s="1" a="1"/>
  <c r="V10" i="24" s="1"/>
  <c r="O18" i="24"/>
  <c r="U18" i="24" s="1" a="1"/>
  <c r="U18" i="24" s="1"/>
  <c r="O6" i="24"/>
  <c r="P17" i="24"/>
  <c r="V17" i="24" s="1" a="1"/>
  <c r="V17" i="24" s="1"/>
  <c r="Q15" i="24"/>
  <c r="Q35" i="24" s="1"/>
  <c r="M24" i="19"/>
  <c r="N24" i="19"/>
  <c r="U24" i="19" s="1"/>
  <c r="V26" i="19"/>
  <c r="L18" i="19" l="1"/>
  <c r="J17" i="19"/>
  <c r="L17" i="19"/>
  <c r="J18" i="19"/>
  <c r="V24" i="19"/>
  <c r="V8" i="24" a="1"/>
  <c r="V8" i="24" s="1"/>
  <c r="J17" i="18"/>
  <c r="J91" i="18" s="1"/>
  <c r="T21" i="24" a="1"/>
  <c r="T21" i="24" s="1"/>
  <c r="AF21" i="24" s="1"/>
  <c r="O23" i="24"/>
  <c r="C25" i="24" s="1"/>
  <c r="T17" i="24" a="1"/>
  <c r="T17" i="24" s="1"/>
  <c r="AF17" i="24" s="1"/>
  <c r="V15" i="24" a="1"/>
  <c r="V15" i="24" s="1"/>
  <c r="V27" i="18"/>
  <c r="R9" i="24" a="1"/>
  <c r="R9" i="24" s="1"/>
  <c r="AC17" i="24"/>
  <c r="S20" i="24" a="1"/>
  <c r="S20" i="24" s="1"/>
  <c r="AE20" i="24" s="1"/>
  <c r="S18" i="24" a="1"/>
  <c r="S18" i="24" s="1"/>
  <c r="S17" i="24" a="1"/>
  <c r="S17" i="24" s="1"/>
  <c r="AF20" i="24"/>
  <c r="R14" i="24" a="1"/>
  <c r="R14" i="24" s="1"/>
  <c r="P23" i="24"/>
  <c r="D25" i="24" s="1"/>
  <c r="R18" i="24" a="1"/>
  <c r="R18" i="24" s="1"/>
  <c r="W19" i="24" a="1"/>
  <c r="W19" i="24" s="1"/>
  <c r="AI19" i="24" s="1"/>
  <c r="S14" i="24" a="1"/>
  <c r="S14" i="24" s="1"/>
  <c r="U16" i="24" a="1"/>
  <c r="U16" i="24" s="1"/>
  <c r="AG16" i="24" s="1"/>
  <c r="R15" i="24" a="1"/>
  <c r="R15" i="24" s="1"/>
  <c r="AD15" i="24" s="1"/>
  <c r="R11" i="24" a="1"/>
  <c r="R11" i="24" s="1"/>
  <c r="R13" i="24" a="1"/>
  <c r="R13" i="24" s="1"/>
  <c r="V18" i="24" a="1"/>
  <c r="V18" i="24" s="1"/>
  <c r="S19" i="24" a="1"/>
  <c r="S19" i="24" s="1"/>
  <c r="S15" i="24" a="1"/>
  <c r="S15" i="24" s="1"/>
  <c r="AA20" i="24"/>
  <c r="W20" i="24" a="1"/>
  <c r="W20" i="24" s="1"/>
  <c r="AI20" i="24" s="1"/>
  <c r="T15" i="24" a="1"/>
  <c r="T15" i="24" s="1"/>
  <c r="AC21" i="24"/>
  <c r="Q41" i="24"/>
  <c r="Q23" i="24"/>
  <c r="E25" i="24" s="1"/>
  <c r="U17" i="24" a="1"/>
  <c r="U17" i="24" s="1"/>
  <c r="AG17" i="24" s="1"/>
  <c r="T19" i="24" a="1"/>
  <c r="T19" i="24" s="1"/>
  <c r="AF19" i="24" s="1"/>
  <c r="T14" i="24" a="1"/>
  <c r="T14" i="24" s="1"/>
  <c r="AF14" i="24" s="1"/>
  <c r="J18" i="18"/>
  <c r="L17" i="18"/>
  <c r="L91" i="18" s="1"/>
  <c r="T18" i="24" a="1"/>
  <c r="T18" i="24" s="1"/>
  <c r="AF18" i="24" s="1"/>
  <c r="AA21" i="24"/>
  <c r="O41" i="24"/>
  <c r="U15" i="24" a="1"/>
  <c r="U15" i="24" s="1"/>
  <c r="AG15" i="24" s="1"/>
  <c r="V16" i="24" a="1"/>
  <c r="V16" i="24" s="1"/>
  <c r="W15" i="24" a="1"/>
  <c r="W15" i="24" s="1"/>
  <c r="L18" i="18"/>
  <c r="S16" i="24" a="1"/>
  <c r="S16" i="24" s="1"/>
  <c r="R16" i="24" a="1"/>
  <c r="R16" i="24" s="1"/>
  <c r="AD16" i="24" s="1"/>
  <c r="J36" i="19"/>
  <c r="L36" i="19"/>
  <c r="A71" i="19"/>
  <c r="A17" i="18"/>
  <c r="A18" i="18" s="1"/>
  <c r="A19" i="18" s="1"/>
  <c r="A20" i="18" s="1"/>
  <c r="J16" i="18" a="1"/>
  <c r="J16" i="18" s="1"/>
  <c r="L16" i="18" a="1"/>
  <c r="L16" i="18" s="1"/>
  <c r="A46" i="19"/>
  <c r="L32" i="19"/>
  <c r="J32" i="19"/>
  <c r="A59" i="18"/>
  <c r="A72" i="18" s="1"/>
  <c r="L36" i="18"/>
  <c r="J36" i="18"/>
  <c r="A71" i="18"/>
  <c r="A46" i="18"/>
  <c r="L32" i="18"/>
  <c r="J32" i="18"/>
  <c r="W7" i="24" a="1"/>
  <c r="W7" i="24" s="1"/>
  <c r="O36" i="24"/>
  <c r="U34" i="24"/>
  <c r="AD17" i="24"/>
  <c r="S10" i="24" a="1"/>
  <c r="S10" i="24" s="1"/>
  <c r="AI18" i="24"/>
  <c r="T12" i="24" a="1"/>
  <c r="T12" i="24" s="1"/>
  <c r="Q34" i="24"/>
  <c r="AH20" i="24"/>
  <c r="S9" i="24" a="1"/>
  <c r="S9" i="24" s="1"/>
  <c r="AA17" i="24"/>
  <c r="S6" i="24" a="1"/>
  <c r="S6" i="24" s="1"/>
  <c r="AC14" i="24"/>
  <c r="W6" i="24" a="1"/>
  <c r="W6" i="24" s="1"/>
  <c r="R37" i="24"/>
  <c r="AI16" i="24"/>
  <c r="O40" i="24"/>
  <c r="AB15" i="24"/>
  <c r="AF16" i="24"/>
  <c r="AA14" i="24"/>
  <c r="O34" i="24"/>
  <c r="AC20" i="24"/>
  <c r="P34" i="24"/>
  <c r="AB14" i="24"/>
  <c r="U69" i="18"/>
  <c r="T24" i="19"/>
  <c r="V26" i="18"/>
  <c r="K98" i="18"/>
  <c r="T25" i="18"/>
  <c r="C99" i="18"/>
  <c r="V24" i="18"/>
  <c r="T27" i="18"/>
  <c r="T26" i="18"/>
  <c r="N66" i="18"/>
  <c r="A59" i="19"/>
  <c r="A72" i="19" s="1"/>
  <c r="Q40" i="24"/>
  <c r="E99" i="18"/>
  <c r="E94" i="18"/>
  <c r="M66" i="18"/>
  <c r="C98" i="18"/>
  <c r="C93" i="18"/>
  <c r="O39" i="24"/>
  <c r="N67" i="18"/>
  <c r="D91" i="18"/>
  <c r="P37" i="24"/>
  <c r="Q36" i="24"/>
  <c r="O35" i="24"/>
  <c r="V25" i="18"/>
  <c r="P40" i="24"/>
  <c r="D99" i="18"/>
  <c r="D94" i="18"/>
  <c r="E92" i="18"/>
  <c r="Q38" i="24"/>
  <c r="M67" i="18"/>
  <c r="Q39" i="24"/>
  <c r="E98" i="18"/>
  <c r="E93" i="18"/>
  <c r="E91" i="18"/>
  <c r="Q37" i="24"/>
  <c r="P38" i="24"/>
  <c r="D92" i="18"/>
  <c r="K93" i="18"/>
  <c r="D98" i="18"/>
  <c r="D93" i="18"/>
  <c r="P39" i="24"/>
  <c r="T24" i="18"/>
  <c r="C92" i="18"/>
  <c r="O38" i="24"/>
  <c r="AB17" i="24"/>
  <c r="W10" i="24" a="1"/>
  <c r="W10" i="24" s="1"/>
  <c r="V13" i="24" a="1"/>
  <c r="V13" i="24" s="1"/>
  <c r="AA18" i="24"/>
  <c r="AG18" i="24"/>
  <c r="U7" i="24" a="1"/>
  <c r="U7" i="24" s="1"/>
  <c r="R7" i="24" a="1"/>
  <c r="R7" i="24" s="1"/>
  <c r="W13" i="24" a="1"/>
  <c r="W13" i="24" s="1"/>
  <c r="AG20" i="24"/>
  <c r="U6" i="24" a="1"/>
  <c r="U6" i="24" s="1"/>
  <c r="R6" i="24" a="1"/>
  <c r="R6" i="24" s="1"/>
  <c r="AB16" i="24"/>
  <c r="R10" i="24" a="1"/>
  <c r="R10" i="24" s="1"/>
  <c r="AD20" i="24"/>
  <c r="W11" i="24" a="1"/>
  <c r="W11" i="24" s="1"/>
  <c r="S11" i="24" a="1"/>
  <c r="S11" i="24" s="1"/>
  <c r="AA19" i="24"/>
  <c r="AG19" i="24"/>
  <c r="T35" i="24"/>
  <c r="AC15" i="24"/>
  <c r="AD19" i="24"/>
  <c r="AD18" i="24"/>
  <c r="T9" i="24" a="1"/>
  <c r="T9" i="24" s="1"/>
  <c r="R8" i="24" a="1"/>
  <c r="R8" i="24" s="1"/>
  <c r="W23" i="24" l="1"/>
  <c r="K25" i="24" s="1"/>
  <c r="V23" i="24"/>
  <c r="J25" i="24" s="1"/>
  <c r="S23" i="24"/>
  <c r="T34" i="24"/>
  <c r="T37" i="24"/>
  <c r="U23" i="24"/>
  <c r="I25" i="24" s="1"/>
  <c r="R27" i="24"/>
  <c r="F29" i="24" s="1"/>
  <c r="R23" i="24"/>
  <c r="F25" i="24" s="1"/>
  <c r="AD14" i="24"/>
  <c r="R34" i="24"/>
  <c r="T23" i="24"/>
  <c r="H25" i="24" s="1"/>
  <c r="A47" i="19"/>
  <c r="A47" i="18"/>
  <c r="A60" i="18"/>
  <c r="J40" i="19"/>
  <c r="K40" i="19"/>
  <c r="L40" i="19"/>
  <c r="T70" i="18"/>
  <c r="U70" i="18"/>
  <c r="V70" i="18"/>
  <c r="G25" i="24"/>
  <c r="R36" i="24"/>
  <c r="AG14" i="24"/>
  <c r="R35" i="24"/>
  <c r="T36" i="24"/>
  <c r="AI14" i="24"/>
  <c r="W34" i="24"/>
  <c r="A60" i="19"/>
  <c r="T38" i="24"/>
  <c r="L92" i="18"/>
  <c r="R38" i="24"/>
  <c r="J92" i="18"/>
  <c r="AI15" i="24"/>
  <c r="AF15" i="24"/>
  <c r="V40" i="19" l="1"/>
  <c r="T40" i="19"/>
  <c r="U40" i="19"/>
  <c r="L40" i="18"/>
  <c r="A48" i="18"/>
  <c r="A48" i="19"/>
  <c r="A61" i="18"/>
  <c r="A61" i="19"/>
  <c r="T72" i="19" l="1"/>
  <c r="U72" i="19"/>
  <c r="V72" i="19"/>
  <c r="V40" i="18"/>
  <c r="U72" i="18"/>
  <c r="A49" i="18"/>
  <c r="J33" i="18"/>
  <c r="L33" i="18"/>
  <c r="A62" i="18"/>
  <c r="L37" i="18"/>
  <c r="J37" i="18"/>
  <c r="L37" i="19"/>
  <c r="J37" i="19"/>
  <c r="A49" i="19"/>
  <c r="L33" i="19"/>
  <c r="J33" i="19"/>
  <c r="A62" i="19"/>
  <c r="L81" i="19" l="1"/>
  <c r="V41" i="19"/>
  <c r="L21" i="19"/>
  <c r="L100" i="19" s="1"/>
  <c r="K81" i="19"/>
  <c r="U41" i="19"/>
  <c r="U81" i="19" s="1"/>
  <c r="K21" i="19"/>
  <c r="K100" i="19" s="1"/>
  <c r="J81" i="19"/>
  <c r="T41" i="19"/>
  <c r="J21" i="19"/>
  <c r="J100" i="19" s="1"/>
  <c r="V72" i="18"/>
  <c r="A50" i="18"/>
  <c r="A50" i="19"/>
  <c r="A63" i="18"/>
  <c r="A63" i="19"/>
  <c r="J95" i="19" l="1"/>
  <c r="U41" i="24"/>
  <c r="T81" i="19"/>
  <c r="T21" i="19"/>
  <c r="V41" i="24"/>
  <c r="K95" i="19"/>
  <c r="W41" i="24"/>
  <c r="L95" i="19"/>
  <c r="V81" i="19"/>
  <c r="V21" i="19"/>
  <c r="A51" i="18"/>
  <c r="A64" i="18"/>
  <c r="A51" i="19"/>
  <c r="A64" i="19"/>
  <c r="J38" i="19" l="1"/>
  <c r="K38" i="19"/>
  <c r="L38" i="19"/>
  <c r="A65" i="18"/>
  <c r="L38" i="18"/>
  <c r="J38" i="18"/>
  <c r="A52" i="19"/>
  <c r="L34" i="19"/>
  <c r="J34" i="19"/>
  <c r="A52" i="18"/>
  <c r="J34" i="18"/>
  <c r="L34" i="18"/>
  <c r="A65" i="19"/>
  <c r="A66" i="18" l="1"/>
  <c r="A53" i="19"/>
  <c r="A53" i="18"/>
  <c r="A66" i="19"/>
  <c r="A67" i="18" l="1"/>
  <c r="V66" i="18"/>
  <c r="T66" i="18"/>
  <c r="U66" i="18"/>
  <c r="A54" i="19"/>
  <c r="A54" i="18"/>
  <c r="A67" i="19"/>
  <c r="J35" i="19" l="1"/>
  <c r="J19" i="19" s="1"/>
  <c r="L35" i="19"/>
  <c r="L19" i="19" s="1"/>
  <c r="U67" i="18"/>
  <c r="L39" i="19"/>
  <c r="J39" i="19"/>
  <c r="L35" i="18"/>
  <c r="L19" i="18" s="1"/>
  <c r="J35" i="18"/>
  <c r="J19" i="18" s="1"/>
  <c r="N66" i="19"/>
  <c r="M66" i="19"/>
  <c r="O66" i="19"/>
  <c r="O65" i="19"/>
  <c r="M65" i="19"/>
  <c r="N65" i="18"/>
  <c r="O65" i="18"/>
  <c r="M65" i="18"/>
  <c r="T39" i="24" l="1"/>
  <c r="L93" i="18"/>
  <c r="L98" i="18"/>
  <c r="V39" i="19"/>
  <c r="L80" i="19"/>
  <c r="L20" i="19"/>
  <c r="R39" i="24"/>
  <c r="J98" i="18"/>
  <c r="J93" i="18"/>
  <c r="T67" i="18"/>
  <c r="J39" i="18"/>
  <c r="T39" i="19"/>
  <c r="J80" i="19"/>
  <c r="J20" i="19"/>
  <c r="U40" i="24" s="1"/>
  <c r="V67" i="18"/>
  <c r="L39" i="18"/>
  <c r="U66" i="19"/>
  <c r="V66" i="19"/>
  <c r="T66" i="19"/>
  <c r="N67" i="19"/>
  <c r="U67" i="19" s="1"/>
  <c r="M67" i="19"/>
  <c r="T67" i="19" s="1"/>
  <c r="O67" i="19"/>
  <c r="V67" i="19" s="1"/>
  <c r="N65" i="19"/>
  <c r="Y35" i="19"/>
  <c r="W35" i="19"/>
  <c r="Y34" i="19"/>
  <c r="W34" i="19"/>
  <c r="Y33" i="19"/>
  <c r="W33" i="19"/>
  <c r="Y32" i="19"/>
  <c r="W32" i="19"/>
  <c r="O64" i="18"/>
  <c r="V64" i="18" s="1"/>
  <c r="N64" i="18"/>
  <c r="M64" i="18"/>
  <c r="O64" i="19"/>
  <c r="N64" i="19"/>
  <c r="M64" i="19"/>
  <c r="O63" i="19"/>
  <c r="N63" i="19"/>
  <c r="M63" i="19"/>
  <c r="AD18" i="19"/>
  <c r="V39" i="18" l="1"/>
  <c r="L80" i="18"/>
  <c r="L20" i="18"/>
  <c r="T39" i="18"/>
  <c r="J80" i="18"/>
  <c r="J20" i="18"/>
  <c r="X32" i="19"/>
  <c r="X33" i="19"/>
  <c r="X35" i="19"/>
  <c r="X34" i="19"/>
  <c r="T64" i="18"/>
  <c r="U64" i="18"/>
  <c r="R40" i="24" l="1"/>
  <c r="J94" i="18"/>
  <c r="J99" i="18"/>
  <c r="T40" i="24"/>
  <c r="L94" i="18"/>
  <c r="L99" i="18"/>
  <c r="U39" i="18"/>
  <c r="K20" i="18"/>
  <c r="K80" i="18"/>
  <c r="N63" i="18"/>
  <c r="M63" i="18"/>
  <c r="T63" i="18" s="1"/>
  <c r="K94" i="18" l="1"/>
  <c r="S40" i="24"/>
  <c r="K99" i="18"/>
  <c r="M38" i="18"/>
  <c r="M38" i="19"/>
  <c r="N38" i="18"/>
  <c r="N38" i="19"/>
  <c r="O38" i="18"/>
  <c r="O38" i="19"/>
  <c r="O63" i="18"/>
  <c r="V63" i="18" s="1"/>
  <c r="U63" i="18"/>
  <c r="O62" i="19" l="1"/>
  <c r="N62" i="19"/>
  <c r="M62" i="19"/>
  <c r="N62" i="18"/>
  <c r="T65" i="18" l="1"/>
  <c r="T38" i="18"/>
  <c r="O62" i="18"/>
  <c r="M62" i="18"/>
  <c r="A32" i="19"/>
  <c r="A36" i="19" s="1"/>
  <c r="A33" i="19"/>
  <c r="A37" i="19" s="1"/>
  <c r="A34" i="19"/>
  <c r="A38" i="19" s="1"/>
  <c r="A35" i="19"/>
  <c r="A39" i="19" s="1"/>
  <c r="A15" i="19"/>
  <c r="L15" i="19" l="1" a="1"/>
  <c r="L15" i="19" s="1"/>
  <c r="W35" i="24" s="1"/>
  <c r="J15" i="19" a="1"/>
  <c r="J15" i="19" s="1"/>
  <c r="U35" i="24" s="1"/>
  <c r="A16" i="19"/>
  <c r="V38" i="18"/>
  <c r="J16" i="19" l="1" a="1"/>
  <c r="J16" i="19" s="1"/>
  <c r="J22" i="19" s="1"/>
  <c r="L16" i="19" a="1"/>
  <c r="L16" i="19" s="1"/>
  <c r="L22" i="19" s="1"/>
  <c r="A17" i="19"/>
  <c r="V65" i="18"/>
  <c r="W36" i="24" l="1"/>
  <c r="U36" i="24"/>
  <c r="A18" i="19"/>
  <c r="E91" i="19"/>
  <c r="C91" i="19"/>
  <c r="AC80" i="18"/>
  <c r="AB80" i="18"/>
  <c r="AA80" i="18"/>
  <c r="Z80" i="18"/>
  <c r="I80" i="18"/>
  <c r="H80" i="18"/>
  <c r="G80" i="18"/>
  <c r="F80" i="18"/>
  <c r="N61" i="18"/>
  <c r="M61" i="18"/>
  <c r="O61" i="19"/>
  <c r="N61" i="19"/>
  <c r="M61" i="19"/>
  <c r="AC80" i="19"/>
  <c r="AB80" i="19"/>
  <c r="AA80" i="19"/>
  <c r="Z80" i="19"/>
  <c r="O60" i="18"/>
  <c r="AF18" i="19"/>
  <c r="Y18" i="19"/>
  <c r="W18" i="19"/>
  <c r="O59" i="19"/>
  <c r="O60" i="19"/>
  <c r="M59" i="19"/>
  <c r="M60" i="19"/>
  <c r="N59" i="19"/>
  <c r="O58" i="18"/>
  <c r="V58" i="18" s="1"/>
  <c r="M58" i="18"/>
  <c r="O58" i="19"/>
  <c r="M58" i="19"/>
  <c r="AF76" i="19"/>
  <c r="AD76" i="19"/>
  <c r="Y76" i="19"/>
  <c r="W76" i="19"/>
  <c r="X76" i="19"/>
  <c r="N58" i="19"/>
  <c r="N6" i="18"/>
  <c r="N7" i="19"/>
  <c r="U7" i="19" s="1"/>
  <c r="N8" i="18"/>
  <c r="U8" i="18" s="1"/>
  <c r="N9" i="19"/>
  <c r="U9" i="19" s="1"/>
  <c r="N10" i="19"/>
  <c r="U10" i="19" s="1"/>
  <c r="N14" i="19"/>
  <c r="U14" i="19" s="1"/>
  <c r="F37" i="19"/>
  <c r="F80" i="19" s="1"/>
  <c r="G37" i="19"/>
  <c r="G80" i="19" s="1"/>
  <c r="H37" i="19"/>
  <c r="H80" i="19" s="1"/>
  <c r="I37" i="19"/>
  <c r="I80" i="19" s="1"/>
  <c r="O57" i="19"/>
  <c r="O56" i="19"/>
  <c r="M56" i="19"/>
  <c r="O54" i="19"/>
  <c r="M54" i="19"/>
  <c r="O53" i="19"/>
  <c r="M53" i="19"/>
  <c r="M52" i="19"/>
  <c r="O52" i="19"/>
  <c r="X51" i="18"/>
  <c r="O51" i="19"/>
  <c r="M51" i="19"/>
  <c r="W50" i="18"/>
  <c r="O50" i="19"/>
  <c r="AD34" i="19"/>
  <c r="AF34" i="19"/>
  <c r="X49" i="18"/>
  <c r="AD33" i="19"/>
  <c r="X48" i="18"/>
  <c r="X47" i="18"/>
  <c r="M47" i="19"/>
  <c r="O46" i="19"/>
  <c r="M46" i="19"/>
  <c r="O45" i="19"/>
  <c r="M45" i="19"/>
  <c r="O44" i="19"/>
  <c r="M44" i="19"/>
  <c r="O43" i="19"/>
  <c r="M43" i="19"/>
  <c r="AF35" i="19"/>
  <c r="Y35" i="18"/>
  <c r="W33" i="18"/>
  <c r="AF32" i="19"/>
  <c r="AD32" i="19"/>
  <c r="Y32" i="18"/>
  <c r="W77" i="19"/>
  <c r="O31" i="19"/>
  <c r="M31" i="19"/>
  <c r="O30" i="19"/>
  <c r="M30" i="19"/>
  <c r="O29" i="19"/>
  <c r="M29" i="19"/>
  <c r="O28" i="19"/>
  <c r="M28" i="19"/>
  <c r="O16" i="19"/>
  <c r="M16" i="19"/>
  <c r="O14" i="19"/>
  <c r="O13" i="19"/>
  <c r="V13" i="19" s="1"/>
  <c r="N13" i="19"/>
  <c r="U13" i="19" s="1"/>
  <c r="M13" i="19"/>
  <c r="M12" i="19"/>
  <c r="T12" i="19" s="1"/>
  <c r="O11" i="19"/>
  <c r="O10" i="19"/>
  <c r="V10" i="19" s="1"/>
  <c r="M10" i="19"/>
  <c r="T10" i="19" s="1"/>
  <c r="O7" i="19"/>
  <c r="M7" i="19"/>
  <c r="O6" i="19"/>
  <c r="M6" i="19"/>
  <c r="Y52" i="18"/>
  <c r="AF35" i="18" s="1"/>
  <c r="W52" i="18"/>
  <c r="AD35" i="18" s="1"/>
  <c r="Y51" i="18"/>
  <c r="W51" i="18"/>
  <c r="Y50" i="18"/>
  <c r="W49" i="18"/>
  <c r="Y48" i="18"/>
  <c r="W48" i="18"/>
  <c r="Y47" i="18"/>
  <c r="W47" i="18"/>
  <c r="Y46" i="18"/>
  <c r="W46" i="18"/>
  <c r="Y45" i="18"/>
  <c r="W45" i="18"/>
  <c r="Y44" i="18"/>
  <c r="W44" i="18"/>
  <c r="Y43" i="18"/>
  <c r="W43" i="18"/>
  <c r="Y31" i="18"/>
  <c r="W31" i="18"/>
  <c r="Y30" i="18"/>
  <c r="W30" i="18"/>
  <c r="Y29" i="18"/>
  <c r="W29" i="18"/>
  <c r="Y17" i="18"/>
  <c r="AF76" i="18" s="1"/>
  <c r="W17" i="18"/>
  <c r="Y16" i="18"/>
  <c r="W16" i="18"/>
  <c r="M12" i="18"/>
  <c r="M11" i="18"/>
  <c r="O10" i="18"/>
  <c r="M10" i="18"/>
  <c r="M9" i="18"/>
  <c r="M8" i="18"/>
  <c r="M7" i="18"/>
  <c r="O6" i="18"/>
  <c r="Y18" i="18" l="1"/>
  <c r="M17" i="19"/>
  <c r="M76" i="19" s="1"/>
  <c r="O17" i="19"/>
  <c r="O76" i="19" s="1"/>
  <c r="AD32" i="18"/>
  <c r="AF32" i="18"/>
  <c r="AD34" i="18"/>
  <c r="E76" i="19"/>
  <c r="AD33" i="18"/>
  <c r="AF33" i="18"/>
  <c r="C76" i="19"/>
  <c r="D91" i="19"/>
  <c r="K91" i="19"/>
  <c r="A19" i="19"/>
  <c r="E92" i="19"/>
  <c r="C92" i="19"/>
  <c r="M37" i="19"/>
  <c r="U61" i="18"/>
  <c r="O35" i="18"/>
  <c r="E77" i="19"/>
  <c r="O37" i="19"/>
  <c r="C77" i="19"/>
  <c r="T61" i="18"/>
  <c r="O61" i="18"/>
  <c r="V61" i="18" s="1"/>
  <c r="O59" i="18"/>
  <c r="V59" i="18" s="1"/>
  <c r="V60" i="18"/>
  <c r="M60" i="18"/>
  <c r="T60" i="18" s="1"/>
  <c r="N60" i="19"/>
  <c r="M59" i="18"/>
  <c r="T59" i="18" s="1"/>
  <c r="N51" i="19"/>
  <c r="X18" i="19"/>
  <c r="W18" i="18"/>
  <c r="N53" i="19"/>
  <c r="N58" i="18"/>
  <c r="N51" i="18"/>
  <c r="N36" i="19"/>
  <c r="O46" i="18"/>
  <c r="V46" i="18" s="1"/>
  <c r="X16" i="18"/>
  <c r="N16" i="19"/>
  <c r="U16" i="19" s="1"/>
  <c r="T58" i="18"/>
  <c r="J76" i="18"/>
  <c r="E76" i="18"/>
  <c r="W76" i="18"/>
  <c r="AD76" i="18"/>
  <c r="Y77" i="18"/>
  <c r="C76" i="18"/>
  <c r="AD77" i="19"/>
  <c r="X17" i="18"/>
  <c r="N17" i="18" s="1"/>
  <c r="L76" i="18"/>
  <c r="Y76" i="18"/>
  <c r="AE76" i="19"/>
  <c r="M36" i="19"/>
  <c r="O36" i="19"/>
  <c r="Y77" i="19"/>
  <c r="AF77" i="19" s="1"/>
  <c r="M49" i="18"/>
  <c r="T49" i="18" s="1"/>
  <c r="M45" i="18"/>
  <c r="T45" i="18" s="1"/>
  <c r="AF18" i="18"/>
  <c r="N17" i="19"/>
  <c r="U17" i="19" s="1"/>
  <c r="N56" i="18"/>
  <c r="N57" i="18"/>
  <c r="N56" i="19"/>
  <c r="N9" i="18"/>
  <c r="U9" i="18" s="1"/>
  <c r="D76" i="19"/>
  <c r="C77" i="18"/>
  <c r="W32" i="18"/>
  <c r="W77" i="18" s="1"/>
  <c r="O56" i="18"/>
  <c r="V56" i="18" s="1"/>
  <c r="M32" i="19"/>
  <c r="M43" i="18"/>
  <c r="T43" i="18" s="1"/>
  <c r="X32" i="18"/>
  <c r="M30" i="18"/>
  <c r="T30" i="18" s="1"/>
  <c r="M47" i="18"/>
  <c r="T47" i="18" s="1"/>
  <c r="M28" i="18"/>
  <c r="T28" i="18" s="1"/>
  <c r="O54" i="18"/>
  <c r="V54" i="18" s="1"/>
  <c r="O32" i="18"/>
  <c r="M44" i="18"/>
  <c r="T44" i="18" s="1"/>
  <c r="O30" i="18"/>
  <c r="V30" i="18" s="1"/>
  <c r="O44" i="18"/>
  <c r="V44" i="18" s="1"/>
  <c r="Y33" i="18"/>
  <c r="M29" i="18"/>
  <c r="T29" i="18" s="1"/>
  <c r="O48" i="18"/>
  <c r="V48" i="18" s="1"/>
  <c r="O53" i="18"/>
  <c r="V53" i="18" s="1"/>
  <c r="O32" i="19"/>
  <c r="O77" i="19" s="1"/>
  <c r="O16" i="18"/>
  <c r="V16" i="18" s="1"/>
  <c r="O31" i="18"/>
  <c r="V31" i="18" s="1"/>
  <c r="O45" i="18"/>
  <c r="V45" i="18" s="1"/>
  <c r="O28" i="18"/>
  <c r="V28" i="18" s="1"/>
  <c r="M31" i="18"/>
  <c r="T31" i="18" s="1"/>
  <c r="M46" i="18"/>
  <c r="T46" i="18" s="1"/>
  <c r="T11" i="18"/>
  <c r="N49" i="18"/>
  <c r="O17" i="18"/>
  <c r="O43" i="18"/>
  <c r="V43" i="18" s="1"/>
  <c r="M16" i="18"/>
  <c r="T16" i="18" s="1"/>
  <c r="M17" i="18"/>
  <c r="V10" i="18"/>
  <c r="T8" i="18"/>
  <c r="N13" i="18"/>
  <c r="U13" i="18" s="1"/>
  <c r="O15" i="18"/>
  <c r="V15" i="18" s="1"/>
  <c r="N28" i="19"/>
  <c r="U28" i="19" s="1"/>
  <c r="X44" i="18"/>
  <c r="N44" i="19"/>
  <c r="U44" i="19" s="1"/>
  <c r="N31" i="19"/>
  <c r="U31" i="19" s="1"/>
  <c r="X31" i="18"/>
  <c r="N31" i="18" s="1"/>
  <c r="U31" i="18" s="1"/>
  <c r="O9" i="18"/>
  <c r="V9" i="18" s="1"/>
  <c r="M48" i="18"/>
  <c r="T48" i="18" s="1"/>
  <c r="X43" i="18"/>
  <c r="N43" i="19"/>
  <c r="U43" i="19" s="1"/>
  <c r="X30" i="18"/>
  <c r="N30" i="18" s="1"/>
  <c r="N30" i="19"/>
  <c r="U30" i="19" s="1"/>
  <c r="X46" i="18"/>
  <c r="N46" i="19"/>
  <c r="N54" i="18"/>
  <c r="N54" i="19"/>
  <c r="N15" i="18"/>
  <c r="U15" i="18" s="1"/>
  <c r="O12" i="18"/>
  <c r="V12" i="18" s="1"/>
  <c r="N47" i="18"/>
  <c r="U6" i="18"/>
  <c r="X45" i="18"/>
  <c r="N45" i="19"/>
  <c r="U45" i="19" s="1"/>
  <c r="E78" i="19"/>
  <c r="O33" i="19"/>
  <c r="N12" i="18"/>
  <c r="U12" i="18" s="1"/>
  <c r="M15" i="18"/>
  <c r="T15" i="18" s="1"/>
  <c r="N6" i="19"/>
  <c r="M9" i="19"/>
  <c r="T9" i="19" s="1"/>
  <c r="AD18" i="18"/>
  <c r="X50" i="18"/>
  <c r="N11" i="18"/>
  <c r="U11" i="18" s="1"/>
  <c r="T6" i="19"/>
  <c r="O9" i="19"/>
  <c r="V9" i="19" s="1"/>
  <c r="N12" i="19"/>
  <c r="U12" i="19" s="1"/>
  <c r="M15" i="19"/>
  <c r="O8" i="18"/>
  <c r="V8" i="18" s="1"/>
  <c r="T7" i="18"/>
  <c r="O11" i="18"/>
  <c r="V11" i="18" s="1"/>
  <c r="N14" i="18"/>
  <c r="U14" i="18" s="1"/>
  <c r="M50" i="18"/>
  <c r="T50" i="18" s="1"/>
  <c r="O12" i="19"/>
  <c r="V12" i="19" s="1"/>
  <c r="N15" i="19"/>
  <c r="U15" i="19" s="1"/>
  <c r="N47" i="19"/>
  <c r="M14" i="18"/>
  <c r="O14" i="18"/>
  <c r="V14" i="18" s="1"/>
  <c r="V6" i="19"/>
  <c r="O15" i="19"/>
  <c r="O35" i="19"/>
  <c r="O47" i="19"/>
  <c r="M48" i="19"/>
  <c r="O50" i="18"/>
  <c r="V50" i="18" s="1"/>
  <c r="M51" i="18"/>
  <c r="T51" i="18" s="1"/>
  <c r="M57" i="18"/>
  <c r="T57" i="18" s="1"/>
  <c r="M8" i="19"/>
  <c r="T8" i="19" s="1"/>
  <c r="V11" i="19"/>
  <c r="N48" i="19"/>
  <c r="N8" i="19"/>
  <c r="U8" i="19" s="1"/>
  <c r="M11" i="19"/>
  <c r="T11" i="19" s="1"/>
  <c r="O48" i="19"/>
  <c r="M49" i="19"/>
  <c r="O7" i="18"/>
  <c r="N10" i="18"/>
  <c r="U10" i="18" s="1"/>
  <c r="M13" i="18"/>
  <c r="T13" i="18" s="1"/>
  <c r="O51" i="18"/>
  <c r="V51" i="18" s="1"/>
  <c r="M52" i="18"/>
  <c r="T52" i="18" s="1"/>
  <c r="O57" i="18"/>
  <c r="V57" i="18" s="1"/>
  <c r="O8" i="19"/>
  <c r="V8" i="19" s="1"/>
  <c r="N11" i="19"/>
  <c r="U11" i="19" s="1"/>
  <c r="M14" i="19"/>
  <c r="N49" i="19"/>
  <c r="M54" i="18"/>
  <c r="T54" i="18" s="1"/>
  <c r="T7" i="19"/>
  <c r="Y78" i="19"/>
  <c r="O49" i="19"/>
  <c r="M50" i="19"/>
  <c r="M57" i="19"/>
  <c r="N7" i="18"/>
  <c r="U7" i="18" s="1"/>
  <c r="T9" i="18"/>
  <c r="T10" i="18"/>
  <c r="O13" i="18"/>
  <c r="V13" i="18" s="1"/>
  <c r="Y49" i="18"/>
  <c r="AF34" i="18" s="1"/>
  <c r="O52" i="18"/>
  <c r="V52" i="18" s="1"/>
  <c r="M53" i="18"/>
  <c r="T53" i="18" s="1"/>
  <c r="M56" i="18"/>
  <c r="T56" i="18" s="1"/>
  <c r="V7" i="19"/>
  <c r="AF33" i="19"/>
  <c r="N57" i="19"/>
  <c r="M6" i="18"/>
  <c r="T6" i="18" s="1"/>
  <c r="T12" i="18"/>
  <c r="O29" i="18"/>
  <c r="T13" i="19"/>
  <c r="AD35" i="19"/>
  <c r="AD19" i="19" s="1"/>
  <c r="E102" i="19" l="1"/>
  <c r="M20" i="19"/>
  <c r="X18" i="18"/>
  <c r="O18" i="18"/>
  <c r="V18" i="18" s="1"/>
  <c r="O20" i="19"/>
  <c r="U6" i="19"/>
  <c r="O80" i="19"/>
  <c r="M80" i="19"/>
  <c r="T14" i="18"/>
  <c r="U38" i="24"/>
  <c r="L92" i="19"/>
  <c r="O18" i="19"/>
  <c r="M18" i="19"/>
  <c r="J91" i="19"/>
  <c r="U37" i="24"/>
  <c r="J92" i="19"/>
  <c r="L91" i="19"/>
  <c r="W37" i="24"/>
  <c r="K92" i="19"/>
  <c r="D92" i="19"/>
  <c r="A20" i="19"/>
  <c r="W39" i="24"/>
  <c r="U39" i="24"/>
  <c r="O36" i="18"/>
  <c r="M36" i="18"/>
  <c r="M37" i="18"/>
  <c r="V62" i="18"/>
  <c r="T62" i="18"/>
  <c r="W19" i="19"/>
  <c r="E79" i="19"/>
  <c r="N37" i="19"/>
  <c r="N80" i="19" s="1"/>
  <c r="O37" i="18"/>
  <c r="N36" i="18"/>
  <c r="AF78" i="19"/>
  <c r="AF79" i="19" s="1"/>
  <c r="N18" i="19"/>
  <c r="U18" i="19" s="1"/>
  <c r="U51" i="18"/>
  <c r="N59" i="18"/>
  <c r="N60" i="18"/>
  <c r="Y19" i="19"/>
  <c r="Y22" i="19" s="1"/>
  <c r="AF19" i="19"/>
  <c r="N76" i="19"/>
  <c r="M18" i="18"/>
  <c r="T18" i="18" s="1"/>
  <c r="Y79" i="19"/>
  <c r="N16" i="18"/>
  <c r="U16" i="18" s="1"/>
  <c r="U58" i="18"/>
  <c r="D76" i="18"/>
  <c r="N32" i="19"/>
  <c r="U32" i="19" s="1"/>
  <c r="X77" i="19"/>
  <c r="N48" i="18"/>
  <c r="U48" i="18" s="1"/>
  <c r="O76" i="18"/>
  <c r="AF77" i="18"/>
  <c r="M76" i="18"/>
  <c r="AD77" i="18"/>
  <c r="J77" i="18"/>
  <c r="X76" i="18"/>
  <c r="U57" i="18"/>
  <c r="E78" i="18"/>
  <c r="M77" i="19"/>
  <c r="E77" i="18"/>
  <c r="L77" i="18" s="1"/>
  <c r="X33" i="18"/>
  <c r="W34" i="18"/>
  <c r="W78" i="19"/>
  <c r="W79" i="19" s="1"/>
  <c r="U17" i="18"/>
  <c r="AD78" i="19"/>
  <c r="O77" i="18"/>
  <c r="U56" i="18"/>
  <c r="L78" i="18"/>
  <c r="U47" i="19"/>
  <c r="U54" i="18"/>
  <c r="N53" i="18"/>
  <c r="U53" i="18" s="1"/>
  <c r="M32" i="18"/>
  <c r="T32" i="18" s="1"/>
  <c r="V32" i="18"/>
  <c r="U46" i="19"/>
  <c r="N50" i="18"/>
  <c r="U50" i="18" s="1"/>
  <c r="D77" i="19"/>
  <c r="D77" i="18"/>
  <c r="N50" i="19"/>
  <c r="V35" i="18"/>
  <c r="U49" i="19"/>
  <c r="N28" i="18"/>
  <c r="U28" i="18" s="1"/>
  <c r="U48" i="19"/>
  <c r="O49" i="18"/>
  <c r="V49" i="18" s="1"/>
  <c r="U49" i="18"/>
  <c r="V7" i="18"/>
  <c r="X52" i="18"/>
  <c r="N52" i="19"/>
  <c r="N29" i="19"/>
  <c r="X29" i="18"/>
  <c r="X77" i="18" s="1"/>
  <c r="W35" i="18"/>
  <c r="M35" i="19"/>
  <c r="C78" i="19"/>
  <c r="C79" i="19" s="1"/>
  <c r="C78" i="18"/>
  <c r="C79" i="18" s="1"/>
  <c r="M33" i="19"/>
  <c r="O33" i="18"/>
  <c r="N44" i="18"/>
  <c r="U44" i="18" s="1"/>
  <c r="Y34" i="18"/>
  <c r="Y78" i="18" s="1"/>
  <c r="Y79" i="18" s="1"/>
  <c r="N46" i="18"/>
  <c r="U46" i="18" s="1"/>
  <c r="N43" i="18"/>
  <c r="U43" i="18" s="1"/>
  <c r="N45" i="18"/>
  <c r="U45" i="18" s="1"/>
  <c r="V6" i="18"/>
  <c r="U47" i="18"/>
  <c r="O47" i="18"/>
  <c r="V47" i="18" s="1"/>
  <c r="V17" i="18"/>
  <c r="V76" i="18" s="1"/>
  <c r="U30" i="18"/>
  <c r="V29" i="18"/>
  <c r="M34" i="19"/>
  <c r="T17" i="18"/>
  <c r="T76" i="18" s="1"/>
  <c r="O34" i="19"/>
  <c r="C102" i="19" l="1"/>
  <c r="M20" i="18"/>
  <c r="E102" i="18"/>
  <c r="C102" i="18"/>
  <c r="W19" i="18"/>
  <c r="W22" i="18" s="1"/>
  <c r="W22" i="19"/>
  <c r="AD22" i="19" s="1"/>
  <c r="AF22" i="19"/>
  <c r="N18" i="18"/>
  <c r="U18" i="18" s="1"/>
  <c r="V36" i="18"/>
  <c r="O20" i="18"/>
  <c r="O80" i="18"/>
  <c r="M80" i="18"/>
  <c r="T36" i="18"/>
  <c r="W38" i="24"/>
  <c r="C93" i="19"/>
  <c r="C98" i="19"/>
  <c r="E93" i="19"/>
  <c r="E98" i="19"/>
  <c r="D93" i="19"/>
  <c r="K93" i="19"/>
  <c r="D98" i="19"/>
  <c r="K98" i="19"/>
  <c r="J98" i="19"/>
  <c r="J93" i="19"/>
  <c r="L93" i="19"/>
  <c r="L98" i="19"/>
  <c r="T37" i="18"/>
  <c r="V37" i="18"/>
  <c r="M19" i="18"/>
  <c r="U65" i="18"/>
  <c r="T64" i="19"/>
  <c r="V63" i="19"/>
  <c r="V64" i="19"/>
  <c r="T63" i="19"/>
  <c r="V17" i="19"/>
  <c r="T50" i="19"/>
  <c r="T54" i="19"/>
  <c r="V45" i="19"/>
  <c r="T45" i="19"/>
  <c r="V47" i="19"/>
  <c r="V48" i="19"/>
  <c r="V44" i="19"/>
  <c r="T44" i="19"/>
  <c r="T53" i="19"/>
  <c r="T48" i="19"/>
  <c r="V50" i="19"/>
  <c r="T51" i="19"/>
  <c r="T47" i="19"/>
  <c r="V61" i="19"/>
  <c r="T60" i="19"/>
  <c r="V60" i="19"/>
  <c r="T57" i="19"/>
  <c r="T58" i="19"/>
  <c r="T62" i="19"/>
  <c r="U62" i="18"/>
  <c r="O19" i="19"/>
  <c r="O22" i="19" s="1"/>
  <c r="X19" i="19"/>
  <c r="N37" i="18"/>
  <c r="N80" i="18" s="1"/>
  <c r="U60" i="18"/>
  <c r="V15" i="19"/>
  <c r="T15" i="19"/>
  <c r="V16" i="19"/>
  <c r="T16" i="19"/>
  <c r="T14" i="19"/>
  <c r="V14" i="19"/>
  <c r="U59" i="18"/>
  <c r="M19" i="19"/>
  <c r="M22" i="19" s="1"/>
  <c r="X78" i="19"/>
  <c r="X79" i="19" s="1"/>
  <c r="Y19" i="18"/>
  <c r="Y22" i="18" s="1"/>
  <c r="AD78" i="18"/>
  <c r="O34" i="18"/>
  <c r="V34" i="18" s="1"/>
  <c r="N77" i="19"/>
  <c r="U36" i="18"/>
  <c r="AF78" i="18"/>
  <c r="AF79" i="18" s="1"/>
  <c r="M77" i="18"/>
  <c r="T77" i="18" s="1"/>
  <c r="V77" i="18"/>
  <c r="AD79" i="19"/>
  <c r="E79" i="18"/>
  <c r="U50" i="19"/>
  <c r="N76" i="18"/>
  <c r="V33" i="18"/>
  <c r="W78" i="18"/>
  <c r="W79" i="18" s="1"/>
  <c r="O78" i="19"/>
  <c r="O79" i="19" s="1"/>
  <c r="M34" i="18"/>
  <c r="T34" i="18" s="1"/>
  <c r="J78" i="18"/>
  <c r="J79" i="18" s="1"/>
  <c r="M78" i="19"/>
  <c r="M79" i="19" s="1"/>
  <c r="L79" i="18"/>
  <c r="U29" i="19"/>
  <c r="N32" i="18"/>
  <c r="U32" i="18" s="1"/>
  <c r="AD19" i="18"/>
  <c r="AF19" i="18"/>
  <c r="N29" i="18"/>
  <c r="X34" i="18"/>
  <c r="N34" i="18" s="1"/>
  <c r="D78" i="19"/>
  <c r="N33" i="19"/>
  <c r="M35" i="18"/>
  <c r="T35" i="18" s="1"/>
  <c r="X35" i="18"/>
  <c r="N35" i="19"/>
  <c r="M33" i="18"/>
  <c r="N52" i="18"/>
  <c r="N34" i="19"/>
  <c r="D102" i="19" l="1"/>
  <c r="N20" i="18"/>
  <c r="T20" i="18"/>
  <c r="AD22" i="18"/>
  <c r="AF22" i="18"/>
  <c r="X19" i="18"/>
  <c r="X22" i="18" s="1"/>
  <c r="X22" i="19"/>
  <c r="D79" i="19"/>
  <c r="V80" i="18"/>
  <c r="V20" i="18"/>
  <c r="T80" i="18"/>
  <c r="M22" i="18"/>
  <c r="W40" i="24"/>
  <c r="U33" i="24"/>
  <c r="J94" i="19"/>
  <c r="J99" i="19"/>
  <c r="C94" i="19"/>
  <c r="C99" i="19"/>
  <c r="E94" i="19"/>
  <c r="E99" i="19"/>
  <c r="D94" i="19"/>
  <c r="D99" i="19"/>
  <c r="U38" i="18"/>
  <c r="U37" i="18"/>
  <c r="U62" i="19"/>
  <c r="U64" i="19"/>
  <c r="U63" i="19"/>
  <c r="T31" i="19"/>
  <c r="V30" i="19"/>
  <c r="T30" i="19"/>
  <c r="V31" i="19"/>
  <c r="U51" i="19"/>
  <c r="V51" i="19"/>
  <c r="V56" i="19"/>
  <c r="U53" i="19"/>
  <c r="V53" i="19"/>
  <c r="U61" i="19"/>
  <c r="T61" i="19"/>
  <c r="T59" i="19"/>
  <c r="V46" i="19"/>
  <c r="V54" i="19"/>
  <c r="U54" i="19"/>
  <c r="V49" i="19"/>
  <c r="V57" i="19"/>
  <c r="U57" i="19"/>
  <c r="V59" i="19"/>
  <c r="V43" i="19"/>
  <c r="V62" i="19"/>
  <c r="T34" i="19"/>
  <c r="T49" i="19"/>
  <c r="T46" i="19"/>
  <c r="U59" i="19"/>
  <c r="U60" i="19"/>
  <c r="T52" i="19"/>
  <c r="T43" i="19"/>
  <c r="V58" i="19"/>
  <c r="U58" i="19"/>
  <c r="T56" i="19"/>
  <c r="U52" i="19"/>
  <c r="V52" i="19"/>
  <c r="T17" i="19"/>
  <c r="N19" i="19"/>
  <c r="N22" i="19" s="1"/>
  <c r="O19" i="18"/>
  <c r="V19" i="18" s="1"/>
  <c r="O78" i="18"/>
  <c r="O79" i="18" s="1"/>
  <c r="AD79" i="18"/>
  <c r="X78" i="18"/>
  <c r="X79" i="18" s="1"/>
  <c r="N77" i="18"/>
  <c r="M78" i="18"/>
  <c r="M79" i="18" s="1"/>
  <c r="V78" i="18"/>
  <c r="N78" i="19"/>
  <c r="N79" i="19" s="1"/>
  <c r="D78" i="18"/>
  <c r="U52" i="18"/>
  <c r="T33" i="18"/>
  <c r="T78" i="18" s="1"/>
  <c r="N35" i="18"/>
  <c r="U29" i="18"/>
  <c r="T19" i="18"/>
  <c r="U33" i="19"/>
  <c r="N33" i="18"/>
  <c r="U20" i="18" l="1"/>
  <c r="D102" i="18"/>
  <c r="O22" i="18"/>
  <c r="U80" i="18"/>
  <c r="L94" i="19"/>
  <c r="L99" i="19"/>
  <c r="D79" i="18"/>
  <c r="U38" i="19"/>
  <c r="T35" i="19"/>
  <c r="U35" i="19"/>
  <c r="V38" i="19"/>
  <c r="V36" i="19"/>
  <c r="T36" i="19"/>
  <c r="V37" i="19"/>
  <c r="T37" i="19"/>
  <c r="T38" i="19"/>
  <c r="T28" i="19"/>
  <c r="T76" i="19" s="1"/>
  <c r="T29" i="19"/>
  <c r="J77" i="19"/>
  <c r="L76" i="19"/>
  <c r="V28" i="19"/>
  <c r="V76" i="19" s="1"/>
  <c r="V18" i="19"/>
  <c r="V29" i="19"/>
  <c r="L77" i="19"/>
  <c r="J76" i="19"/>
  <c r="J78" i="19"/>
  <c r="T33" i="19"/>
  <c r="V32" i="19"/>
  <c r="V35" i="19"/>
  <c r="U56" i="19"/>
  <c r="U36" i="19"/>
  <c r="T19" i="19"/>
  <c r="T32" i="19"/>
  <c r="V34" i="19"/>
  <c r="L78" i="19"/>
  <c r="V33" i="19"/>
  <c r="N19" i="18"/>
  <c r="N22" i="18" s="1"/>
  <c r="V79" i="18"/>
  <c r="T79" i="18"/>
  <c r="N78" i="18"/>
  <c r="N79" i="18" s="1"/>
  <c r="U35" i="18"/>
  <c r="U34" i="18"/>
  <c r="U33" i="18"/>
  <c r="L102" i="19" l="1"/>
  <c r="J102" i="19"/>
  <c r="V80" i="19"/>
  <c r="V20" i="19"/>
  <c r="T80" i="19"/>
  <c r="T20" i="19"/>
  <c r="V65" i="19"/>
  <c r="T65" i="19"/>
  <c r="T78" i="19"/>
  <c r="U37" i="19"/>
  <c r="T77" i="19"/>
  <c r="V78" i="19"/>
  <c r="U19" i="18"/>
  <c r="T18" i="19"/>
  <c r="L79" i="19"/>
  <c r="J79" i="19"/>
  <c r="V77" i="19"/>
  <c r="U34" i="19"/>
  <c r="U19" i="19"/>
  <c r="V19" i="19"/>
  <c r="U20" i="19" l="1"/>
  <c r="T79" i="19"/>
  <c r="V79" i="19"/>
  <c r="T22" i="19" l="1"/>
  <c r="V22" i="19"/>
  <c r="U65" i="19" l="1"/>
  <c r="K39" i="19"/>
  <c r="K20" i="19" s="1"/>
  <c r="U39" i="19" l="1"/>
  <c r="U21" i="19"/>
  <c r="U22" i="19" s="1"/>
  <c r="U80" i="19" l="1"/>
  <c r="V40" i="24"/>
  <c r="K94" i="19"/>
  <c r="K99" i="19"/>
  <c r="K22" i="19"/>
  <c r="K80" i="19"/>
  <c r="K102" i="19" s="1"/>
  <c r="K21" i="18" l="1"/>
  <c r="K100" i="18" s="1"/>
  <c r="L81" i="18"/>
  <c r="T41" i="18"/>
  <c r="U41" i="18" l="1"/>
  <c r="U81" i="18" s="1"/>
  <c r="T81" i="18"/>
  <c r="T21" i="18"/>
  <c r="T22" i="18" s="1"/>
  <c r="S41" i="24"/>
  <c r="K22" i="18"/>
  <c r="L21" i="18"/>
  <c r="L100" i="18" s="1"/>
  <c r="V41" i="18"/>
  <c r="J81" i="18"/>
  <c r="K95" i="18"/>
  <c r="K81" i="18"/>
  <c r="K102" i="18" s="1"/>
  <c r="J21" i="18"/>
  <c r="J100" i="18" s="1"/>
  <c r="U21" i="18" l="1"/>
  <c r="U22" i="18" s="1"/>
  <c r="J102" i="18"/>
  <c r="J95" i="18"/>
  <c r="L102" i="18"/>
  <c r="V21" i="18"/>
  <c r="V22" i="18" s="1"/>
  <c r="V81" i="18"/>
  <c r="L95" i="18"/>
  <c r="R41" i="24"/>
  <c r="J22" i="18"/>
  <c r="T41" i="24"/>
  <c r="L22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<sst xmlns="http://schemas.openxmlformats.org/spreadsheetml/2006/main" count="382" uniqueCount="102">
  <si>
    <t>Actuarial Best Estimates - Claims = Gross of QS / CI and Net of XoL, Premiums = Gross of QS / CI and XoL</t>
  </si>
  <si>
    <t>Total</t>
  </si>
  <si>
    <t>UW Period</t>
  </si>
  <si>
    <t>Ultimate Earned Net Premium</t>
  </si>
  <si>
    <t>Ultimate Unearned Net Premium</t>
  </si>
  <si>
    <t>Ultimate Net Premium</t>
  </si>
  <si>
    <t>Paid Claim Amounts</t>
  </si>
  <si>
    <t>Incurred Claim Amounts</t>
  </si>
  <si>
    <t>Earned Ultimate Claim Amounts</t>
  </si>
  <si>
    <t>IBNR</t>
  </si>
  <si>
    <t>Earned Net Loss Ratio</t>
  </si>
  <si>
    <t>Unearned Net Loss Ratio</t>
  </si>
  <si>
    <t>Ultimate Net Loss Ratio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</si>
  <si>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</si>
  <si>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</si>
  <si>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</si>
  <si>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</si>
  <si>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</si>
  <si>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</si>
  <si>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</si>
  <si>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</si>
  <si>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</si>
  <si>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</si>
  <si>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</si>
  <si>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</si>
  <si>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</si>
  <si>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</si>
  <si>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</si>
  <si>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</si>
  <si>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</si>
  <si>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</si>
  <si>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</si>
  <si>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</si>
  <si>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2021 RI Treaty Year</t>
  </si>
  <si>
    <t>2022 RI Treaty Year</t>
  </si>
  <si>
    <t>Actuarial Best Estimates - Claims = Gross of QS / CI and  XoL, Premiums = Gross of QS / CI and XoL</t>
  </si>
  <si>
    <t>2024 Q1</t>
  </si>
  <si>
    <t>2024 Jan</t>
  </si>
  <si>
    <t>2024 Feb</t>
  </si>
  <si>
    <t>2024 Mar</t>
  </si>
  <si>
    <t>2024 Q2</t>
  </si>
  <si>
    <t>2024 Apr</t>
  </si>
  <si>
    <t/>
  </si>
  <si>
    <t>2023 RI Treaty Year</t>
  </si>
  <si>
    <t>22+23 RI Treaty Year</t>
  </si>
  <si>
    <t>2024 RI Treaty Year</t>
  </si>
  <si>
    <t>2024 May</t>
  </si>
  <si>
    <t>2024 Jun</t>
  </si>
  <si>
    <t>2024 Q3</t>
  </si>
  <si>
    <t>2024 Jul</t>
  </si>
  <si>
    <t>2024 Aug</t>
  </si>
  <si>
    <t>2024 Sep</t>
  </si>
  <si>
    <t>2024 Oct</t>
  </si>
  <si>
    <t>2024 Q4</t>
  </si>
  <si>
    <t>2024 Nov</t>
  </si>
  <si>
    <t>Mulsanne Insurance Company Limited</t>
  </si>
  <si>
    <t>Detailed results</t>
  </si>
  <si>
    <t>Pre-inflation</t>
  </si>
  <si>
    <t>Post-Inflation</t>
  </si>
  <si>
    <t>Earned Loss Ratio</t>
  </si>
  <si>
    <t>WTW - MICL</t>
  </si>
  <si>
    <t>Post-inflation</t>
  </si>
  <si>
    <t>Earned Loss Ratio2</t>
  </si>
  <si>
    <t>Column23</t>
  </si>
  <si>
    <t>Column34</t>
  </si>
  <si>
    <t>MICL June results</t>
  </si>
  <si>
    <t>UWY</t>
  </si>
  <si>
    <t>UWQ</t>
  </si>
  <si>
    <t>Net</t>
  </si>
  <si>
    <t>Gross</t>
  </si>
  <si>
    <t>MICL</t>
  </si>
  <si>
    <t>WTW</t>
  </si>
  <si>
    <t>NET</t>
  </si>
  <si>
    <t>GROSS</t>
  </si>
  <si>
    <t>DIFFERENCE</t>
  </si>
  <si>
    <r>
      <rPr>
        <b/>
        <sz val="9.35"/>
        <color theme="1"/>
        <rFont val="Calibri"/>
        <family val="2"/>
      </rPr>
      <t xml:space="preserve">Diff </t>
    </r>
    <r>
      <rPr>
        <sz val="11"/>
        <color theme="1"/>
        <rFont val="Calibri"/>
        <family val="2"/>
        <scheme val="minor"/>
      </rPr>
      <t>(MICL - WTW)</t>
    </r>
  </si>
  <si>
    <t>Total (WTW ABEs)</t>
  </si>
  <si>
    <t>All Excl. G2I (WTW Total - MICL G2i)</t>
  </si>
  <si>
    <t>G2I (MICL ABEs)</t>
  </si>
  <si>
    <t>2021 Q1</t>
  </si>
  <si>
    <t>2021 Q2</t>
  </si>
  <si>
    <t>2021 Q3</t>
  </si>
  <si>
    <t>2021 Q4</t>
  </si>
  <si>
    <t>2024 Dec</t>
  </si>
  <si>
    <t>Checks</t>
  </si>
  <si>
    <t>Checks - Q</t>
  </si>
  <si>
    <t>Checks - M</t>
  </si>
  <si>
    <t>Checks - TY</t>
  </si>
  <si>
    <t>2025 Q1</t>
  </si>
  <si>
    <t>2025 Jan</t>
  </si>
  <si>
    <t>2025 Feb</t>
  </si>
  <si>
    <t>Total NLR (Smoothed), Earned to Dec 2022 and then</t>
  </si>
  <si>
    <t>2025 Mar</t>
  </si>
  <si>
    <t>2025 Q2</t>
  </si>
  <si>
    <t>2025 Apr</t>
  </si>
  <si>
    <t>2025 RI Treaty Year</t>
  </si>
  <si>
    <t>2025 May</t>
  </si>
  <si>
    <t>2025 Jun</t>
  </si>
  <si>
    <t xml:space="preserve">MICL June 2025 results are based on </t>
  </si>
  <si>
    <t>Review as at 30 June 2025 (£) - DRAFT</t>
  </si>
  <si>
    <t>Total NLR (Earned + Unearned) to June 2025</t>
  </si>
  <si>
    <t>MICL 30 June 2025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</si>
</sst>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6" formatCode="&quot;£&quot;#,##0;[Red]\-&quot;£&quot;#,##0"/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#,##0.0%\ ;[Red]\(#,##0.0%\)"/>
    <numFmt numFmtId="168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FFB92A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.35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rgb="FF7F35B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35B2"/>
        <bgColor indexed="64"/>
      </patternFill>
    </fill>
    <fill>
      <patternFill patternType="solid">
        <fgColor rgb="FFCDACE6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ashed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6" fontId="0" fillId="0" borderId="0" xfId="0" applyNumberFormat="1"/>
    <xf numFmtId="164" fontId="4" fillId="5" borderId="11" xfId="1" applyNumberFormat="1" applyFont="1" applyFill="1" applyBorder="1"/>
    <xf numFmtId="0" fontId="4" fillId="5" borderId="0" xfId="0" applyFont="1" applyFill="1"/>
    <xf numFmtId="164" fontId="4" fillId="5" borderId="14" xfId="1" applyNumberFormat="1" applyFont="1" applyFill="1" applyBorder="1"/>
    <xf numFmtId="164" fontId="4" fillId="5" borderId="0" xfId="1" applyNumberFormat="1" applyFont="1" applyFill="1" applyBorder="1"/>
    <xf numFmtId="0" fontId="5" fillId="4" borderId="11" xfId="0" applyFont="1" applyFill="1" applyBorder="1" applyAlignment="1">
      <alignment horizontal="center"/>
    </xf>
    <xf numFmtId="3" fontId="4" fillId="0" borderId="12" xfId="0" applyNumberFormat="1" applyFont="1" applyBorder="1"/>
    <xf numFmtId="3" fontId="4" fillId="0" borderId="0" xfId="0" applyNumberFormat="1" applyFont="1"/>
    <xf numFmtId="3" fontId="4" fillId="0" borderId="13" xfId="0" applyNumberFormat="1" applyFont="1" applyBorder="1"/>
    <xf numFmtId="3" fontId="4" fillId="5" borderId="12" xfId="0" applyNumberFormat="1" applyFont="1" applyFill="1" applyBorder="1"/>
    <xf numFmtId="3" fontId="4" fillId="5" borderId="0" xfId="0" applyNumberFormat="1" applyFont="1" applyFill="1"/>
    <xf numFmtId="3" fontId="4" fillId="5" borderId="13" xfId="0" applyNumberFormat="1" applyFont="1" applyFill="1" applyBorder="1"/>
    <xf numFmtId="0" fontId="4" fillId="0" borderId="0" xfId="0" applyFont="1"/>
    <xf numFmtId="0" fontId="5" fillId="4" borderId="15" xfId="0" applyFont="1" applyFill="1" applyBorder="1" applyAlignment="1">
      <alignment horizontal="center"/>
    </xf>
    <xf numFmtId="0" fontId="4" fillId="0" borderId="16" xfId="0" applyFont="1" applyBorder="1"/>
    <xf numFmtId="0" fontId="4" fillId="0" borderId="18" xfId="0" applyFont="1" applyBorder="1"/>
    <xf numFmtId="0" fontId="4" fillId="5" borderId="17" xfId="0" applyFont="1" applyFill="1" applyBorder="1"/>
    <xf numFmtId="164" fontId="4" fillId="5" borderId="15" xfId="1" applyNumberFormat="1" applyFont="1" applyFill="1" applyBorder="1"/>
    <xf numFmtId="164" fontId="4" fillId="5" borderId="17" xfId="1" applyNumberFormat="1" applyFont="1" applyFill="1" applyBorder="1"/>
    <xf numFmtId="164" fontId="4" fillId="5" borderId="19" xfId="1" applyNumberFormat="1" applyFont="1" applyFill="1" applyBorder="1"/>
    <xf numFmtId="0" fontId="4" fillId="5" borderId="16" xfId="0" applyFont="1" applyFill="1" applyBorder="1"/>
    <xf numFmtId="0" fontId="4" fillId="5" borderId="18" xfId="0" applyFont="1" applyFill="1" applyBorder="1"/>
    <xf numFmtId="0" fontId="5" fillId="4" borderId="23" xfId="0" applyFont="1" applyFill="1" applyBorder="1" applyAlignment="1">
      <alignment horizontal="center"/>
    </xf>
    <xf numFmtId="3" fontId="4" fillId="0" borderId="20" xfId="0" applyNumberFormat="1" applyFont="1" applyBorder="1"/>
    <xf numFmtId="3" fontId="4" fillId="0" borderId="21" xfId="0" applyNumberFormat="1" applyFont="1" applyBorder="1"/>
    <xf numFmtId="3" fontId="4" fillId="0" borderId="22" xfId="0" applyNumberFormat="1" applyFont="1" applyBorder="1"/>
    <xf numFmtId="0" fontId="4" fillId="5" borderId="21" xfId="0" applyFont="1" applyFill="1" applyBorder="1"/>
    <xf numFmtId="164" fontId="4" fillId="5" borderId="23" xfId="1" applyNumberFormat="1" applyFont="1" applyFill="1" applyBorder="1"/>
    <xf numFmtId="164" fontId="4" fillId="5" borderId="21" xfId="1" applyNumberFormat="1" applyFont="1" applyFill="1" applyBorder="1"/>
    <xf numFmtId="164" fontId="4" fillId="5" borderId="24" xfId="1" applyNumberFormat="1" applyFont="1" applyFill="1" applyBorder="1"/>
    <xf numFmtId="3" fontId="4" fillId="5" borderId="20" xfId="0" applyNumberFormat="1" applyFont="1" applyFill="1" applyBorder="1"/>
    <xf numFmtId="3" fontId="4" fillId="5" borderId="21" xfId="0" applyNumberFormat="1" applyFont="1" applyFill="1" applyBorder="1"/>
    <xf numFmtId="3" fontId="4" fillId="5" borderId="22" xfId="0" applyNumberFormat="1" applyFont="1" applyFill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5" borderId="20" xfId="0" applyFont="1" applyFill="1" applyBorder="1"/>
    <xf numFmtId="0" fontId="4" fillId="5" borderId="22" xfId="0" applyFont="1" applyFill="1" applyBorder="1"/>
    <xf numFmtId="164" fontId="4" fillId="5" borderId="27" xfId="1" applyNumberFormat="1" applyFont="1" applyFill="1" applyBorder="1"/>
    <xf numFmtId="164" fontId="4" fillId="5" borderId="29" xfId="1" applyNumberFormat="1" applyFont="1" applyFill="1" applyBorder="1"/>
    <xf numFmtId="164" fontId="4" fillId="5" borderId="25" xfId="1" applyNumberFormat="1" applyFont="1" applyFill="1" applyBorder="1"/>
    <xf numFmtId="164" fontId="4" fillId="5" borderId="26" xfId="1" applyNumberFormat="1" applyFont="1" applyFill="1" applyBorder="1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3" fontId="4" fillId="0" borderId="29" xfId="0" applyNumberFormat="1" applyFont="1" applyBorder="1"/>
    <xf numFmtId="3" fontId="4" fillId="0" borderId="30" xfId="0" applyNumberFormat="1" applyFont="1" applyBorder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3" fontId="5" fillId="0" borderId="16" xfId="0" applyNumberFormat="1" applyFont="1" applyBorder="1"/>
    <xf numFmtId="3" fontId="5" fillId="0" borderId="17" xfId="0" applyNumberFormat="1" applyFont="1" applyBorder="1"/>
    <xf numFmtId="3" fontId="5" fillId="0" borderId="18" xfId="0" applyNumberFormat="1" applyFont="1" applyBorder="1"/>
    <xf numFmtId="164" fontId="5" fillId="5" borderId="15" xfId="1" applyNumberFormat="1" applyFont="1" applyFill="1" applyBorder="1"/>
    <xf numFmtId="164" fontId="5" fillId="5" borderId="17" xfId="1" applyNumberFormat="1" applyFont="1" applyFill="1" applyBorder="1"/>
    <xf numFmtId="164" fontId="5" fillId="5" borderId="19" xfId="1" applyNumberFormat="1" applyFont="1" applyFill="1" applyBorder="1"/>
    <xf numFmtId="3" fontId="4" fillId="0" borderId="32" xfId="0" applyNumberFormat="1" applyFont="1" applyBorder="1"/>
    <xf numFmtId="3" fontId="4" fillId="0" borderId="2" xfId="0" applyNumberFormat="1" applyFont="1" applyBorder="1"/>
    <xf numFmtId="3" fontId="4" fillId="0" borderId="33" xfId="0" applyNumberFormat="1" applyFont="1" applyBorder="1"/>
    <xf numFmtId="0" fontId="4" fillId="5" borderId="2" xfId="0" applyFont="1" applyFill="1" applyBorder="1"/>
    <xf numFmtId="164" fontId="4" fillId="5" borderId="1" xfId="1" applyNumberFormat="1" applyFont="1" applyFill="1" applyBorder="1"/>
    <xf numFmtId="164" fontId="4" fillId="5" borderId="2" xfId="1" applyNumberFormat="1" applyFont="1" applyFill="1" applyBorder="1"/>
    <xf numFmtId="164" fontId="4" fillId="5" borderId="34" xfId="1" applyNumberFormat="1" applyFont="1" applyFill="1" applyBorder="1"/>
    <xf numFmtId="3" fontId="4" fillId="0" borderId="35" xfId="0" applyNumberFormat="1" applyFont="1" applyBorder="1"/>
    <xf numFmtId="3" fontId="4" fillId="0" borderId="36" xfId="0" applyNumberFormat="1" applyFont="1" applyBorder="1"/>
    <xf numFmtId="3" fontId="4" fillId="0" borderId="37" xfId="0" applyNumberFormat="1" applyFont="1" applyBorder="1"/>
    <xf numFmtId="164" fontId="4" fillId="5" borderId="38" xfId="1" applyNumberFormat="1" applyFont="1" applyFill="1" applyBorder="1"/>
    <xf numFmtId="164" fontId="4" fillId="5" borderId="36" xfId="1" applyNumberFormat="1" applyFont="1" applyFill="1" applyBorder="1"/>
    <xf numFmtId="164" fontId="4" fillId="5" borderId="39" xfId="1" applyNumberFormat="1" applyFont="1" applyFill="1" applyBorder="1"/>
    <xf numFmtId="3" fontId="4" fillId="0" borderId="12" xfId="0" applyNumberFormat="1" applyFont="1" applyBorder="1" applyAlignment="1">
      <alignment horizontal="right"/>
    </xf>
    <xf numFmtId="3" fontId="4" fillId="0" borderId="17" xfId="0" applyNumberFormat="1" applyFont="1" applyBorder="1"/>
    <xf numFmtId="3" fontId="4" fillId="5" borderId="36" xfId="0" applyNumberFormat="1" applyFont="1" applyFill="1" applyBorder="1"/>
    <xf numFmtId="164" fontId="4" fillId="5" borderId="36" xfId="0" applyNumberFormat="1" applyFont="1" applyFill="1" applyBorder="1"/>
    <xf numFmtId="0" fontId="7" fillId="4" borderId="11" xfId="0" applyFont="1" applyFill="1" applyBorder="1" applyAlignment="1">
      <alignment horizontal="center"/>
    </xf>
    <xf numFmtId="3" fontId="8" fillId="0" borderId="12" xfId="0" applyNumberFormat="1" applyFont="1" applyBorder="1"/>
    <xf numFmtId="3" fontId="8" fillId="0" borderId="0" xfId="0" applyNumberFormat="1" applyFont="1"/>
    <xf numFmtId="3" fontId="8" fillId="0" borderId="13" xfId="0" applyNumberFormat="1" applyFont="1" applyBorder="1"/>
    <xf numFmtId="0" fontId="8" fillId="5" borderId="0" xfId="0" applyFont="1" applyFill="1"/>
    <xf numFmtId="164" fontId="8" fillId="5" borderId="11" xfId="1" applyNumberFormat="1" applyFont="1" applyFill="1" applyBorder="1"/>
    <xf numFmtId="164" fontId="8" fillId="5" borderId="14" xfId="1" applyNumberFormat="1" applyFont="1" applyFill="1" applyBorder="1"/>
    <xf numFmtId="3" fontId="8" fillId="5" borderId="12" xfId="0" applyNumberFormat="1" applyFont="1" applyFill="1" applyBorder="1"/>
    <xf numFmtId="3" fontId="8" fillId="5" borderId="13" xfId="0" applyNumberFormat="1" applyFont="1" applyFill="1" applyBorder="1"/>
    <xf numFmtId="164" fontId="8" fillId="5" borderId="0" xfId="1" applyNumberFormat="1" applyFont="1" applyFill="1" applyBorder="1"/>
    <xf numFmtId="3" fontId="8" fillId="5" borderId="0" xfId="0" applyNumberFormat="1" applyFont="1" applyFill="1"/>
    <xf numFmtId="164" fontId="8" fillId="5" borderId="25" xfId="1" applyNumberFormat="1" applyFont="1" applyFill="1" applyBorder="1"/>
    <xf numFmtId="164" fontId="8" fillId="5" borderId="26" xfId="1" applyNumberFormat="1" applyFont="1" applyFill="1" applyBorder="1"/>
    <xf numFmtId="3" fontId="8" fillId="0" borderId="32" xfId="0" applyNumberFormat="1" applyFont="1" applyBorder="1"/>
    <xf numFmtId="3" fontId="8" fillId="0" borderId="2" xfId="0" applyNumberFormat="1" applyFont="1" applyBorder="1"/>
    <xf numFmtId="3" fontId="8" fillId="0" borderId="33" xfId="0" applyNumberFormat="1" applyFont="1" applyBorder="1"/>
    <xf numFmtId="0" fontId="8" fillId="5" borderId="2" xfId="0" applyFont="1" applyFill="1" applyBorder="1"/>
    <xf numFmtId="164" fontId="8" fillId="5" borderId="1" xfId="1" applyNumberFormat="1" applyFont="1" applyFill="1" applyBorder="1"/>
    <xf numFmtId="164" fontId="8" fillId="5" borderId="2" xfId="1" applyNumberFormat="1" applyFont="1" applyFill="1" applyBorder="1"/>
    <xf numFmtId="164" fontId="8" fillId="5" borderId="34" xfId="1" applyNumberFormat="1" applyFont="1" applyFill="1" applyBorder="1"/>
    <xf numFmtId="3" fontId="8" fillId="0" borderId="35" xfId="0" applyNumberFormat="1" applyFont="1" applyBorder="1"/>
    <xf numFmtId="3" fontId="8" fillId="0" borderId="36" xfId="0" applyNumberFormat="1" applyFont="1" applyBorder="1"/>
    <xf numFmtId="3" fontId="8" fillId="0" borderId="37" xfId="0" applyNumberFormat="1" applyFont="1" applyBorder="1"/>
    <xf numFmtId="3" fontId="8" fillId="5" borderId="36" xfId="0" applyNumberFormat="1" applyFont="1" applyFill="1" applyBorder="1"/>
    <xf numFmtId="164" fontId="8" fillId="5" borderId="38" xfId="1" applyNumberFormat="1" applyFont="1" applyFill="1" applyBorder="1"/>
    <xf numFmtId="164" fontId="8" fillId="5" borderId="36" xfId="1" applyNumberFormat="1" applyFont="1" applyFill="1" applyBorder="1"/>
    <xf numFmtId="164" fontId="8" fillId="5" borderId="39" xfId="1" applyNumberFormat="1" applyFont="1" applyFill="1" applyBorder="1"/>
    <xf numFmtId="164" fontId="8" fillId="5" borderId="0" xfId="1" applyNumberFormat="1" applyFont="1" applyFill="1" applyAlignment="1">
      <alignment horizontal="right"/>
    </xf>
    <xf numFmtId="3" fontId="0" fillId="0" borderId="0" xfId="0" applyNumberFormat="1" applyAlignment="1">
      <alignment horizontal="center"/>
    </xf>
    <xf numFmtId="0" fontId="0" fillId="6" borderId="0" xfId="0" applyFill="1"/>
    <xf numFmtId="0" fontId="6" fillId="0" borderId="0" xfId="0" applyFont="1"/>
    <xf numFmtId="0" fontId="4" fillId="0" borderId="0" xfId="0" applyFont="1" applyAlignment="1">
      <alignment horizontal="center"/>
    </xf>
    <xf numFmtId="164" fontId="8" fillId="5" borderId="11" xfId="2" applyNumberFormat="1" applyFont="1" applyFill="1" applyBorder="1" applyAlignment="1">
      <alignment horizontal="center"/>
    </xf>
    <xf numFmtId="164" fontId="8" fillId="5" borderId="14" xfId="2" applyNumberFormat="1" applyFont="1" applyFill="1" applyBorder="1" applyAlignment="1">
      <alignment horizontal="center"/>
    </xf>
    <xf numFmtId="164" fontId="8" fillId="5" borderId="0" xfId="2" applyNumberFormat="1" applyFont="1" applyFill="1" applyBorder="1" applyAlignment="1">
      <alignment horizontal="center"/>
    </xf>
    <xf numFmtId="164" fontId="0" fillId="5" borderId="11" xfId="2" applyNumberFormat="1" applyFont="1" applyFill="1" applyBorder="1" applyAlignment="1">
      <alignment horizontal="center"/>
    </xf>
    <xf numFmtId="164" fontId="0" fillId="5" borderId="0" xfId="2" applyNumberFormat="1" applyFont="1" applyFill="1" applyBorder="1" applyAlignment="1">
      <alignment horizontal="center"/>
    </xf>
    <xf numFmtId="164" fontId="0" fillId="5" borderId="14" xfId="2" applyNumberFormat="1" applyFont="1" applyFill="1" applyBorder="1" applyAlignment="1">
      <alignment horizontal="center"/>
    </xf>
    <xf numFmtId="164" fontId="0" fillId="5" borderId="13" xfId="2" applyNumberFormat="1" applyFont="1" applyFill="1" applyBorder="1" applyAlignment="1">
      <alignment horizontal="center"/>
    </xf>
    <xf numFmtId="164" fontId="0" fillId="5" borderId="27" xfId="2" applyNumberFormat="1" applyFont="1" applyFill="1" applyBorder="1" applyAlignment="1">
      <alignment horizontal="center"/>
    </xf>
    <xf numFmtId="164" fontId="0" fillId="5" borderId="29" xfId="2" applyNumberFormat="1" applyFont="1" applyFill="1" applyBorder="1" applyAlignment="1">
      <alignment horizontal="center"/>
    </xf>
    <xf numFmtId="164" fontId="0" fillId="5" borderId="30" xfId="2" applyNumberFormat="1" applyFont="1" applyFill="1" applyBorder="1" applyAlignment="1">
      <alignment horizontal="center"/>
    </xf>
    <xf numFmtId="0" fontId="10" fillId="8" borderId="0" xfId="3" applyFont="1" applyFill="1" applyAlignment="1">
      <alignment vertical="center"/>
    </xf>
    <xf numFmtId="0" fontId="11" fillId="8" borderId="0" xfId="3" applyFont="1" applyFill="1"/>
    <xf numFmtId="0" fontId="12" fillId="8" borderId="0" xfId="3" applyFont="1" applyFill="1"/>
    <xf numFmtId="0" fontId="9" fillId="0" borderId="0" xfId="3"/>
    <xf numFmtId="0" fontId="12" fillId="8" borderId="0" xfId="3" applyFont="1" applyFill="1" applyAlignment="1">
      <alignment vertical="center"/>
    </xf>
    <xf numFmtId="0" fontId="13" fillId="8" borderId="0" xfId="3" applyFont="1" applyFill="1"/>
    <xf numFmtId="0" fontId="15" fillId="9" borderId="0" xfId="3" applyFont="1" applyFill="1" applyAlignment="1">
      <alignment horizontal="center" vertical="center" wrapText="1"/>
    </xf>
    <xf numFmtId="0" fontId="16" fillId="9" borderId="0" xfId="3" applyFont="1" applyFill="1" applyAlignment="1">
      <alignment horizontal="center" vertical="center" wrapText="1"/>
    </xf>
    <xf numFmtId="15" fontId="12" fillId="8" borderId="0" xfId="3" applyNumberFormat="1" applyFont="1" applyFill="1" applyAlignment="1">
      <alignment horizontal="center" vertical="center"/>
    </xf>
    <xf numFmtId="166" fontId="12" fillId="8" borderId="0" xfId="6" applyNumberFormat="1" applyFont="1" applyFill="1" applyBorder="1"/>
    <xf numFmtId="164" fontId="12" fillId="8" borderId="0" xfId="7" applyNumberFormat="1" applyFont="1" applyFill="1" applyBorder="1"/>
    <xf numFmtId="167" fontId="12" fillId="8" borderId="0" xfId="7" applyNumberFormat="1" applyFont="1" applyFill="1" applyBorder="1"/>
    <xf numFmtId="15" fontId="12" fillId="8" borderId="45" xfId="3" applyNumberFormat="1" applyFont="1" applyFill="1" applyBorder="1" applyAlignment="1">
      <alignment horizontal="center" vertical="center"/>
    </xf>
    <xf numFmtId="166" fontId="12" fillId="8" borderId="45" xfId="6" applyNumberFormat="1" applyFont="1" applyFill="1" applyBorder="1"/>
    <xf numFmtId="164" fontId="12" fillId="8" borderId="45" xfId="7" applyNumberFormat="1" applyFont="1" applyFill="1" applyBorder="1"/>
    <xf numFmtId="167" fontId="12" fillId="8" borderId="45" xfId="7" applyNumberFormat="1" applyFont="1" applyFill="1" applyBorder="1"/>
    <xf numFmtId="0" fontId="3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3" applyAlignment="1">
      <alignment horizontal="center"/>
    </xf>
    <xf numFmtId="3" fontId="8" fillId="0" borderId="12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/>
    <xf numFmtId="164" fontId="8" fillId="5" borderId="0" xfId="2" applyNumberFormat="1" applyFont="1" applyFill="1" applyBorder="1"/>
    <xf numFmtId="164" fontId="0" fillId="5" borderId="0" xfId="2" applyNumberFormat="1" applyFont="1" applyFill="1" applyBorder="1"/>
    <xf numFmtId="0" fontId="3" fillId="3" borderId="8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/>
    <xf numFmtId="0" fontId="17" fillId="6" borderId="0" xfId="0" applyFont="1" applyFill="1"/>
    <xf numFmtId="3" fontId="8" fillId="0" borderId="32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33" xfId="0" applyNumberFormat="1" applyFont="1" applyBorder="1" applyAlignment="1">
      <alignment horizontal="center"/>
    </xf>
    <xf numFmtId="164" fontId="8" fillId="5" borderId="1" xfId="2" applyNumberFormat="1" applyFont="1" applyFill="1" applyBorder="1" applyAlignment="1">
      <alignment horizontal="center"/>
    </xf>
    <xf numFmtId="164" fontId="8" fillId="5" borderId="34" xfId="2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164" fontId="8" fillId="5" borderId="33" xfId="2" applyNumberFormat="1" applyFont="1" applyFill="1" applyBorder="1" applyAlignment="1">
      <alignment horizontal="center"/>
    </xf>
    <xf numFmtId="3" fontId="8" fillId="0" borderId="0" xfId="0" applyNumberFormat="1" applyFont="1" applyAlignment="1">
      <alignment horizontal="center"/>
    </xf>
    <xf numFmtId="0" fontId="8" fillId="5" borderId="0" xfId="0" applyFont="1" applyFill="1" applyAlignment="1">
      <alignment horizontal="center"/>
    </xf>
    <xf numFmtId="164" fontId="8" fillId="5" borderId="13" xfId="2" applyNumberFormat="1" applyFont="1" applyFill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164" fontId="0" fillId="5" borderId="31" xfId="2" applyNumberFormat="1" applyFont="1" applyFill="1" applyBorder="1" applyAlignment="1">
      <alignment horizontal="center"/>
    </xf>
    <xf numFmtId="0" fontId="0" fillId="10" borderId="0" xfId="0" applyFill="1"/>
    <xf numFmtId="0" fontId="17" fillId="10" borderId="0" xfId="0" applyFont="1" applyFill="1"/>
    <xf numFmtId="0" fontId="0" fillId="0" borderId="26" xfId="0" applyBorder="1"/>
    <xf numFmtId="0" fontId="0" fillId="0" borderId="42" xfId="0" applyBorder="1"/>
    <xf numFmtId="9" fontId="0" fillId="0" borderId="46" xfId="0" applyNumberFormat="1" applyBorder="1" applyAlignment="1">
      <alignment horizontal="center"/>
    </xf>
    <xf numFmtId="9" fontId="0" fillId="0" borderId="47" xfId="0" applyNumberFormat="1" applyBorder="1" applyAlignment="1">
      <alignment horizontal="center"/>
    </xf>
    <xf numFmtId="0" fontId="3" fillId="0" borderId="41" xfId="0" applyFont="1" applyBorder="1"/>
    <xf numFmtId="0" fontId="3" fillId="0" borderId="26" xfId="0" applyFont="1" applyBorder="1"/>
    <xf numFmtId="0" fontId="17" fillId="7" borderId="0" xfId="0" applyFont="1" applyFill="1"/>
    <xf numFmtId="0" fontId="0" fillId="7" borderId="0" xfId="0" applyFill="1"/>
    <xf numFmtId="0" fontId="0" fillId="0" borderId="0" xfId="0" applyAlignment="1">
      <alignment horizontal="right"/>
    </xf>
    <xf numFmtId="0" fontId="16" fillId="9" borderId="41" xfId="3" applyFont="1" applyFill="1" applyBorder="1" applyAlignment="1">
      <alignment horizontal="center" vertical="center" wrapText="1"/>
    </xf>
    <xf numFmtId="0" fontId="16" fillId="9" borderId="26" xfId="3" applyFont="1" applyFill="1" applyBorder="1" applyAlignment="1">
      <alignment horizontal="center" vertical="center" wrapText="1"/>
    </xf>
    <xf numFmtId="0" fontId="16" fillId="9" borderId="42" xfId="3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3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2" fillId="2" borderId="33" xfId="0" applyFont="1" applyFill="1" applyBorder="1" applyAlignment="1">
      <alignment horizontal="centerContinuous"/>
    </xf>
    <xf numFmtId="0" fontId="3" fillId="3" borderId="8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3" fontId="4" fillId="5" borderId="11" xfId="0" applyNumberFormat="1" applyFont="1" applyFill="1" applyBorder="1"/>
    <xf numFmtId="164" fontId="4" fillId="5" borderId="13" xfId="1" applyNumberFormat="1" applyFont="1" applyFill="1" applyBorder="1"/>
    <xf numFmtId="3" fontId="8" fillId="5" borderId="11" xfId="0" applyNumberFormat="1" applyFont="1" applyFill="1" applyBorder="1"/>
    <xf numFmtId="164" fontId="8" fillId="5" borderId="13" xfId="1" applyNumberFormat="1" applyFont="1" applyFill="1" applyBorder="1"/>
    <xf numFmtId="3" fontId="8" fillId="0" borderId="11" xfId="0" applyNumberFormat="1" applyFont="1" applyBorder="1"/>
    <xf numFmtId="3" fontId="5" fillId="0" borderId="15" xfId="0" applyNumberFormat="1" applyFont="1" applyBorder="1"/>
    <xf numFmtId="164" fontId="5" fillId="5" borderId="18" xfId="1" applyNumberFormat="1" applyFont="1" applyFill="1" applyBorder="1"/>
    <xf numFmtId="0" fontId="4" fillId="5" borderId="23" xfId="0" applyFont="1" applyFill="1" applyBorder="1"/>
    <xf numFmtId="164" fontId="4" fillId="5" borderId="22" xfId="1" applyNumberFormat="1" applyFont="1" applyFill="1" applyBorder="1"/>
    <xf numFmtId="0" fontId="4" fillId="5" borderId="15" xfId="0" applyFont="1" applyFill="1" applyBorder="1"/>
    <xf numFmtId="164" fontId="4" fillId="5" borderId="18" xfId="1" applyNumberFormat="1" applyFont="1" applyFill="1" applyBorder="1"/>
    <xf numFmtId="3" fontId="4" fillId="5" borderId="23" xfId="0" applyNumberFormat="1" applyFont="1" applyFill="1" applyBorder="1"/>
    <xf numFmtId="164" fontId="4" fillId="5" borderId="30" xfId="1" applyNumberFormat="1" applyFont="1" applyFill="1" applyBorder="1"/>
    <xf numFmtId="3" fontId="8" fillId="0" borderId="1" xfId="0" applyNumberFormat="1" applyFont="1" applyBorder="1"/>
    <xf numFmtId="164" fontId="8" fillId="5" borderId="33" xfId="1" applyNumberFormat="1" applyFont="1" applyFill="1" applyBorder="1"/>
    <xf numFmtId="3" fontId="4" fillId="0" borderId="27" xfId="0" applyNumberFormat="1" applyFont="1" applyBorder="1"/>
    <xf numFmtId="164" fontId="4" fillId="5" borderId="29" xfId="0" applyNumberFormat="1" applyFont="1" applyFill="1" applyBorder="1"/>
    <xf numFmtId="15" fontId="4" fillId="0" borderId="0" xfId="0" applyNumberFormat="1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0" borderId="0" xfId="0" applyFont="1"/>
    <xf numFmtId="3" fontId="20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4" fontId="0" fillId="0" borderId="46" xfId="0" applyNumberFormat="1" applyBorder="1" applyAlignment="1">
      <alignment horizontal="center"/>
    </xf>
    <xf numFmtId="164" fontId="0" fillId="0" borderId="47" xfId="0" applyNumberFormat="1" applyBorder="1" applyAlignment="1">
      <alignment horizontal="center"/>
    </xf>
    <xf numFmtId="164" fontId="0" fillId="0" borderId="43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21" fillId="8" borderId="48" xfId="0" applyFont="1" applyFill="1" applyBorder="1"/>
    <xf numFmtId="0" fontId="12" fillId="8" borderId="49" xfId="0" applyFont="1" applyFill="1" applyBorder="1"/>
    <xf numFmtId="0" fontId="12" fillId="8" borderId="50" xfId="0" applyFont="1" applyFill="1" applyBorder="1"/>
    <xf numFmtId="0" fontId="21" fillId="8" borderId="51" xfId="0" applyFont="1" applyFill="1" applyBorder="1"/>
    <xf numFmtId="0" fontId="12" fillId="8" borderId="0" xfId="0" applyFont="1" applyFill="1"/>
    <xf numFmtId="0" fontId="12" fillId="8" borderId="52" xfId="0" applyFont="1" applyFill="1" applyBorder="1"/>
    <xf numFmtId="0" fontId="21" fillId="8" borderId="53" xfId="0" applyFont="1" applyFill="1" applyBorder="1"/>
    <xf numFmtId="0" fontId="12" fillId="8" borderId="54" xfId="0" applyFont="1" applyFill="1" applyBorder="1"/>
    <xf numFmtId="0" fontId="12" fillId="8" borderId="55" xfId="0" applyFont="1" applyFill="1" applyBorder="1"/>
    <xf numFmtId="0" fontId="14" fillId="8" borderId="0" xfId="0" applyFont="1" applyFill="1" applyAlignment="1">
      <alignment horizontal="right"/>
    </xf>
    <xf numFmtId="164" fontId="12" fillId="8" borderId="45" xfId="2" applyNumberFormat="1" applyFont="1" applyFill="1" applyBorder="1"/>
    <xf numFmtId="164" fontId="0" fillId="0" borderId="0" xfId="0" applyNumberFormat="1" applyAlignment="1">
      <alignment horizontal="center"/>
    </xf>
    <xf numFmtId="3" fontId="0" fillId="0" borderId="0" xfId="0" applyNumberFormat="1"/>
    <xf numFmtId="3" fontId="0" fillId="0" borderId="46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43" xfId="0" applyNumberFormat="1" applyBorder="1" applyAlignment="1">
      <alignment horizontal="center"/>
    </xf>
    <xf numFmtId="164" fontId="12" fillId="8" borderId="0" xfId="2" applyNumberFormat="1" applyFont="1" applyFill="1" applyBorder="1"/>
    <xf numFmtId="9" fontId="12" fillId="8" borderId="0" xfId="2" applyFont="1" applyFill="1" applyBorder="1"/>
    <xf numFmtId="165" fontId="12" fillId="8" borderId="0" xfId="6" applyFont="1" applyFill="1" applyBorder="1"/>
    <xf numFmtId="9" fontId="12" fillId="8" borderId="45" xfId="2" applyFont="1" applyFill="1" applyBorder="1"/>
    <xf numFmtId="165" fontId="12" fillId="8" borderId="45" xfId="6" applyFont="1" applyFill="1" applyBorder="1"/>
    <xf numFmtId="0" fontId="16" fillId="9" borderId="44" xfId="3" applyFont="1" applyFill="1" applyBorder="1" applyAlignment="1">
      <alignment vertical="center"/>
    </xf>
    <xf numFmtId="0" fontId="16" fillId="9" borderId="44" xfId="3" applyFont="1" applyFill="1" applyBorder="1" applyAlignment="1">
      <alignment horizontal="center" vertical="center"/>
    </xf>
  </cellXfs>
  <cellStyles count="8">
    <cellStyle name="Comma 2" xfId="4" xr:uid="{E7635955-C545-4A41-857B-91FAC57504DA}"/>
    <cellStyle name="Comma 2 2" xfId="6" xr:uid="{F76435F1-E2F6-40E4-BD7C-C6B2261F14A7}"/>
    <cellStyle name="Normal" xfId="0" builtinId="0"/>
    <cellStyle name="Normal 2" xfId="3" xr:uid="{5C7DFC3F-F9A0-4AE9-B1C5-E6475DB05CB1}"/>
    <cellStyle name="Per cent" xfId="2" builtinId="5"/>
    <cellStyle name="Percent 2" xfId="1" xr:uid="{2007949D-B13D-48F5-BF6C-8888DC657230}"/>
    <cellStyle name="Percent 2 2" xfId="7" xr:uid="{BC35A1CD-F219-4A30-8C54-D29794BF5819}"/>
    <cellStyle name="Percent 3" xfId="5" xr:uid="{D0B73A35-CDEF-48AE-8841-B93CC6E85EB6}"/>
  </cellStyles>
  <dxfs count="0"/>
  <tableStyles count="1" defaultTableStyle="TableStyleMedium2" defaultPivotStyle="PivotStyleLight16">
    <tableStyle name="Invisible" pivot="0" table="0" count="0" xr9:uid="{DB7D2BB3-159B-4980-BB0C-BB55E298029A}"/>
  </tableStyles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2E18-4CC6-40EB-8364-2B87B39C3712}">
  <sheetPr codeName="Sheet1">
    <tabColor theme="1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5FFB-B758-4064-9CE8-B41B0F623F7D}">
  <sheetPr codeName="Sheet2">
    <tabColor rgb="FFFF0000"/>
  </sheetPr>
  <dimension ref="A2:AI102"/>
  <sheetViews>
    <sheetView showGridLines="0" tabSelected="1" zoomScale="55" zoomScaleNormal="55" workbookViewId="0">
      <pane xSplit="2" ySplit="5" topLeftCell="C6" activePane="bottomRight" state="frozen"/>
      <selection activeCell="A78" sqref="A78"/>
      <selection pane="topRight" activeCell="A78" sqref="A78"/>
      <selection pane="bottomLeft" activeCell="A78" sqref="A78"/>
      <selection pane="bottomRight"/>
    </sheetView>
  </sheetViews>
  <sheetFormatPr defaultRowHeight="15" outlineLevelCol="1" x14ac:dyDescent="0.25"/>
  <cols>
    <col min="1" max="1" width="13.5703125" customWidth="1"/>
    <col min="2" max="2" width="28.7109375" customWidth="1"/>
    <col min="3" max="5" width="14.5703125" customWidth="1"/>
    <col min="6" max="9" width="14.5703125" hidden="1" customWidth="1" outlineLevel="1"/>
    <col min="10" max="10" width="14.5703125" customWidth="1" collapsed="1"/>
    <col min="11" max="15" width="14.5703125" customWidth="1"/>
    <col min="16" max="19" width="14.5703125" hidden="1" customWidth="1" outlineLevel="1"/>
    <col min="20" max="20" width="14.5703125" customWidth="1" collapsed="1"/>
    <col min="21" max="25" width="14.5703125" customWidth="1"/>
    <col min="26" max="29" width="14.5703125" hidden="1" customWidth="1" outlineLevel="1"/>
    <col min="30" max="30" width="14.5703125" customWidth="1" collapsed="1"/>
    <col min="31" max="34" width="14.5703125" customWidth="1"/>
  </cols>
  <sheetData>
    <row r="2" spans="1:35" ht="15.75" thickBot="1" x14ac:dyDescent="0.3"/>
    <row r="3" spans="1:35" ht="15.75" thickBot="1" x14ac:dyDescent="0.3">
      <c r="C3" s="45" t="s">
        <v>0</v>
      </c>
      <c r="D3" s="46"/>
      <c r="E3" s="46"/>
      <c r="F3" s="46"/>
      <c r="G3" s="46"/>
      <c r="H3" s="46"/>
      <c r="I3" s="46"/>
      <c r="J3" s="46"/>
      <c r="K3" s="46"/>
      <c r="L3" s="46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5" ht="16.5" thickTop="1" thickBot="1" x14ac:dyDescent="0.3">
      <c r="C4" s="49" t="s">
        <v>76</v>
      </c>
      <c r="D4" s="50"/>
      <c r="E4" s="50"/>
      <c r="F4" s="50"/>
      <c r="G4" s="50"/>
      <c r="H4" s="50"/>
      <c r="I4" s="50"/>
      <c r="J4" s="50"/>
      <c r="K4" s="50"/>
      <c r="L4" s="51"/>
      <c r="M4" s="49" t="s">
        <v>77</v>
      </c>
      <c r="N4" s="50"/>
      <c r="O4" s="50"/>
      <c r="P4" s="50"/>
      <c r="Q4" s="50"/>
      <c r="R4" s="50"/>
      <c r="S4" s="50"/>
      <c r="T4" s="50"/>
      <c r="U4" s="50"/>
      <c r="V4" s="50"/>
      <c r="W4" s="194" t="s">
        <v>78</v>
      </c>
      <c r="X4" s="195"/>
      <c r="Y4" s="195"/>
      <c r="Z4" s="195"/>
      <c r="AA4" s="195"/>
      <c r="AB4" s="195"/>
      <c r="AC4" s="195"/>
      <c r="AD4" s="195"/>
      <c r="AE4" s="195"/>
      <c r="AF4" s="196"/>
      <c r="AG4" s="1"/>
      <c r="AH4" s="1"/>
      <c r="AI4" s="1"/>
    </row>
    <row r="5" spans="1:35" ht="44.25" customHeight="1" thickBot="1" x14ac:dyDescent="0.3">
      <c r="B5" s="54" t="s">
        <v>2</v>
      </c>
      <c r="C5" s="55" t="s">
        <v>3</v>
      </c>
      <c r="D5" s="56" t="s">
        <v>4</v>
      </c>
      <c r="E5" s="57" t="s">
        <v>5</v>
      </c>
      <c r="F5" s="56" t="s">
        <v>6</v>
      </c>
      <c r="G5" s="56" t="s">
        <v>7</v>
      </c>
      <c r="H5" s="56" t="s">
        <v>8</v>
      </c>
      <c r="I5" s="56" t="s">
        <v>9</v>
      </c>
      <c r="J5" s="54" t="s">
        <v>10</v>
      </c>
      <c r="K5" s="56" t="s">
        <v>11</v>
      </c>
      <c r="L5" s="58" t="s">
        <v>12</v>
      </c>
      <c r="M5" s="55" t="s">
        <v>3</v>
      </c>
      <c r="N5" s="56" t="s">
        <v>4</v>
      </c>
      <c r="O5" s="57" t="s">
        <v>5</v>
      </c>
      <c r="P5" s="56" t="s">
        <v>6</v>
      </c>
      <c r="Q5" s="56" t="s">
        <v>7</v>
      </c>
      <c r="R5" s="56" t="s">
        <v>8</v>
      </c>
      <c r="S5" s="56" t="s">
        <v>9</v>
      </c>
      <c r="T5" s="54" t="s">
        <v>10</v>
      </c>
      <c r="U5" s="56" t="s">
        <v>11</v>
      </c>
      <c r="V5" s="58" t="s">
        <v>12</v>
      </c>
      <c r="W5" s="55" t="s">
        <v>3</v>
      </c>
      <c r="X5" s="56" t="s">
        <v>4</v>
      </c>
      <c r="Y5" s="57" t="s">
        <v>5</v>
      </c>
      <c r="Z5" s="56" t="s">
        <v>6</v>
      </c>
      <c r="AA5" s="56" t="s">
        <v>7</v>
      </c>
      <c r="AB5" s="56" t="s">
        <v>8</v>
      </c>
      <c r="AC5" s="56" t="s">
        <v>9</v>
      </c>
      <c r="AD5" s="54" t="s">
        <v>10</v>
      </c>
      <c r="AE5" s="56" t="s">
        <v>11</v>
      </c>
      <c r="AF5" s="58" t="s">
        <v>12</v>
      </c>
    </row>
    <row r="6" spans="1:35" x14ac:dyDescent="0.25">
      <c r="B6" s="86">
        <v>2010</v>
      </c>
      <c r="C6" s="87">
        <f>'30 Jun 2025 - Gross'!C6</f>
        <v>3495269.0799725261</v>
      </c>
      <c r="D6" s="88">
        <f>'30 Jun 2025 - Gross'!D6</f>
        <v>0</v>
      </c>
      <c r="E6" s="89">
        <f>'30 Jun 2025 - Gross'!E6</f>
        <v>3495269.0799725261</v>
      </c>
      <c r="F6" s="90"/>
      <c r="G6" s="90"/>
      <c r="H6" s="90"/>
      <c r="I6" s="90"/>
      <c r="J6" s="91">
        <v>0.67303174553259038</v>
      </c>
      <c r="K6" s="90" t="s">
        <v>42</v>
      </c>
      <c r="L6" s="92">
        <v>0.67303174553259038</v>
      </c>
      <c r="M6" s="93">
        <f>C6-W6</f>
        <v>3495269.0799725261</v>
      </c>
      <c r="N6" s="90">
        <f t="shared" ref="N6:O19" si="0">D6-X6</f>
        <v>0</v>
      </c>
      <c r="O6" s="94">
        <f t="shared" si="0"/>
        <v>3495269.0799725261</v>
      </c>
      <c r="P6" s="90"/>
      <c r="Q6" s="90"/>
      <c r="R6" s="90"/>
      <c r="S6" s="90"/>
      <c r="T6" s="91">
        <f t="shared" ref="T6:V19" si="1">IFERROR((C6*J6-W6*AD6)/M6,"")</f>
        <v>0.67303174553259038</v>
      </c>
      <c r="U6" s="90" t="str">
        <f t="shared" si="1"/>
        <v/>
      </c>
      <c r="V6" s="92">
        <f>IFERROR((E6*L6-Y6*AF6)/O6,"")</f>
        <v>0.67303174553259038</v>
      </c>
      <c r="W6" s="93"/>
      <c r="X6" s="90"/>
      <c r="Y6" s="94"/>
      <c r="Z6" s="90"/>
      <c r="AA6" s="90"/>
      <c r="AB6" s="90"/>
      <c r="AC6" s="90"/>
      <c r="AD6" s="91"/>
      <c r="AE6" s="90"/>
      <c r="AF6" s="92"/>
    </row>
    <row r="7" spans="1:35" x14ac:dyDescent="0.25">
      <c r="B7" s="86">
        <v>2011</v>
      </c>
      <c r="C7" s="87">
        <f>'30 Jun 2025 - Gross'!C7</f>
        <v>16412129.46139344</v>
      </c>
      <c r="D7" s="88">
        <f>'30 Jun 2025 - Gross'!D7</f>
        <v>0</v>
      </c>
      <c r="E7" s="89">
        <f>'30 Jun 2025 - Gross'!E7</f>
        <v>16412129.46139344</v>
      </c>
      <c r="F7" s="90"/>
      <c r="G7" s="90"/>
      <c r="H7" s="90"/>
      <c r="I7" s="90"/>
      <c r="J7" s="91">
        <v>0.62781304121672343</v>
      </c>
      <c r="K7" s="90" t="s">
        <v>42</v>
      </c>
      <c r="L7" s="92">
        <v>0.62781304121672343</v>
      </c>
      <c r="M7" s="93">
        <f t="shared" ref="M7:M19" si="2">C7-W7</f>
        <v>16412129.46139344</v>
      </c>
      <c r="N7" s="90">
        <f t="shared" si="0"/>
        <v>0</v>
      </c>
      <c r="O7" s="94">
        <f t="shared" si="0"/>
        <v>16412129.46139344</v>
      </c>
      <c r="P7" s="90"/>
      <c r="Q7" s="90"/>
      <c r="R7" s="90"/>
      <c r="S7" s="90"/>
      <c r="T7" s="91">
        <f t="shared" si="1"/>
        <v>0.62781304121672343</v>
      </c>
      <c r="U7" s="90" t="str">
        <f t="shared" si="1"/>
        <v/>
      </c>
      <c r="V7" s="92">
        <f t="shared" si="1"/>
        <v>0.62781304121672343</v>
      </c>
      <c r="W7" s="93"/>
      <c r="X7" s="90"/>
      <c r="Y7" s="94"/>
      <c r="Z7" s="90"/>
      <c r="AA7" s="90"/>
      <c r="AB7" s="90"/>
      <c r="AC7" s="90"/>
      <c r="AD7" s="91"/>
      <c r="AE7" s="90"/>
      <c r="AF7" s="92"/>
    </row>
    <row r="8" spans="1:35" x14ac:dyDescent="0.25">
      <c r="B8" s="86">
        <v>2012</v>
      </c>
      <c r="C8" s="87">
        <f>'30 Jun 2025 - Gross'!C8</f>
        <v>19957322.98183259</v>
      </c>
      <c r="D8" s="88">
        <f>'30 Jun 2025 - Gross'!D8</f>
        <v>0</v>
      </c>
      <c r="E8" s="89">
        <f>'30 Jun 2025 - Gross'!E8</f>
        <v>19957322.98183259</v>
      </c>
      <c r="F8" s="90"/>
      <c r="G8" s="90"/>
      <c r="H8" s="90"/>
      <c r="I8" s="90"/>
      <c r="J8" s="91">
        <v>0.62944183703572509</v>
      </c>
      <c r="K8" s="90" t="s">
        <v>42</v>
      </c>
      <c r="L8" s="92">
        <v>0.62944183703572509</v>
      </c>
      <c r="M8" s="93">
        <f t="shared" si="2"/>
        <v>19957322.98183259</v>
      </c>
      <c r="N8" s="90">
        <f t="shared" si="0"/>
        <v>0</v>
      </c>
      <c r="O8" s="94">
        <f t="shared" si="0"/>
        <v>19957322.98183259</v>
      </c>
      <c r="P8" s="90"/>
      <c r="Q8" s="90"/>
      <c r="R8" s="90"/>
      <c r="S8" s="90"/>
      <c r="T8" s="91">
        <f t="shared" si="1"/>
        <v>0.62944183703572509</v>
      </c>
      <c r="U8" s="90" t="str">
        <f t="shared" si="1"/>
        <v/>
      </c>
      <c r="V8" s="92">
        <f t="shared" si="1"/>
        <v>0.62944183703572509</v>
      </c>
      <c r="W8" s="93"/>
      <c r="X8" s="90"/>
      <c r="Y8" s="94"/>
      <c r="Z8" s="90"/>
      <c r="AA8" s="90"/>
      <c r="AB8" s="90"/>
      <c r="AC8" s="90"/>
      <c r="AD8" s="91"/>
      <c r="AE8" s="90"/>
      <c r="AF8" s="92"/>
    </row>
    <row r="9" spans="1:35" x14ac:dyDescent="0.25">
      <c r="B9" s="86">
        <v>2013</v>
      </c>
      <c r="C9" s="87">
        <f>'30 Jun 2025 - Gross'!C9</f>
        <v>24299121.098986909</v>
      </c>
      <c r="D9" s="88">
        <f>'30 Jun 2025 - Gross'!D9</f>
        <v>0</v>
      </c>
      <c r="E9" s="89">
        <f>'30 Jun 2025 - Gross'!E9</f>
        <v>24299121.098986909</v>
      </c>
      <c r="F9" s="90"/>
      <c r="G9" s="90"/>
      <c r="H9" s="90"/>
      <c r="I9" s="90"/>
      <c r="J9" s="91">
        <v>0.62500546863948858</v>
      </c>
      <c r="K9" s="90" t="s">
        <v>42</v>
      </c>
      <c r="L9" s="92">
        <v>0.62500546863948858</v>
      </c>
      <c r="M9" s="93">
        <f t="shared" si="2"/>
        <v>24299121.098986909</v>
      </c>
      <c r="N9" s="90">
        <f t="shared" si="0"/>
        <v>0</v>
      </c>
      <c r="O9" s="94">
        <f t="shared" si="0"/>
        <v>24299121.098986909</v>
      </c>
      <c r="P9" s="90"/>
      <c r="Q9" s="90"/>
      <c r="R9" s="90"/>
      <c r="S9" s="90"/>
      <c r="T9" s="91">
        <f t="shared" si="1"/>
        <v>0.62500546863948858</v>
      </c>
      <c r="U9" s="90" t="str">
        <f t="shared" si="1"/>
        <v/>
      </c>
      <c r="V9" s="92">
        <f t="shared" si="1"/>
        <v>0.62500546863948858</v>
      </c>
      <c r="W9" s="93"/>
      <c r="X9" s="90"/>
      <c r="Y9" s="94"/>
      <c r="Z9" s="90"/>
      <c r="AA9" s="90"/>
      <c r="AB9" s="90"/>
      <c r="AC9" s="90"/>
      <c r="AD9" s="91"/>
      <c r="AE9" s="90"/>
      <c r="AF9" s="92"/>
    </row>
    <row r="10" spans="1:35" x14ac:dyDescent="0.25">
      <c r="B10" s="86">
        <v>2014</v>
      </c>
      <c r="C10" s="87">
        <f>'30 Jun 2025 - Gross'!C10</f>
        <v>25339609.192134053</v>
      </c>
      <c r="D10" s="88">
        <f>'30 Jun 2025 - Gross'!D10</f>
        <v>0</v>
      </c>
      <c r="E10" s="89">
        <f>'30 Jun 2025 - Gross'!E10</f>
        <v>25339609.192134053</v>
      </c>
      <c r="F10" s="90"/>
      <c r="G10" s="90"/>
      <c r="H10" s="90"/>
      <c r="I10" s="90"/>
      <c r="J10" s="91">
        <v>0.78182727404295616</v>
      </c>
      <c r="K10" s="90" t="s">
        <v>42</v>
      </c>
      <c r="L10" s="92">
        <v>0.78182727404295616</v>
      </c>
      <c r="M10" s="93">
        <f t="shared" si="2"/>
        <v>25339609.192134053</v>
      </c>
      <c r="N10" s="90">
        <f t="shared" si="0"/>
        <v>0</v>
      </c>
      <c r="O10" s="94">
        <f t="shared" si="0"/>
        <v>25339609.192134053</v>
      </c>
      <c r="P10" s="90"/>
      <c r="Q10" s="90"/>
      <c r="R10" s="90"/>
      <c r="S10" s="90"/>
      <c r="T10" s="91">
        <f t="shared" si="1"/>
        <v>0.78182727404295616</v>
      </c>
      <c r="U10" s="90" t="str">
        <f t="shared" si="1"/>
        <v/>
      </c>
      <c r="V10" s="92">
        <f t="shared" si="1"/>
        <v>0.78182727404295616</v>
      </c>
      <c r="W10" s="93"/>
      <c r="X10" s="90"/>
      <c r="Y10" s="94"/>
      <c r="Z10" s="90"/>
      <c r="AA10" s="90"/>
      <c r="AB10" s="90"/>
      <c r="AC10" s="90"/>
      <c r="AD10" s="91"/>
      <c r="AE10" s="90"/>
      <c r="AF10" s="92"/>
    </row>
    <row r="11" spans="1:35" x14ac:dyDescent="0.25">
      <c r="B11" s="86">
        <v>2015</v>
      </c>
      <c r="C11" s="87">
        <f>'30 Jun 2025 - Gross'!C11</f>
        <v>38137417.345026158</v>
      </c>
      <c r="D11" s="88">
        <f>'30 Jun 2025 - Gross'!D11</f>
        <v>0</v>
      </c>
      <c r="E11" s="89">
        <f>'30 Jun 2025 - Gross'!E11</f>
        <v>38137417.345026158</v>
      </c>
      <c r="F11" s="90"/>
      <c r="G11" s="90"/>
      <c r="H11" s="90"/>
      <c r="I11" s="90"/>
      <c r="J11" s="91">
        <v>0.83115737133506107</v>
      </c>
      <c r="K11" s="95" t="s">
        <v>42</v>
      </c>
      <c r="L11" s="92">
        <v>0.83115737133506107</v>
      </c>
      <c r="M11" s="93">
        <f t="shared" si="2"/>
        <v>38137417.345026158</v>
      </c>
      <c r="N11" s="90">
        <f t="shared" si="0"/>
        <v>0</v>
      </c>
      <c r="O11" s="94">
        <f t="shared" si="0"/>
        <v>38137417.345026158</v>
      </c>
      <c r="P11" s="90"/>
      <c r="Q11" s="90"/>
      <c r="R11" s="90"/>
      <c r="S11" s="90"/>
      <c r="T11" s="91">
        <f t="shared" si="1"/>
        <v>0.83115737133506107</v>
      </c>
      <c r="U11" s="95" t="str">
        <f t="shared" si="1"/>
        <v/>
      </c>
      <c r="V11" s="92">
        <f t="shared" si="1"/>
        <v>0.83115737133506107</v>
      </c>
      <c r="W11" s="93"/>
      <c r="X11" s="90"/>
      <c r="Y11" s="94"/>
      <c r="Z11" s="90"/>
      <c r="AA11" s="90"/>
      <c r="AB11" s="90"/>
      <c r="AC11" s="90"/>
      <c r="AD11" s="91"/>
      <c r="AE11" s="95"/>
      <c r="AF11" s="92"/>
    </row>
    <row r="12" spans="1:35" x14ac:dyDescent="0.25">
      <c r="B12" s="86">
        <v>2016</v>
      </c>
      <c r="C12" s="87">
        <f>'30 Jun 2025 - Gross'!C12</f>
        <v>41466351.276469909</v>
      </c>
      <c r="D12" s="88">
        <f>'30 Jun 2025 - Gross'!D12</f>
        <v>0</v>
      </c>
      <c r="E12" s="89">
        <f>'30 Jun 2025 - Gross'!E12</f>
        <v>41466351.276469909</v>
      </c>
      <c r="F12" s="90"/>
      <c r="G12" s="90"/>
      <c r="H12" s="90"/>
      <c r="I12" s="90"/>
      <c r="J12" s="91">
        <v>0.79721120649355159</v>
      </c>
      <c r="K12" s="95" t="s">
        <v>42</v>
      </c>
      <c r="L12" s="92">
        <v>0.79721120649355159</v>
      </c>
      <c r="M12" s="93">
        <f t="shared" si="2"/>
        <v>41466351.276469909</v>
      </c>
      <c r="N12" s="90">
        <f t="shared" si="0"/>
        <v>0</v>
      </c>
      <c r="O12" s="94">
        <f t="shared" si="0"/>
        <v>41466351.276469909</v>
      </c>
      <c r="P12" s="90"/>
      <c r="Q12" s="90"/>
      <c r="R12" s="90"/>
      <c r="S12" s="90"/>
      <c r="T12" s="91">
        <f t="shared" si="1"/>
        <v>0.79721120649355159</v>
      </c>
      <c r="U12" s="95" t="str">
        <f t="shared" si="1"/>
        <v/>
      </c>
      <c r="V12" s="92">
        <f t="shared" si="1"/>
        <v>0.79721120649355159</v>
      </c>
      <c r="W12" s="93"/>
      <c r="X12" s="90"/>
      <c r="Y12" s="94"/>
      <c r="Z12" s="90"/>
      <c r="AA12" s="90"/>
      <c r="AB12" s="90"/>
      <c r="AC12" s="90"/>
      <c r="AD12" s="91"/>
      <c r="AE12" s="95"/>
      <c r="AF12" s="92"/>
    </row>
    <row r="13" spans="1:35" x14ac:dyDescent="0.25">
      <c r="A13" s="15"/>
      <c r="B13" s="86">
        <v>2017</v>
      </c>
      <c r="C13" s="87">
        <f>'30 Jun 2025 - Gross'!C13</f>
        <v>39586166.362889595</v>
      </c>
      <c r="D13" s="88">
        <f>'30 Jun 2025 - Gross'!D13</f>
        <v>0</v>
      </c>
      <c r="E13" s="89">
        <f>'30 Jun 2025 - Gross'!E13</f>
        <v>39586166.362889595</v>
      </c>
      <c r="F13" s="90"/>
      <c r="G13" s="90"/>
      <c r="H13" s="90"/>
      <c r="I13" s="90"/>
      <c r="J13" s="91">
        <v>0.71334849076147577</v>
      </c>
      <c r="K13" s="95" t="s">
        <v>42</v>
      </c>
      <c r="L13" s="92">
        <v>0.71334849076147577</v>
      </c>
      <c r="M13" s="93">
        <f t="shared" si="2"/>
        <v>39586166.362889595</v>
      </c>
      <c r="N13" s="90">
        <f t="shared" si="0"/>
        <v>0</v>
      </c>
      <c r="O13" s="94">
        <f t="shared" si="0"/>
        <v>39586166.362889595</v>
      </c>
      <c r="P13" s="90"/>
      <c r="Q13" s="90"/>
      <c r="R13" s="90"/>
      <c r="S13" s="90"/>
      <c r="T13" s="91">
        <f t="shared" si="1"/>
        <v>0.71334849076147577</v>
      </c>
      <c r="U13" s="95" t="str">
        <f t="shared" si="1"/>
        <v/>
      </c>
      <c r="V13" s="92">
        <f t="shared" si="1"/>
        <v>0.71334849076147577</v>
      </c>
      <c r="W13" s="93"/>
      <c r="X13" s="90"/>
      <c r="Y13" s="94"/>
      <c r="Z13" s="90"/>
      <c r="AA13" s="90"/>
      <c r="AB13" s="90"/>
      <c r="AC13" s="90"/>
      <c r="AD13" s="91"/>
      <c r="AE13" s="95"/>
      <c r="AF13" s="92"/>
    </row>
    <row r="14" spans="1:35" x14ac:dyDescent="0.25">
      <c r="A14" s="117">
        <v>2018</v>
      </c>
      <c r="B14" s="59">
        <v>2018</v>
      </c>
      <c r="C14" s="9">
        <f>'30 Jun 2025 - Gross'!C14</f>
        <v>42609782.822142787</v>
      </c>
      <c r="D14" s="10">
        <f>'30 Jun 2025 - Gross'!D14</f>
        <v>0</v>
      </c>
      <c r="E14" s="11">
        <f>'30 Jun 2025 - Gross'!E14</f>
        <v>42609782.822142787</v>
      </c>
      <c r="F14" s="5"/>
      <c r="G14" s="5"/>
      <c r="H14" s="5"/>
      <c r="I14" s="5"/>
      <c r="J14" s="4" cm="1">
        <f t="array" ref="J14">SUMPRODUCT('Net Results by UW month'!M$11:M$1000,'Net Results by UW month'!D$11:D$1000,--('Net Results by UW month'!$A$11:$A$1000='30 Jun 2025 - Net'!$A14))/'30 Jun 2025 - Net'!C14</f>
        <v>0.69793303771064552</v>
      </c>
      <c r="K14" s="7"/>
      <c r="L14" s="6" cm="1">
        <f t="array" ref="L14">SUMPRODUCT('Net Results by UW month'!O$11:O$1000,'Net Results by UW month'!F$11:F$1000,--('Net Results by UW month'!$A$11:$A$1000='30 Jun 2025 - Net'!$A14))/'30 Jun 2025 - Net'!E14</f>
        <v>0.69793303771064552</v>
      </c>
      <c r="M14" s="12">
        <f t="shared" si="2"/>
        <v>42609782.822142787</v>
      </c>
      <c r="N14" s="13">
        <f t="shared" si="0"/>
        <v>0</v>
      </c>
      <c r="O14" s="14">
        <f t="shared" si="0"/>
        <v>42609782.822142787</v>
      </c>
      <c r="P14" s="5"/>
      <c r="Q14" s="5"/>
      <c r="R14" s="5"/>
      <c r="S14" s="5"/>
      <c r="T14" s="4">
        <f t="shared" si="1"/>
        <v>0.69793303771064552</v>
      </c>
      <c r="U14" s="7" t="str">
        <f t="shared" si="1"/>
        <v/>
      </c>
      <c r="V14" s="6">
        <f t="shared" si="1"/>
        <v>0.69793303771064552</v>
      </c>
      <c r="W14" s="12"/>
      <c r="X14" s="13"/>
      <c r="Y14" s="14"/>
      <c r="Z14" s="5"/>
      <c r="AA14" s="5"/>
      <c r="AB14" s="5"/>
      <c r="AC14" s="5"/>
      <c r="AD14" s="4"/>
      <c r="AE14" s="7"/>
      <c r="AF14" s="6"/>
    </row>
    <row r="15" spans="1:35" x14ac:dyDescent="0.25">
      <c r="A15" s="117">
        <f t="shared" ref="A15:A20" si="3">A14+1</f>
        <v>2019</v>
      </c>
      <c r="B15" s="59">
        <v>2019</v>
      </c>
      <c r="C15" s="9">
        <f>'30 Jun 2025 - Gross'!C15</f>
        <v>48762179.302500531</v>
      </c>
      <c r="D15" s="10">
        <f>'30 Jun 2025 - Gross'!D15</f>
        <v>0</v>
      </c>
      <c r="E15" s="11">
        <f>'30 Jun 2025 - Gross'!E15</f>
        <v>48762179.302500531</v>
      </c>
      <c r="F15" s="5"/>
      <c r="G15" s="5"/>
      <c r="H15" s="5"/>
      <c r="I15" s="5"/>
      <c r="J15" s="4" cm="1">
        <f t="array" ref="J15">SUMPRODUCT('Net Results by UW month'!M$11:M$1000,'Net Results by UW month'!D$11:D$1000,--('Net Results by UW month'!$A$11:$A$1000='30 Jun 2025 - Net'!$A15))/'30 Jun 2025 - Net'!C15</f>
        <v>0.73553694666100566</v>
      </c>
      <c r="K15" s="7"/>
      <c r="L15" s="6" cm="1">
        <f t="array" ref="L15">SUMPRODUCT('Net Results by UW month'!O$11:O$1000,'Net Results by UW month'!F$11:F$1000,--('Net Results by UW month'!$A$11:$A$1000='30 Jun 2025 - Net'!$A15))/'30 Jun 2025 - Net'!E15</f>
        <v>0.73553694666100566</v>
      </c>
      <c r="M15" s="12">
        <f t="shared" si="2"/>
        <v>48762179.302500531</v>
      </c>
      <c r="N15" s="13">
        <f t="shared" si="0"/>
        <v>0</v>
      </c>
      <c r="O15" s="14">
        <f t="shared" si="0"/>
        <v>48762179.302500531</v>
      </c>
      <c r="P15" s="5"/>
      <c r="Q15" s="5"/>
      <c r="R15" s="5"/>
      <c r="S15" s="5"/>
      <c r="T15" s="4">
        <f t="shared" si="1"/>
        <v>0.73553694666100566</v>
      </c>
      <c r="U15" s="7" t="str">
        <f t="shared" si="1"/>
        <v/>
      </c>
      <c r="V15" s="6">
        <f t="shared" si="1"/>
        <v>0.73553694666100566</v>
      </c>
      <c r="W15" s="93"/>
      <c r="X15" s="96"/>
      <c r="Y15" s="94"/>
      <c r="Z15" s="90"/>
      <c r="AA15" s="90"/>
      <c r="AB15" s="90"/>
      <c r="AC15" s="90"/>
      <c r="AD15" s="91"/>
      <c r="AE15" s="95"/>
      <c r="AF15" s="92"/>
    </row>
    <row r="16" spans="1:35" x14ac:dyDescent="0.25">
      <c r="A16" s="117">
        <f t="shared" si="3"/>
        <v>2020</v>
      </c>
      <c r="B16" s="59">
        <v>2020</v>
      </c>
      <c r="C16" s="9">
        <f>'30 Jun 2025 - Gross'!C16</f>
        <v>70526849.944934607</v>
      </c>
      <c r="D16" s="10">
        <f>'30 Jun 2025 - Gross'!D16</f>
        <v>0</v>
      </c>
      <c r="E16" s="11">
        <f>'30 Jun 2025 - Gross'!E16</f>
        <v>70526849.944934607</v>
      </c>
      <c r="F16" s="5"/>
      <c r="G16" s="5"/>
      <c r="H16" s="5"/>
      <c r="I16" s="5"/>
      <c r="J16" s="4" cm="1">
        <f t="array" ref="J16">SUMPRODUCT('Net Results by UW month'!M$11:M$1000,'Net Results by UW month'!D$11:D$1000,--('Net Results by UW month'!$A$11:$A$1000='30 Jun 2025 - Net'!$A16))/'30 Jun 2025 - Net'!C16</f>
        <v>0.60531472760601535</v>
      </c>
      <c r="K16" s="7"/>
      <c r="L16" s="6" cm="1">
        <f t="array" ref="L16">SUMPRODUCT('Net Results by UW month'!O$11:O$1000,'Net Results by UW month'!F$11:F$1000,--('Net Results by UW month'!$A$11:$A$1000='30 Jun 2025 - Net'!$A16))/'30 Jun 2025 - Net'!E16</f>
        <v>0.60531472760601535</v>
      </c>
      <c r="M16" s="12">
        <f t="shared" si="2"/>
        <v>70361678.121363178</v>
      </c>
      <c r="N16" s="13">
        <f t="shared" si="0"/>
        <v>0</v>
      </c>
      <c r="O16" s="14">
        <f t="shared" si="0"/>
        <v>70361678.121363178</v>
      </c>
      <c r="P16" s="5"/>
      <c r="Q16" s="5"/>
      <c r="R16" s="5"/>
      <c r="S16" s="5"/>
      <c r="T16" s="4">
        <f t="shared" si="1"/>
        <v>0.60463225801984855</v>
      </c>
      <c r="U16" s="7" t="str">
        <f t="shared" si="1"/>
        <v/>
      </c>
      <c r="V16" s="6">
        <f t="shared" si="1"/>
        <v>0.60463225801984855</v>
      </c>
      <c r="W16" s="93">
        <f>'30 Jun 2025 - Gross'!W16</f>
        <v>165171.82357142799</v>
      </c>
      <c r="X16" s="96">
        <f>'30 Jun 2025 - Gross'!X16</f>
        <v>0</v>
      </c>
      <c r="Y16" s="94">
        <f>'30 Jun 2025 - Gross'!Y16</f>
        <v>165171.82357142799</v>
      </c>
      <c r="Z16" s="90"/>
      <c r="AA16" s="90"/>
      <c r="AB16" s="90"/>
      <c r="AC16" s="90"/>
      <c r="AD16" s="91">
        <v>0.89604049614920978</v>
      </c>
      <c r="AE16" s="95" t="s">
        <v>42</v>
      </c>
      <c r="AF16" s="92">
        <v>0.89604049614920978</v>
      </c>
    </row>
    <row r="17" spans="1:32" x14ac:dyDescent="0.25">
      <c r="A17" s="117">
        <f t="shared" si="3"/>
        <v>2021</v>
      </c>
      <c r="B17" s="59">
        <v>2021</v>
      </c>
      <c r="C17" s="9">
        <f>'30 Jun 2025 - Gross'!C17</f>
        <v>88860697.167754754</v>
      </c>
      <c r="D17" s="10">
        <f>'30 Jun 2025 - Gross'!D17</f>
        <v>0</v>
      </c>
      <c r="E17" s="11">
        <f>'30 Jun 2025 - Gross'!E17</f>
        <v>88860697.167754754</v>
      </c>
      <c r="F17" s="5"/>
      <c r="G17" s="5"/>
      <c r="H17" s="5"/>
      <c r="I17" s="5"/>
      <c r="J17" s="4">
        <f t="shared" ref="J17:L17" si="4">SUMPRODUCT(J24:J27,C24:C27)/C17</f>
        <v>0.94538602382488401</v>
      </c>
      <c r="K17" s="7"/>
      <c r="L17" s="6">
        <f t="shared" si="4"/>
        <v>0.94538602382488401</v>
      </c>
      <c r="M17" s="12">
        <f t="shared" si="2"/>
        <v>71293213.435254782</v>
      </c>
      <c r="N17" s="13">
        <f t="shared" si="0"/>
        <v>0</v>
      </c>
      <c r="O17" s="14">
        <f t="shared" si="0"/>
        <v>71293213.435254782</v>
      </c>
      <c r="P17" s="5"/>
      <c r="Q17" s="5"/>
      <c r="R17" s="5"/>
      <c r="S17" s="5"/>
      <c r="T17" s="4">
        <f t="shared" si="1"/>
        <v>0.87148773950253722</v>
      </c>
      <c r="U17" s="7" t="str">
        <f t="shared" si="1"/>
        <v/>
      </c>
      <c r="V17" s="6">
        <f t="shared" si="1"/>
        <v>0.87148773950253722</v>
      </c>
      <c r="W17" s="93">
        <f>'30 Jun 2025 - Gross'!W17</f>
        <v>17567483.732499972</v>
      </c>
      <c r="X17" s="96">
        <f>'30 Jun 2025 - Gross'!X17</f>
        <v>0</v>
      </c>
      <c r="Y17" s="94">
        <f>'30 Jun 2025 - Gross'!Y17</f>
        <v>17567483.732499972</v>
      </c>
      <c r="Z17" s="90"/>
      <c r="AA17" s="90"/>
      <c r="AB17" s="90"/>
      <c r="AC17" s="90"/>
      <c r="AD17" s="91">
        <f>SUMPRODUCT(AD24:AD27,W24:W27)/SUM(W24:W27)</f>
        <v>1.2452836208236817</v>
      </c>
      <c r="AE17" s="95"/>
      <c r="AF17" s="92">
        <f>SUMPRODUCT(AF24:AF27,Y24:Y27)/SUM(Y24:Y27)</f>
        <v>1.2452836208236817</v>
      </c>
    </row>
    <row r="18" spans="1:32" x14ac:dyDescent="0.25">
      <c r="A18" s="117">
        <f t="shared" si="3"/>
        <v>2022</v>
      </c>
      <c r="B18" s="59">
        <v>2022</v>
      </c>
      <c r="C18" s="9">
        <f>'30 Jun 2025 - Gross'!C18</f>
        <v>134683491.06624761</v>
      </c>
      <c r="D18" s="10">
        <f>'30 Jun 2025 - Gross'!D18</f>
        <v>0</v>
      </c>
      <c r="E18" s="11">
        <f>'30 Jun 2025 - Gross'!E18</f>
        <v>134683491.06624761</v>
      </c>
      <c r="F18" s="5"/>
      <c r="G18" s="5"/>
      <c r="H18" s="5"/>
      <c r="I18" s="5"/>
      <c r="J18" s="4">
        <f t="shared" ref="J18:L18" si="5">SUMPRODUCT(J28:J31,C28:C31)/C18</f>
        <v>1.0017332533345344</v>
      </c>
      <c r="K18" s="7"/>
      <c r="L18" s="6">
        <f t="shared" si="5"/>
        <v>1.0017332533345344</v>
      </c>
      <c r="M18" s="12">
        <f t="shared" si="2"/>
        <v>125073666.99410474</v>
      </c>
      <c r="N18" s="13">
        <f t="shared" si="0"/>
        <v>0</v>
      </c>
      <c r="O18" s="14">
        <f t="shared" si="0"/>
        <v>125073666.99410474</v>
      </c>
      <c r="P18" s="5"/>
      <c r="Q18" s="5"/>
      <c r="R18" s="5"/>
      <c r="S18" s="5"/>
      <c r="T18" s="4">
        <f t="shared" si="1"/>
        <v>1.0093352018407731</v>
      </c>
      <c r="U18" s="7" t="str">
        <f t="shared" si="1"/>
        <v/>
      </c>
      <c r="V18" s="6">
        <f t="shared" si="1"/>
        <v>1.0093352018407731</v>
      </c>
      <c r="W18" s="93">
        <f>'30 Jun 2025 - Gross'!W18</f>
        <v>9609824.0721428618</v>
      </c>
      <c r="X18" s="96">
        <f>'30 Jun 2025 - Gross'!X18</f>
        <v>0</v>
      </c>
      <c r="Y18" s="94">
        <f>'30 Jun 2025 - Gross'!Y18</f>
        <v>9609824.0721428618</v>
      </c>
      <c r="Z18" s="90"/>
      <c r="AA18" s="90"/>
      <c r="AB18" s="90"/>
      <c r="AC18" s="90"/>
      <c r="AD18" s="91">
        <f t="shared" ref="AD18" si="6">SUMPRODUCT(AD28:AD31,W28:W31)/SUM(W28:W31)</f>
        <v>0.90279246432135762</v>
      </c>
      <c r="AE18" s="95"/>
      <c r="AF18" s="92">
        <f t="shared" ref="AF18" si="7">SUMPRODUCT(AF28:AF31,Y28:Y31)/SUM(Y28:Y31)</f>
        <v>0.90279246432135796</v>
      </c>
    </row>
    <row r="19" spans="1:32" x14ac:dyDescent="0.25">
      <c r="A19" s="117">
        <f t="shared" si="3"/>
        <v>2023</v>
      </c>
      <c r="B19" s="59">
        <v>2023</v>
      </c>
      <c r="C19" s="9">
        <f>'30 Jun 2025 - Gross'!C19</f>
        <v>94536116.883240119</v>
      </c>
      <c r="D19" s="10">
        <f>'30 Jun 2025 - Gross'!D19</f>
        <v>0</v>
      </c>
      <c r="E19" s="11">
        <f>'30 Jun 2025 - Gross'!E19</f>
        <v>94536116.883240119</v>
      </c>
      <c r="F19" s="5"/>
      <c r="G19" s="5"/>
      <c r="H19" s="5"/>
      <c r="I19" s="5"/>
      <c r="J19" s="4">
        <f t="shared" ref="J19:L19" si="8">SUMPRODUCT(J32:J35,C32:C35)/C19</f>
        <v>0.80644616026437721</v>
      </c>
      <c r="K19" s="7"/>
      <c r="L19" s="6">
        <f t="shared" si="8"/>
        <v>0.80644616026437721</v>
      </c>
      <c r="M19" s="12">
        <f t="shared" si="2"/>
        <v>86587336.791811541</v>
      </c>
      <c r="N19" s="13">
        <f t="shared" si="0"/>
        <v>0</v>
      </c>
      <c r="O19" s="14">
        <f t="shared" si="0"/>
        <v>86587336.791811541</v>
      </c>
      <c r="P19" s="5"/>
      <c r="Q19" s="5"/>
      <c r="R19" s="5"/>
      <c r="S19" s="5"/>
      <c r="T19" s="4">
        <f>IFERROR((C19*J19-W19*AD19)/M19,"")</f>
        <v>0.79626999723262115</v>
      </c>
      <c r="U19" s="7" t="str">
        <f t="shared" si="1"/>
        <v/>
      </c>
      <c r="V19" s="6">
        <f t="shared" si="1"/>
        <v>0.79626999723262115</v>
      </c>
      <c r="W19" s="93">
        <f>'30 Jun 2025 - Gross'!W19</f>
        <v>7948780.0914285732</v>
      </c>
      <c r="X19" s="96">
        <f>'30 Jun 2025 - Gross'!X19</f>
        <v>0</v>
      </c>
      <c r="Y19" s="94">
        <f>'30 Jun 2025 - Gross'!Y19</f>
        <v>7948780.0914285732</v>
      </c>
      <c r="Z19" s="90"/>
      <c r="AA19" s="90"/>
      <c r="AB19" s="90"/>
      <c r="AC19" s="90"/>
      <c r="AD19" s="91">
        <f>SUMPRODUCT(AD32:AD35,W32:W35)/SUM(W32:W35)</f>
        <v>0.91729673677349477</v>
      </c>
      <c r="AE19" s="95"/>
      <c r="AF19" s="92">
        <f>SUMPRODUCT(AF32:AF35,Y32:Y35)/SUM(Y32:Y35)</f>
        <v>0.91729673677349477</v>
      </c>
    </row>
    <row r="20" spans="1:32" x14ac:dyDescent="0.25">
      <c r="A20" s="117">
        <f t="shared" si="3"/>
        <v>2024</v>
      </c>
      <c r="B20" s="59">
        <v>2024</v>
      </c>
      <c r="C20" s="9">
        <f>'30 Jun 2025 - Gross'!C20</f>
        <v>83748126.19610022</v>
      </c>
      <c r="D20" s="10">
        <f>'30 Jun 2025 - Gross'!D20</f>
        <v>5470347.9419649253</v>
      </c>
      <c r="E20" s="11">
        <f>'30 Jun 2025 - Gross'!E20</f>
        <v>89218474.13806513</v>
      </c>
      <c r="F20" s="5"/>
      <c r="G20" s="5"/>
      <c r="H20" s="5"/>
      <c r="I20" s="5"/>
      <c r="J20" s="4">
        <f t="shared" ref="J20:L20" si="9">SUMPRODUCT(J36:J39,C36:C39)/C20</f>
        <v>0.70727266824454416</v>
      </c>
      <c r="K20" s="7">
        <f t="shared" si="9"/>
        <v>0.69841627333066469</v>
      </c>
      <c r="L20" s="6">
        <f t="shared" si="9"/>
        <v>0.70672964660963722</v>
      </c>
      <c r="M20" s="12">
        <f t="shared" ref="M20:N20" si="10">SUM(M36:M39)</f>
        <v>83748126.19610022</v>
      </c>
      <c r="N20" s="13">
        <f t="shared" si="10"/>
        <v>5470347.9419649253</v>
      </c>
      <c r="O20" s="14">
        <f t="shared" ref="O20" si="11">SUM(O36:O39)</f>
        <v>89218474.13806513</v>
      </c>
      <c r="P20" s="5"/>
      <c r="Q20" s="5"/>
      <c r="R20" s="5"/>
      <c r="S20" s="5"/>
      <c r="T20" s="4">
        <f t="shared" ref="T20:U20" si="12">SUMPRODUCT(T36:T39,M36:M39)/SUM(M36:M39)</f>
        <v>0.70727266824454416</v>
      </c>
      <c r="U20" s="7">
        <f t="shared" si="12"/>
        <v>0.69841627333066469</v>
      </c>
      <c r="V20" s="6">
        <f t="shared" ref="V20" si="13">SUMPRODUCT(V36:V39,O36:O39)/SUM(O36:O39)</f>
        <v>0.70672964660963722</v>
      </c>
      <c r="W20" s="12"/>
      <c r="X20" s="13"/>
      <c r="Y20" s="14"/>
      <c r="Z20" s="5"/>
      <c r="AA20" s="5"/>
      <c r="AB20" s="5"/>
      <c r="AC20" s="5"/>
      <c r="AD20" s="4"/>
      <c r="AE20" s="7"/>
      <c r="AF20" s="6"/>
    </row>
    <row r="21" spans="1:32" x14ac:dyDescent="0.25">
      <c r="A21" s="117">
        <v>2025</v>
      </c>
      <c r="B21" s="59">
        <v>2025</v>
      </c>
      <c r="C21" s="9">
        <f>'30 Jun 2025 - Gross'!C21</f>
        <v>8315506.3107700935</v>
      </c>
      <c r="D21" s="10">
        <f>'30 Jun 2025 - Gross'!D21</f>
        <v>19060604.667887751</v>
      </c>
      <c r="E21" s="11">
        <f>'30 Jun 2025 - Gross'!E21</f>
        <v>27376110.978657849</v>
      </c>
      <c r="F21" s="5"/>
      <c r="G21" s="5"/>
      <c r="H21" s="5"/>
      <c r="I21" s="5"/>
      <c r="J21" s="4">
        <f t="shared" ref="J21:L21" si="14">SUMPRODUCT(J40:J41,C40:C41)/C21</f>
        <v>0.7502805760752167</v>
      </c>
      <c r="K21" s="7">
        <f t="shared" si="14"/>
        <v>0.70799285656482691</v>
      </c>
      <c r="L21" s="6">
        <f t="shared" si="14"/>
        <v>0.72083777083080336</v>
      </c>
      <c r="M21" s="12">
        <f t="shared" ref="M21:O21" si="15">SUM(M40:M41)</f>
        <v>8315506.3107700935</v>
      </c>
      <c r="N21" s="13">
        <f t="shared" si="15"/>
        <v>19060604.667887751</v>
      </c>
      <c r="O21" s="14">
        <f t="shared" si="15"/>
        <v>27376110.978657849</v>
      </c>
      <c r="P21" s="5"/>
      <c r="Q21" s="5"/>
      <c r="R21" s="5"/>
      <c r="S21" s="5"/>
      <c r="T21" s="4">
        <f t="shared" ref="T21:V21" si="16">SUMPRODUCT(T40:T41,M40:M41)/SUM(M40:M41)</f>
        <v>0.7502805760752167</v>
      </c>
      <c r="U21" s="7">
        <f t="shared" si="16"/>
        <v>0.70799285656482691</v>
      </c>
      <c r="V21" s="6">
        <f t="shared" si="16"/>
        <v>0.72083777083080336</v>
      </c>
      <c r="W21" s="12"/>
      <c r="X21" s="13"/>
      <c r="Y21" s="14"/>
      <c r="Z21" s="5"/>
      <c r="AA21" s="5"/>
      <c r="AB21" s="5"/>
      <c r="AC21" s="5"/>
      <c r="AD21" s="4"/>
      <c r="AE21" s="7"/>
      <c r="AF21" s="6"/>
    </row>
    <row r="22" spans="1:32" x14ac:dyDescent="0.25">
      <c r="A22" s="15"/>
      <c r="B22" s="60" t="s">
        <v>1</v>
      </c>
      <c r="C22" s="63">
        <f t="shared" ref="C22:E22" si="17">SUM(C6:C21)</f>
        <v>780736136.49239588</v>
      </c>
      <c r="D22" s="64">
        <f t="shared" si="17"/>
        <v>24530952.609852675</v>
      </c>
      <c r="E22" s="65">
        <f t="shared" si="17"/>
        <v>805267089.10224855</v>
      </c>
      <c r="F22" s="5"/>
      <c r="G22" s="5"/>
      <c r="H22" s="5"/>
      <c r="I22" s="5"/>
      <c r="J22" s="66">
        <f t="shared" ref="J22:L22" si="18">SUMPRODUCT(J6:J21,C6:C21)/C22</f>
        <v>0.79686525963756538</v>
      </c>
      <c r="K22" s="67">
        <f t="shared" si="18"/>
        <v>0.70585729977584954</v>
      </c>
      <c r="L22" s="68">
        <f t="shared" si="18"/>
        <v>0.79409287271066864</v>
      </c>
      <c r="M22" s="63">
        <f t="shared" ref="M22:O22" si="19">SUM(M6:M21)</f>
        <v>745444876.772753</v>
      </c>
      <c r="N22" s="64">
        <f t="shared" si="19"/>
        <v>24530952.609852675</v>
      </c>
      <c r="O22" s="65">
        <f t="shared" si="19"/>
        <v>769975829.38260567</v>
      </c>
      <c r="P22" s="5"/>
      <c r="Q22" s="5"/>
      <c r="R22" s="5"/>
      <c r="S22" s="5"/>
      <c r="T22" s="66">
        <f t="shared" ref="T22:V22" si="20">SUMPRODUCT(T6:T21,M6:M21)/M22</f>
        <v>0.78362593281813597</v>
      </c>
      <c r="U22" s="67">
        <f t="shared" si="20"/>
        <v>0.70585729977584954</v>
      </c>
      <c r="V22" s="68">
        <f t="shared" si="20"/>
        <v>0.78114827237881657</v>
      </c>
      <c r="W22" s="63">
        <f t="shared" ref="W22:Y22" si="21">SUM(W6:W21)</f>
        <v>35291259.719642833</v>
      </c>
      <c r="X22" s="64">
        <f t="shared" si="21"/>
        <v>0</v>
      </c>
      <c r="Y22" s="65">
        <f t="shared" si="21"/>
        <v>35291259.719642833</v>
      </c>
      <c r="Z22" s="5"/>
      <c r="AA22" s="5"/>
      <c r="AB22" s="5"/>
      <c r="AC22" s="5"/>
      <c r="AD22" s="66">
        <f t="shared" ref="AD22" si="22">SUMPRODUCT(AD6:AD21,W6:W21)/W22</f>
        <v>1.0765149073935665</v>
      </c>
      <c r="AE22" s="67"/>
      <c r="AF22" s="68">
        <f t="shared" ref="AF22" si="23">SUMPRODUCT(AF6:AF21,Y6:Y21)/Y22</f>
        <v>1.0765149073935667</v>
      </c>
    </row>
    <row r="23" spans="1:32" x14ac:dyDescent="0.25">
      <c r="A23" s="15"/>
      <c r="B23" s="60"/>
      <c r="C23" s="36"/>
      <c r="D23" s="37"/>
      <c r="E23" s="38"/>
      <c r="F23" s="29"/>
      <c r="G23" s="29"/>
      <c r="H23" s="29"/>
      <c r="I23" s="29"/>
      <c r="J23" s="30"/>
      <c r="K23" s="31"/>
      <c r="L23" s="32"/>
      <c r="M23" s="39"/>
      <c r="N23" s="29"/>
      <c r="O23" s="40"/>
      <c r="P23" s="29"/>
      <c r="Q23" s="29"/>
      <c r="R23" s="29"/>
      <c r="S23" s="29"/>
      <c r="T23" s="30"/>
      <c r="U23" s="31"/>
      <c r="V23" s="31"/>
      <c r="W23" s="204"/>
      <c r="X23" s="29"/>
      <c r="Y23" s="40"/>
      <c r="Z23" s="29"/>
      <c r="AA23" s="29"/>
      <c r="AB23" s="29"/>
      <c r="AC23" s="29"/>
      <c r="AD23" s="30"/>
      <c r="AE23" s="31"/>
      <c r="AF23" s="205"/>
    </row>
    <row r="24" spans="1:32" x14ac:dyDescent="0.25">
      <c r="A24" s="117">
        <v>2021</v>
      </c>
      <c r="B24" s="8" t="s">
        <v>79</v>
      </c>
      <c r="C24" s="9">
        <f>'30 Jun 2025 - Gross'!C24</f>
        <v>11277371.386454104</v>
      </c>
      <c r="D24" s="10">
        <f>'30 Jun 2025 - Gross'!D24</f>
        <v>0</v>
      </c>
      <c r="E24" s="11">
        <f>'30 Jun 2025 - Gross'!E24</f>
        <v>11277371.386454104</v>
      </c>
      <c r="F24" s="5"/>
      <c r="G24" s="5"/>
      <c r="H24" s="5"/>
      <c r="I24" s="5"/>
      <c r="J24" s="43" cm="1">
        <f t="array" ref="J24">SUMPRODUCT('Net Results by UW month'!M$11:M$1000,'Net Results by UW month'!D$11:D$1000,--('Net Results by UW month'!$B$11:$B$1000='30 Jun 2025 - Net'!$B24))/'30 Jun 2025 - Net'!C24</f>
        <v>0.73787502861186693</v>
      </c>
      <c r="K24" s="44"/>
      <c r="L24" s="6" cm="1">
        <f t="array" ref="L24">SUMPRODUCT('Net Results by UW month'!O$11:O$1000,'Net Results by UW month'!F$11:F$1000,--('Net Results by UW month'!$B$11:$B$1000='30 Jun 2025 - Net'!$B24))/'30 Jun 2025 - Net'!E24</f>
        <v>0.73787502861186693</v>
      </c>
      <c r="M24" s="12">
        <f t="shared" ref="M24" si="24">C24-W24</f>
        <v>9071593.8735969625</v>
      </c>
      <c r="N24" s="13">
        <f t="shared" ref="N24" si="25">D24-X24</f>
        <v>0</v>
      </c>
      <c r="O24" s="14">
        <f t="shared" ref="O24" si="26">E24-Y24</f>
        <v>9071593.8735969625</v>
      </c>
      <c r="P24" s="5"/>
      <c r="Q24" s="5"/>
      <c r="R24" s="5"/>
      <c r="S24" s="5"/>
      <c r="T24" s="7">
        <f t="shared" ref="T24" si="27">IFERROR((C24*J24-W24*AD24)/M24,"")</f>
        <v>0.64216486602090905</v>
      </c>
      <c r="U24" s="7" t="str">
        <f t="shared" ref="U24" si="28">IFERROR((D24*K24-X24*AE24)/N24,"")</f>
        <v/>
      </c>
      <c r="V24" s="7">
        <f t="shared" ref="V24" si="29">IFERROR((E24*L24-Y24*AF24)/O24,"")</f>
        <v>0.64216486602090905</v>
      </c>
      <c r="W24" s="199">
        <f>'30 Jun 2025 - Gross'!W24</f>
        <v>2205777.5128571419</v>
      </c>
      <c r="X24" s="96">
        <f>'30 Jun 2025 - Gross'!X24</f>
        <v>0</v>
      </c>
      <c r="Y24" s="94">
        <f>'30 Jun 2025 - Gross'!Y24</f>
        <v>2205777.5128571419</v>
      </c>
      <c r="Z24" s="90"/>
      <c r="AA24" s="90"/>
      <c r="AB24" s="90"/>
      <c r="AC24" s="90"/>
      <c r="AD24" s="97">
        <v>1.1314975583276889</v>
      </c>
      <c r="AE24" s="98" t="s">
        <v>42</v>
      </c>
      <c r="AF24" s="200">
        <v>1.1314975583276889</v>
      </c>
    </row>
    <row r="25" spans="1:32" x14ac:dyDescent="0.25">
      <c r="A25" s="117">
        <v>2021</v>
      </c>
      <c r="B25" s="8" t="s">
        <v>80</v>
      </c>
      <c r="C25" s="9">
        <f>'30 Jun 2025 - Gross'!C25</f>
        <v>18918455.587208807</v>
      </c>
      <c r="D25" s="10">
        <f>'30 Jun 2025 - Gross'!D25</f>
        <v>0</v>
      </c>
      <c r="E25" s="11">
        <f>'30 Jun 2025 - Gross'!E25</f>
        <v>18918455.587208807</v>
      </c>
      <c r="F25" s="5"/>
      <c r="G25" s="5"/>
      <c r="H25" s="5"/>
      <c r="I25" s="5"/>
      <c r="J25" s="4" cm="1">
        <f t="array" ref="J25">SUMPRODUCT('Net Results by UW month'!M$11:M$1000,'Net Results by UW month'!D$11:D$1000,--('Net Results by UW month'!$B$11:$B$1000='30 Jun 2025 - Net'!$B25))/'30 Jun 2025 - Net'!C25</f>
        <v>1.0010103331992422</v>
      </c>
      <c r="K25" s="7"/>
      <c r="L25" s="6" cm="1">
        <f t="array" ref="L25">SUMPRODUCT('Net Results by UW month'!O$11:O$1000,'Net Results by UW month'!F$11:F$1000,--('Net Results by UW month'!$B$11:$B$1000='30 Jun 2025 - Net'!$B25))/'30 Jun 2025 - Net'!E25</f>
        <v>1.0010103331992422</v>
      </c>
      <c r="M25" s="12">
        <f t="shared" ref="M25" si="30">C25-W25</f>
        <v>14547860.159351666</v>
      </c>
      <c r="N25" s="13">
        <f t="shared" ref="N25" si="31">D25-X25</f>
        <v>0</v>
      </c>
      <c r="O25" s="14">
        <f t="shared" ref="O25" si="32">E25-Y25</f>
        <v>14547860.159351666</v>
      </c>
      <c r="P25" s="5"/>
      <c r="Q25" s="5"/>
      <c r="R25" s="5"/>
      <c r="S25" s="5"/>
      <c r="T25" s="7">
        <f t="shared" ref="T25" si="33">IFERROR((C25*J25-W25*AD25)/M25,"")</f>
        <v>0.83440558524616093</v>
      </c>
      <c r="U25" s="7" t="str">
        <f t="shared" ref="U25" si="34">IFERROR((D25*K25-X25*AE25)/N25,"")</f>
        <v/>
      </c>
      <c r="V25" s="7">
        <f t="shared" ref="V25" si="35">IFERROR((E25*L25-Y25*AF25)/O25,"")</f>
        <v>0.83440558524616093</v>
      </c>
      <c r="W25" s="199">
        <f>'30 Jun 2025 - Gross'!W25</f>
        <v>4370595.427857141</v>
      </c>
      <c r="X25" s="96">
        <f>'30 Jun 2025 - Gross'!X25</f>
        <v>0</v>
      </c>
      <c r="Y25" s="94">
        <f>'30 Jun 2025 - Gross'!Y25</f>
        <v>4370595.427857141</v>
      </c>
      <c r="Z25" s="90"/>
      <c r="AA25" s="90"/>
      <c r="AB25" s="90"/>
      <c r="AC25" s="90"/>
      <c r="AD25" s="91">
        <v>1.5555669411289297</v>
      </c>
      <c r="AE25" s="95" t="s">
        <v>42</v>
      </c>
      <c r="AF25" s="200">
        <v>1.5555669411289297</v>
      </c>
    </row>
    <row r="26" spans="1:32" x14ac:dyDescent="0.25">
      <c r="A26" s="117">
        <v>2021</v>
      </c>
      <c r="B26" s="8" t="s">
        <v>81</v>
      </c>
      <c r="C26" s="9">
        <f>'30 Jun 2025 - Gross'!C26</f>
        <v>29536093.088691294</v>
      </c>
      <c r="D26" s="10">
        <f>'30 Jun 2025 - Gross'!D26</f>
        <v>0</v>
      </c>
      <c r="E26" s="11">
        <f>'30 Jun 2025 - Gross'!E26</f>
        <v>29536093.088691294</v>
      </c>
      <c r="F26" s="5"/>
      <c r="G26" s="5"/>
      <c r="H26" s="5"/>
      <c r="I26" s="5"/>
      <c r="J26" s="4" cm="1">
        <f t="array" ref="J26">SUMPRODUCT('Net Results by UW month'!M$11:M$1000,'Net Results by UW month'!D$11:D$1000,--('Net Results by UW month'!$B$11:$B$1000='30 Jun 2025 - Net'!$B26))/'30 Jun 2025 - Net'!C26</f>
        <v>0.92111053213511385</v>
      </c>
      <c r="K26" s="7"/>
      <c r="L26" s="6" cm="1">
        <f t="array" ref="L26">SUMPRODUCT('Net Results by UW month'!O$11:O$1000,'Net Results by UW month'!F$11:F$1000,--('Net Results by UW month'!$B$11:$B$1000='30 Jun 2025 - Net'!$B26))/'30 Jun 2025 - Net'!E26</f>
        <v>0.92111053213511385</v>
      </c>
      <c r="M26" s="12">
        <f t="shared" ref="M26" si="36">C26-W26</f>
        <v>23472293.690834172</v>
      </c>
      <c r="N26" s="13">
        <f t="shared" ref="N26" si="37">D26-X26</f>
        <v>0</v>
      </c>
      <c r="O26" s="14">
        <f t="shared" ref="O26" si="38">E26-Y26</f>
        <v>23472293.690834172</v>
      </c>
      <c r="P26" s="5"/>
      <c r="Q26" s="5"/>
      <c r="R26" s="5"/>
      <c r="S26" s="5"/>
      <c r="T26" s="7">
        <f t="shared" ref="T26" si="39">IFERROR((C26*J26-W26*AD26)/M26,"")</f>
        <v>0.91362442832754565</v>
      </c>
      <c r="U26" s="7" t="str">
        <f t="shared" ref="U26" si="40">IFERROR((D26*K26-X26*AE26)/N26,"")</f>
        <v/>
      </c>
      <c r="V26" s="7">
        <f t="shared" ref="V26" si="41">IFERROR((E26*L26-Y26*AF26)/O26,"")</f>
        <v>0.91362442832754565</v>
      </c>
      <c r="W26" s="199">
        <f>'30 Jun 2025 - Gross'!W26</f>
        <v>6063799.3978571203</v>
      </c>
      <c r="X26" s="96">
        <f>'30 Jun 2025 - Gross'!X26</f>
        <v>0</v>
      </c>
      <c r="Y26" s="94">
        <f>'30 Jun 2025 - Gross'!Y26</f>
        <v>6063799.3978571203</v>
      </c>
      <c r="Z26" s="90"/>
      <c r="AA26" s="90"/>
      <c r="AB26" s="90"/>
      <c r="AC26" s="90"/>
      <c r="AD26" s="91">
        <v>0.95008840815677331</v>
      </c>
      <c r="AE26" s="95" t="s">
        <v>42</v>
      </c>
      <c r="AF26" s="200">
        <v>0.95008840815677331</v>
      </c>
    </row>
    <row r="27" spans="1:32" x14ac:dyDescent="0.25">
      <c r="A27" s="117">
        <v>2021</v>
      </c>
      <c r="B27" s="8" t="s">
        <v>82</v>
      </c>
      <c r="C27" s="9">
        <f>'30 Jun 2025 - Gross'!C27</f>
        <v>29128777.105400547</v>
      </c>
      <c r="D27" s="10">
        <f>'30 Jun 2025 - Gross'!D27</f>
        <v>0</v>
      </c>
      <c r="E27" s="11">
        <f>'30 Jun 2025 - Gross'!E27</f>
        <v>29128777.105400547</v>
      </c>
      <c r="F27" s="5"/>
      <c r="G27" s="5"/>
      <c r="H27" s="5"/>
      <c r="I27" s="5"/>
      <c r="J27" s="7" cm="1">
        <f t="array" ref="J27">SUMPRODUCT('Net Results by UW month'!M$11:M$1000,'Net Results by UW month'!D$11:D$1000,--('Net Results by UW month'!$B$11:$B$1000='30 Jun 2025 - Net'!$B27))/'30 Jun 2025 - Net'!C27</f>
        <v>1.0142133456307498</v>
      </c>
      <c r="K27" s="7"/>
      <c r="L27" s="7" cm="1">
        <f t="array" ref="L27">SUMPRODUCT('Net Results by UW month'!O$11:O$1000,'Net Results by UW month'!F$11:F$1000,--('Net Results by UW month'!$B$11:$B$1000='30 Jun 2025 - Net'!$B27))/'30 Jun 2025 - Net'!E27</f>
        <v>1.0142133456307498</v>
      </c>
      <c r="M27" s="12">
        <f t="shared" ref="M27" si="42">C27-W27</f>
        <v>24201465.711471975</v>
      </c>
      <c r="N27" s="13">
        <f t="shared" ref="N27" si="43">D27-X27</f>
        <v>0</v>
      </c>
      <c r="O27" s="14">
        <f t="shared" ref="O27" si="44">E27-Y27</f>
        <v>24201465.711471975</v>
      </c>
      <c r="P27" s="5"/>
      <c r="Q27" s="5"/>
      <c r="R27" s="5"/>
      <c r="S27" s="5"/>
      <c r="T27" s="7">
        <f t="shared" ref="T27" si="45">IFERROR((C27*J27-W27*AD27)/M27,"")</f>
        <v>0.93886982506969263</v>
      </c>
      <c r="U27" s="7" t="str">
        <f t="shared" ref="U27" si="46">IFERROR((D27*K27-X27*AE27)/N27,"")</f>
        <v/>
      </c>
      <c r="V27" s="7">
        <f t="shared" ref="V27" si="47">IFERROR((E27*L27-Y27*AF27)/O27,"")</f>
        <v>0.93886982506969263</v>
      </c>
      <c r="W27" s="199">
        <f>'30 Jun 2025 - Gross'!W27</f>
        <v>4927311.3939285707</v>
      </c>
      <c r="X27" s="96">
        <f>'30 Jun 2025 - Gross'!X27</f>
        <v>0</v>
      </c>
      <c r="Y27" s="94">
        <f>'30 Jun 2025 - Gross'!Y27</f>
        <v>4927311.3939285707</v>
      </c>
      <c r="Z27" s="90"/>
      <c r="AA27" s="90"/>
      <c r="AB27" s="90"/>
      <c r="AC27" s="90"/>
      <c r="AD27" s="95">
        <v>1.3842779678275192</v>
      </c>
      <c r="AE27" s="95" t="s">
        <v>42</v>
      </c>
      <c r="AF27" s="200">
        <v>1.3842779678275192</v>
      </c>
    </row>
    <row r="28" spans="1:32" x14ac:dyDescent="0.25">
      <c r="A28" s="117">
        <v>2022</v>
      </c>
      <c r="B28" s="8" t="s">
        <v>13</v>
      </c>
      <c r="C28" s="9">
        <f>'30 Jun 2025 - Gross'!C28</f>
        <v>29179755.79329171</v>
      </c>
      <c r="D28" s="10">
        <f>'30 Jun 2025 - Gross'!D28</f>
        <v>0</v>
      </c>
      <c r="E28" s="11">
        <f>'30 Jun 2025 - Gross'!E28</f>
        <v>29179755.79329171</v>
      </c>
      <c r="F28" s="5"/>
      <c r="G28" s="5"/>
      <c r="H28" s="5"/>
      <c r="I28" s="5"/>
      <c r="J28" s="7" cm="1">
        <f t="array" ref="J28">SUMPRODUCT('Net Results by UW month'!M$11:M$1000,'Net Results by UW month'!D$11:D$1000,--('Net Results by UW month'!$B$11:$B$1000='30 Jun 2025 - Net'!$B28))/'30 Jun 2025 - Net'!C28</f>
        <v>1.0154493394035968</v>
      </c>
      <c r="K28" s="7"/>
      <c r="L28" s="7" cm="1">
        <f t="array" ref="L28">SUMPRODUCT('Net Results by UW month'!O$11:O$1000,'Net Results by UW month'!F$11:F$1000,--('Net Results by UW month'!$B$11:$B$1000='30 Jun 2025 - Net'!$B28))/'30 Jun 2025 - Net'!E28</f>
        <v>1.0154493394035968</v>
      </c>
      <c r="M28" s="12">
        <f t="shared" ref="M28:O35" si="48">C28-W28</f>
        <v>25623244.82864885</v>
      </c>
      <c r="N28" s="13">
        <f t="shared" si="48"/>
        <v>0</v>
      </c>
      <c r="O28" s="14">
        <f t="shared" si="48"/>
        <v>25623244.82864885</v>
      </c>
      <c r="P28" s="5"/>
      <c r="Q28" s="5"/>
      <c r="R28" s="5"/>
      <c r="S28" s="5"/>
      <c r="T28" s="7">
        <f t="shared" ref="T28:V35" si="49">IFERROR((C28*J28-W28*AD28)/M28,"")</f>
        <v>1.0382930481788426</v>
      </c>
      <c r="U28" s="7" t="str">
        <f t="shared" si="49"/>
        <v/>
      </c>
      <c r="V28" s="7">
        <f t="shared" si="49"/>
        <v>1.0382930481788426</v>
      </c>
      <c r="W28" s="199">
        <f>'30 Jun 2025 - Gross'!W28</f>
        <v>3556510.96464286</v>
      </c>
      <c r="X28" s="96">
        <f>'30 Jun 2025 - Gross'!X28</f>
        <v>0</v>
      </c>
      <c r="Y28" s="94">
        <f>'30 Jun 2025 - Gross'!Y28</f>
        <v>3556510.96464286</v>
      </c>
      <c r="Z28" s="90"/>
      <c r="AA28" s="90"/>
      <c r="AB28" s="90"/>
      <c r="AC28" s="90"/>
      <c r="AD28" s="95">
        <v>0.85086951705479696</v>
      </c>
      <c r="AE28" s="95" t="s">
        <v>42</v>
      </c>
      <c r="AF28" s="200">
        <v>0.85086951705479696</v>
      </c>
    </row>
    <row r="29" spans="1:32" x14ac:dyDescent="0.25">
      <c r="A29" s="117">
        <v>2022</v>
      </c>
      <c r="B29" s="8" t="s">
        <v>14</v>
      </c>
      <c r="C29" s="9">
        <f>'30 Jun 2025 - Gross'!C29</f>
        <v>33207827.033860881</v>
      </c>
      <c r="D29" s="10">
        <f>'30 Jun 2025 - Gross'!D29</f>
        <v>0</v>
      </c>
      <c r="E29" s="11">
        <f>'30 Jun 2025 - Gross'!E29</f>
        <v>33207827.033860881</v>
      </c>
      <c r="F29" s="5"/>
      <c r="G29" s="5"/>
      <c r="H29" s="5"/>
      <c r="I29" s="5"/>
      <c r="J29" s="7" cm="1">
        <f t="array" ref="J29">SUMPRODUCT('Net Results by UW month'!M$11:M$1000,'Net Results by UW month'!D$11:D$1000,--('Net Results by UW month'!$B$11:$B$1000='30 Jun 2025 - Net'!$B29))/'30 Jun 2025 - Net'!C29</f>
        <v>1.0562507460362471</v>
      </c>
      <c r="K29" s="7"/>
      <c r="L29" s="7" cm="1">
        <f t="array" ref="L29">SUMPRODUCT('Net Results by UW month'!O$11:O$1000,'Net Results by UW month'!F$11:F$1000,--('Net Results by UW month'!$B$11:$B$1000='30 Jun 2025 - Net'!$B29))/'30 Jun 2025 - Net'!E29</f>
        <v>1.0562507460362471</v>
      </c>
      <c r="M29" s="12">
        <f t="shared" si="48"/>
        <v>31710282.734218024</v>
      </c>
      <c r="N29" s="13">
        <f t="shared" si="48"/>
        <v>0</v>
      </c>
      <c r="O29" s="14">
        <f t="shared" si="48"/>
        <v>31710282.734218024</v>
      </c>
      <c r="P29" s="5"/>
      <c r="Q29" s="5"/>
      <c r="R29" s="5"/>
      <c r="S29" s="5"/>
      <c r="T29" s="4">
        <f>IFERROR((C29*J29-W29*AD29)/M29,"")</f>
        <v>1.0574642316211462</v>
      </c>
      <c r="U29" s="7" t="str">
        <f t="shared" si="49"/>
        <v/>
      </c>
      <c r="V29" s="7">
        <f t="shared" si="49"/>
        <v>1.0574642316211462</v>
      </c>
      <c r="W29" s="199">
        <f>'30 Jun 2025 - Gross'!W29</f>
        <v>1497544.2996428572</v>
      </c>
      <c r="X29" s="96">
        <f>'30 Jun 2025 - Gross'!X29</f>
        <v>0</v>
      </c>
      <c r="Y29" s="94">
        <f>'30 Jun 2025 - Gross'!Y29</f>
        <v>1497544.2996428572</v>
      </c>
      <c r="Z29" s="90"/>
      <c r="AA29" s="90"/>
      <c r="AB29" s="90"/>
      <c r="AC29" s="90"/>
      <c r="AD29" s="95">
        <v>1.0305553652717359</v>
      </c>
      <c r="AE29" s="95" t="s">
        <v>42</v>
      </c>
      <c r="AF29" s="200">
        <v>1.0305553652717359</v>
      </c>
    </row>
    <row r="30" spans="1:32" x14ac:dyDescent="0.25">
      <c r="A30" s="117">
        <v>2022</v>
      </c>
      <c r="B30" s="8" t="s">
        <v>15</v>
      </c>
      <c r="C30" s="9">
        <f>'30 Jun 2025 - Gross'!C30</f>
        <v>40419113.40828599</v>
      </c>
      <c r="D30" s="10">
        <f>'30 Jun 2025 - Gross'!D30</f>
        <v>0</v>
      </c>
      <c r="E30" s="11">
        <f>'30 Jun 2025 - Gross'!E30</f>
        <v>40419113.40828599</v>
      </c>
      <c r="F30" s="5"/>
      <c r="G30" s="5"/>
      <c r="H30" s="5"/>
      <c r="I30" s="5"/>
      <c r="J30" s="4" cm="1">
        <f t="array" ref="J30">SUMPRODUCT('Net Results by UW month'!M$11:M$1000,'Net Results by UW month'!D$11:D$1000,--('Net Results by UW month'!$B$11:$B$1000='30 Jun 2025 - Net'!$B30))/'30 Jun 2025 - Net'!C30</f>
        <v>0.99410837408798758</v>
      </c>
      <c r="K30" s="7"/>
      <c r="L30" s="6" cm="1">
        <f t="array" ref="L30">SUMPRODUCT('Net Results by UW month'!O$11:O$1000,'Net Results by UW month'!F$11:F$1000,--('Net Results by UW month'!$B$11:$B$1000='30 Jun 2025 - Net'!$B30))/'30 Jun 2025 - Net'!E30</f>
        <v>0.99410837408798758</v>
      </c>
      <c r="M30" s="12">
        <f t="shared" si="48"/>
        <v>38771327.466500275</v>
      </c>
      <c r="N30" s="13">
        <f t="shared" si="48"/>
        <v>0</v>
      </c>
      <c r="O30" s="14">
        <f t="shared" si="48"/>
        <v>38771327.466500275</v>
      </c>
      <c r="P30" s="5"/>
      <c r="Q30" s="5"/>
      <c r="R30" s="5"/>
      <c r="S30" s="5"/>
      <c r="T30" s="4">
        <f t="shared" si="49"/>
        <v>1.0056338735606665</v>
      </c>
      <c r="U30" s="7" t="str">
        <f t="shared" si="49"/>
        <v/>
      </c>
      <c r="V30" s="7">
        <f t="shared" si="49"/>
        <v>1.0056338735606665</v>
      </c>
      <c r="W30" s="199">
        <f>'30 Jun 2025 - Gross'!W30</f>
        <v>1647785.9417857141</v>
      </c>
      <c r="X30" s="96">
        <f>'30 Jun 2025 - Gross'!X30</f>
        <v>0</v>
      </c>
      <c r="Y30" s="94">
        <f>'30 Jun 2025 - Gross'!Y30</f>
        <v>1647785.9417857141</v>
      </c>
      <c r="Z30" s="90"/>
      <c r="AA30" s="90"/>
      <c r="AB30" s="90"/>
      <c r="AC30" s="90"/>
      <c r="AD30" s="91">
        <v>0.72292089582491281</v>
      </c>
      <c r="AE30" s="95" t="s">
        <v>42</v>
      </c>
      <c r="AF30" s="200">
        <v>0.7229208958249127</v>
      </c>
    </row>
    <row r="31" spans="1:32" x14ac:dyDescent="0.25">
      <c r="A31" s="117">
        <v>2022</v>
      </c>
      <c r="B31" s="8" t="s">
        <v>16</v>
      </c>
      <c r="C31" s="9">
        <f>'30 Jun 2025 - Gross'!C31</f>
        <v>31876794.830809031</v>
      </c>
      <c r="D31" s="10">
        <f>'30 Jun 2025 - Gross'!D31</f>
        <v>0</v>
      </c>
      <c r="E31" s="11">
        <f>'30 Jun 2025 - Gross'!E31</f>
        <v>31876794.830809031</v>
      </c>
      <c r="F31" s="5"/>
      <c r="G31" s="5"/>
      <c r="H31" s="5"/>
      <c r="I31" s="5"/>
      <c r="J31" s="4" cm="1">
        <f t="array" ref="J31">SUMPRODUCT('Net Results by UW month'!M$11:M$1000,'Net Results by UW month'!D$11:D$1000,--('Net Results by UW month'!$B$11:$B$1000='30 Jun 2025 - Net'!$B31))/'30 Jun 2025 - Net'!C31</f>
        <v>0.94205195033653411</v>
      </c>
      <c r="K31" s="7"/>
      <c r="L31" s="6" cm="1">
        <f t="array" ref="L31">SUMPRODUCT('Net Results by UW month'!O$11:O$1000,'Net Results by UW month'!F$11:F$1000,--('Net Results by UW month'!$B$11:$B$1000='30 Jun 2025 - Net'!$B31))/'30 Jun 2025 - Net'!E31</f>
        <v>0.94205195033653411</v>
      </c>
      <c r="M31" s="12">
        <f t="shared" si="48"/>
        <v>28968811.964737598</v>
      </c>
      <c r="N31" s="13">
        <f t="shared" si="48"/>
        <v>0</v>
      </c>
      <c r="O31" s="14">
        <f t="shared" si="48"/>
        <v>28968811.964737598</v>
      </c>
      <c r="P31" s="5"/>
      <c r="Q31" s="5"/>
      <c r="R31" s="5"/>
      <c r="S31" s="5"/>
      <c r="T31" s="4">
        <f t="shared" si="49"/>
        <v>0.935991713669176</v>
      </c>
      <c r="U31" s="7" t="str">
        <f t="shared" si="49"/>
        <v/>
      </c>
      <c r="V31" s="7">
        <f t="shared" si="49"/>
        <v>0.93599171366917588</v>
      </c>
      <c r="W31" s="199">
        <f>'30 Jun 2025 - Gross'!W31</f>
        <v>2907982.8660714319</v>
      </c>
      <c r="X31" s="96">
        <f>'30 Jun 2025 - Gross'!X31</f>
        <v>0</v>
      </c>
      <c r="Y31" s="94">
        <f>'30 Jun 2025 - Gross'!Y31</f>
        <v>2907982.8660714319</v>
      </c>
      <c r="Z31" s="90"/>
      <c r="AA31" s="90"/>
      <c r="AB31" s="90"/>
      <c r="AC31" s="90"/>
      <c r="AD31" s="91">
        <v>1.0024229582014039</v>
      </c>
      <c r="AE31" s="95" t="s">
        <v>42</v>
      </c>
      <c r="AF31" s="200">
        <v>1.002422958201405</v>
      </c>
    </row>
    <row r="32" spans="1:32" x14ac:dyDescent="0.25">
      <c r="A32" s="117">
        <f t="shared" ref="A32:A39" si="50">A28+1</f>
        <v>2023</v>
      </c>
      <c r="B32" s="8" t="s">
        <v>17</v>
      </c>
      <c r="C32" s="9">
        <f>'30 Jun 2025 - Gross'!C32</f>
        <v>24632399.137876548</v>
      </c>
      <c r="D32" s="10">
        <f>'30 Jun 2025 - Gross'!D32</f>
        <v>0</v>
      </c>
      <c r="E32" s="11">
        <f>'30 Jun 2025 - Gross'!E32</f>
        <v>24632399.137876548</v>
      </c>
      <c r="F32" s="5"/>
      <c r="G32" s="5"/>
      <c r="H32" s="5"/>
      <c r="I32" s="5"/>
      <c r="J32" s="4">
        <f t="shared" ref="J32:L32" si="51">SUMPRODUCT(J43:J45,C43:C45)/C32</f>
        <v>0.89672444985231969</v>
      </c>
      <c r="K32" s="7"/>
      <c r="L32" s="6">
        <f t="shared" si="51"/>
        <v>0.89672444985231969</v>
      </c>
      <c r="M32" s="12">
        <f t="shared" si="48"/>
        <v>21886025.74573369</v>
      </c>
      <c r="N32" s="13">
        <f t="shared" si="48"/>
        <v>0</v>
      </c>
      <c r="O32" s="14">
        <f t="shared" si="48"/>
        <v>21886025.74573369</v>
      </c>
      <c r="P32" s="5"/>
      <c r="Q32" s="5"/>
      <c r="R32" s="5"/>
      <c r="S32" s="5"/>
      <c r="T32" s="4">
        <f t="shared" si="49"/>
        <v>0.91468874528944388</v>
      </c>
      <c r="U32" s="7" t="str">
        <f t="shared" si="49"/>
        <v/>
      </c>
      <c r="V32" s="7">
        <f t="shared" si="49"/>
        <v>0.91468874528944388</v>
      </c>
      <c r="W32" s="199">
        <f>'30 Jun 2025 - Gross'!W32</f>
        <v>2746373.3921428574</v>
      </c>
      <c r="X32" s="96">
        <f>'30 Jun 2025 - Gross'!X32</f>
        <v>0</v>
      </c>
      <c r="Y32" s="94">
        <f>'30 Jun 2025 - Gross'!Y32</f>
        <v>2746373.3921428574</v>
      </c>
      <c r="Z32" s="90"/>
      <c r="AA32" s="90"/>
      <c r="AB32" s="90"/>
      <c r="AC32" s="90"/>
      <c r="AD32" s="91">
        <f t="shared" ref="AD32:AF32" si="52">SUMPRODUCT(AD43:AD45,W43:W45)/SUM(W43:W45)</f>
        <v>0.75356582707885345</v>
      </c>
      <c r="AE32" s="95"/>
      <c r="AF32" s="200">
        <f t="shared" si="52"/>
        <v>0.75356582707885345</v>
      </c>
    </row>
    <row r="33" spans="1:32" x14ac:dyDescent="0.25">
      <c r="A33" s="117">
        <f t="shared" si="50"/>
        <v>2023</v>
      </c>
      <c r="B33" s="8" t="s">
        <v>18</v>
      </c>
      <c r="C33" s="9">
        <f>'30 Jun 2025 - Gross'!C33</f>
        <v>23899491.004619353</v>
      </c>
      <c r="D33" s="10">
        <f>'30 Jun 2025 - Gross'!D33</f>
        <v>0</v>
      </c>
      <c r="E33" s="11">
        <f>'30 Jun 2025 - Gross'!E33</f>
        <v>23899491.004619353</v>
      </c>
      <c r="F33" s="5"/>
      <c r="G33" s="5"/>
      <c r="H33" s="5"/>
      <c r="I33" s="5"/>
      <c r="J33" s="4">
        <f t="shared" ref="J33:L33" si="53">SUMPRODUCT(J46:J48,C46:C48)/C33</f>
        <v>0.79307123967256798</v>
      </c>
      <c r="K33" s="7"/>
      <c r="L33" s="6">
        <f t="shared" si="53"/>
        <v>0.79307123967256798</v>
      </c>
      <c r="M33" s="12">
        <f t="shared" si="48"/>
        <v>20689082.959619351</v>
      </c>
      <c r="N33" s="13">
        <f t="shared" si="48"/>
        <v>0</v>
      </c>
      <c r="O33" s="14">
        <f t="shared" si="48"/>
        <v>20689082.959619351</v>
      </c>
      <c r="P33" s="5"/>
      <c r="Q33" s="5"/>
      <c r="R33" s="5"/>
      <c r="S33" s="5"/>
      <c r="T33" s="4">
        <f t="shared" si="49"/>
        <v>0.74118747216523162</v>
      </c>
      <c r="U33" s="7" t="str">
        <f t="shared" si="49"/>
        <v/>
      </c>
      <c r="V33" s="7">
        <f t="shared" si="49"/>
        <v>0.74118747216523162</v>
      </c>
      <c r="W33" s="199">
        <f>'30 Jun 2025 - Gross'!W33</f>
        <v>3210408.0450000032</v>
      </c>
      <c r="X33" s="96">
        <f>'30 Jun 2025 - Gross'!X33</f>
        <v>0</v>
      </c>
      <c r="Y33" s="94">
        <f>'30 Jun 2025 - Gross'!Y33</f>
        <v>3210408.0450000032</v>
      </c>
      <c r="Z33" s="90"/>
      <c r="AA33" s="90"/>
      <c r="AB33" s="90"/>
      <c r="AC33" s="90"/>
      <c r="AD33" s="91">
        <f t="shared" ref="AD33:AF33" si="54">SUMPRODUCT(AD46:AD48,W46:W48)/SUM(W46:W48)</f>
        <v>1.1274298492856598</v>
      </c>
      <c r="AE33" s="95"/>
      <c r="AF33" s="200">
        <f t="shared" si="54"/>
        <v>1.1274298492856598</v>
      </c>
    </row>
    <row r="34" spans="1:32" x14ac:dyDescent="0.25">
      <c r="A34" s="117">
        <f t="shared" si="50"/>
        <v>2023</v>
      </c>
      <c r="B34" s="8" t="s">
        <v>19</v>
      </c>
      <c r="C34" s="9">
        <f>'30 Jun 2025 - Gross'!C34</f>
        <v>24172174.157557882</v>
      </c>
      <c r="D34" s="10">
        <f>'30 Jun 2025 - Gross'!D34</f>
        <v>0</v>
      </c>
      <c r="E34" s="11">
        <f>'30 Jun 2025 - Gross'!E34</f>
        <v>24172174.157557882</v>
      </c>
      <c r="F34" s="5"/>
      <c r="G34" s="5"/>
      <c r="H34" s="5"/>
      <c r="I34" s="5"/>
      <c r="J34" s="4">
        <f t="shared" ref="J34:L34" si="55">SUMPRODUCT(J49:J51,C49:C51)/C34</f>
        <v>0.74890571800791528</v>
      </c>
      <c r="K34" s="7"/>
      <c r="L34" s="6">
        <f t="shared" si="55"/>
        <v>0.74890571800791528</v>
      </c>
      <c r="M34" s="12">
        <f t="shared" si="48"/>
        <v>22235387.506843597</v>
      </c>
      <c r="N34" s="13">
        <f t="shared" si="48"/>
        <v>0</v>
      </c>
      <c r="O34" s="14">
        <f t="shared" si="48"/>
        <v>22235387.506843597</v>
      </c>
      <c r="P34" s="5"/>
      <c r="Q34" s="5"/>
      <c r="R34" s="5"/>
      <c r="S34" s="5"/>
      <c r="T34" s="4">
        <f t="shared" si="49"/>
        <v>0.74305337531483417</v>
      </c>
      <c r="U34" s="7" t="str">
        <f t="shared" si="49"/>
        <v/>
      </c>
      <c r="V34" s="7">
        <f t="shared" si="49"/>
        <v>0.74305337531483417</v>
      </c>
      <c r="W34" s="199">
        <f>'30 Jun 2025 - Gross'!W34</f>
        <v>1936786.6507142847</v>
      </c>
      <c r="X34" s="96">
        <f>'30 Jun 2025 - Gross'!X34</f>
        <v>0</v>
      </c>
      <c r="Y34" s="94">
        <f>'30 Jun 2025 - Gross'!Y34</f>
        <v>1936786.6507142847</v>
      </c>
      <c r="Z34" s="90"/>
      <c r="AA34" s="90"/>
      <c r="AB34" s="90"/>
      <c r="AC34" s="90"/>
      <c r="AD34" s="91">
        <f t="shared" ref="AD34:AF34" si="56">SUMPRODUCT(AD49:AD51,W49:W51)/SUM(W49:W51)</f>
        <v>0.81609386573472509</v>
      </c>
      <c r="AE34" s="95"/>
      <c r="AF34" s="200">
        <f t="shared" si="56"/>
        <v>0.81609386573472509</v>
      </c>
    </row>
    <row r="35" spans="1:32" s="15" customFormat="1" x14ac:dyDescent="0.25">
      <c r="A35" s="117">
        <f t="shared" si="50"/>
        <v>2023</v>
      </c>
      <c r="B35" s="8" t="s">
        <v>20</v>
      </c>
      <c r="C35" s="9">
        <f>'30 Jun 2025 - Gross'!C35</f>
        <v>21832052.583186343</v>
      </c>
      <c r="D35" s="10">
        <f>'30 Jun 2025 - Gross'!D35</f>
        <v>0</v>
      </c>
      <c r="E35" s="11">
        <f>'30 Jun 2025 - Gross'!E35</f>
        <v>21832052.583186343</v>
      </c>
      <c r="F35" s="5"/>
      <c r="G35" s="5"/>
      <c r="H35" s="5"/>
      <c r="I35" s="5"/>
      <c r="J35" s="4">
        <f t="shared" ref="J35:L35" si="57">SUMPRODUCT(J52:J54,C52:C54)/C35</f>
        <v>0.78293762963209379</v>
      </c>
      <c r="K35" s="7"/>
      <c r="L35" s="6">
        <f t="shared" si="57"/>
        <v>0.78293762963209379</v>
      </c>
      <c r="M35" s="12">
        <f t="shared" si="48"/>
        <v>21776840.579614915</v>
      </c>
      <c r="N35" s="13">
        <f t="shared" si="48"/>
        <v>0</v>
      </c>
      <c r="O35" s="14">
        <f t="shared" si="48"/>
        <v>21776840.579614915</v>
      </c>
      <c r="P35" s="5"/>
      <c r="Q35" s="5"/>
      <c r="R35" s="5"/>
      <c r="S35" s="5"/>
      <c r="T35" s="4">
        <f t="shared" si="49"/>
        <v>0.78392584533994025</v>
      </c>
      <c r="U35" s="7" t="str">
        <f t="shared" si="49"/>
        <v/>
      </c>
      <c r="V35" s="7">
        <f t="shared" si="49"/>
        <v>0.78392584533994025</v>
      </c>
      <c r="W35" s="199">
        <f>'30 Jun 2025 - Gross'!W35</f>
        <v>55212.003571428599</v>
      </c>
      <c r="X35" s="96">
        <f>'30 Jun 2025 - Gross'!X35</f>
        <v>0</v>
      </c>
      <c r="Y35" s="94">
        <f>'30 Jun 2025 - Gross'!Y35</f>
        <v>55212.003571428599</v>
      </c>
      <c r="Z35" s="90"/>
      <c r="AA35" s="90"/>
      <c r="AB35" s="90"/>
      <c r="AC35" s="90"/>
      <c r="AD35" s="91">
        <f>SUMPRODUCT(AD52:AD54,W52:W54)/SUM(W52:W54)</f>
        <v>0.3931634041739962</v>
      </c>
      <c r="AE35" s="95"/>
      <c r="AF35" s="200">
        <f>SUMPRODUCT(AF52:AF54,Y52:Y54)/SUM(Y52:Y54)</f>
        <v>0.3931634041739962</v>
      </c>
    </row>
    <row r="36" spans="1:32" s="15" customFormat="1" x14ac:dyDescent="0.25">
      <c r="A36" s="117">
        <f t="shared" si="50"/>
        <v>2024</v>
      </c>
      <c r="B36" s="8" t="s">
        <v>36</v>
      </c>
      <c r="C36" s="9">
        <f>'30 Jun 2025 - Gross'!C36</f>
        <v>27261249.188155953</v>
      </c>
      <c r="D36" s="10">
        <f>'30 Jun 2025 - Gross'!D36</f>
        <v>0</v>
      </c>
      <c r="E36" s="11">
        <f>'30 Jun 2025 - Gross'!E36</f>
        <v>27261249.188155953</v>
      </c>
      <c r="F36" s="5"/>
      <c r="G36" s="5"/>
      <c r="H36" s="5"/>
      <c r="I36" s="5"/>
      <c r="J36" s="4">
        <f t="shared" ref="J36:L36" si="58">SUMPRODUCT(J56:J58,C56:C58)/C36</f>
        <v>0.71150196119728137</v>
      </c>
      <c r="K36" s="7"/>
      <c r="L36" s="6">
        <f t="shared" si="58"/>
        <v>0.71150196119728137</v>
      </c>
      <c r="M36" s="12">
        <f t="shared" ref="M36" si="59">C36-W36</f>
        <v>27261249.188155953</v>
      </c>
      <c r="N36" s="13">
        <f t="shared" ref="N36" si="60">D36-X36</f>
        <v>0</v>
      </c>
      <c r="O36" s="14">
        <f t="shared" ref="O36" si="61">E36-Y36</f>
        <v>27261249.188155953</v>
      </c>
      <c r="P36" s="5"/>
      <c r="Q36" s="5"/>
      <c r="R36" s="5"/>
      <c r="S36" s="5"/>
      <c r="T36" s="4">
        <f t="shared" ref="T36" si="62">IFERROR((C36*J36-W36*AD36)/M36,"")</f>
        <v>0.71150196119728137</v>
      </c>
      <c r="U36" s="7" t="str">
        <f t="shared" ref="U36" si="63">IFERROR((D36*K36-X36*AE36)/N36,"")</f>
        <v/>
      </c>
      <c r="V36" s="7">
        <f t="shared" ref="V36" si="64">IFERROR((E36*L36-Y36*AF36)/O36,"")</f>
        <v>0.71150196119728137</v>
      </c>
      <c r="W36" s="197"/>
      <c r="X36" s="13"/>
      <c r="Y36" s="14"/>
      <c r="Z36" s="5"/>
      <c r="AA36" s="5"/>
      <c r="AB36" s="5"/>
      <c r="AC36" s="5"/>
      <c r="AD36" s="4"/>
      <c r="AE36" s="7"/>
      <c r="AF36" s="198"/>
    </row>
    <row r="37" spans="1:32" s="15" customFormat="1" x14ac:dyDescent="0.25">
      <c r="A37" s="117">
        <f t="shared" si="50"/>
        <v>2024</v>
      </c>
      <c r="B37" s="8" t="s">
        <v>40</v>
      </c>
      <c r="C37" s="9">
        <f>'30 Jun 2025 - Gross'!C37</f>
        <v>28592921.976573788</v>
      </c>
      <c r="D37" s="10">
        <f>'30 Jun 2025 - Gross'!D37</f>
        <v>0</v>
      </c>
      <c r="E37" s="11">
        <f>'30 Jun 2025 - Gross'!E37</f>
        <v>28592921.976573788</v>
      </c>
      <c r="F37" s="13">
        <f t="shared" ref="F37:I37" si="65">F59</f>
        <v>0</v>
      </c>
      <c r="G37" s="13">
        <f t="shared" si="65"/>
        <v>0</v>
      </c>
      <c r="H37" s="13">
        <f t="shared" si="65"/>
        <v>0</v>
      </c>
      <c r="I37" s="13">
        <f t="shared" si="65"/>
        <v>0</v>
      </c>
      <c r="J37" s="4">
        <f t="shared" ref="J37:L37" si="66">SUMPRODUCT(J59:J61,C59:C61)/C37</f>
        <v>0.68358617383021836</v>
      </c>
      <c r="K37" s="7"/>
      <c r="L37" s="6">
        <f t="shared" si="66"/>
        <v>0.68358617383021836</v>
      </c>
      <c r="M37" s="12">
        <f t="shared" ref="M37" si="67">C37-W37</f>
        <v>28592921.976573788</v>
      </c>
      <c r="N37" s="13">
        <f t="shared" ref="N37" si="68">D37-X37</f>
        <v>0</v>
      </c>
      <c r="O37" s="14">
        <f t="shared" ref="O37" si="69">E37-Y37</f>
        <v>28592921.976573788</v>
      </c>
      <c r="P37" s="5"/>
      <c r="Q37" s="5"/>
      <c r="R37" s="5"/>
      <c r="S37" s="5"/>
      <c r="T37" s="4">
        <f t="shared" ref="T37" si="70">IFERROR((C37*J37-W37*AD37)/M37,"")</f>
        <v>0.68358617383021836</v>
      </c>
      <c r="U37" s="7" t="str">
        <f t="shared" ref="U37" si="71">IFERROR((D37*K37-X37*AE37)/N37,"")</f>
        <v/>
      </c>
      <c r="V37" s="7">
        <f t="shared" ref="V37" si="72">IFERROR((E37*L37-Y37*AF37)/O37,"")</f>
        <v>0.68358617383021836</v>
      </c>
      <c r="W37" s="197"/>
      <c r="X37" s="13"/>
      <c r="Y37" s="14"/>
      <c r="Z37" s="5"/>
      <c r="AA37" s="5"/>
      <c r="AB37" s="5"/>
      <c r="AC37" s="5"/>
      <c r="AD37" s="4"/>
      <c r="AE37" s="7"/>
      <c r="AF37" s="198"/>
    </row>
    <row r="38" spans="1:32" s="15" customFormat="1" x14ac:dyDescent="0.25">
      <c r="A38" s="117">
        <f t="shared" si="50"/>
        <v>2024</v>
      </c>
      <c r="B38" s="8" t="s">
        <v>48</v>
      </c>
      <c r="C38" s="9">
        <f>'30 Jun 2025 - Gross'!C38</f>
        <v>17945431.757383507</v>
      </c>
      <c r="D38" s="10">
        <f>'30 Jun 2025 - Gross'!D38</f>
        <v>1326374.2050107224</v>
      </c>
      <c r="E38" s="11">
        <f>'30 Jun 2025 - Gross'!E38</f>
        <v>19271805.962394226</v>
      </c>
      <c r="F38" s="13"/>
      <c r="G38" s="13"/>
      <c r="H38" s="13"/>
      <c r="I38" s="13"/>
      <c r="J38" s="4">
        <f t="shared" ref="J38:L38" si="73">SUMPRODUCT(J62:J64,C62:C64)/C38</f>
        <v>0.70839960436019989</v>
      </c>
      <c r="K38" s="7">
        <f t="shared" ref="K38" si="74">SUMPRODUCT(K62:K64,D62:D64)/D38</f>
        <v>0.69151266314505122</v>
      </c>
      <c r="L38" s="6">
        <f t="shared" si="73"/>
        <v>0.70723736750118371</v>
      </c>
      <c r="M38" s="12">
        <f t="shared" ref="M38" si="75">C38-W38</f>
        <v>17945431.757383507</v>
      </c>
      <c r="N38" s="13">
        <f t="shared" ref="N38" si="76">D38-X38</f>
        <v>1326374.2050107224</v>
      </c>
      <c r="O38" s="14">
        <f t="shared" ref="O38" si="77">E38-Y38</f>
        <v>19271805.962394226</v>
      </c>
      <c r="P38" s="5"/>
      <c r="Q38" s="5"/>
      <c r="R38" s="5"/>
      <c r="S38" s="5"/>
      <c r="T38" s="4">
        <f t="shared" ref="T38" si="78">IFERROR((C38*J38-W38*AD38)/M38,"")</f>
        <v>0.70839960436019989</v>
      </c>
      <c r="U38" s="7">
        <f t="shared" ref="U38" si="79">IFERROR((D38*K38-X38*AE38)/N38,"")</f>
        <v>0.69151266314505122</v>
      </c>
      <c r="V38" s="7">
        <f t="shared" ref="V38" si="80">IFERROR((E38*L38-Y38*AF38)/O38,"")</f>
        <v>0.70723736750118371</v>
      </c>
      <c r="W38" s="197"/>
      <c r="X38" s="13"/>
      <c r="Y38" s="14"/>
      <c r="Z38" s="5"/>
      <c r="AA38" s="5"/>
      <c r="AB38" s="5"/>
      <c r="AC38" s="5"/>
      <c r="AD38" s="4"/>
      <c r="AE38" s="7"/>
      <c r="AF38" s="198"/>
    </row>
    <row r="39" spans="1:32" s="15" customFormat="1" x14ac:dyDescent="0.25">
      <c r="A39" s="117">
        <f t="shared" si="50"/>
        <v>2024</v>
      </c>
      <c r="B39" s="8" t="s">
        <v>53</v>
      </c>
      <c r="C39" s="9">
        <f>'30 Jun 2025 - Gross'!C39</f>
        <v>9948523.2739869636</v>
      </c>
      <c r="D39" s="10">
        <f>'30 Jun 2025 - Gross'!D39</f>
        <v>4143973.7369542029</v>
      </c>
      <c r="E39" s="11">
        <f>'30 Jun 2025 - Gross'!E39</f>
        <v>14092497.010941166</v>
      </c>
      <c r="F39" s="13"/>
      <c r="G39" s="13"/>
      <c r="H39" s="13"/>
      <c r="I39" s="13"/>
      <c r="J39" s="4">
        <f t="shared" ref="J39" si="81">SUMPRODUCT(J65:J67,C65:C67)/C39</f>
        <v>0.76172767704682554</v>
      </c>
      <c r="K39" s="7">
        <f>SUMPRODUCT(K65:K67,D65:D67)/D39</f>
        <v>0.70062593271870355</v>
      </c>
      <c r="L39" s="6">
        <f t="shared" ref="L39" si="82">SUMPRODUCT(L65:L67,E65:E67)/E39</f>
        <v>0.74376038398433664</v>
      </c>
      <c r="M39" s="12">
        <f t="shared" ref="M39" si="83">C39-W39</f>
        <v>9948523.2739869636</v>
      </c>
      <c r="N39" s="13">
        <f t="shared" ref="N39" si="84">D39-X39</f>
        <v>4143973.7369542029</v>
      </c>
      <c r="O39" s="14">
        <f t="shared" ref="O39" si="85">E39-Y39</f>
        <v>14092497.010941166</v>
      </c>
      <c r="P39" s="5"/>
      <c r="Q39" s="5"/>
      <c r="R39" s="5"/>
      <c r="S39" s="5"/>
      <c r="T39" s="4">
        <f t="shared" ref="T39" si="86">IFERROR((C39*J39-W39*AD39)/M39,"")</f>
        <v>0.76172767704682554</v>
      </c>
      <c r="U39" s="7">
        <f t="shared" ref="U39" si="87">IFERROR((D39*K39-X39*AE39)/N39,"")</f>
        <v>0.70062593271870355</v>
      </c>
      <c r="V39" s="7">
        <f t="shared" ref="V39" si="88">IFERROR((E39*L39-Y39*AF39)/O39,"")</f>
        <v>0.74376038398433664</v>
      </c>
      <c r="W39" s="197"/>
      <c r="X39" s="13"/>
      <c r="Y39" s="14"/>
      <c r="Z39" s="5"/>
      <c r="AA39" s="5"/>
      <c r="AB39" s="5"/>
      <c r="AC39" s="5"/>
      <c r="AD39" s="4"/>
      <c r="AE39" s="7"/>
      <c r="AF39" s="198"/>
    </row>
    <row r="40" spans="1:32" s="15" customFormat="1" x14ac:dyDescent="0.25">
      <c r="A40" s="117">
        <v>2025</v>
      </c>
      <c r="B40" s="8" t="s">
        <v>88</v>
      </c>
      <c r="C40" s="9">
        <f>'30 Jun 2025 - Gross'!C40</f>
        <v>5975784.1786722932</v>
      </c>
      <c r="D40" s="10">
        <f>'30 Jun 2025 - Gross'!D40</f>
        <v>7657711.2488361234</v>
      </c>
      <c r="E40" s="11">
        <f>'30 Jun 2025 - Gross'!E40</f>
        <v>13633495.427508418</v>
      </c>
      <c r="F40" s="13"/>
      <c r="G40" s="13"/>
      <c r="H40" s="13"/>
      <c r="I40" s="13"/>
      <c r="J40" s="4">
        <f>SUMPRODUCT(J69:J71,C69:C71)/C40</f>
        <v>0.76416217832214195</v>
      </c>
      <c r="K40" s="7">
        <f>SUMPRODUCT(K69:K71,D69:D71)/D40</f>
        <v>0.70628096871147406</v>
      </c>
      <c r="L40" s="6">
        <f t="shared" ref="L40" si="89">SUMPRODUCT(L69:L71,E69:E71)/E40</f>
        <v>0.73165125019746391</v>
      </c>
      <c r="M40" s="12">
        <f t="shared" ref="M40:M41" si="90">C40-W40</f>
        <v>5975784.1786722932</v>
      </c>
      <c r="N40" s="13">
        <f t="shared" ref="N40:N41" si="91">D40-X40</f>
        <v>7657711.2488361234</v>
      </c>
      <c r="O40" s="14">
        <f t="shared" ref="O40" si="92">E40-Y40</f>
        <v>13633495.427508418</v>
      </c>
      <c r="P40" s="5"/>
      <c r="Q40" s="5"/>
      <c r="R40" s="5"/>
      <c r="S40" s="5"/>
      <c r="T40" s="4">
        <f t="shared" ref="T40:T41" si="93">IFERROR((C40*J40-W40*AD40)/M40,"")</f>
        <v>0.76416217832214195</v>
      </c>
      <c r="U40" s="7">
        <f t="shared" ref="U40:U41" si="94">IFERROR((D40*K40-X40*AE40)/N40,"")</f>
        <v>0.70628096871147406</v>
      </c>
      <c r="V40" s="7">
        <f t="shared" ref="V40:V41" si="95">IFERROR((E40*L40-Y40*AF40)/O40,"")</f>
        <v>0.73165125019746391</v>
      </c>
      <c r="W40" s="197"/>
      <c r="X40" s="13"/>
      <c r="Y40" s="14"/>
      <c r="Z40" s="5"/>
      <c r="AA40" s="5"/>
      <c r="AB40" s="5"/>
      <c r="AC40" s="5"/>
      <c r="AD40" s="4"/>
      <c r="AE40" s="7"/>
      <c r="AF40" s="198"/>
    </row>
    <row r="41" spans="1:32" s="15" customFormat="1" x14ac:dyDescent="0.25">
      <c r="A41" s="117">
        <v>2025</v>
      </c>
      <c r="B41" s="8" t="s">
        <v>93</v>
      </c>
      <c r="C41" s="9">
        <f>'30 Jun 2025 - Gross'!C41</f>
        <v>2339722.1320978003</v>
      </c>
      <c r="D41" s="10">
        <f>'30 Jun 2025 - Gross'!D41</f>
        <v>11402893.419051629</v>
      </c>
      <c r="E41" s="11">
        <f>'30 Jun 2025 - Gross'!E41</f>
        <v>13742615.551149432</v>
      </c>
      <c r="F41" s="13"/>
      <c r="G41" s="13"/>
      <c r="H41" s="13"/>
      <c r="I41" s="13"/>
      <c r="J41" s="4">
        <f t="shared" ref="J41:L41" si="96">SUMPRODUCT(J72:J74,C72:C74)/SUM(C72:C74)</f>
        <v>0.71482616978320912</v>
      </c>
      <c r="K41" s="7">
        <f t="shared" si="96"/>
        <v>0.70914248959125359</v>
      </c>
      <c r="L41" s="6">
        <f t="shared" si="96"/>
        <v>0.71011015344588047</v>
      </c>
      <c r="M41" s="12">
        <f t="shared" si="90"/>
        <v>2339722.1320978003</v>
      </c>
      <c r="N41" s="13">
        <f t="shared" si="91"/>
        <v>11402893.419051629</v>
      </c>
      <c r="O41" s="14">
        <f>E41-Y41</f>
        <v>13742615.551149432</v>
      </c>
      <c r="P41" s="5"/>
      <c r="Q41" s="5"/>
      <c r="R41" s="5"/>
      <c r="S41" s="5"/>
      <c r="T41" s="4">
        <f t="shared" si="93"/>
        <v>0.71482616978320912</v>
      </c>
      <c r="U41" s="7">
        <f t="shared" si="94"/>
        <v>0.70914248959125359</v>
      </c>
      <c r="V41" s="7">
        <f t="shared" si="95"/>
        <v>0.71011015344588047</v>
      </c>
      <c r="W41" s="197"/>
      <c r="X41" s="13"/>
      <c r="Y41" s="14"/>
      <c r="Z41" s="5"/>
      <c r="AA41" s="5"/>
      <c r="AB41" s="5"/>
      <c r="AC41" s="5"/>
      <c r="AD41" s="4"/>
      <c r="AE41" s="7"/>
      <c r="AF41" s="198"/>
    </row>
    <row r="42" spans="1:32" s="15" customFormat="1" x14ac:dyDescent="0.25">
      <c r="B42" s="16"/>
      <c r="C42" s="17"/>
      <c r="D42" s="83"/>
      <c r="E42" s="18"/>
      <c r="F42" s="19"/>
      <c r="G42" s="19"/>
      <c r="H42" s="19"/>
      <c r="I42" s="19"/>
      <c r="J42" s="20"/>
      <c r="K42" s="21"/>
      <c r="L42" s="22"/>
      <c r="M42" s="23"/>
      <c r="N42" s="19"/>
      <c r="O42" s="24"/>
      <c r="P42" s="19"/>
      <c r="Q42" s="19"/>
      <c r="R42" s="19"/>
      <c r="S42" s="19"/>
      <c r="T42" s="20"/>
      <c r="U42" s="21"/>
      <c r="V42" s="21"/>
      <c r="W42" s="206"/>
      <c r="X42" s="19"/>
      <c r="Y42" s="24"/>
      <c r="Z42" s="19"/>
      <c r="AA42" s="19"/>
      <c r="AB42" s="19"/>
      <c r="AC42" s="19"/>
      <c r="AD42" s="20"/>
      <c r="AE42" s="21"/>
      <c r="AF42" s="207"/>
    </row>
    <row r="43" spans="1:32" x14ac:dyDescent="0.25">
      <c r="A43" s="214">
        <v>44927</v>
      </c>
      <c r="B43" s="59" t="s">
        <v>21</v>
      </c>
      <c r="C43" s="9">
        <f>'30 Jun 2025 - Gross'!C43</f>
        <v>8290919.4525651261</v>
      </c>
      <c r="D43" s="10">
        <f>'30 Jun 2025 - Gross'!D43</f>
        <v>0</v>
      </c>
      <c r="E43" s="11">
        <f>'30 Jun 2025 - Gross'!E43</f>
        <v>8290919.4525651261</v>
      </c>
      <c r="F43" s="5"/>
      <c r="G43" s="5"/>
      <c r="H43" s="5"/>
      <c r="I43" s="5"/>
      <c r="J43" s="4" cm="1">
        <f t="array" ref="J43">SUMPRODUCT('Net Results by UW month'!M$11:M$1000,'Net Results by UW month'!D$11:D$1000,--('Net Results by UW month'!$C$11:$C$1000='30 Jun 2025 - Net'!$A43))/'30 Jun 2025 - Net'!C43</f>
        <v>0.90097795043213535</v>
      </c>
      <c r="K43" s="7"/>
      <c r="L43" s="6" cm="1">
        <f t="array" ref="L43">SUMPRODUCT('Net Results by UW month'!O$11:O$1000,'Net Results by UW month'!F$11:F$1000,--('Net Results by UW month'!$C$11:$C$1000='30 Jun 2025 - Net'!$A43))/'30 Jun 2025 - Net'!E43</f>
        <v>0.90097795043213535</v>
      </c>
      <c r="M43" s="12">
        <f t="shared" ref="M43:O54" si="97">C43-W43</f>
        <v>7404324.8361365553</v>
      </c>
      <c r="N43" s="13">
        <f t="shared" si="97"/>
        <v>0</v>
      </c>
      <c r="O43" s="14">
        <f t="shared" si="97"/>
        <v>7404324.8361365553</v>
      </c>
      <c r="P43" s="5"/>
      <c r="Q43" s="5"/>
      <c r="R43" s="5"/>
      <c r="S43" s="5"/>
      <c r="T43" s="4">
        <f t="shared" ref="T43:V54" si="98">IFERROR((C43*J43-W43*AD43)/M43,"")</f>
        <v>0.90203761496614621</v>
      </c>
      <c r="U43" s="7" t="str">
        <f t="shared" si="98"/>
        <v/>
      </c>
      <c r="V43" s="6">
        <f t="shared" si="98"/>
        <v>0.90203761496614621</v>
      </c>
      <c r="W43" s="93">
        <f>'30 Jun 2025 - Gross'!W43</f>
        <v>886594.61642857105</v>
      </c>
      <c r="X43" s="96">
        <f>'30 Jun 2025 - Gross'!X43</f>
        <v>0</v>
      </c>
      <c r="Y43" s="94">
        <f>'30 Jun 2025 - Gross'!Y43</f>
        <v>886594.61642857105</v>
      </c>
      <c r="Z43" s="90"/>
      <c r="AA43" s="90"/>
      <c r="AB43" s="90"/>
      <c r="AC43" s="90"/>
      <c r="AD43" s="91">
        <v>0.89212824586393535</v>
      </c>
      <c r="AE43" s="95" t="s">
        <v>42</v>
      </c>
      <c r="AF43" s="92">
        <v>0.89212824586393535</v>
      </c>
    </row>
    <row r="44" spans="1:32" x14ac:dyDescent="0.25">
      <c r="A44" s="214">
        <f>EDATE(A43,1)</f>
        <v>44958</v>
      </c>
      <c r="B44" s="59" t="s">
        <v>22</v>
      </c>
      <c r="C44" s="9">
        <f>'30 Jun 2025 - Gross'!C44</f>
        <v>8112149.9071124336</v>
      </c>
      <c r="D44" s="10">
        <f>'30 Jun 2025 - Gross'!D44</f>
        <v>0</v>
      </c>
      <c r="E44" s="11">
        <f>'30 Jun 2025 - Gross'!E44</f>
        <v>8112149.9071124336</v>
      </c>
      <c r="F44" s="5"/>
      <c r="G44" s="5"/>
      <c r="H44" s="5"/>
      <c r="I44" s="5"/>
      <c r="J44" s="4" cm="1">
        <f t="array" ref="J44">SUMPRODUCT('Net Results by UW month'!M$11:M$1000,'Net Results by UW month'!D$11:D$1000,--('Net Results by UW month'!$C$11:$C$1000='30 Jun 2025 - Net'!$A44))/'30 Jun 2025 - Net'!C44</f>
        <v>0.76363419489594975</v>
      </c>
      <c r="K44" s="7"/>
      <c r="L44" s="6" cm="1">
        <f t="array" ref="L44">SUMPRODUCT('Net Results by UW month'!O$11:O$1000,'Net Results by UW month'!F$11:F$1000,--('Net Results by UW month'!$C$11:$C$1000='30 Jun 2025 - Net'!$A44))/'30 Jun 2025 - Net'!E44</f>
        <v>0.76363419489594975</v>
      </c>
      <c r="M44" s="12">
        <f t="shared" si="97"/>
        <v>7227647.1667552907</v>
      </c>
      <c r="N44" s="13">
        <f t="shared" si="97"/>
        <v>0</v>
      </c>
      <c r="O44" s="14">
        <f t="shared" si="97"/>
        <v>7227647.1667552907</v>
      </c>
      <c r="P44" s="5"/>
      <c r="Q44" s="5"/>
      <c r="R44" s="5"/>
      <c r="S44" s="5"/>
      <c r="T44" s="4">
        <f t="shared" si="98"/>
        <v>0.78193065138594131</v>
      </c>
      <c r="U44" s="7" t="str">
        <f t="shared" si="98"/>
        <v/>
      </c>
      <c r="V44" s="6">
        <f t="shared" si="98"/>
        <v>0.78193065138594131</v>
      </c>
      <c r="W44" s="93">
        <f>'30 Jun 2025 - Gross'!W44</f>
        <v>884502.74035714299</v>
      </c>
      <c r="X44" s="96">
        <f>'30 Jun 2025 - Gross'!X44</f>
        <v>0</v>
      </c>
      <c r="Y44" s="94">
        <f>'30 Jun 2025 - Gross'!Y44</f>
        <v>884502.74035714299</v>
      </c>
      <c r="Z44" s="90"/>
      <c r="AA44" s="90"/>
      <c r="AB44" s="90"/>
      <c r="AC44" s="90"/>
      <c r="AD44" s="91">
        <v>0.61412608612722719</v>
      </c>
      <c r="AE44" s="95" t="s">
        <v>42</v>
      </c>
      <c r="AF44" s="92">
        <v>0.61412608612722719</v>
      </c>
    </row>
    <row r="45" spans="1:32" x14ac:dyDescent="0.25">
      <c r="A45" s="214">
        <f t="shared" ref="A45:A54" si="99">EDATE(A44,1)</f>
        <v>44986</v>
      </c>
      <c r="B45" s="59" t="s">
        <v>23</v>
      </c>
      <c r="C45" s="9">
        <f>'30 Jun 2025 - Gross'!C45</f>
        <v>8229329.7781989863</v>
      </c>
      <c r="D45" s="10">
        <f>'30 Jun 2025 - Gross'!D45</f>
        <v>0</v>
      </c>
      <c r="E45" s="11">
        <f>'30 Jun 2025 - Gross'!E45</f>
        <v>8229329.7781989863</v>
      </c>
      <c r="F45" s="5"/>
      <c r="G45" s="5"/>
      <c r="H45" s="5"/>
      <c r="I45" s="5"/>
      <c r="J45" s="4" cm="1">
        <f t="array" ref="J45">SUMPRODUCT('Net Results by UW month'!M$11:M$1000,'Net Results by UW month'!D$11:D$1000,--('Net Results by UW month'!$C$11:$C$1000='30 Jun 2025 - Net'!$A45))/'30 Jun 2025 - Net'!C45</f>
        <v>1.0236342586498675</v>
      </c>
      <c r="K45" s="7"/>
      <c r="L45" s="6" cm="1">
        <f t="array" ref="L45">SUMPRODUCT('Net Results by UW month'!O$11:O$1000,'Net Results by UW month'!F$11:F$1000,--('Net Results by UW month'!$C$11:$C$1000='30 Jun 2025 - Net'!$A45))/'30 Jun 2025 - Net'!E45</f>
        <v>1.0236342586498675</v>
      </c>
      <c r="M45" s="12">
        <f t="shared" si="97"/>
        <v>7254053.7428418435</v>
      </c>
      <c r="N45" s="13">
        <f t="shared" si="97"/>
        <v>0</v>
      </c>
      <c r="O45" s="14">
        <f t="shared" si="97"/>
        <v>7254053.7428418435</v>
      </c>
      <c r="P45" s="5"/>
      <c r="Q45" s="5"/>
      <c r="R45" s="5"/>
      <c r="S45" s="5"/>
      <c r="T45" s="4">
        <f t="shared" si="98"/>
        <v>1.0598767707797094</v>
      </c>
      <c r="U45" s="7" t="str">
        <f t="shared" si="98"/>
        <v/>
      </c>
      <c r="V45" s="6">
        <f t="shared" si="98"/>
        <v>1.0598767707797094</v>
      </c>
      <c r="W45" s="93">
        <f>'30 Jun 2025 - Gross'!W45</f>
        <v>975276.03535714303</v>
      </c>
      <c r="X45" s="96">
        <f>'30 Jun 2025 - Gross'!X45</f>
        <v>0</v>
      </c>
      <c r="Y45" s="94">
        <f>'30 Jun 2025 - Gross'!Y45</f>
        <v>975276.03535714303</v>
      </c>
      <c r="Z45" s="90"/>
      <c r="AA45" s="90"/>
      <c r="AB45" s="90"/>
      <c r="AC45" s="90"/>
      <c r="AD45" s="91">
        <v>0.75406428949831683</v>
      </c>
      <c r="AE45" s="95" t="s">
        <v>42</v>
      </c>
      <c r="AF45" s="92">
        <v>0.75406428949831683</v>
      </c>
    </row>
    <row r="46" spans="1:32" x14ac:dyDescent="0.25">
      <c r="A46" s="214">
        <f t="shared" si="99"/>
        <v>45017</v>
      </c>
      <c r="B46" s="59" t="s">
        <v>24</v>
      </c>
      <c r="C46" s="9">
        <f>'30 Jun 2025 - Gross'!C46</f>
        <v>7473675.8639096022</v>
      </c>
      <c r="D46" s="10">
        <f>'30 Jun 2025 - Gross'!D46</f>
        <v>0</v>
      </c>
      <c r="E46" s="11">
        <f>'30 Jun 2025 - Gross'!E46</f>
        <v>7473675.8639096022</v>
      </c>
      <c r="F46" s="5"/>
      <c r="G46" s="5"/>
      <c r="H46" s="5"/>
      <c r="I46" s="5"/>
      <c r="J46" s="4" cm="1">
        <f t="array" ref="J46">SUMPRODUCT('Net Results by UW month'!M$11:M$1000,'Net Results by UW month'!D$11:D$1000,--('Net Results by UW month'!$C$11:$C$1000='30 Jun 2025 - Net'!$A46))/'30 Jun 2025 - Net'!C46</f>
        <v>0.85969734303468615</v>
      </c>
      <c r="K46" s="7"/>
      <c r="L46" s="6" cm="1">
        <f t="array" ref="L46">SUMPRODUCT('Net Results by UW month'!O$11:O$1000,'Net Results by UW month'!F$11:F$1000,--('Net Results by UW month'!$C$11:$C$1000='30 Jun 2025 - Net'!$A46))/'30 Jun 2025 - Net'!E46</f>
        <v>0.85969734303468615</v>
      </c>
      <c r="M46" s="12">
        <f t="shared" si="97"/>
        <v>6793681.6660524588</v>
      </c>
      <c r="N46" s="13">
        <f t="shared" si="97"/>
        <v>0</v>
      </c>
      <c r="O46" s="14">
        <f t="shared" si="97"/>
        <v>6793681.6660524588</v>
      </c>
      <c r="P46" s="5"/>
      <c r="Q46" s="5"/>
      <c r="R46" s="5"/>
      <c r="S46" s="5"/>
      <c r="T46" s="4">
        <f t="shared" si="98"/>
        <v>0.84782374850107345</v>
      </c>
      <c r="U46" s="7" t="str">
        <f t="shared" si="98"/>
        <v/>
      </c>
      <c r="V46" s="6">
        <f t="shared" si="98"/>
        <v>0.84782374850107345</v>
      </c>
      <c r="W46" s="93">
        <f>'30 Jun 2025 - Gross'!W46</f>
        <v>679994.19785714301</v>
      </c>
      <c r="X46" s="96">
        <f>'30 Jun 2025 - Gross'!X46</f>
        <v>0</v>
      </c>
      <c r="Y46" s="94">
        <f>'30 Jun 2025 - Gross'!Y46</f>
        <v>679994.19785714301</v>
      </c>
      <c r="Z46" s="90"/>
      <c r="AA46" s="90"/>
      <c r="AB46" s="90"/>
      <c r="AC46" s="90"/>
      <c r="AD46" s="91">
        <v>0.97832397506676094</v>
      </c>
      <c r="AE46" s="95" t="s">
        <v>42</v>
      </c>
      <c r="AF46" s="92">
        <v>0.97832397506676094</v>
      </c>
    </row>
    <row r="47" spans="1:32" x14ac:dyDescent="0.25">
      <c r="A47" s="214">
        <f t="shared" si="99"/>
        <v>45047</v>
      </c>
      <c r="B47" s="59" t="s">
        <v>25</v>
      </c>
      <c r="C47" s="9">
        <f>'30 Jun 2025 - Gross'!C47</f>
        <v>8025829.9815008696</v>
      </c>
      <c r="D47" s="10">
        <f>'30 Jun 2025 - Gross'!D47</f>
        <v>0</v>
      </c>
      <c r="E47" s="11">
        <f>'30 Jun 2025 - Gross'!E47</f>
        <v>8025829.9815008696</v>
      </c>
      <c r="F47" s="5"/>
      <c r="G47" s="5"/>
      <c r="H47" s="5"/>
      <c r="I47" s="5"/>
      <c r="J47" s="4" cm="1">
        <f t="array" ref="J47">SUMPRODUCT('Net Results by UW month'!M$11:M$1000,'Net Results by UW month'!D$11:D$1000,--('Net Results by UW month'!$C$11:$C$1000='30 Jun 2025 - Net'!$A47))/'30 Jun 2025 - Net'!C47</f>
        <v>0.81034556142342407</v>
      </c>
      <c r="K47" s="7"/>
      <c r="L47" s="6" cm="1">
        <f t="array" ref="L47">SUMPRODUCT('Net Results by UW month'!O$11:O$1000,'Net Results by UW month'!F$11:F$1000,--('Net Results by UW month'!$C$11:$C$1000='30 Jun 2025 - Net'!$A47))/'30 Jun 2025 - Net'!E47</f>
        <v>0.81034556142342407</v>
      </c>
      <c r="M47" s="12">
        <f t="shared" si="97"/>
        <v>6675732.0275722994</v>
      </c>
      <c r="N47" s="13">
        <f t="shared" si="97"/>
        <v>0</v>
      </c>
      <c r="O47" s="14">
        <f t="shared" si="97"/>
        <v>6675732.0275722994</v>
      </c>
      <c r="P47" s="5"/>
      <c r="Q47" s="5"/>
      <c r="R47" s="5"/>
      <c r="S47" s="5"/>
      <c r="T47" s="4">
        <f t="shared" si="98"/>
        <v>0.7124610764085284</v>
      </c>
      <c r="U47" s="7" t="str">
        <f t="shared" si="98"/>
        <v/>
      </c>
      <c r="V47" s="6">
        <f t="shared" si="98"/>
        <v>0.7124610764085284</v>
      </c>
      <c r="W47" s="93">
        <f>'30 Jun 2025 - Gross'!W47</f>
        <v>1350097.95392857</v>
      </c>
      <c r="X47" s="96">
        <f>'30 Jun 2025 - Gross'!X47</f>
        <v>0</v>
      </c>
      <c r="Y47" s="94">
        <f>'30 Jun 2025 - Gross'!Y47</f>
        <v>1350097.95392857</v>
      </c>
      <c r="Z47" s="90"/>
      <c r="AA47" s="90"/>
      <c r="AB47" s="90"/>
      <c r="AC47" s="90"/>
      <c r="AD47" s="91">
        <v>1.2943479182264415</v>
      </c>
      <c r="AE47" s="95" t="s">
        <v>42</v>
      </c>
      <c r="AF47" s="92">
        <v>1.2943479182264415</v>
      </c>
    </row>
    <row r="48" spans="1:32" x14ac:dyDescent="0.25">
      <c r="A48" s="214">
        <f t="shared" si="99"/>
        <v>45078</v>
      </c>
      <c r="B48" s="59" t="s">
        <v>26</v>
      </c>
      <c r="C48" s="9">
        <f>'30 Jun 2025 - Gross'!C48</f>
        <v>8399985.1592088807</v>
      </c>
      <c r="D48" s="10">
        <f>'30 Jun 2025 - Gross'!D48</f>
        <v>0</v>
      </c>
      <c r="E48" s="11">
        <f>'30 Jun 2025 - Gross'!E48</f>
        <v>8399985.1592088807</v>
      </c>
      <c r="F48" s="5"/>
      <c r="G48" s="5"/>
      <c r="H48" s="5"/>
      <c r="I48" s="5"/>
      <c r="J48" s="4" cm="1">
        <f t="array" ref="J48">SUMPRODUCT('Net Results by UW month'!M$11:M$1000,'Net Results by UW month'!D$11:D$1000,--('Net Results by UW month'!$C$11:$C$1000='30 Jun 2025 - Net'!$A48))/'30 Jun 2025 - Net'!C48</f>
        <v>0.71728745458765786</v>
      </c>
      <c r="K48" s="7"/>
      <c r="L48" s="6" cm="1">
        <f t="array" ref="L48">SUMPRODUCT('Net Results by UW month'!O$11:O$1000,'Net Results by UW month'!F$11:F$1000,--('Net Results by UW month'!$C$11:$C$1000='30 Jun 2025 - Net'!$A48))/'30 Jun 2025 - Net'!E48</f>
        <v>0.71728745458765786</v>
      </c>
      <c r="M48" s="12">
        <f t="shared" si="97"/>
        <v>7219669.2659945907</v>
      </c>
      <c r="N48" s="13">
        <f t="shared" si="97"/>
        <v>0</v>
      </c>
      <c r="O48" s="14">
        <f t="shared" si="97"/>
        <v>7219669.2659945907</v>
      </c>
      <c r="P48" s="5"/>
      <c r="Q48" s="5"/>
      <c r="R48" s="5"/>
      <c r="S48" s="5"/>
      <c r="T48" s="4">
        <f t="shared" si="98"/>
        <v>0.66740525643435789</v>
      </c>
      <c r="U48" s="7" t="str">
        <f t="shared" si="98"/>
        <v/>
      </c>
      <c r="V48" s="6">
        <f t="shared" si="98"/>
        <v>0.66740525643435789</v>
      </c>
      <c r="W48" s="93">
        <f>'30 Jun 2025 - Gross'!W48</f>
        <v>1180315.89321429</v>
      </c>
      <c r="X48" s="96">
        <f>'30 Jun 2025 - Gross'!X48</f>
        <v>0</v>
      </c>
      <c r="Y48" s="94">
        <f>'30 Jun 2025 - Gross'!Y48</f>
        <v>1180315.89321429</v>
      </c>
      <c r="Z48" s="90"/>
      <c r="AA48" s="90"/>
      <c r="AB48" s="90"/>
      <c r="AC48" s="90"/>
      <c r="AD48" s="91">
        <v>1.022403207919506</v>
      </c>
      <c r="AE48" s="95" t="s">
        <v>42</v>
      </c>
      <c r="AF48" s="92">
        <v>1.022403207919506</v>
      </c>
    </row>
    <row r="49" spans="1:32" x14ac:dyDescent="0.25">
      <c r="A49" s="214">
        <f t="shared" si="99"/>
        <v>45108</v>
      </c>
      <c r="B49" s="59" t="s">
        <v>27</v>
      </c>
      <c r="C49" s="9">
        <f>'30 Jun 2025 - Gross'!C49</f>
        <v>8363665.9297510795</v>
      </c>
      <c r="D49" s="10">
        <f>'30 Jun 2025 - Gross'!D49</f>
        <v>0</v>
      </c>
      <c r="E49" s="11">
        <f>'30 Jun 2025 - Gross'!E49</f>
        <v>8363665.9297510795</v>
      </c>
      <c r="F49" s="5"/>
      <c r="G49" s="5"/>
      <c r="H49" s="5"/>
      <c r="I49" s="5"/>
      <c r="J49" s="4" cm="1">
        <f t="array" ref="J49">SUMPRODUCT('Net Results by UW month'!M$11:M$1000,'Net Results by UW month'!D$11:D$1000,--('Net Results by UW month'!$C$11:$C$1000='30 Jun 2025 - Net'!$A49))/'30 Jun 2025 - Net'!C49</f>
        <v>0.7276409016779235</v>
      </c>
      <c r="K49" s="7"/>
      <c r="L49" s="6" cm="1">
        <f t="array" ref="L49">SUMPRODUCT('Net Results by UW month'!O$11:O$1000,'Net Results by UW month'!F$11:F$1000,--('Net Results by UW month'!$C$11:$C$1000='30 Jun 2025 - Net'!$A49))/'30 Jun 2025 - Net'!E49</f>
        <v>0.7276409016779235</v>
      </c>
      <c r="M49" s="12">
        <f t="shared" si="97"/>
        <v>7507918.5068939365</v>
      </c>
      <c r="N49" s="13">
        <f t="shared" si="97"/>
        <v>0</v>
      </c>
      <c r="O49" s="14">
        <f t="shared" si="97"/>
        <v>7507918.5068939365</v>
      </c>
      <c r="P49" s="5"/>
      <c r="Q49" s="5"/>
      <c r="R49" s="5"/>
      <c r="S49" s="5"/>
      <c r="T49" s="4">
        <f t="shared" si="98"/>
        <v>0.69974995729212841</v>
      </c>
      <c r="U49" s="7" t="str">
        <f t="shared" si="98"/>
        <v/>
      </c>
      <c r="V49" s="6">
        <f t="shared" si="98"/>
        <v>0.69974995729212841</v>
      </c>
      <c r="W49" s="93">
        <f>'30 Jun 2025 - Gross'!W49</f>
        <v>855747.42285714298</v>
      </c>
      <c r="X49" s="96">
        <f>'30 Jun 2025 - Gross'!X49</f>
        <v>0</v>
      </c>
      <c r="Y49" s="94">
        <f>'30 Jun 2025 - Gross'!Y49</f>
        <v>855747.42285714298</v>
      </c>
      <c r="Z49" s="90"/>
      <c r="AA49" s="90"/>
      <c r="AB49" s="90"/>
      <c r="AC49" s="90"/>
      <c r="AD49" s="91">
        <v>0.97234270496201991</v>
      </c>
      <c r="AE49" s="95" t="s">
        <v>42</v>
      </c>
      <c r="AF49" s="92">
        <v>0.97234270496201991</v>
      </c>
    </row>
    <row r="50" spans="1:32" x14ac:dyDescent="0.25">
      <c r="A50" s="214">
        <f t="shared" si="99"/>
        <v>45139</v>
      </c>
      <c r="B50" s="59" t="s">
        <v>28</v>
      </c>
      <c r="C50" s="9">
        <f>'30 Jun 2025 - Gross'!C50</f>
        <v>8229687.3047980908</v>
      </c>
      <c r="D50" s="10">
        <f>'30 Jun 2025 - Gross'!D50</f>
        <v>0</v>
      </c>
      <c r="E50" s="11">
        <f>'30 Jun 2025 - Gross'!E50</f>
        <v>8229687.3047980908</v>
      </c>
      <c r="F50" s="5"/>
      <c r="G50" s="5"/>
      <c r="H50" s="5"/>
      <c r="I50" s="5"/>
      <c r="J50" s="4" cm="1">
        <f t="array" ref="J50">SUMPRODUCT('Net Results by UW month'!M$11:M$1000,'Net Results by UW month'!D$11:D$1000,--('Net Results by UW month'!$C$11:$C$1000='30 Jun 2025 - Net'!$A50))/'30 Jun 2025 - Net'!C50</f>
        <v>0.70142491340946878</v>
      </c>
      <c r="K50" s="7"/>
      <c r="L50" s="6" cm="1">
        <f t="array" ref="L50">SUMPRODUCT('Net Results by UW month'!O$11:O$1000,'Net Results by UW month'!F$11:F$1000,--('Net Results by UW month'!$C$11:$C$1000='30 Jun 2025 - Net'!$A50))/'30 Jun 2025 - Net'!E50</f>
        <v>0.70142491340946878</v>
      </c>
      <c r="M50" s="12">
        <f t="shared" si="97"/>
        <v>7583999.571226663</v>
      </c>
      <c r="N50" s="13">
        <f t="shared" si="97"/>
        <v>0</v>
      </c>
      <c r="O50" s="14">
        <f t="shared" si="97"/>
        <v>7583999.571226663</v>
      </c>
      <c r="P50" s="5"/>
      <c r="Q50" s="5"/>
      <c r="R50" s="5"/>
      <c r="S50" s="5"/>
      <c r="T50" s="4">
        <f t="shared" si="98"/>
        <v>0.70604704962924003</v>
      </c>
      <c r="U50" s="7" t="str">
        <f t="shared" si="98"/>
        <v/>
      </c>
      <c r="V50" s="6">
        <f t="shared" si="98"/>
        <v>0.70604704962924003</v>
      </c>
      <c r="W50" s="93">
        <f>'30 Jun 2025 - Gross'!W50</f>
        <v>645687.73357142799</v>
      </c>
      <c r="X50" s="96">
        <f>'30 Jun 2025 - Gross'!X50</f>
        <v>0</v>
      </c>
      <c r="Y50" s="94">
        <f>'30 Jun 2025 - Gross'!Y50</f>
        <v>645687.73357142799</v>
      </c>
      <c r="Z50" s="90"/>
      <c r="AA50" s="90"/>
      <c r="AB50" s="90"/>
      <c r="AC50" s="90"/>
      <c r="AD50" s="91">
        <v>0.64713508059043112</v>
      </c>
      <c r="AE50" s="95" t="s">
        <v>42</v>
      </c>
      <c r="AF50" s="92">
        <v>0.64713508059043112</v>
      </c>
    </row>
    <row r="51" spans="1:32" x14ac:dyDescent="0.25">
      <c r="A51" s="214">
        <f t="shared" si="99"/>
        <v>45170</v>
      </c>
      <c r="B51" s="59" t="s">
        <v>29</v>
      </c>
      <c r="C51" s="9">
        <f>'30 Jun 2025 - Gross'!C51</f>
        <v>7578820.9230087101</v>
      </c>
      <c r="D51" s="10">
        <f>'30 Jun 2025 - Gross'!D51</f>
        <v>0</v>
      </c>
      <c r="E51" s="11">
        <f>'30 Jun 2025 - Gross'!E51</f>
        <v>7578820.9230087101</v>
      </c>
      <c r="F51" s="5"/>
      <c r="G51" s="5"/>
      <c r="H51" s="5"/>
      <c r="I51" s="5"/>
      <c r="J51" s="4" cm="1">
        <f t="array" ref="J51">SUMPRODUCT('Net Results by UW month'!M$11:M$1000,'Net Results by UW month'!D$11:D$1000,--('Net Results by UW month'!$C$11:$C$1000='30 Jun 2025 - Net'!$A51))/'30 Jun 2025 - Net'!C51</f>
        <v>0.82393110789947033</v>
      </c>
      <c r="K51" s="7"/>
      <c r="L51" s="6" cm="1">
        <f t="array" ref="L51">SUMPRODUCT('Net Results by UW month'!O$11:O$1000,'Net Results by UW month'!F$11:F$1000,--('Net Results by UW month'!$C$11:$C$1000='30 Jun 2025 - Net'!$A51))/'30 Jun 2025 - Net'!E51</f>
        <v>0.82393110789947033</v>
      </c>
      <c r="M51" s="12">
        <f t="shared" si="97"/>
        <v>7143469.4287229963</v>
      </c>
      <c r="N51" s="13">
        <f t="shared" si="97"/>
        <v>0</v>
      </c>
      <c r="O51" s="14">
        <f t="shared" si="97"/>
        <v>7143469.4287229963</v>
      </c>
      <c r="P51" s="5"/>
      <c r="Q51" s="5"/>
      <c r="R51" s="5"/>
      <c r="S51" s="5"/>
      <c r="T51" s="4">
        <f t="shared" si="98"/>
        <v>0.82785453499795902</v>
      </c>
      <c r="U51" s="7" t="str">
        <f t="shared" si="98"/>
        <v/>
      </c>
      <c r="V51" s="6">
        <f t="shared" si="98"/>
        <v>0.82785453499795902</v>
      </c>
      <c r="W51" s="93">
        <f>'30 Jun 2025 - Gross'!W51</f>
        <v>435351.494285714</v>
      </c>
      <c r="X51" s="96">
        <f>'30 Jun 2025 - Gross'!X51</f>
        <v>0</v>
      </c>
      <c r="Y51" s="94">
        <f>'30 Jun 2025 - Gross'!Y51</f>
        <v>435351.494285714</v>
      </c>
      <c r="Z51" s="90"/>
      <c r="AA51" s="90"/>
      <c r="AB51" s="90"/>
      <c r="AC51" s="90"/>
      <c r="AD51" s="91">
        <v>0.75955351438767638</v>
      </c>
      <c r="AE51" s="95" t="s">
        <v>42</v>
      </c>
      <c r="AF51" s="92">
        <v>0.75955351438767638</v>
      </c>
    </row>
    <row r="52" spans="1:32" x14ac:dyDescent="0.25">
      <c r="A52" s="214">
        <f t="shared" si="99"/>
        <v>45200</v>
      </c>
      <c r="B52" s="59" t="s">
        <v>30</v>
      </c>
      <c r="C52" s="9">
        <f>'30 Jun 2025 - Gross'!C52</f>
        <v>7164633.5239690589</v>
      </c>
      <c r="D52" s="10">
        <f>'30 Jun 2025 - Gross'!D52</f>
        <v>0</v>
      </c>
      <c r="E52" s="11">
        <f>'30 Jun 2025 - Gross'!E52</f>
        <v>7164633.5239690589</v>
      </c>
      <c r="F52" s="5"/>
      <c r="G52" s="5"/>
      <c r="H52" s="5"/>
      <c r="I52" s="5"/>
      <c r="J52" s="4" cm="1">
        <f t="array" ref="J52">SUMPRODUCT('Net Results by UW month'!M$11:M$1000,'Net Results by UW month'!D$11:D$1000,--('Net Results by UW month'!$C$11:$C$1000='30 Jun 2025 - Net'!$A52))/'30 Jun 2025 - Net'!C52</f>
        <v>0.86249524212544637</v>
      </c>
      <c r="K52" s="7"/>
      <c r="L52" s="6" cm="1">
        <f t="array" ref="L52">SUMPRODUCT('Net Results by UW month'!O$11:O$1000,'Net Results by UW month'!F$11:F$1000,--('Net Results by UW month'!$C$11:$C$1000='30 Jun 2025 - Net'!$A52))/'30 Jun 2025 - Net'!E52</f>
        <v>0.86249524212544637</v>
      </c>
      <c r="M52" s="12">
        <f t="shared" si="97"/>
        <v>7109421.5203976305</v>
      </c>
      <c r="N52" s="13">
        <f t="shared" si="97"/>
        <v>0</v>
      </c>
      <c r="O52" s="14">
        <f t="shared" si="97"/>
        <v>7109421.5203976305</v>
      </c>
      <c r="P52" s="5"/>
      <c r="Q52" s="5"/>
      <c r="R52" s="5"/>
      <c r="S52" s="5"/>
      <c r="T52" s="4">
        <f t="shared" si="98"/>
        <v>0.86614008876153548</v>
      </c>
      <c r="U52" s="7" t="str">
        <f t="shared" si="98"/>
        <v/>
      </c>
      <c r="V52" s="6">
        <f t="shared" si="98"/>
        <v>0.86614008876153548</v>
      </c>
      <c r="W52" s="93">
        <f>'30 Jun 2025 - Gross'!W52</f>
        <v>55212.003571428599</v>
      </c>
      <c r="X52" s="96">
        <f>'30 Jun 2025 - Gross'!X52</f>
        <v>0</v>
      </c>
      <c r="Y52" s="94">
        <f>'30 Jun 2025 - Gross'!Y52</f>
        <v>55212.003571428599</v>
      </c>
      <c r="Z52" s="90"/>
      <c r="AA52" s="90"/>
      <c r="AB52" s="90"/>
      <c r="AC52" s="90"/>
      <c r="AD52" s="91">
        <v>0.3931634041739962</v>
      </c>
      <c r="AE52" s="95" t="s">
        <v>42</v>
      </c>
      <c r="AF52" s="92">
        <v>0.3931634041739962</v>
      </c>
    </row>
    <row r="53" spans="1:32" x14ac:dyDescent="0.25">
      <c r="A53" s="214">
        <f t="shared" si="99"/>
        <v>45231</v>
      </c>
      <c r="B53" s="59" t="s">
        <v>31</v>
      </c>
      <c r="C53" s="9">
        <f>'30 Jun 2025 - Gross'!C53</f>
        <v>7288594.2972416785</v>
      </c>
      <c r="D53" s="10">
        <f>'30 Jun 2025 - Gross'!D53</f>
        <v>0</v>
      </c>
      <c r="E53" s="11">
        <f>'30 Jun 2025 - Gross'!E53</f>
        <v>7288594.2972416785</v>
      </c>
      <c r="F53" s="5"/>
      <c r="G53" s="5"/>
      <c r="H53" s="5"/>
      <c r="I53" s="5"/>
      <c r="J53" s="4" cm="1">
        <f t="array" ref="J53">SUMPRODUCT('Net Results by UW month'!M$11:M$1000,'Net Results by UW month'!D$11:D$1000,--('Net Results by UW month'!$C$11:$C$1000='30 Jun 2025 - Net'!$A53))/'30 Jun 2025 - Net'!C53</f>
        <v>0.78329460664509609</v>
      </c>
      <c r="K53" s="7"/>
      <c r="L53" s="6" cm="1">
        <f t="array" ref="L53">SUMPRODUCT('Net Results by UW month'!O$11:O$1000,'Net Results by UW month'!F$11:F$1000,--('Net Results by UW month'!$C$11:$C$1000='30 Jun 2025 - Net'!$A53))/'30 Jun 2025 - Net'!E53</f>
        <v>0.78329460664509609</v>
      </c>
      <c r="M53" s="12">
        <f t="shared" si="97"/>
        <v>7288594.2972416785</v>
      </c>
      <c r="N53" s="13">
        <f t="shared" si="97"/>
        <v>0</v>
      </c>
      <c r="O53" s="14">
        <f t="shared" si="97"/>
        <v>7288594.2972416785</v>
      </c>
      <c r="P53" s="5"/>
      <c r="Q53" s="5"/>
      <c r="R53" s="5"/>
      <c r="S53" s="5"/>
      <c r="T53" s="4" t="str">
        <f t="shared" si="98"/>
        <v/>
      </c>
      <c r="U53" s="7" t="str">
        <f t="shared" si="98"/>
        <v/>
      </c>
      <c r="V53" s="6" t="str">
        <f t="shared" si="98"/>
        <v/>
      </c>
      <c r="W53" s="12"/>
      <c r="X53" s="13"/>
      <c r="Y53" s="14"/>
      <c r="Z53" s="5"/>
      <c r="AA53" s="5"/>
      <c r="AB53" s="5"/>
      <c r="AC53" s="5"/>
      <c r="AD53" s="4" t="s">
        <v>42</v>
      </c>
      <c r="AE53" s="7"/>
      <c r="AF53" s="6" t="s">
        <v>42</v>
      </c>
    </row>
    <row r="54" spans="1:32" s="15" customFormat="1" x14ac:dyDescent="0.25">
      <c r="A54" s="214">
        <f t="shared" si="99"/>
        <v>45261</v>
      </c>
      <c r="B54" s="25" t="s">
        <v>32</v>
      </c>
      <c r="C54" s="26">
        <f>'30 Jun 2025 - Gross'!C54</f>
        <v>7378824.7619756032</v>
      </c>
      <c r="D54" s="27">
        <f>'30 Jun 2025 - Gross'!D54</f>
        <v>0</v>
      </c>
      <c r="E54" s="28">
        <f>'30 Jun 2025 - Gross'!E54</f>
        <v>7378824.7619756032</v>
      </c>
      <c r="F54" s="29"/>
      <c r="G54" s="29"/>
      <c r="H54" s="29"/>
      <c r="I54" s="29"/>
      <c r="J54" s="30" cm="1">
        <f t="array" ref="J54">SUMPRODUCT('Net Results by UW month'!M$11:M$1000,'Net Results by UW month'!D$11:D$1000,--('Net Results by UW month'!$C$11:$C$1000='30 Jun 2025 - Net'!$A54))/'30 Jun 2025 - Net'!C54</f>
        <v>0.70533678984406245</v>
      </c>
      <c r="K54" s="31"/>
      <c r="L54" s="32" cm="1">
        <f t="array" ref="L54">SUMPRODUCT('Net Results by UW month'!O$11:O$1000,'Net Results by UW month'!F$11:F$1000,--('Net Results by UW month'!$C$11:$C$1000='30 Jun 2025 - Net'!$A54))/'30 Jun 2025 - Net'!E54</f>
        <v>0.70533678984406245</v>
      </c>
      <c r="M54" s="33">
        <f t="shared" si="97"/>
        <v>7378824.7619756032</v>
      </c>
      <c r="N54" s="34">
        <f t="shared" si="97"/>
        <v>0</v>
      </c>
      <c r="O54" s="35">
        <f t="shared" si="97"/>
        <v>7378824.7619756032</v>
      </c>
      <c r="P54" s="29"/>
      <c r="Q54" s="29"/>
      <c r="R54" s="29"/>
      <c r="S54" s="29"/>
      <c r="T54" s="30" t="str">
        <f t="shared" si="98"/>
        <v/>
      </c>
      <c r="U54" s="31" t="str">
        <f t="shared" si="98"/>
        <v/>
      </c>
      <c r="V54" s="32" t="str">
        <f t="shared" si="98"/>
        <v/>
      </c>
      <c r="W54" s="33"/>
      <c r="X54" s="34"/>
      <c r="Y54" s="35"/>
      <c r="Z54" s="29"/>
      <c r="AA54" s="29"/>
      <c r="AB54" s="29"/>
      <c r="AC54" s="29"/>
      <c r="AD54" s="30" t="s">
        <v>42</v>
      </c>
      <c r="AE54" s="31"/>
      <c r="AF54" s="32" t="s">
        <v>42</v>
      </c>
    </row>
    <row r="55" spans="1:32" s="15" customFormat="1" x14ac:dyDescent="0.25">
      <c r="A55" s="117"/>
      <c r="B55" s="25"/>
      <c r="C55" s="36"/>
      <c r="D55" s="37"/>
      <c r="E55" s="38"/>
      <c r="F55" s="29"/>
      <c r="G55" s="29"/>
      <c r="H55" s="29"/>
      <c r="I55" s="29"/>
      <c r="J55" s="30"/>
      <c r="K55" s="31"/>
      <c r="L55" s="32"/>
      <c r="M55" s="39"/>
      <c r="N55" s="29"/>
      <c r="O55" s="40"/>
      <c r="P55" s="29"/>
      <c r="Q55" s="29"/>
      <c r="R55" s="29"/>
      <c r="S55" s="29"/>
      <c r="T55" s="30"/>
      <c r="U55" s="31"/>
      <c r="V55" s="32"/>
      <c r="W55" s="39"/>
      <c r="X55" s="29"/>
      <c r="Y55" s="40"/>
      <c r="Z55" s="29"/>
      <c r="AA55" s="29"/>
      <c r="AB55" s="29"/>
      <c r="AC55" s="29"/>
      <c r="AD55" s="30"/>
      <c r="AE55" s="31"/>
      <c r="AF55" s="32"/>
    </row>
    <row r="56" spans="1:32" s="15" customFormat="1" x14ac:dyDescent="0.25">
      <c r="A56" s="214">
        <v>45292</v>
      </c>
      <c r="B56" s="59" t="s">
        <v>37</v>
      </c>
      <c r="C56" s="9">
        <f>'30 Jun 2025 - Gross'!C56</f>
        <v>7479336.4148157705</v>
      </c>
      <c r="D56" s="10">
        <f>'30 Jun 2025 - Gross'!D56</f>
        <v>0</v>
      </c>
      <c r="E56" s="11">
        <f>'30 Jun 2025 - Gross'!E56</f>
        <v>7479336.4148157705</v>
      </c>
      <c r="F56" s="5"/>
      <c r="G56" s="5"/>
      <c r="H56" s="5"/>
      <c r="I56" s="5"/>
      <c r="J56" s="4" cm="1">
        <f t="array" ref="J56">SUMPRODUCT('Net Results by UW month'!M$11:M$1000,'Net Results by UW month'!D$11:D$1000,--('Net Results by UW month'!$C$11:$C$1000='30 Jun 2025 - Net'!$A56))/'30 Jun 2025 - Net'!C56</f>
        <v>0.73608719867282824</v>
      </c>
      <c r="K56" s="7"/>
      <c r="L56" s="6" cm="1">
        <f t="array" ref="L56">SUMPRODUCT('Net Results by UW month'!O$11:O$1000,'Net Results by UW month'!F$11:F$1000,--('Net Results by UW month'!$C$11:$C$1000='30 Jun 2025 - Net'!$A56))/'30 Jun 2025 - Net'!E56</f>
        <v>0.73608719867282824</v>
      </c>
      <c r="M56" s="13">
        <f t="shared" ref="M56:O57" si="100">C56-W56</f>
        <v>7479336.4148157705</v>
      </c>
      <c r="N56" s="13">
        <f t="shared" si="100"/>
        <v>0</v>
      </c>
      <c r="O56" s="13">
        <f t="shared" si="100"/>
        <v>7479336.4148157705</v>
      </c>
      <c r="P56" s="5"/>
      <c r="Q56" s="5"/>
      <c r="R56" s="5"/>
      <c r="S56" s="5"/>
      <c r="T56" s="4">
        <f t="shared" ref="T56:V57" si="101">IFERROR((C56*J56-W56*AD56)/M56,"")</f>
        <v>0.73608719867282824</v>
      </c>
      <c r="U56" s="7" t="str">
        <f t="shared" si="101"/>
        <v/>
      </c>
      <c r="V56" s="6">
        <f t="shared" si="101"/>
        <v>0.73608719867282824</v>
      </c>
      <c r="W56" s="12"/>
      <c r="X56" s="13"/>
      <c r="Y56" s="14"/>
      <c r="Z56" s="5"/>
      <c r="AA56" s="5"/>
      <c r="AB56" s="5"/>
      <c r="AC56" s="5"/>
      <c r="AD56" s="4"/>
      <c r="AE56" s="7"/>
      <c r="AF56" s="6"/>
    </row>
    <row r="57" spans="1:32" s="15" customFormat="1" x14ac:dyDescent="0.25">
      <c r="A57" s="214">
        <f>EDATE(A56,1)</f>
        <v>45323</v>
      </c>
      <c r="B57" s="59" t="s">
        <v>38</v>
      </c>
      <c r="C57" s="9">
        <f>'30 Jun 2025 - Gross'!C57</f>
        <v>8737585.1741028968</v>
      </c>
      <c r="D57" s="10">
        <f>'30 Jun 2025 - Gross'!D57</f>
        <v>0</v>
      </c>
      <c r="E57" s="11">
        <f>'30 Jun 2025 - Gross'!E57</f>
        <v>8737585.1741028968</v>
      </c>
      <c r="F57" s="5"/>
      <c r="G57" s="5"/>
      <c r="H57" s="5"/>
      <c r="I57" s="5"/>
      <c r="J57" s="4" cm="1">
        <f t="array" ref="J57">SUMPRODUCT('Net Results by UW month'!M$11:M$1000,'Net Results by UW month'!D$11:D$1000,--('Net Results by UW month'!$C$11:$C$1000='30 Jun 2025 - Net'!$A57))/'30 Jun 2025 - Net'!C57</f>
        <v>0.74193249397954708</v>
      </c>
      <c r="K57" s="7"/>
      <c r="L57" s="6" cm="1">
        <f t="array" ref="L57">SUMPRODUCT('Net Results by UW month'!O$11:O$1000,'Net Results by UW month'!F$11:F$1000,--('Net Results by UW month'!$C$11:$C$1000='30 Jun 2025 - Net'!$A57))/'30 Jun 2025 - Net'!E57</f>
        <v>0.74193249397954708</v>
      </c>
      <c r="M57" s="13">
        <f t="shared" si="100"/>
        <v>8737585.1741028968</v>
      </c>
      <c r="N57" s="13">
        <f t="shared" si="100"/>
        <v>0</v>
      </c>
      <c r="O57" s="13">
        <f t="shared" si="100"/>
        <v>8737585.1741028968</v>
      </c>
      <c r="P57" s="5"/>
      <c r="Q57" s="5"/>
      <c r="R57" s="5"/>
      <c r="S57" s="5"/>
      <c r="T57" s="4">
        <f t="shared" si="101"/>
        <v>0.74193249397954708</v>
      </c>
      <c r="U57" s="7" t="str">
        <f t="shared" si="101"/>
        <v/>
      </c>
      <c r="V57" s="6">
        <f t="shared" si="101"/>
        <v>0.74193249397954708</v>
      </c>
      <c r="W57" s="12"/>
      <c r="X57" s="13"/>
      <c r="Y57" s="14"/>
      <c r="Z57" s="5"/>
      <c r="AA57" s="5"/>
      <c r="AB57" s="5"/>
      <c r="AC57" s="5"/>
      <c r="AD57" s="4"/>
      <c r="AE57" s="7"/>
      <c r="AF57" s="6"/>
    </row>
    <row r="58" spans="1:32" s="15" customFormat="1" x14ac:dyDescent="0.25">
      <c r="A58" s="214">
        <f t="shared" ref="A58:A67" si="102">EDATE(A57,1)</f>
        <v>45352</v>
      </c>
      <c r="B58" s="59" t="s">
        <v>39</v>
      </c>
      <c r="C58" s="9">
        <f>'30 Jun 2025 - Gross'!C58</f>
        <v>11044327.599237286</v>
      </c>
      <c r="D58" s="10">
        <f>'30 Jun 2025 - Gross'!D58</f>
        <v>0</v>
      </c>
      <c r="E58" s="11">
        <f>'30 Jun 2025 - Gross'!E58</f>
        <v>11044327.599237286</v>
      </c>
      <c r="F58" s="5"/>
      <c r="G58" s="5"/>
      <c r="H58" s="5"/>
      <c r="I58" s="5"/>
      <c r="J58" s="4" cm="1">
        <f t="array" ref="J58">SUMPRODUCT('Net Results by UW month'!M$11:M$1000,'Net Results by UW month'!D$11:D$1000,--('Net Results by UW month'!$C$11:$C$1000='30 Jun 2025 - Net'!$A58))/'30 Jun 2025 - Net'!C58</f>
        <v>0.67077783109929445</v>
      </c>
      <c r="K58" s="7"/>
      <c r="L58" s="6" cm="1">
        <f t="array" ref="L58">SUMPRODUCT('Net Results by UW month'!O$11:O$1000,'Net Results by UW month'!F$11:F$1000,--('Net Results by UW month'!$C$11:$C$1000='30 Jun 2025 - Net'!$A58))/'30 Jun 2025 - Net'!E58</f>
        <v>0.67077783109929445</v>
      </c>
      <c r="M58" s="13">
        <f t="shared" ref="M58" si="103">C58-W58</f>
        <v>11044327.599237286</v>
      </c>
      <c r="N58" s="13">
        <f t="shared" ref="N58" si="104">D58-X58</f>
        <v>0</v>
      </c>
      <c r="O58" s="13">
        <f t="shared" ref="O58" si="105">E58-Y58</f>
        <v>11044327.599237286</v>
      </c>
      <c r="P58" s="5"/>
      <c r="Q58" s="5"/>
      <c r="R58" s="5"/>
      <c r="S58" s="5"/>
      <c r="T58" s="4">
        <f t="shared" ref="T58" si="106">IFERROR((C58*J58-W58*AD58)/M58,"")</f>
        <v>0.67077783109929445</v>
      </c>
      <c r="U58" s="7" t="str">
        <f t="shared" ref="U58" si="107">IFERROR((D58*K58-X58*AE58)/N58,"")</f>
        <v/>
      </c>
      <c r="V58" s="6">
        <f t="shared" ref="V58" si="108">IFERROR((E58*L58-Y58*AF58)/O58,"")</f>
        <v>0.67077783109929445</v>
      </c>
      <c r="W58" s="12"/>
      <c r="X58" s="13"/>
      <c r="Y58" s="14"/>
      <c r="Z58" s="5"/>
      <c r="AA58" s="5"/>
      <c r="AB58" s="5"/>
      <c r="AC58" s="5"/>
      <c r="AD58" s="4"/>
      <c r="AE58" s="7"/>
      <c r="AF58" s="6"/>
    </row>
    <row r="59" spans="1:32" s="15" customFormat="1" x14ac:dyDescent="0.25">
      <c r="A59" s="214">
        <f t="shared" si="102"/>
        <v>45383</v>
      </c>
      <c r="B59" s="59" t="s">
        <v>41</v>
      </c>
      <c r="C59" s="9">
        <f>'30 Jun 2025 - Gross'!C59</f>
        <v>9997344.4412674848</v>
      </c>
      <c r="D59" s="10">
        <f>'30 Jun 2025 - Gross'!D59</f>
        <v>0</v>
      </c>
      <c r="E59" s="11">
        <f>'30 Jun 2025 - Gross'!E59</f>
        <v>9997344.4412674848</v>
      </c>
      <c r="F59" s="5"/>
      <c r="G59" s="5"/>
      <c r="H59" s="5"/>
      <c r="I59" s="5"/>
      <c r="J59" s="4" cm="1">
        <f t="array" ref="J59">SUMPRODUCT('Net Results by UW month'!M$11:M$1000,'Net Results by UW month'!D$11:D$1000,--('Net Results by UW month'!$C$11:$C$1000='30 Jun 2025 - Net'!$A59))/'30 Jun 2025 - Net'!C59</f>
        <v>0.6128143148239007</v>
      </c>
      <c r="K59" s="7"/>
      <c r="L59" s="6" cm="1">
        <f t="array" ref="L59">SUMPRODUCT('Net Results by UW month'!O$11:O$1000,'Net Results by UW month'!F$11:F$1000,--('Net Results by UW month'!$C$11:$C$1000='30 Jun 2025 - Net'!$A59))/'30 Jun 2025 - Net'!E59</f>
        <v>0.6128143148239007</v>
      </c>
      <c r="M59" s="13">
        <f t="shared" ref="M59:M60" si="109">C59-W59</f>
        <v>9997344.4412674848</v>
      </c>
      <c r="N59" s="13">
        <f t="shared" ref="N59:N60" si="110">D59-X59</f>
        <v>0</v>
      </c>
      <c r="O59" s="13">
        <f t="shared" ref="O59:O60" si="111">E59-Y59</f>
        <v>9997344.4412674848</v>
      </c>
      <c r="P59" s="5"/>
      <c r="Q59" s="5"/>
      <c r="R59" s="5"/>
      <c r="S59" s="5"/>
      <c r="T59" s="4">
        <f t="shared" ref="T59:T60" si="112">IFERROR((C59*J59-W59*AD59)/M59,"")</f>
        <v>0.6128143148239007</v>
      </c>
      <c r="U59" s="7" t="str">
        <f t="shared" ref="U59:U60" si="113">IFERROR((D59*K59-X59*AE59)/N59,"")</f>
        <v/>
      </c>
      <c r="V59" s="6">
        <f t="shared" ref="V59:V60" si="114">IFERROR((E59*L59-Y59*AF59)/O59,"")</f>
        <v>0.6128143148239007</v>
      </c>
      <c r="W59" s="12"/>
      <c r="X59" s="13"/>
      <c r="Y59" s="14"/>
      <c r="Z59" s="5"/>
      <c r="AA59" s="5"/>
      <c r="AB59" s="5"/>
      <c r="AC59" s="5"/>
      <c r="AD59" s="4"/>
      <c r="AE59" s="7"/>
      <c r="AF59" s="6"/>
    </row>
    <row r="60" spans="1:32" s="15" customFormat="1" x14ac:dyDescent="0.25">
      <c r="A60" s="214">
        <f t="shared" si="102"/>
        <v>45413</v>
      </c>
      <c r="B60" s="59" t="s">
        <v>46</v>
      </c>
      <c r="C60" s="9">
        <f>'30 Jun 2025 - Gross'!C60</f>
        <v>9875049.540843796</v>
      </c>
      <c r="D60" s="10">
        <f>'30 Jun 2025 - Gross'!D60</f>
        <v>0</v>
      </c>
      <c r="E60" s="11">
        <f>'30 Jun 2025 - Gross'!E60</f>
        <v>9875049.540843796</v>
      </c>
      <c r="F60" s="5"/>
      <c r="G60" s="5"/>
      <c r="H60" s="5"/>
      <c r="I60" s="5"/>
      <c r="J60" s="4" cm="1">
        <f t="array" ref="J60">SUMPRODUCT('Net Results by UW month'!M$11:M$1000,'Net Results by UW month'!D$11:D$1000,--('Net Results by UW month'!$C$11:$C$1000='30 Jun 2025 - Net'!$A60))/'30 Jun 2025 - Net'!C60</f>
        <v>0.7931917538355181</v>
      </c>
      <c r="K60" s="7"/>
      <c r="L60" s="6" cm="1">
        <f t="array" ref="L60">SUMPRODUCT('Net Results by UW month'!O$11:O$1000,'Net Results by UW month'!F$11:F$1000,--('Net Results by UW month'!$C$11:$C$1000='30 Jun 2025 - Net'!$A60))/'30 Jun 2025 - Net'!E60</f>
        <v>0.7931917538355181</v>
      </c>
      <c r="M60" s="13">
        <f t="shared" si="109"/>
        <v>9875049.540843796</v>
      </c>
      <c r="N60" s="13">
        <f t="shared" si="110"/>
        <v>0</v>
      </c>
      <c r="O60" s="13">
        <f t="shared" si="111"/>
        <v>9875049.540843796</v>
      </c>
      <c r="P60" s="5"/>
      <c r="Q60" s="5"/>
      <c r="R60" s="5"/>
      <c r="S60" s="5"/>
      <c r="T60" s="4">
        <f t="shared" si="112"/>
        <v>0.7931917538355181</v>
      </c>
      <c r="U60" s="7" t="str">
        <f t="shared" si="113"/>
        <v/>
      </c>
      <c r="V60" s="6">
        <f t="shared" si="114"/>
        <v>0.7931917538355181</v>
      </c>
      <c r="W60" s="12"/>
      <c r="X60" s="13"/>
      <c r="Y60" s="14"/>
      <c r="Z60" s="5"/>
      <c r="AA60" s="5"/>
      <c r="AB60" s="5"/>
      <c r="AC60" s="5"/>
      <c r="AD60" s="4"/>
      <c r="AE60" s="7"/>
      <c r="AF60" s="6"/>
    </row>
    <row r="61" spans="1:32" s="15" customFormat="1" x14ac:dyDescent="0.25">
      <c r="A61" s="214">
        <f t="shared" si="102"/>
        <v>45444</v>
      </c>
      <c r="B61" s="59" t="s">
        <v>47</v>
      </c>
      <c r="C61" s="9">
        <f>'30 Jun 2025 - Gross'!C61</f>
        <v>8720527.994462505</v>
      </c>
      <c r="D61" s="10">
        <f>'30 Jun 2025 - Gross'!D61</f>
        <v>0</v>
      </c>
      <c r="E61" s="11">
        <f>'30 Jun 2025 - Gross'!E61</f>
        <v>8720527.994462505</v>
      </c>
      <c r="F61" s="5"/>
      <c r="G61" s="5"/>
      <c r="H61" s="5"/>
      <c r="I61" s="5"/>
      <c r="J61" s="4" cm="1">
        <f t="array" ref="J61">SUMPRODUCT('Net Results by UW month'!M$11:M$1000,'Net Results by UW month'!D$11:D$1000,--('Net Results by UW month'!$C$11:$C$1000='30 Jun 2025 - Net'!$A61))/'30 Jun 2025 - Net'!C61</f>
        <v>0.64060369828420893</v>
      </c>
      <c r="K61" s="7"/>
      <c r="L61" s="6" cm="1">
        <f t="array" ref="L61">SUMPRODUCT('Net Results by UW month'!O$11:O$1000,'Net Results by UW month'!F$11:F$1000,--('Net Results by UW month'!$C$11:$C$1000='30 Jun 2025 - Net'!$A61))/'30 Jun 2025 - Net'!E61</f>
        <v>0.64060369828420893</v>
      </c>
      <c r="M61" s="13">
        <f t="shared" ref="M61" si="115">C61-W61</f>
        <v>8720527.994462505</v>
      </c>
      <c r="N61" s="13">
        <f t="shared" ref="N61" si="116">D61-X61</f>
        <v>0</v>
      </c>
      <c r="O61" s="13">
        <f t="shared" ref="O61" si="117">E61-Y61</f>
        <v>8720527.994462505</v>
      </c>
      <c r="P61" s="5"/>
      <c r="Q61" s="5"/>
      <c r="R61" s="5"/>
      <c r="S61" s="5"/>
      <c r="T61" s="4">
        <f t="shared" ref="T61" si="118">IFERROR((C61*J61-W61*AD61)/M61,"")</f>
        <v>0.64060369828420893</v>
      </c>
      <c r="U61" s="7" t="str">
        <f t="shared" ref="U61" si="119">IFERROR((D61*K61-X61*AE61)/N61,"")</f>
        <v/>
      </c>
      <c r="V61" s="6">
        <f t="shared" ref="V61" si="120">IFERROR((E61*L61-Y61*AF61)/O61,"")</f>
        <v>0.64060369828420893</v>
      </c>
      <c r="W61" s="12"/>
      <c r="X61" s="13"/>
      <c r="Y61" s="14"/>
      <c r="Z61" s="5"/>
      <c r="AA61" s="5"/>
      <c r="AB61" s="5"/>
      <c r="AC61" s="5"/>
      <c r="AD61" s="4"/>
      <c r="AE61" s="7"/>
      <c r="AF61" s="6"/>
    </row>
    <row r="62" spans="1:32" s="15" customFormat="1" x14ac:dyDescent="0.25">
      <c r="A62" s="214">
        <f t="shared" si="102"/>
        <v>45474</v>
      </c>
      <c r="B62" s="59" t="s">
        <v>49</v>
      </c>
      <c r="C62" s="9">
        <f>'30 Jun 2025 - Gross'!C62</f>
        <v>7561539.4691572944</v>
      </c>
      <c r="D62" s="10">
        <f>'30 Jun 2025 - Gross'!D62</f>
        <v>134386.39858471043</v>
      </c>
      <c r="E62" s="11">
        <f>'30 Jun 2025 - Gross'!E62</f>
        <v>7695925.8677420048</v>
      </c>
      <c r="F62" s="5"/>
      <c r="G62" s="5"/>
      <c r="H62" s="5"/>
      <c r="I62" s="5"/>
      <c r="J62" s="4" cm="1">
        <f t="array" ref="J62">SUMPRODUCT('Net Results by UW month'!M$11:M$1000,'Net Results by UW month'!D$11:D$1000,--('Net Results by UW month'!$C$11:$C$1000='30 Jun 2025 - Net'!$A62))/'30 Jun 2025 - Net'!C62</f>
        <v>0.62275743002037853</v>
      </c>
      <c r="K62" s="7" cm="1">
        <f t="array" ref="K62">SUMPRODUCT('Net Results by UW month'!N$11:N$1000,'Net Results by UW month'!E$11:E$1000,--('Net Results by UW month'!$C$11:$C$1000='30 Jun 2025 - Net'!$A62))/'30 Jun 2025 - Net'!D62</f>
        <v>0.68576071660806248</v>
      </c>
      <c r="L62" s="6" cm="1">
        <f t="array" ref="L62">SUMPRODUCT('Net Results by UW month'!O$11:O$1000,'Net Results by UW month'!F$11:F$1000,--('Net Results by UW month'!$C$11:$C$1000='30 Jun 2025 - Net'!$A62))/'30 Jun 2025 - Net'!E62</f>
        <v>0.62385759456575285</v>
      </c>
      <c r="M62" s="13">
        <f t="shared" ref="M62" si="121">C62-W62</f>
        <v>7561539.4691572944</v>
      </c>
      <c r="N62" s="13">
        <f t="shared" ref="N62" si="122">D62-X62</f>
        <v>134386.39858471043</v>
      </c>
      <c r="O62" s="13">
        <f t="shared" ref="O62" si="123">E62-Y62</f>
        <v>7695925.8677420048</v>
      </c>
      <c r="P62" s="5"/>
      <c r="Q62" s="5"/>
      <c r="R62" s="5"/>
      <c r="S62" s="5"/>
      <c r="T62" s="4">
        <f t="shared" ref="T62" si="124">IFERROR((C62*J62-W62*AD62)/M62,"")</f>
        <v>0.62275743002037853</v>
      </c>
      <c r="U62" s="7">
        <f t="shared" ref="U62" si="125">IFERROR((D62*K62-X62*AE62)/N62,"")</f>
        <v>0.68576071660806248</v>
      </c>
      <c r="V62" s="6">
        <f t="shared" ref="V62" si="126">IFERROR((E62*L62-Y62*AF62)/O62,"")</f>
        <v>0.62385759456575285</v>
      </c>
      <c r="W62" s="12"/>
      <c r="X62" s="13"/>
      <c r="Y62" s="14"/>
      <c r="Z62" s="5"/>
      <c r="AA62" s="5"/>
      <c r="AB62" s="5"/>
      <c r="AC62" s="5"/>
      <c r="AD62" s="4"/>
      <c r="AE62" s="7"/>
      <c r="AF62" s="6"/>
    </row>
    <row r="63" spans="1:32" s="15" customFormat="1" x14ac:dyDescent="0.25">
      <c r="A63" s="214">
        <f t="shared" si="102"/>
        <v>45505</v>
      </c>
      <c r="B63" s="59" t="s">
        <v>50</v>
      </c>
      <c r="C63" s="9">
        <f>'30 Jun 2025 - Gross'!C63</f>
        <v>5861667.0389134334</v>
      </c>
      <c r="D63" s="10">
        <f>'30 Jun 2025 - Gross'!D63</f>
        <v>481535.52223680262</v>
      </c>
      <c r="E63" s="11">
        <f>'30 Jun 2025 - Gross'!E63</f>
        <v>6343202.5611502361</v>
      </c>
      <c r="F63" s="5"/>
      <c r="G63" s="5"/>
      <c r="H63" s="5"/>
      <c r="I63" s="5"/>
      <c r="J63" s="4" cm="1">
        <f t="array" ref="J63">SUMPRODUCT('Net Results by UW month'!M$11:M$1000,'Net Results by UW month'!D$11:D$1000,--('Net Results by UW month'!$C$11:$C$1000='30 Jun 2025 - Net'!$A63))/'30 Jun 2025 - Net'!C63</f>
        <v>0.6377919675965078</v>
      </c>
      <c r="K63" s="7" cm="1">
        <f t="array" ref="K63">SUMPRODUCT('Net Results by UW month'!N$11:N$1000,'Net Results by UW month'!E$11:E$1000,--('Net Results by UW month'!$C$11:$C$1000='30 Jun 2025 - Net'!$A63))/'30 Jun 2025 - Net'!D63</f>
        <v>0.6874810797084181</v>
      </c>
      <c r="L63" s="6" cm="1">
        <f t="array" ref="L63">SUMPRODUCT('Net Results by UW month'!O$11:O$1000,'Net Results by UW month'!F$11:F$1000,--('Net Results by UW month'!$C$11:$C$1000='30 Jun 2025 - Net'!$A63))/'30 Jun 2025 - Net'!E63</f>
        <v>0.64156404839002312</v>
      </c>
      <c r="M63" s="13">
        <f t="shared" ref="M63" si="127">C63-W63</f>
        <v>5861667.0389134334</v>
      </c>
      <c r="N63" s="13">
        <f t="shared" ref="N63" si="128">D63-X63</f>
        <v>481535.52223680262</v>
      </c>
      <c r="O63" s="13">
        <f t="shared" ref="O63" si="129">E63-Y63</f>
        <v>6343202.5611502361</v>
      </c>
      <c r="P63" s="5"/>
      <c r="Q63" s="5"/>
      <c r="R63" s="5"/>
      <c r="S63" s="5"/>
      <c r="T63" s="4">
        <f t="shared" ref="T63" si="130">IFERROR((C63*J63-W63*AD63)/M63,"")</f>
        <v>0.6377919675965078</v>
      </c>
      <c r="U63" s="7">
        <f t="shared" ref="U63" si="131">IFERROR((D63*K63-X63*AE63)/N63,"")</f>
        <v>0.6874810797084181</v>
      </c>
      <c r="V63" s="6">
        <f t="shared" ref="V63" si="132">IFERROR((E63*L63-Y63*AF63)/O63,"")</f>
        <v>0.64156404839002312</v>
      </c>
      <c r="W63" s="12"/>
      <c r="X63" s="13"/>
      <c r="Y63" s="14"/>
      <c r="Z63" s="5"/>
      <c r="AA63" s="5"/>
      <c r="AB63" s="5"/>
      <c r="AC63" s="5"/>
      <c r="AD63" s="4"/>
      <c r="AE63" s="7"/>
      <c r="AF63" s="6"/>
    </row>
    <row r="64" spans="1:32" s="15" customFormat="1" x14ac:dyDescent="0.25">
      <c r="A64" s="214">
        <f t="shared" si="102"/>
        <v>45536</v>
      </c>
      <c r="B64" s="59" t="s">
        <v>51</v>
      </c>
      <c r="C64" s="9">
        <f>'30 Jun 2025 - Gross'!C64</f>
        <v>4522225.249312778</v>
      </c>
      <c r="D64" s="10">
        <f>'30 Jun 2025 - Gross'!D64</f>
        <v>710452.28418920934</v>
      </c>
      <c r="E64" s="11">
        <f>'30 Jun 2025 - Gross'!E64</f>
        <v>5232677.5335019873</v>
      </c>
      <c r="F64" s="5"/>
      <c r="G64" s="5"/>
      <c r="H64" s="5"/>
      <c r="I64" s="5"/>
      <c r="J64" s="4" cm="1">
        <f t="array" ref="J64">SUMPRODUCT('Net Results by UW month'!M$11:M$1000,'Net Results by UW month'!D$11:D$1000,--('Net Results by UW month'!$C$11:$C$1000='30 Jun 2025 - Net'!$A64))/'30 Jun 2025 - Net'!C64</f>
        <v>0.94312146806427388</v>
      </c>
      <c r="K64" s="7" cm="1">
        <f t="array" ref="K64">SUMPRODUCT('Net Results by UW month'!N$11:N$1000,'Net Results by UW month'!E$11:E$1000,--('Net Results by UW month'!$C$11:$C$1000='30 Jun 2025 - Net'!$A64))/'30 Jun 2025 - Net'!D64</f>
        <v>0.69533323502012889</v>
      </c>
      <c r="L64" s="6" cm="1">
        <f t="array" ref="L64">SUMPRODUCT('Net Results by UW month'!O$11:O$1000,'Net Results by UW month'!F$11:F$1000,--('Net Results by UW month'!$C$11:$C$1000='30 Jun 2025 - Net'!$A64))/'30 Jun 2025 - Net'!E64</f>
        <v>0.90947870773090322</v>
      </c>
      <c r="M64" s="13">
        <f t="shared" ref="M64" si="133">C64-W64</f>
        <v>4522225.249312778</v>
      </c>
      <c r="N64" s="13">
        <f t="shared" ref="N64" si="134">D64-X64</f>
        <v>710452.28418920934</v>
      </c>
      <c r="O64" s="13">
        <f t="shared" ref="O64" si="135">E64-Y64</f>
        <v>5232677.5335019873</v>
      </c>
      <c r="P64" s="5"/>
      <c r="Q64" s="5"/>
      <c r="R64" s="5"/>
      <c r="S64" s="5"/>
      <c r="T64" s="4">
        <f t="shared" ref="T64" si="136">IFERROR((C64*J64-W64*AD64)/M64,"")</f>
        <v>0.94312146806427388</v>
      </c>
      <c r="U64" s="7">
        <f t="shared" ref="U64" si="137">IFERROR((D64*K64-X64*AE64)/N64,"")</f>
        <v>0.69533323502012889</v>
      </c>
      <c r="V64" s="6">
        <f t="shared" ref="V64" si="138">IFERROR((E64*L64-Y64*AF64)/O64,"")</f>
        <v>0.90947870773090322</v>
      </c>
      <c r="W64" s="12"/>
      <c r="X64" s="13"/>
      <c r="Y64" s="14"/>
      <c r="Z64" s="5"/>
      <c r="AA64" s="5"/>
      <c r="AB64" s="5"/>
      <c r="AC64" s="5"/>
      <c r="AD64" s="4"/>
      <c r="AE64" s="7"/>
      <c r="AF64" s="6"/>
    </row>
    <row r="65" spans="1:32" s="15" customFormat="1" x14ac:dyDescent="0.25">
      <c r="A65" s="214">
        <f t="shared" si="102"/>
        <v>45566</v>
      </c>
      <c r="B65" s="59" t="s">
        <v>52</v>
      </c>
      <c r="C65" s="9">
        <f>'30 Jun 2025 - Gross'!C65</f>
        <v>3613063.9840755411</v>
      </c>
      <c r="D65" s="10">
        <f>'30 Jun 2025 - Gross'!D65</f>
        <v>959715.60489762342</v>
      </c>
      <c r="E65" s="11">
        <f>'30 Jun 2025 - Gross'!E65</f>
        <v>4572779.5889731646</v>
      </c>
      <c r="F65" s="5"/>
      <c r="G65" s="5"/>
      <c r="H65" s="5"/>
      <c r="I65" s="5"/>
      <c r="J65" s="4" cm="1">
        <f t="array" ref="J65">SUMPRODUCT('Net Results by UW month'!M$11:M$1000,'Net Results by UW month'!D$11:D$1000,--('Net Results by UW month'!$C$11:$C$1000='30 Jun 2025 - Net'!$A65))/'30 Jun 2025 - Net'!C65</f>
        <v>0.74777094671989974</v>
      </c>
      <c r="K65" s="7" cm="1">
        <f t="array" ref="K65">SUMPRODUCT('Net Results by UW month'!N$11:N$1000,'Net Results by UW month'!E$11:E$1000,--('Net Results by UW month'!$C$11:$C$1000='30 Jun 2025 - Net'!$A65))/'30 Jun 2025 - Net'!D65</f>
        <v>0.69797919451959833</v>
      </c>
      <c r="L65" s="6" cm="1">
        <f t="array" ref="L65">SUMPRODUCT('Net Results by UW month'!O$11:O$1000,'Net Results by UW month'!F$11:F$1000,--('Net Results by UW month'!$C$11:$C$1000='30 Jun 2025 - Net'!$A65))/'30 Jun 2025 - Net'!E65</f>
        <v>0.73732086473977188</v>
      </c>
      <c r="M65" s="13">
        <f t="shared" ref="M65" si="139">C65-W65</f>
        <v>3613063.9840755411</v>
      </c>
      <c r="N65" s="13">
        <f t="shared" ref="N65" si="140">D65-X65</f>
        <v>959715.60489762342</v>
      </c>
      <c r="O65" s="13">
        <f t="shared" ref="O65" si="141">E65-Y65</f>
        <v>4572779.5889731646</v>
      </c>
      <c r="P65" s="5"/>
      <c r="Q65" s="5"/>
      <c r="R65" s="5"/>
      <c r="S65" s="5"/>
      <c r="T65" s="4">
        <f t="shared" ref="T65" si="142">IFERROR((C65*J65-W65*AD65)/M65,"")</f>
        <v>0.74777094671989974</v>
      </c>
      <c r="U65" s="7">
        <f t="shared" ref="U65" si="143">IFERROR((D65*K65-X65*AE65)/N65,"")</f>
        <v>0.69797919451959833</v>
      </c>
      <c r="V65" s="6">
        <f t="shared" ref="V65" si="144">IFERROR((E65*L65-Y65*AF65)/O65,"")</f>
        <v>0.73732086473977188</v>
      </c>
      <c r="W65" s="12"/>
      <c r="X65" s="13"/>
      <c r="Y65" s="14"/>
      <c r="Z65" s="5"/>
      <c r="AA65" s="5"/>
      <c r="AB65" s="5"/>
      <c r="AC65" s="5"/>
      <c r="AD65" s="4"/>
      <c r="AE65" s="7"/>
      <c r="AF65" s="6"/>
    </row>
    <row r="66" spans="1:32" s="15" customFormat="1" x14ac:dyDescent="0.25">
      <c r="A66" s="214">
        <f t="shared" si="102"/>
        <v>45597</v>
      </c>
      <c r="B66" s="59" t="s">
        <v>54</v>
      </c>
      <c r="C66" s="9">
        <f>'30 Jun 2025 - Gross'!C66</f>
        <v>3415622.357430866</v>
      </c>
      <c r="D66" s="10">
        <f>'30 Jun 2025 - Gross'!D66</f>
        <v>1420601.9587372569</v>
      </c>
      <c r="E66" s="11">
        <f>'30 Jun 2025 - Gross'!E66</f>
        <v>4836224.3161681229</v>
      </c>
      <c r="F66" s="5"/>
      <c r="G66" s="5"/>
      <c r="H66" s="5"/>
      <c r="I66" s="5"/>
      <c r="J66" s="4" cm="1">
        <f t="array" ref="J66">SUMPRODUCT('Net Results by UW month'!M$11:M$1000,'Net Results by UW month'!D$11:D$1000,--('Net Results by UW month'!$C$11:$C$1000='30 Jun 2025 - Net'!$A66))/'30 Jun 2025 - Net'!C66</f>
        <v>0.76510350330251786</v>
      </c>
      <c r="K66" s="7" cm="1">
        <f t="array" ref="K66">SUMPRODUCT('Net Results by UW month'!N$11:N$1000,'Net Results by UW month'!E$11:E$1000,--('Net Results by UW month'!$C$11:$C$1000='30 Jun 2025 - Net'!$A66))/'30 Jun 2025 - Net'!D66</f>
        <v>0.69997680098260284</v>
      </c>
      <c r="L66" s="6" cm="1">
        <f t="array" ref="L66">SUMPRODUCT('Net Results by UW month'!O$11:O$1000,'Net Results by UW month'!F$11:F$1000,--('Net Results by UW month'!$C$11:$C$1000='30 Jun 2025 - Net'!$A66))/'30 Jun 2025 - Net'!E66</f>
        <v>0.74597305880008524</v>
      </c>
      <c r="M66" s="13">
        <f t="shared" ref="M66:M67" si="145">C66-W66</f>
        <v>3415622.357430866</v>
      </c>
      <c r="N66" s="13">
        <f t="shared" ref="N66:N67" si="146">D66-X66</f>
        <v>1420601.9587372569</v>
      </c>
      <c r="O66" s="13">
        <f t="shared" ref="O66:O67" si="147">E66-Y66</f>
        <v>4836224.3161681229</v>
      </c>
      <c r="P66" s="5"/>
      <c r="Q66" s="5"/>
      <c r="R66" s="5"/>
      <c r="S66" s="5"/>
      <c r="T66" s="4">
        <f t="shared" ref="T66:T67" si="148">IFERROR((C66*J66-W66*AD66)/M66,"")</f>
        <v>0.76510350330251786</v>
      </c>
      <c r="U66" s="7">
        <f t="shared" ref="U66:U67" si="149">IFERROR((D66*K66-X66*AE66)/N66,"")</f>
        <v>0.69997680098260284</v>
      </c>
      <c r="V66" s="6">
        <f t="shared" ref="V66:V67" si="150">IFERROR((E66*L66-Y66*AF66)/O66,"")</f>
        <v>0.74597305880008524</v>
      </c>
      <c r="W66" s="12"/>
      <c r="X66" s="13"/>
      <c r="Y66" s="14"/>
      <c r="Z66" s="5"/>
      <c r="AA66" s="5"/>
      <c r="AB66" s="5"/>
      <c r="AC66" s="5"/>
      <c r="AD66" s="4"/>
      <c r="AE66" s="7"/>
      <c r="AF66" s="6"/>
    </row>
    <row r="67" spans="1:32" s="15" customFormat="1" x14ac:dyDescent="0.25">
      <c r="A67" s="214">
        <f t="shared" si="102"/>
        <v>45627</v>
      </c>
      <c r="B67" s="25" t="s">
        <v>83</v>
      </c>
      <c r="C67" s="26">
        <f>'30 Jun 2025 - Gross'!C67</f>
        <v>2919836.9324805574</v>
      </c>
      <c r="D67" s="27">
        <f>'30 Jun 2025 - Gross'!D67</f>
        <v>1763656.1733193225</v>
      </c>
      <c r="E67" s="28">
        <f>'30 Jun 2025 - Gross'!E67</f>
        <v>4683493.1057998799</v>
      </c>
      <c r="F67" s="29"/>
      <c r="G67" s="29"/>
      <c r="H67" s="29"/>
      <c r="I67" s="29"/>
      <c r="J67" s="30" cm="1">
        <f t="array" ref="J67">SUMPRODUCT('Net Results by UW month'!M$11:M$1000,'Net Results by UW month'!D$11:D$1000,--('Net Results by UW month'!$C$11:$C$1000='30 Jun 2025 - Net'!$A67))/'30 Jun 2025 - Net'!C67</f>
        <v>0.77504897304566756</v>
      </c>
      <c r="K67" s="31" cm="1">
        <f t="array" ref="K67">SUMPRODUCT('Net Results by UW month'!N$11:N$1000,'Net Results by UW month'!E$11:E$1000,--('Net Results by UW month'!$C$11:$C$1000='30 Jun 2025 - Net'!$A67))/'30 Jun 2025 - Net'!D67</f>
        <v>0.70258905558807005</v>
      </c>
      <c r="L67" s="32" cm="1">
        <f t="array" ref="L67">SUMPRODUCT('Net Results by UW month'!O$11:O$1000,'Net Results by UW month'!F$11:F$1000,--('Net Results by UW month'!$C$11:$C$1000='30 Jun 2025 - Net'!$A67))/'30 Jun 2025 - Net'!E67</f>
        <v>0.74776284752878686</v>
      </c>
      <c r="M67" s="33">
        <f t="shared" si="145"/>
        <v>2919836.9324805574</v>
      </c>
      <c r="N67" s="34">
        <f t="shared" si="146"/>
        <v>1763656.1733193225</v>
      </c>
      <c r="O67" s="35">
        <f t="shared" si="147"/>
        <v>4683493.1057998799</v>
      </c>
      <c r="P67" s="29"/>
      <c r="Q67" s="29"/>
      <c r="R67" s="29"/>
      <c r="S67" s="29"/>
      <c r="T67" s="30">
        <f t="shared" si="148"/>
        <v>0.77504897304566756</v>
      </c>
      <c r="U67" s="31">
        <f t="shared" si="149"/>
        <v>0.70258905558807005</v>
      </c>
      <c r="V67" s="32">
        <f t="shared" si="150"/>
        <v>0.74776284752878686</v>
      </c>
      <c r="W67" s="33"/>
      <c r="X67" s="34"/>
      <c r="Y67" s="35"/>
      <c r="Z67" s="29"/>
      <c r="AA67" s="29"/>
      <c r="AB67" s="29"/>
      <c r="AC67" s="29"/>
      <c r="AD67" s="30"/>
      <c r="AE67" s="31"/>
      <c r="AF67" s="32"/>
    </row>
    <row r="68" spans="1:32" s="15" customFormat="1" x14ac:dyDescent="0.25">
      <c r="A68" s="214"/>
      <c r="B68" s="25"/>
      <c r="C68" s="36"/>
      <c r="D68" s="37"/>
      <c r="E68" s="38"/>
      <c r="F68" s="29"/>
      <c r="G68" s="29"/>
      <c r="H68" s="29"/>
      <c r="I68" s="29"/>
      <c r="J68" s="30"/>
      <c r="K68" s="31"/>
      <c r="L68" s="32"/>
      <c r="M68" s="39"/>
      <c r="N68" s="29"/>
      <c r="O68" s="40"/>
      <c r="P68" s="29"/>
      <c r="Q68" s="29"/>
      <c r="R68" s="29"/>
      <c r="S68" s="29"/>
      <c r="T68" s="30"/>
      <c r="U68" s="31"/>
      <c r="V68" s="32"/>
      <c r="W68" s="39"/>
      <c r="X68" s="29"/>
      <c r="Y68" s="40"/>
      <c r="Z68" s="29"/>
      <c r="AA68" s="29"/>
      <c r="AB68" s="29"/>
      <c r="AC68" s="29"/>
      <c r="AD68" s="30"/>
      <c r="AE68" s="31"/>
      <c r="AF68" s="32"/>
    </row>
    <row r="69" spans="1:32" s="15" customFormat="1" x14ac:dyDescent="0.25">
      <c r="A69" s="214">
        <f t="shared" ref="A69:A72" si="151">EDATE(A56,12)</f>
        <v>45658</v>
      </c>
      <c r="B69" s="59" t="s">
        <v>89</v>
      </c>
      <c r="C69" s="9">
        <f>'30 Jun 2025 - Gross'!C69</f>
        <v>2471410.6879396252</v>
      </c>
      <c r="D69" s="10">
        <f>'30 Jun 2025 - Gross'!D69</f>
        <v>2248367.4893272435</v>
      </c>
      <c r="E69" s="11">
        <f>'30 Jun 2025 - Gross'!E69</f>
        <v>4719778.1772668688</v>
      </c>
      <c r="F69" s="5"/>
      <c r="G69" s="5"/>
      <c r="H69" s="5"/>
      <c r="I69" s="5"/>
      <c r="J69" s="4" cm="1">
        <f t="array" ref="J69">SUMPRODUCT('Net Results by UW month'!M$11:M$1000,'Net Results by UW month'!D$11:D$1000,--('Net Results by UW month'!$C$11:$C$1000='30 Jun 2025 - Net'!$A69))/'30 Jun 2025 - Net'!C69</f>
        <v>0.83447136694703639</v>
      </c>
      <c r="K69" s="7" cm="1">
        <f t="array" ref="K69">SUMPRODUCT('Net Results by UW month'!N$11:N$1000,'Net Results by UW month'!E$11:E$1000,--('Net Results by UW month'!$C$11:$C$1000='30 Jun 2025 - Net'!$A69))/'30 Jun 2025 - Net'!D69</f>
        <v>0.70466905788692036</v>
      </c>
      <c r="L69" s="6" cm="1">
        <f t="array" ref="L69">SUMPRODUCT('Net Results by UW month'!O$11:O$1000,'Net Results by UW month'!F$11:F$1000,--('Net Results by UW month'!$C$11:$C$1000='30 Jun 2025 - Net'!$A69))/'30 Jun 2025 - Net'!E69</f>
        <v>0.77263725509490422</v>
      </c>
      <c r="M69" s="12">
        <f t="shared" ref="M69" si="152">C69-W69</f>
        <v>2471410.6879396252</v>
      </c>
      <c r="N69" s="13">
        <f t="shared" ref="N69" si="153">D69-X69</f>
        <v>2248367.4893272435</v>
      </c>
      <c r="O69" s="14">
        <f t="shared" ref="O69" si="154">E69-Y69</f>
        <v>4719778.1772668688</v>
      </c>
      <c r="P69" s="5"/>
      <c r="Q69" s="5"/>
      <c r="R69" s="5"/>
      <c r="S69" s="5"/>
      <c r="T69" s="4">
        <f t="shared" ref="T69" si="155">IFERROR((C69*J69-W69*AD69)/M69,"")</f>
        <v>0.83447136694703639</v>
      </c>
      <c r="U69" s="7">
        <f t="shared" ref="U69" si="156">IFERROR((D69*K69-X69*AE69)/N69,"")</f>
        <v>0.70466905788692036</v>
      </c>
      <c r="V69" s="6">
        <f t="shared" ref="V69" si="157">IFERROR((E69*L69-Y69*AF69)/O69,"")</f>
        <v>0.77263725509490422</v>
      </c>
      <c r="W69" s="12"/>
      <c r="X69" s="13"/>
      <c r="Y69" s="14"/>
      <c r="Z69" s="5"/>
      <c r="AA69" s="5"/>
      <c r="AB69" s="5"/>
      <c r="AC69" s="5"/>
      <c r="AD69" s="4"/>
      <c r="AE69" s="7"/>
      <c r="AF69" s="6"/>
    </row>
    <row r="70" spans="1:32" s="15" customFormat="1" x14ac:dyDescent="0.25">
      <c r="A70" s="214">
        <f t="shared" si="151"/>
        <v>45689</v>
      </c>
      <c r="B70" s="59" t="s">
        <v>90</v>
      </c>
      <c r="C70" s="9">
        <f>'30 Jun 2025 - Gross'!C70</f>
        <v>1771659.4145453353</v>
      </c>
      <c r="D70" s="10">
        <f>'30 Jun 2025 - Gross'!D70</f>
        <v>2266956.2144451202</v>
      </c>
      <c r="E70" s="11">
        <f>'30 Jun 2025 - Gross'!E70</f>
        <v>4038615.6289904555</v>
      </c>
      <c r="F70" s="5"/>
      <c r="G70" s="5"/>
      <c r="H70" s="5"/>
      <c r="I70" s="5"/>
      <c r="J70" s="4" cm="1">
        <f t="array" ref="J70">SUMPRODUCT('Net Results by UW month'!M$11:M$1000,'Net Results by UW month'!D$11:D$1000,--('Net Results by UW month'!$C$11:$C$1000='30 Jun 2025 - Net'!$A70))/'30 Jun 2025 - Net'!C70</f>
        <v>0.6790707676527532</v>
      </c>
      <c r="K70" s="7" cm="1">
        <f t="array" ref="K70">SUMPRODUCT('Net Results by UW month'!N$11:N$1000,'Net Results by UW month'!E$11:E$1000,--('Net Results by UW month'!$C$11:$C$1000='30 Jun 2025 - Net'!$A70))/'30 Jun 2025 - Net'!D70</f>
        <v>0.70586197300807607</v>
      </c>
      <c r="L70" s="6" cm="1">
        <f t="array" ref="L70">SUMPRODUCT('Net Results by UW month'!O$11:O$1000,'Net Results by UW month'!F$11:F$1000,--('Net Results by UW month'!$C$11:$C$1000='30 Jun 2025 - Net'!$A70))/'30 Jun 2025 - Net'!E70</f>
        <v>0.69410921029056039</v>
      </c>
      <c r="M70" s="12">
        <f t="shared" ref="M70" si="158">C70-W70</f>
        <v>1771659.4145453353</v>
      </c>
      <c r="N70" s="13">
        <f t="shared" ref="N70" si="159">D70-X70</f>
        <v>2266956.2144451202</v>
      </c>
      <c r="O70" s="14">
        <f t="shared" ref="O70" si="160">E70-Y70</f>
        <v>4038615.6289904555</v>
      </c>
      <c r="P70" s="5"/>
      <c r="Q70" s="5"/>
      <c r="R70" s="5"/>
      <c r="S70" s="5"/>
      <c r="T70" s="4">
        <f t="shared" ref="T70" si="161">IFERROR((C70*J70-W70*AD70)/M70,"")</f>
        <v>0.6790707676527532</v>
      </c>
      <c r="U70" s="7">
        <f t="shared" ref="U70" si="162">IFERROR((D70*K70-X70*AE70)/N70,"")</f>
        <v>0.70586197300807607</v>
      </c>
      <c r="V70" s="6">
        <f t="shared" ref="V70" si="163">IFERROR((E70*L70-Y70*AF70)/O70,"")</f>
        <v>0.69410921029056039</v>
      </c>
      <c r="W70" s="12"/>
      <c r="X70" s="13"/>
      <c r="Y70" s="14"/>
      <c r="Z70" s="5"/>
      <c r="AA70" s="5"/>
      <c r="AB70" s="5"/>
      <c r="AC70" s="5"/>
      <c r="AD70" s="4"/>
      <c r="AE70" s="7"/>
      <c r="AF70" s="6"/>
    </row>
    <row r="71" spans="1:32" s="15" customFormat="1" x14ac:dyDescent="0.25">
      <c r="A71" s="214">
        <f t="shared" si="151"/>
        <v>45717</v>
      </c>
      <c r="B71" s="59" t="s">
        <v>92</v>
      </c>
      <c r="C71" s="9">
        <f>'30 Jun 2025 - Gross'!C71</f>
        <v>1732714.0761873331</v>
      </c>
      <c r="D71" s="10">
        <f>'30 Jun 2025 - Gross'!D71</f>
        <v>3142387.5450637592</v>
      </c>
      <c r="E71" s="11">
        <f>'30 Jun 2025 - Gross'!E71</f>
        <v>4875101.6212510923</v>
      </c>
      <c r="F71" s="5"/>
      <c r="G71" s="5"/>
      <c r="H71" s="5"/>
      <c r="I71" s="5"/>
      <c r="J71" s="4" cm="1">
        <f t="array" ref="J71">SUMPRODUCT('Net Results by UW month'!M$11:M$1000,'Net Results by UW month'!D$11:D$1000,--('Net Results by UW month'!$C$11:$C$1000='30 Jun 2025 - Net'!$A71))/'30 Jun 2025 - Net'!C71</f>
        <v>0.75088250238784604</v>
      </c>
      <c r="K71" s="7" cm="1">
        <f t="array" ref="K71">SUMPRODUCT('Net Results by UW month'!N$11:N$1000,'Net Results by UW month'!E$11:E$1000,--('Net Results by UW month'!$C$11:$C$1000='30 Jun 2025 - Net'!$A71))/'30 Jun 2025 - Net'!D71</f>
        <v>0.70773655391274903</v>
      </c>
      <c r="L71" s="6" cm="1">
        <f t="array" ref="L71">SUMPRODUCT('Net Results by UW month'!O$11:O$1000,'Net Results by UW month'!F$11:F$1000,--('Net Results by UW month'!$C$11:$C$1000='30 Jun 2025 - Net'!$A71))/'30 Jun 2025 - Net'!E71</f>
        <v>0.72307153522418854</v>
      </c>
      <c r="M71" s="12">
        <f t="shared" ref="M71:M72" si="164">C71-W71</f>
        <v>1732714.0761873331</v>
      </c>
      <c r="N71" s="13">
        <f t="shared" ref="N71:N72" si="165">D71-X71</f>
        <v>3142387.5450637592</v>
      </c>
      <c r="O71" s="14">
        <f t="shared" ref="O71:O72" si="166">E71-Y71</f>
        <v>4875101.6212510923</v>
      </c>
      <c r="P71" s="5"/>
      <c r="Q71" s="5"/>
      <c r="R71" s="5"/>
      <c r="S71" s="5"/>
      <c r="T71" s="4">
        <f t="shared" ref="T71:T72" si="167">IFERROR((C71*J71-W71*AD71)/M71,"")</f>
        <v>0.75088250238784604</v>
      </c>
      <c r="U71" s="7">
        <f t="shared" ref="U71:U72" si="168">IFERROR((D71*K71-X71*AE71)/N71,"")</f>
        <v>0.70773655391274903</v>
      </c>
      <c r="V71" s="6">
        <f t="shared" ref="V71:V72" si="169">IFERROR((E71*L71-Y71*AF71)/O71,"")</f>
        <v>0.72307153522418854</v>
      </c>
      <c r="W71" s="12"/>
      <c r="X71" s="13"/>
      <c r="Y71" s="14"/>
      <c r="Z71" s="5"/>
      <c r="AA71" s="5"/>
      <c r="AB71" s="5"/>
      <c r="AC71" s="5"/>
      <c r="AD71" s="4"/>
      <c r="AE71" s="7"/>
      <c r="AF71" s="6"/>
    </row>
    <row r="72" spans="1:32" s="15" customFormat="1" x14ac:dyDescent="0.25">
      <c r="A72" s="214">
        <f t="shared" si="151"/>
        <v>45748</v>
      </c>
      <c r="B72" s="59" t="s">
        <v>94</v>
      </c>
      <c r="C72" s="9">
        <f>'30 Jun 2025 - Gross'!C72</f>
        <v>1226694.6413765592</v>
      </c>
      <c r="D72" s="10">
        <f>'30 Jun 2025 - Gross'!D72</f>
        <v>3385812.5059010494</v>
      </c>
      <c r="E72" s="11">
        <f>'30 Jun 2025 - Gross'!E72</f>
        <v>4612507.1472776085</v>
      </c>
      <c r="F72" s="5"/>
      <c r="G72" s="5"/>
      <c r="H72" s="5"/>
      <c r="I72" s="5"/>
      <c r="J72" s="4" cm="1">
        <f t="array" ref="J72">SUMPRODUCT('Net Results by UW month'!M$11:M$1000,'Net Results by UW month'!D$11:D$1000,--('Net Results by UW month'!$C$11:$C$1000='30 Jun 2025 - Net'!$A72))/'30 Jun 2025 - Net'!C72</f>
        <v>0.71482616978320912</v>
      </c>
      <c r="K72" s="7" cm="1">
        <f t="array" ref="K72">SUMPRODUCT('Net Results by UW month'!N$11:N$1000,'Net Results by UW month'!E$11:E$1000,--('Net Results by UW month'!$C$11:$C$1000='30 Jun 2025 - Net'!$A72))/'30 Jun 2025 - Net'!D72</f>
        <v>0.70914248959125337</v>
      </c>
      <c r="L72" s="6" cm="1">
        <f t="array" ref="L72">SUMPRODUCT('Net Results by UW month'!O$11:O$1000,'Net Results by UW month'!F$11:F$1000,--('Net Results by UW month'!$C$11:$C$1000='30 Jun 2025 - Net'!$A72))/'30 Jun 2025 - Net'!E72</f>
        <v>0.71065406232429196</v>
      </c>
      <c r="M72" s="12">
        <f t="shared" si="164"/>
        <v>1226694.6413765592</v>
      </c>
      <c r="N72" s="13">
        <f t="shared" si="165"/>
        <v>3385812.5059010494</v>
      </c>
      <c r="O72" s="14">
        <f t="shared" si="166"/>
        <v>4612507.1472776085</v>
      </c>
      <c r="P72" s="5"/>
      <c r="Q72" s="5"/>
      <c r="R72" s="5"/>
      <c r="S72" s="5"/>
      <c r="T72" s="4">
        <f t="shared" si="167"/>
        <v>0.71482616978320912</v>
      </c>
      <c r="U72" s="7">
        <f t="shared" si="168"/>
        <v>0.70914248959125337</v>
      </c>
      <c r="V72" s="6">
        <f t="shared" si="169"/>
        <v>0.71065406232429196</v>
      </c>
      <c r="W72" s="12"/>
      <c r="X72" s="13"/>
      <c r="Y72" s="14"/>
      <c r="Z72" s="5"/>
      <c r="AA72" s="5"/>
      <c r="AB72" s="5"/>
      <c r="AC72" s="5"/>
      <c r="AD72" s="4"/>
      <c r="AE72" s="7"/>
      <c r="AF72" s="6"/>
    </row>
    <row r="73" spans="1:32" s="15" customFormat="1" x14ac:dyDescent="0.25">
      <c r="A73" s="214">
        <f t="shared" ref="A73:A74" si="170">EDATE(A60,12)</f>
        <v>45778</v>
      </c>
      <c r="B73" s="59" t="s">
        <v>96</v>
      </c>
      <c r="C73" s="9">
        <f>'30 Jun 2025 - Gross'!C73</f>
        <v>811396.34322219016</v>
      </c>
      <c r="D73" s="10">
        <f>'30 Jun 2025 - Gross'!D73</f>
        <v>4022197.5361649008</v>
      </c>
      <c r="E73" s="11">
        <f>'30 Jun 2025 - Gross'!E73</f>
        <v>4833593.8793870909</v>
      </c>
      <c r="F73" s="5"/>
      <c r="G73" s="5"/>
      <c r="H73" s="5"/>
      <c r="I73" s="5"/>
      <c r="J73" s="4" cm="1">
        <f t="array" ref="J73">SUMPRODUCT('Net Results by UW month'!M$11:M$1000,'Net Results by UW month'!D$11:D$1000,--('Net Results by UW month'!$C$11:$C$1000='30 Jun 2025 - Net'!$A73))/'30 Jun 2025 - Net'!C73</f>
        <v>0.71482616978320912</v>
      </c>
      <c r="K73" s="7" cm="1">
        <f t="array" ref="K73">SUMPRODUCT('Net Results by UW month'!N$11:N$1000,'Net Results by UW month'!E$11:E$1000,--('Net Results by UW month'!$C$11:$C$1000='30 Jun 2025 - Net'!$A73))/'30 Jun 2025 - Net'!D73</f>
        <v>0.70914248959125348</v>
      </c>
      <c r="L73" s="6" cm="1">
        <f t="array" ref="L73">SUMPRODUCT('Net Results by UW month'!O$11:O$1000,'Net Results by UW month'!F$11:F$1000,--('Net Results by UW month'!$C$11:$C$1000='30 Jun 2025 - Net'!$A73))/'30 Jun 2025 - Net'!E73</f>
        <v>0.71009658657144537</v>
      </c>
      <c r="M73" s="12">
        <f t="shared" ref="M73:M74" si="171">C73-W73</f>
        <v>811396.34322219016</v>
      </c>
      <c r="N73" s="13">
        <f t="shared" ref="N73:N74" si="172">D73-X73</f>
        <v>4022197.5361649008</v>
      </c>
      <c r="O73" s="14">
        <f t="shared" ref="O73:O74" si="173">E73-Y73</f>
        <v>4833593.8793870909</v>
      </c>
      <c r="P73" s="5"/>
      <c r="Q73" s="5"/>
      <c r="R73" s="5"/>
      <c r="S73" s="5"/>
      <c r="T73" s="4">
        <f t="shared" ref="T73:T74" si="174">IFERROR((C73*J73-W73*AD73)/M73,"")</f>
        <v>0.71482616978320912</v>
      </c>
      <c r="U73" s="7">
        <f t="shared" ref="U73:U74" si="175">IFERROR((D73*K73-X73*AE73)/N73,"")</f>
        <v>0.70914248959125348</v>
      </c>
      <c r="V73" s="6">
        <f t="shared" ref="V73:V74" si="176">IFERROR((E73*L73-Y73*AF73)/O73,"")</f>
        <v>0.71009658657144537</v>
      </c>
      <c r="W73" s="12"/>
      <c r="X73" s="13"/>
      <c r="Y73" s="14"/>
      <c r="Z73" s="5"/>
      <c r="AA73" s="5"/>
      <c r="AB73" s="5"/>
      <c r="AC73" s="5"/>
      <c r="AD73" s="4"/>
      <c r="AE73" s="7"/>
      <c r="AF73" s="6"/>
    </row>
    <row r="74" spans="1:32" s="15" customFormat="1" x14ac:dyDescent="0.25">
      <c r="A74" s="214">
        <f t="shared" si="170"/>
        <v>45809</v>
      </c>
      <c r="B74" s="25" t="s">
        <v>97</v>
      </c>
      <c r="C74" s="26">
        <f>'30 Jun 2025 - Gross'!C74</f>
        <v>301631.14749905083</v>
      </c>
      <c r="D74" s="27">
        <f>'30 Jun 2025 - Gross'!D74</f>
        <v>3994883.3769856794</v>
      </c>
      <c r="E74" s="28">
        <f>'30 Jun 2025 - Gross'!E74</f>
        <v>4296514.5244847303</v>
      </c>
      <c r="F74" s="29"/>
      <c r="G74" s="29"/>
      <c r="H74" s="29"/>
      <c r="I74" s="29"/>
      <c r="J74" s="30" cm="1">
        <f t="array" ref="J74">SUMPRODUCT('Net Results by UW month'!M$11:M$1000,'Net Results by UW month'!D$11:D$1000,--('Net Results by UW month'!$C$11:$C$1000='30 Jun 2025 - Net'!$A74))/'30 Jun 2025 - Net'!C74</f>
        <v>0.71482616978320912</v>
      </c>
      <c r="K74" s="31" cm="1">
        <f t="array" ref="K74">SUMPRODUCT('Net Results by UW month'!N$11:N$1000,'Net Results by UW month'!E$11:E$1000,--('Net Results by UW month'!$C$11:$C$1000='30 Jun 2025 - Net'!$A74))/'30 Jun 2025 - Net'!D74</f>
        <v>0.70914248959125359</v>
      </c>
      <c r="L74" s="32" cm="1">
        <f t="array" ref="L74">SUMPRODUCT('Net Results by UW month'!O$11:O$1000,'Net Results by UW month'!F$11:F$1000,--('Net Results by UW month'!$C$11:$C$1000='30 Jun 2025 - Net'!$A74))/'30 Jun 2025 - Net'!E74</f>
        <v>0.70954150487877277</v>
      </c>
      <c r="M74" s="33">
        <f t="shared" si="171"/>
        <v>301631.14749905083</v>
      </c>
      <c r="N74" s="34">
        <f t="shared" si="172"/>
        <v>3994883.3769856794</v>
      </c>
      <c r="O74" s="35">
        <f t="shared" si="173"/>
        <v>4296514.5244847303</v>
      </c>
      <c r="P74" s="29"/>
      <c r="Q74" s="29"/>
      <c r="R74" s="29"/>
      <c r="S74" s="29"/>
      <c r="T74" s="30">
        <f t="shared" si="174"/>
        <v>0.71482616978320912</v>
      </c>
      <c r="U74" s="31">
        <f t="shared" si="175"/>
        <v>0.70914248959125359</v>
      </c>
      <c r="V74" s="32">
        <f t="shared" si="176"/>
        <v>0.70954150487877277</v>
      </c>
      <c r="W74" s="33"/>
      <c r="X74" s="34"/>
      <c r="Y74" s="35"/>
      <c r="Z74" s="29"/>
      <c r="AA74" s="29"/>
      <c r="AB74" s="29"/>
      <c r="AC74" s="29"/>
      <c r="AD74" s="30"/>
      <c r="AE74" s="31"/>
      <c r="AF74" s="32"/>
    </row>
    <row r="75" spans="1:32" ht="15.75" thickBot="1" x14ac:dyDescent="0.3">
      <c r="B75" s="60"/>
      <c r="C75" s="36"/>
      <c r="D75" s="37"/>
      <c r="E75" s="38"/>
      <c r="F75" s="29"/>
      <c r="G75" s="29"/>
      <c r="H75" s="29"/>
      <c r="I75" s="29"/>
      <c r="J75" s="30"/>
      <c r="K75" s="31"/>
      <c r="L75" s="32"/>
      <c r="M75" s="39"/>
      <c r="N75" s="29"/>
      <c r="O75" s="40"/>
      <c r="P75" s="29"/>
      <c r="Q75" s="29"/>
      <c r="R75" s="29"/>
      <c r="S75" s="29"/>
      <c r="T75" s="30"/>
      <c r="U75" s="31"/>
      <c r="V75" s="32"/>
      <c r="W75" s="39"/>
      <c r="X75" s="29"/>
      <c r="Y75" s="40"/>
      <c r="Z75" s="29"/>
      <c r="AA75" s="29"/>
      <c r="AB75" s="29"/>
      <c r="AC75" s="29"/>
      <c r="AD75" s="30"/>
      <c r="AE75" s="31"/>
      <c r="AF75" s="32"/>
    </row>
    <row r="76" spans="1:32" x14ac:dyDescent="0.25">
      <c r="B76" s="61" t="s">
        <v>33</v>
      </c>
      <c r="C76" s="69">
        <f>SUM(C17,C28)</f>
        <v>118040452.96104646</v>
      </c>
      <c r="D76" s="70">
        <f t="shared" ref="D76:E76" si="177">SUM(D17,D28)</f>
        <v>0</v>
      </c>
      <c r="E76" s="71">
        <f t="shared" si="177"/>
        <v>118040452.96104646</v>
      </c>
      <c r="F76" s="72"/>
      <c r="G76" s="72"/>
      <c r="H76" s="72"/>
      <c r="I76" s="72"/>
      <c r="J76" s="73">
        <f>(J17*C17+J28*C28)/(C28+C17)</f>
        <v>0.96270576792422125</v>
      </c>
      <c r="K76" s="74"/>
      <c r="L76" s="75">
        <f t="shared" ref="L76" si="178">(L17*E17+L28*E28)/(E28+E17)</f>
        <v>0.96270576792422125</v>
      </c>
      <c r="M76" s="69">
        <f>SUM(M17,M28)</f>
        <v>96916458.263903633</v>
      </c>
      <c r="N76" s="70">
        <f t="shared" ref="N76:O76" si="179">SUM(N17,N28)</f>
        <v>0</v>
      </c>
      <c r="O76" s="71">
        <f t="shared" si="179"/>
        <v>96916458.263903633</v>
      </c>
      <c r="P76" s="72"/>
      <c r="Q76" s="72"/>
      <c r="R76" s="72"/>
      <c r="S76" s="72"/>
      <c r="T76" s="73">
        <f>(T17*M17+T28*M28)/(M28+M17)</f>
        <v>0.91558853868045353</v>
      </c>
      <c r="U76" s="74"/>
      <c r="V76" s="75">
        <f t="shared" ref="V76" si="180">(V17*O17+V28*O28)/(O28+O17)</f>
        <v>0.91558853868045353</v>
      </c>
      <c r="W76" s="99">
        <f>SUM(W17,W28)</f>
        <v>21123994.697142832</v>
      </c>
      <c r="X76" s="100">
        <f t="shared" ref="X76:Y76" si="181">SUM(X17,X28)</f>
        <v>0</v>
      </c>
      <c r="Y76" s="101">
        <f t="shared" si="181"/>
        <v>21123994.697142832</v>
      </c>
      <c r="Z76" s="102"/>
      <c r="AA76" s="102"/>
      <c r="AB76" s="102"/>
      <c r="AC76" s="102"/>
      <c r="AD76" s="103">
        <f>(AD17*W17+AD28*W28)/(W28+W17)</f>
        <v>1.1788786578999997</v>
      </c>
      <c r="AE76" s="104"/>
      <c r="AF76" s="105">
        <f>(AF17*Y17+AF28*Y28)/(Y28+Y17)</f>
        <v>1.1788786578999997</v>
      </c>
    </row>
    <row r="77" spans="1:32" x14ac:dyDescent="0.25">
      <c r="B77" s="59" t="s">
        <v>34</v>
      </c>
      <c r="C77" s="9">
        <f>SUM(C29:C32)</f>
        <v>130136134.41083243</v>
      </c>
      <c r="D77" s="10">
        <f t="shared" ref="D77" si="182">SUM(D29:D32)</f>
        <v>0</v>
      </c>
      <c r="E77" s="11">
        <f>SUM(E29:E32)</f>
        <v>130136134.41083243</v>
      </c>
      <c r="F77" s="5"/>
      <c r="G77" s="5"/>
      <c r="H77" s="5"/>
      <c r="I77" s="5"/>
      <c r="J77" s="4">
        <f>SUMPRODUCT(J29:J32,C29:C32)/C77</f>
        <v>0.97878151271443548</v>
      </c>
      <c r="K77" s="7"/>
      <c r="L77" s="6">
        <f>SUMPRODUCT(L29:L32,E29:E32)/E77</f>
        <v>0.97878151271443548</v>
      </c>
      <c r="M77" s="9">
        <f>SUM(M29:M32)</f>
        <v>121336447.91118959</v>
      </c>
      <c r="N77" s="10">
        <f t="shared" ref="N77" si="183">SUM(N29:N32)</f>
        <v>0</v>
      </c>
      <c r="O77" s="11">
        <f>SUM(O29:O32)</f>
        <v>121336447.91118959</v>
      </c>
      <c r="P77" s="5"/>
      <c r="Q77" s="5"/>
      <c r="R77" s="5"/>
      <c r="S77" s="5"/>
      <c r="T77" s="4">
        <f>SUMPRODUCT(T29:T32,M29:M32)/M77</f>
        <v>0.98614819727875669</v>
      </c>
      <c r="U77" s="7"/>
      <c r="V77" s="6">
        <f>SUMPRODUCT(V29:V32,O29:O32)/O77</f>
        <v>0.98614819727875658</v>
      </c>
      <c r="W77" s="87">
        <f>SUM(W29:W32)</f>
        <v>8799686.4996428601</v>
      </c>
      <c r="X77" s="88">
        <f t="shared" ref="X77" si="184">SUM(X29:X32)</f>
        <v>0</v>
      </c>
      <c r="Y77" s="89">
        <f>SUM(Y29:Y32)</f>
        <v>8799686.4996428601</v>
      </c>
      <c r="Z77" s="90"/>
      <c r="AA77" s="90"/>
      <c r="AB77" s="90"/>
      <c r="AC77" s="90"/>
      <c r="AD77" s="91">
        <f>SUMPRODUCT(AD29:AD32,W29:W32)/W77</f>
        <v>0.87720433289635635</v>
      </c>
      <c r="AE77" s="95"/>
      <c r="AF77" s="92">
        <f>SUMPRODUCT(AF29:AF32,Y29:Y32)/Y77</f>
        <v>0.87720433289635658</v>
      </c>
    </row>
    <row r="78" spans="1:32" x14ac:dyDescent="0.25">
      <c r="B78" s="59" t="s">
        <v>43</v>
      </c>
      <c r="C78" s="9">
        <f t="shared" ref="C78:E78" si="185">SUM(C33:C36)</f>
        <v>97164966.933519527</v>
      </c>
      <c r="D78" s="10">
        <f t="shared" si="185"/>
        <v>0</v>
      </c>
      <c r="E78" s="11">
        <f t="shared" si="185"/>
        <v>97164966.933519527</v>
      </c>
      <c r="F78" s="5"/>
      <c r="G78" s="5"/>
      <c r="H78" s="5"/>
      <c r="I78" s="5"/>
      <c r="J78" s="4">
        <f>SUMPRODUCT(J33:J36,C33:C36)/SUM(C33:C36)</f>
        <v>0.75692143459195027</v>
      </c>
      <c r="K78" s="7"/>
      <c r="L78" s="6">
        <f>SUMPRODUCT(L33:L36,E33:E36)/SUM(E33:E36)</f>
        <v>0.75692143459195027</v>
      </c>
      <c r="M78" s="9">
        <f t="shared" ref="M78:O78" si="186">SUM(M33:M36)</f>
        <v>91962560.234233811</v>
      </c>
      <c r="N78" s="10">
        <f t="shared" si="186"/>
        <v>0</v>
      </c>
      <c r="O78" s="11">
        <f t="shared" si="186"/>
        <v>91962560.234233811</v>
      </c>
      <c r="P78" s="5"/>
      <c r="Q78" s="5"/>
      <c r="R78" s="5"/>
      <c r="S78" s="5"/>
      <c r="T78" s="4">
        <f>SUMPRODUCT(T33:T36,M33:M36)/SUM(M33:M36)</f>
        <v>0.74295918998876043</v>
      </c>
      <c r="U78" s="7"/>
      <c r="V78" s="6">
        <f>SUMPRODUCT(V33:V36,O33:O36)/SUM(O33:O36)</f>
        <v>0.74295918998876043</v>
      </c>
      <c r="W78" s="87">
        <f t="shared" ref="W78:Y78" si="187">SUM(W33:W36)</f>
        <v>5202406.6992857158</v>
      </c>
      <c r="X78" s="88">
        <f t="shared" si="187"/>
        <v>0</v>
      </c>
      <c r="Y78" s="89">
        <f t="shared" si="187"/>
        <v>5202406.6992857158</v>
      </c>
      <c r="Z78" s="90"/>
      <c r="AA78" s="90"/>
      <c r="AB78" s="90"/>
      <c r="AC78" s="90"/>
      <c r="AD78" s="91">
        <f>SUMPRODUCT(AD33:AD36,W33:W36)/SUM(W33:W36)</f>
        <v>1.0037310045746737</v>
      </c>
      <c r="AE78" s="95"/>
      <c r="AF78" s="92">
        <f>SUMPRODUCT(AF33:AF36,Y33:Y36)/SUM(Y33:Y36)</f>
        <v>1.0037310045746737</v>
      </c>
    </row>
    <row r="79" spans="1:32" x14ac:dyDescent="0.25">
      <c r="B79" s="59" t="s">
        <v>44</v>
      </c>
      <c r="C79" s="9">
        <f t="shared" ref="C79:E79" si="188">C78+C77</f>
        <v>227301101.34435195</v>
      </c>
      <c r="D79" s="10">
        <f t="shared" si="188"/>
        <v>0</v>
      </c>
      <c r="E79" s="11">
        <f t="shared" si="188"/>
        <v>227301101.34435195</v>
      </c>
      <c r="F79" s="5"/>
      <c r="G79" s="5"/>
      <c r="H79" s="5"/>
      <c r="I79" s="5"/>
      <c r="J79" s="4">
        <f t="shared" ref="J79:L79" si="189">SUMPRODUCT(J77:J78,C77:C78)/SUM(C77:C78)</f>
        <v>0.88394243350565815</v>
      </c>
      <c r="K79" s="7"/>
      <c r="L79" s="6">
        <f t="shared" si="189"/>
        <v>0.88394243350565815</v>
      </c>
      <c r="M79" s="9">
        <f t="shared" ref="M79" si="190">M78+M77</f>
        <v>213299008.14542341</v>
      </c>
      <c r="N79" s="10">
        <f t="shared" ref="N79" si="191">N78+N77</f>
        <v>0</v>
      </c>
      <c r="O79" s="11">
        <f t="shared" ref="O79" si="192">O78+O77</f>
        <v>213299008.14542341</v>
      </c>
      <c r="P79" s="5"/>
      <c r="Q79" s="5"/>
      <c r="R79" s="5"/>
      <c r="S79" s="5"/>
      <c r="T79" s="4">
        <f t="shared" ref="T79" si="193">SUMPRODUCT(T77:T78,M77:M78)/SUM(M77:M78)</f>
        <v>0.8812987470836473</v>
      </c>
      <c r="U79" s="7"/>
      <c r="V79" s="6">
        <f t="shared" ref="V79" si="194">SUMPRODUCT(V77:V78,O77:O78)/SUM(O77:O78)</f>
        <v>0.88129874708364719</v>
      </c>
      <c r="W79" s="87">
        <f t="shared" ref="W79" si="195">W78+W77</f>
        <v>14002093.198928576</v>
      </c>
      <c r="X79" s="88">
        <f t="shared" ref="X79" si="196">X78+X77</f>
        <v>0</v>
      </c>
      <c r="Y79" s="89">
        <f t="shared" ref="Y79" si="197">Y78+Y77</f>
        <v>14002093.198928576</v>
      </c>
      <c r="Z79" s="90"/>
      <c r="AA79" s="90"/>
      <c r="AB79" s="90"/>
      <c r="AC79" s="90"/>
      <c r="AD79" s="91">
        <f t="shared" ref="AD79" si="198">SUMPRODUCT(AD77:AD78,W77:W78)/SUM(W77:W78)</f>
        <v>0.92421467592335249</v>
      </c>
      <c r="AE79" s="95"/>
      <c r="AF79" s="92">
        <f t="shared" ref="AF79" si="199">SUMPRODUCT(AF77:AF78,Y77:Y78)/SUM(Y77:Y78)</f>
        <v>0.92421467592335271</v>
      </c>
    </row>
    <row r="80" spans="1:32" x14ac:dyDescent="0.25">
      <c r="B80" s="59" t="s">
        <v>45</v>
      </c>
      <c r="C80" s="9">
        <f t="shared" ref="C80:E80" si="200">SUM(C37:C40)</f>
        <v>62462661.186616547</v>
      </c>
      <c r="D80" s="10">
        <f t="shared" si="200"/>
        <v>13128059.190801049</v>
      </c>
      <c r="E80" s="11">
        <f t="shared" si="200"/>
        <v>75590720.377417594</v>
      </c>
      <c r="F80" s="5">
        <f t="shared" ref="F80:I81" si="201">F37</f>
        <v>0</v>
      </c>
      <c r="G80" s="5">
        <f t="shared" si="201"/>
        <v>0</v>
      </c>
      <c r="H80" s="5">
        <f t="shared" si="201"/>
        <v>0</v>
      </c>
      <c r="I80" s="5">
        <f t="shared" si="201"/>
        <v>0</v>
      </c>
      <c r="J80" s="4">
        <f t="shared" ref="J80:L80" si="202">SUMPRODUCT(J37:J40,C37:C40)/SUM(C37:C40)</f>
        <v>0.71086943503148337</v>
      </c>
      <c r="K80" s="7">
        <f t="shared" si="202"/>
        <v>0.70300381863427619</v>
      </c>
      <c r="L80" s="6">
        <f t="shared" si="202"/>
        <v>0.70950339066626089</v>
      </c>
      <c r="M80" s="9">
        <f t="shared" ref="M80:O80" si="203">SUM(M37:M40)</f>
        <v>62462661.186616547</v>
      </c>
      <c r="N80" s="10">
        <f t="shared" si="203"/>
        <v>13128059.190801049</v>
      </c>
      <c r="O80" s="11">
        <f t="shared" si="203"/>
        <v>75590720.377417594</v>
      </c>
      <c r="P80" s="5">
        <f t="shared" ref="P80:S81" si="204">P37</f>
        <v>0</v>
      </c>
      <c r="Q80" s="5">
        <f t="shared" si="204"/>
        <v>0</v>
      </c>
      <c r="R80" s="5">
        <f t="shared" si="204"/>
        <v>0</v>
      </c>
      <c r="S80" s="5">
        <f t="shared" si="204"/>
        <v>0</v>
      </c>
      <c r="T80" s="4">
        <f t="shared" ref="T80" si="205">SUMPRODUCT(T37:T40,M37:M40)/SUM(M37:M40)</f>
        <v>0.71086943503148337</v>
      </c>
      <c r="U80" s="7">
        <f t="shared" ref="U80" si="206">SUMPRODUCT(U37:U40,N37:N40)/SUM(N37:N40)</f>
        <v>0.70300381863427619</v>
      </c>
      <c r="V80" s="6">
        <f t="shared" ref="V80" si="207">SUMPRODUCT(V37:V40,O37:O40)/SUM(O37:O40)</f>
        <v>0.70950339066626089</v>
      </c>
      <c r="W80" s="87"/>
      <c r="X80" s="88"/>
      <c r="Y80" s="89"/>
      <c r="Z80" s="90">
        <f t="shared" ref="Z80:AC81" si="208">Z37</f>
        <v>0</v>
      </c>
      <c r="AA80" s="90">
        <f t="shared" si="208"/>
        <v>0</v>
      </c>
      <c r="AB80" s="90">
        <f t="shared" si="208"/>
        <v>0</v>
      </c>
      <c r="AC80" s="90">
        <f t="shared" si="208"/>
        <v>0</v>
      </c>
      <c r="AD80" s="91"/>
      <c r="AE80" s="95"/>
      <c r="AF80" s="92"/>
    </row>
    <row r="81" spans="2:32" ht="15.75" thickBot="1" x14ac:dyDescent="0.3">
      <c r="B81" s="62" t="s">
        <v>95</v>
      </c>
      <c r="C81" s="76">
        <f t="shared" ref="C81:E81" si="209">SUM(C41)</f>
        <v>2339722.1320978003</v>
      </c>
      <c r="D81" s="77">
        <f t="shared" si="209"/>
        <v>11402893.419051629</v>
      </c>
      <c r="E81" s="78">
        <f t="shared" si="209"/>
        <v>13742615.551149432</v>
      </c>
      <c r="F81" s="84">
        <f t="shared" si="201"/>
        <v>0</v>
      </c>
      <c r="G81" s="84">
        <f t="shared" si="201"/>
        <v>0</v>
      </c>
      <c r="H81" s="84">
        <f t="shared" si="201"/>
        <v>0</v>
      </c>
      <c r="I81" s="84">
        <f t="shared" si="201"/>
        <v>0</v>
      </c>
      <c r="J81" s="79">
        <f t="shared" ref="J81:L81" si="210">SUMPRODUCT(J41,C41)/SUM(C41)</f>
        <v>0.71482616978320912</v>
      </c>
      <c r="K81" s="80">
        <f t="shared" si="210"/>
        <v>0.70914248959125359</v>
      </c>
      <c r="L81" s="81">
        <f t="shared" si="210"/>
        <v>0.71011015344588047</v>
      </c>
      <c r="M81" s="76">
        <f t="shared" ref="M81:O81" si="211">SUM(M41)</f>
        <v>2339722.1320978003</v>
      </c>
      <c r="N81" s="77">
        <f t="shared" si="211"/>
        <v>11402893.419051629</v>
      </c>
      <c r="O81" s="78">
        <f t="shared" si="211"/>
        <v>13742615.551149432</v>
      </c>
      <c r="P81" s="84">
        <f t="shared" si="204"/>
        <v>0</v>
      </c>
      <c r="Q81" s="84">
        <f t="shared" si="204"/>
        <v>0</v>
      </c>
      <c r="R81" s="84">
        <f t="shared" si="204"/>
        <v>0</v>
      </c>
      <c r="S81" s="84">
        <f t="shared" si="204"/>
        <v>0</v>
      </c>
      <c r="T81" s="79">
        <f t="shared" ref="T81" si="212">SUMPRODUCT(T41,M41)/SUM(M41)</f>
        <v>0.71482616978320912</v>
      </c>
      <c r="U81" s="80">
        <f t="shared" ref="U81" si="213">SUMPRODUCT(U41,N41)/SUM(N41)</f>
        <v>0.70914248959125359</v>
      </c>
      <c r="V81" s="81">
        <f t="shared" ref="V81" si="214">SUMPRODUCT(V41,O41)/SUM(O41)</f>
        <v>0.71011015344588047</v>
      </c>
      <c r="W81" s="106"/>
      <c r="X81" s="107"/>
      <c r="Y81" s="108"/>
      <c r="Z81" s="109">
        <f t="shared" si="208"/>
        <v>0</v>
      </c>
      <c r="AA81" s="109">
        <f t="shared" si="208"/>
        <v>0</v>
      </c>
      <c r="AB81" s="109">
        <f t="shared" si="208"/>
        <v>0</v>
      </c>
      <c r="AC81" s="109">
        <f t="shared" si="208"/>
        <v>0</v>
      </c>
      <c r="AD81" s="110"/>
      <c r="AE81" s="111"/>
      <c r="AF81" s="112"/>
    </row>
    <row r="87" spans="2:32" x14ac:dyDescent="0.25">
      <c r="B87" s="2"/>
    </row>
    <row r="88" spans="2:32" x14ac:dyDescent="0.25">
      <c r="C88" s="3"/>
    </row>
    <row r="90" spans="2:32" x14ac:dyDescent="0.25">
      <c r="B90" s="215" t="s">
        <v>85</v>
      </c>
      <c r="C90" s="216"/>
      <c r="D90" s="216"/>
      <c r="E90" s="216"/>
      <c r="F90" s="216"/>
      <c r="G90" s="216"/>
      <c r="H90" s="216"/>
      <c r="I90" s="216"/>
      <c r="J90" s="216"/>
      <c r="K90" s="216"/>
      <c r="L90" s="216"/>
    </row>
    <row r="91" spans="2:32" x14ac:dyDescent="0.25">
      <c r="B91" s="215">
        <v>2021</v>
      </c>
      <c r="C91" s="217">
        <f t="shared" ref="C91:E91" si="215">SUM(C24:C27)-C17</f>
        <v>0</v>
      </c>
      <c r="D91" s="217">
        <f t="shared" si="215"/>
        <v>0</v>
      </c>
      <c r="E91" s="217">
        <f t="shared" si="215"/>
        <v>0</v>
      </c>
      <c r="F91" s="216"/>
      <c r="G91" s="216"/>
      <c r="H91" s="216"/>
      <c r="I91" s="216"/>
      <c r="J91" s="216">
        <f t="shared" ref="J91:L91" si="216">SUMPRODUCT(J24:J27,C24:C27)-(J17*C17)</f>
        <v>0</v>
      </c>
      <c r="K91" s="216">
        <f t="shared" si="216"/>
        <v>0</v>
      </c>
      <c r="L91" s="216">
        <f t="shared" si="216"/>
        <v>0</v>
      </c>
    </row>
    <row r="92" spans="2:32" x14ac:dyDescent="0.25">
      <c r="B92" s="215">
        <v>2022</v>
      </c>
      <c r="C92" s="217">
        <f t="shared" ref="C92:E92" si="217">SUM(C28:C31)-C18</f>
        <v>0</v>
      </c>
      <c r="D92" s="217">
        <f t="shared" si="217"/>
        <v>0</v>
      </c>
      <c r="E92" s="217">
        <f t="shared" si="217"/>
        <v>0</v>
      </c>
      <c r="F92" s="216"/>
      <c r="G92" s="216"/>
      <c r="H92" s="216"/>
      <c r="I92" s="216"/>
      <c r="J92" s="216">
        <f t="shared" ref="J92:L92" si="218">SUMPRODUCT(J28:J31,C28:C31)-(J18*C18)</f>
        <v>0</v>
      </c>
      <c r="K92" s="216">
        <f t="shared" si="218"/>
        <v>0</v>
      </c>
      <c r="L92" s="216">
        <f t="shared" si="218"/>
        <v>0</v>
      </c>
    </row>
    <row r="93" spans="2:32" x14ac:dyDescent="0.25">
      <c r="B93" s="215">
        <v>2023</v>
      </c>
      <c r="C93" s="217">
        <f t="shared" ref="C93:E93" si="219">SUM(C32:C35)-C19</f>
        <v>0</v>
      </c>
      <c r="D93" s="217">
        <f t="shared" si="219"/>
        <v>0</v>
      </c>
      <c r="E93" s="217">
        <f t="shared" si="219"/>
        <v>0</v>
      </c>
      <c r="F93" s="216"/>
      <c r="G93" s="216"/>
      <c r="H93" s="216"/>
      <c r="I93" s="216"/>
      <c r="J93" s="216">
        <f t="shared" ref="J93:L93" si="220">SUMPRODUCT(J32:J35,C32:C35)-(J19*C19)</f>
        <v>0</v>
      </c>
      <c r="K93" s="216">
        <f t="shared" si="220"/>
        <v>0</v>
      </c>
      <c r="L93" s="216">
        <f t="shared" si="220"/>
        <v>0</v>
      </c>
    </row>
    <row r="94" spans="2:32" x14ac:dyDescent="0.25">
      <c r="B94" s="215">
        <v>2024</v>
      </c>
      <c r="C94" s="217">
        <f t="shared" ref="C94:E94" si="221">SUM(C36:C39)-C20</f>
        <v>0</v>
      </c>
      <c r="D94" s="217">
        <f t="shared" si="221"/>
        <v>0</v>
      </c>
      <c r="E94" s="217">
        <f t="shared" si="221"/>
        <v>0</v>
      </c>
      <c r="F94" s="216"/>
      <c r="G94" s="216"/>
      <c r="H94" s="216"/>
      <c r="I94" s="216"/>
      <c r="J94" s="216">
        <f t="shared" ref="J94:L94" si="222">SUMPRODUCT(J36:J39,C36:C39)-(J20*C20)</f>
        <v>0</v>
      </c>
      <c r="K94" s="216">
        <f t="shared" si="222"/>
        <v>0</v>
      </c>
      <c r="L94" s="216">
        <f t="shared" si="222"/>
        <v>0</v>
      </c>
    </row>
    <row r="95" spans="2:32" x14ac:dyDescent="0.25">
      <c r="B95" s="215">
        <v>2025</v>
      </c>
      <c r="C95" s="217">
        <f t="shared" ref="C95:E95" si="223">SUM(C40:C41)-C21</f>
        <v>0</v>
      </c>
      <c r="D95" s="217">
        <f t="shared" si="223"/>
        <v>0</v>
      </c>
      <c r="E95" s="217">
        <f t="shared" si="223"/>
        <v>0</v>
      </c>
      <c r="F95" s="216"/>
      <c r="G95" s="216"/>
      <c r="H95" s="216"/>
      <c r="I95" s="216"/>
      <c r="J95" s="216">
        <f t="shared" ref="J95:L95" si="224">SUMPRODUCT(J40:J41,C40:C41)-(J21*C21)</f>
        <v>0</v>
      </c>
      <c r="K95" s="216">
        <f t="shared" si="224"/>
        <v>0</v>
      </c>
      <c r="L95" s="216">
        <f t="shared" si="224"/>
        <v>0</v>
      </c>
    </row>
    <row r="96" spans="2:32" x14ac:dyDescent="0.25"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</row>
    <row r="97" spans="2:12" x14ac:dyDescent="0.25">
      <c r="B97" s="215" t="s">
        <v>86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</row>
    <row r="98" spans="2:12" x14ac:dyDescent="0.25">
      <c r="B98" s="215">
        <v>2023</v>
      </c>
      <c r="C98" s="217">
        <f t="shared" ref="C98:E98" si="225">SUM(C43:C54)-C19</f>
        <v>0</v>
      </c>
      <c r="D98" s="217">
        <f t="shared" si="225"/>
        <v>0</v>
      </c>
      <c r="E98" s="217">
        <f t="shared" si="225"/>
        <v>0</v>
      </c>
      <c r="F98" s="216"/>
      <c r="G98" s="216"/>
      <c r="H98" s="216"/>
      <c r="I98" s="216"/>
      <c r="J98" s="216">
        <f t="shared" ref="J98:L98" si="226">SUMPRODUCT(J43:J54,C43:C54)-(J19*C19)</f>
        <v>0</v>
      </c>
      <c r="K98" s="216">
        <f t="shared" si="226"/>
        <v>0</v>
      </c>
      <c r="L98" s="216">
        <f t="shared" si="226"/>
        <v>0</v>
      </c>
    </row>
    <row r="99" spans="2:12" x14ac:dyDescent="0.25">
      <c r="B99" s="215">
        <v>2024</v>
      </c>
      <c r="C99" s="217">
        <f t="shared" ref="C99:E99" si="227">SUM(C56:C67)-C20</f>
        <v>0</v>
      </c>
      <c r="D99" s="217">
        <f t="shared" si="227"/>
        <v>0</v>
      </c>
      <c r="E99" s="217">
        <f t="shared" si="227"/>
        <v>0</v>
      </c>
      <c r="F99" s="216"/>
      <c r="G99" s="216"/>
      <c r="H99" s="216"/>
      <c r="I99" s="216"/>
      <c r="J99" s="216">
        <f t="shared" ref="J99:L99" si="228">SUMPRODUCT(J56:J67,C56:C67)-(J20*C20)</f>
        <v>0</v>
      </c>
      <c r="K99" s="216">
        <f t="shared" si="228"/>
        <v>0</v>
      </c>
      <c r="L99" s="216">
        <f t="shared" si="228"/>
        <v>0</v>
      </c>
    </row>
    <row r="100" spans="2:12" x14ac:dyDescent="0.25">
      <c r="B100" s="215">
        <v>2025</v>
      </c>
      <c r="C100" s="217">
        <f t="shared" ref="C100:E100" si="229">SUM(C69:C74)-C21</f>
        <v>0</v>
      </c>
      <c r="D100" s="217">
        <f t="shared" si="229"/>
        <v>0</v>
      </c>
      <c r="E100" s="217">
        <f t="shared" si="229"/>
        <v>0</v>
      </c>
      <c r="F100" s="216"/>
      <c r="G100" s="216"/>
      <c r="H100" s="216"/>
      <c r="I100" s="216"/>
      <c r="J100" s="216">
        <f t="shared" ref="J100:L100" si="230">SUMPRODUCT(J69:J74,C69:C74)-(J21*C21)</f>
        <v>0</v>
      </c>
      <c r="K100" s="216">
        <f t="shared" si="230"/>
        <v>0</v>
      </c>
      <c r="L100" s="216">
        <f t="shared" si="230"/>
        <v>0</v>
      </c>
    </row>
    <row r="101" spans="2:12" x14ac:dyDescent="0.25">
      <c r="B101" s="216"/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</row>
    <row r="102" spans="2:12" x14ac:dyDescent="0.25">
      <c r="B102" s="215" t="s">
        <v>87</v>
      </c>
      <c r="C102" s="217">
        <f t="shared" ref="C102:E102" si="231">(C76+C77+C78+C80+C81)-SUM(C17:C21)</f>
        <v>0</v>
      </c>
      <c r="D102" s="217">
        <f t="shared" si="231"/>
        <v>0</v>
      </c>
      <c r="E102" s="217">
        <f t="shared" si="231"/>
        <v>0</v>
      </c>
      <c r="F102" s="216"/>
      <c r="G102" s="216"/>
      <c r="H102" s="216"/>
      <c r="I102" s="216"/>
      <c r="J102" s="216">
        <f t="shared" ref="J102:L102" si="232">(SUMPRODUCT(J76:J78,C76:C78)+(J80*C80)+(C81*J81))-SUMPRODUCT(J17:J21,C17:C21)</f>
        <v>0</v>
      </c>
      <c r="K102" s="216">
        <f t="shared" si="232"/>
        <v>0</v>
      </c>
      <c r="L102" s="216">
        <f t="shared" si="232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BCF7-52A7-4057-97BF-5F040D0E43FD}">
  <sheetPr codeName="Sheet3">
    <tabColor rgb="FFFF0000"/>
  </sheetPr>
  <dimension ref="A2:AH102"/>
  <sheetViews>
    <sheetView showGridLines="0" zoomScale="55" zoomScaleNormal="55" workbookViewId="0">
      <pane xSplit="2" ySplit="5" topLeftCell="C6" activePane="bottomRight" state="frozen"/>
      <selection activeCell="B56" sqref="A56:XFD56"/>
      <selection pane="topRight" activeCell="B56" sqref="A56:XFD56"/>
      <selection pane="bottomLeft" activeCell="B56" sqref="A56:XFD56"/>
      <selection pane="bottomRight"/>
    </sheetView>
  </sheetViews>
  <sheetFormatPr defaultRowHeight="15" outlineLevelCol="1" x14ac:dyDescent="0.25"/>
  <cols>
    <col min="1" max="1" width="13.5703125" customWidth="1"/>
    <col min="2" max="2" width="27.28515625" customWidth="1"/>
    <col min="3" max="3" width="16.42578125" customWidth="1"/>
    <col min="4" max="4" width="15.140625" customWidth="1"/>
    <col min="5" max="5" width="16.85546875" customWidth="1"/>
    <col min="6" max="9" width="14.5703125" hidden="1" customWidth="1" outlineLevel="1"/>
    <col min="10" max="10" width="14.5703125" customWidth="1" collapsed="1"/>
    <col min="11" max="15" width="14.5703125" customWidth="1"/>
    <col min="16" max="19" width="14.5703125" hidden="1" customWidth="1" outlineLevel="1"/>
    <col min="20" max="20" width="14.5703125" customWidth="1" collapsed="1"/>
    <col min="21" max="25" width="14.5703125" customWidth="1"/>
    <col min="26" max="29" width="14.5703125" hidden="1" customWidth="1" outlineLevel="1"/>
    <col min="30" max="30" width="14.5703125" customWidth="1" collapsed="1"/>
    <col min="31" max="34" width="14.5703125" customWidth="1"/>
  </cols>
  <sheetData>
    <row r="2" spans="1:34" ht="15.75" thickBot="1" x14ac:dyDescent="0.3"/>
    <row r="3" spans="1:34" ht="15.75" thickBot="1" x14ac:dyDescent="0.3">
      <c r="C3" s="45" t="s">
        <v>35</v>
      </c>
      <c r="D3" s="46"/>
      <c r="E3" s="46"/>
      <c r="F3" s="46"/>
      <c r="G3" s="46"/>
      <c r="H3" s="46"/>
      <c r="I3" s="46"/>
      <c r="J3" s="46"/>
      <c r="K3" s="46"/>
      <c r="L3" s="46"/>
      <c r="M3" s="47"/>
      <c r="N3" s="47"/>
      <c r="O3" s="47"/>
      <c r="P3" s="47"/>
      <c r="Q3" s="47"/>
      <c r="R3" s="47"/>
      <c r="S3" s="47"/>
      <c r="T3" s="47"/>
      <c r="U3" s="47"/>
      <c r="V3" s="47"/>
      <c r="W3" s="46"/>
      <c r="X3" s="46"/>
      <c r="Y3" s="46"/>
      <c r="Z3" s="46"/>
      <c r="AA3" s="46"/>
      <c r="AB3" s="46"/>
      <c r="AC3" s="46"/>
      <c r="AD3" s="46"/>
      <c r="AE3" s="46"/>
      <c r="AF3" s="193"/>
    </row>
    <row r="4" spans="1:34" ht="16.5" thickTop="1" thickBot="1" x14ac:dyDescent="0.3">
      <c r="C4" s="49" t="s">
        <v>76</v>
      </c>
      <c r="D4" s="50"/>
      <c r="E4" s="50"/>
      <c r="F4" s="50"/>
      <c r="G4" s="50"/>
      <c r="H4" s="50"/>
      <c r="I4" s="50"/>
      <c r="J4" s="50"/>
      <c r="K4" s="50"/>
      <c r="L4" s="51"/>
      <c r="M4" s="49" t="s">
        <v>77</v>
      </c>
      <c r="N4" s="50"/>
      <c r="O4" s="50"/>
      <c r="P4" s="50"/>
      <c r="Q4" s="50"/>
      <c r="R4" s="50"/>
      <c r="S4" s="50"/>
      <c r="T4" s="50"/>
      <c r="U4" s="50"/>
      <c r="V4" s="50"/>
      <c r="W4" s="194" t="s">
        <v>78</v>
      </c>
      <c r="X4" s="195"/>
      <c r="Y4" s="195"/>
      <c r="Z4" s="195"/>
      <c r="AA4" s="195"/>
      <c r="AB4" s="195"/>
      <c r="AC4" s="195"/>
      <c r="AD4" s="195"/>
      <c r="AE4" s="195"/>
      <c r="AF4" s="196"/>
      <c r="AG4" s="1"/>
      <c r="AH4" s="1"/>
    </row>
    <row r="5" spans="1:34" ht="44.25" customHeight="1" thickBot="1" x14ac:dyDescent="0.3">
      <c r="B5" s="54" t="s">
        <v>2</v>
      </c>
      <c r="C5" s="55" t="s">
        <v>3</v>
      </c>
      <c r="D5" s="56" t="s">
        <v>4</v>
      </c>
      <c r="E5" s="57" t="s">
        <v>5</v>
      </c>
      <c r="F5" s="56" t="s">
        <v>6</v>
      </c>
      <c r="G5" s="56" t="s">
        <v>7</v>
      </c>
      <c r="H5" s="56" t="s">
        <v>8</v>
      </c>
      <c r="I5" s="56" t="s">
        <v>9</v>
      </c>
      <c r="J5" s="54" t="s">
        <v>10</v>
      </c>
      <c r="K5" s="56" t="s">
        <v>11</v>
      </c>
      <c r="L5" s="58" t="s">
        <v>12</v>
      </c>
      <c r="M5" s="55" t="s">
        <v>3</v>
      </c>
      <c r="N5" s="56" t="s">
        <v>4</v>
      </c>
      <c r="O5" s="57" t="s">
        <v>5</v>
      </c>
      <c r="P5" s="56" t="s">
        <v>6</v>
      </c>
      <c r="Q5" s="56" t="s">
        <v>7</v>
      </c>
      <c r="R5" s="56" t="s">
        <v>8</v>
      </c>
      <c r="S5" s="56" t="s">
        <v>9</v>
      </c>
      <c r="T5" s="54" t="s">
        <v>10</v>
      </c>
      <c r="U5" s="56" t="s">
        <v>11</v>
      </c>
      <c r="V5" s="56" t="s">
        <v>12</v>
      </c>
      <c r="W5" s="54" t="s">
        <v>3</v>
      </c>
      <c r="X5" s="56" t="s">
        <v>4</v>
      </c>
      <c r="Y5" s="57" t="s">
        <v>5</v>
      </c>
      <c r="Z5" s="56" t="s">
        <v>6</v>
      </c>
      <c r="AA5" s="56" t="s">
        <v>7</v>
      </c>
      <c r="AB5" s="56" t="s">
        <v>8</v>
      </c>
      <c r="AC5" s="56" t="s">
        <v>9</v>
      </c>
      <c r="AD5" s="54" t="s">
        <v>10</v>
      </c>
      <c r="AE5" s="56" t="s">
        <v>11</v>
      </c>
      <c r="AF5" s="57" t="s">
        <v>12</v>
      </c>
    </row>
    <row r="6" spans="1:34" x14ac:dyDescent="0.25">
      <c r="B6" s="59">
        <v>2010</v>
      </c>
      <c r="C6" s="93">
        <v>3495269.0799725261</v>
      </c>
      <c r="D6" s="96">
        <v>0</v>
      </c>
      <c r="E6" s="94">
        <v>3495269.0799725261</v>
      </c>
      <c r="F6" s="90"/>
      <c r="G6" s="90"/>
      <c r="H6" s="90"/>
      <c r="I6" s="90"/>
      <c r="J6" s="113">
        <v>0.67807227305619333</v>
      </c>
      <c r="K6" s="90" t="s">
        <v>42</v>
      </c>
      <c r="L6" s="92">
        <v>0.67807227305619333</v>
      </c>
      <c r="M6" s="93">
        <f>C6-W6</f>
        <v>3495269.0799725261</v>
      </c>
      <c r="N6" s="90">
        <f t="shared" ref="N6:O19" si="0">D6-X6</f>
        <v>0</v>
      </c>
      <c r="O6" s="94">
        <f t="shared" si="0"/>
        <v>3495269.0799725261</v>
      </c>
      <c r="P6" s="90"/>
      <c r="Q6" s="90"/>
      <c r="R6" s="90"/>
      <c r="S6" s="90"/>
      <c r="T6" s="91">
        <f t="shared" ref="T6:V19" si="1">IFERROR((C6*J6-W6*AD6)/M6,"")</f>
        <v>0.67807227305619333</v>
      </c>
      <c r="U6" s="90" t="str">
        <f t="shared" si="1"/>
        <v/>
      </c>
      <c r="V6" s="95">
        <f>IFERROR((E6*L6-Y6*AF6)/O6,"")</f>
        <v>0.67807227305619333</v>
      </c>
      <c r="W6" s="197"/>
      <c r="X6" s="5"/>
      <c r="Y6" s="14"/>
      <c r="Z6" s="5"/>
      <c r="AA6" s="5"/>
      <c r="AB6" s="5"/>
      <c r="AC6" s="5"/>
      <c r="AD6" s="4"/>
      <c r="AE6" s="5"/>
      <c r="AF6" s="198"/>
    </row>
    <row r="7" spans="1:34" x14ac:dyDescent="0.25">
      <c r="B7" s="59">
        <v>2011</v>
      </c>
      <c r="C7" s="93">
        <v>16412129.46139344</v>
      </c>
      <c r="D7" s="96">
        <v>0</v>
      </c>
      <c r="E7" s="94">
        <v>16412129.46139344</v>
      </c>
      <c r="F7" s="90"/>
      <c r="G7" s="90"/>
      <c r="H7" s="90"/>
      <c r="I7" s="90"/>
      <c r="J7" s="113">
        <v>0.63374292376054153</v>
      </c>
      <c r="K7" s="90" t="s">
        <v>42</v>
      </c>
      <c r="L7" s="92">
        <v>0.63374292376054153</v>
      </c>
      <c r="M7" s="93">
        <f t="shared" ref="M7:M19" si="2">C7-W7</f>
        <v>16412129.46139344</v>
      </c>
      <c r="N7" s="90">
        <f t="shared" si="0"/>
        <v>0</v>
      </c>
      <c r="O7" s="94">
        <f t="shared" si="0"/>
        <v>16412129.46139344</v>
      </c>
      <c r="P7" s="90"/>
      <c r="Q7" s="90"/>
      <c r="R7" s="90"/>
      <c r="S7" s="90"/>
      <c r="T7" s="91">
        <f t="shared" si="1"/>
        <v>0.63374292376054153</v>
      </c>
      <c r="U7" s="90" t="str">
        <f t="shared" si="1"/>
        <v/>
      </c>
      <c r="V7" s="95">
        <f t="shared" si="1"/>
        <v>0.63374292376054153</v>
      </c>
      <c r="W7" s="197"/>
      <c r="X7" s="5"/>
      <c r="Y7" s="14"/>
      <c r="Z7" s="5"/>
      <c r="AA7" s="5"/>
      <c r="AB7" s="5"/>
      <c r="AC7" s="5"/>
      <c r="AD7" s="4"/>
      <c r="AE7" s="5"/>
      <c r="AF7" s="198"/>
    </row>
    <row r="8" spans="1:34" x14ac:dyDescent="0.25">
      <c r="B8" s="59">
        <v>2012</v>
      </c>
      <c r="C8" s="93">
        <v>19957322.98183259</v>
      </c>
      <c r="D8" s="96">
        <v>0</v>
      </c>
      <c r="E8" s="94">
        <v>19957322.98183259</v>
      </c>
      <c r="F8" s="90"/>
      <c r="G8" s="90"/>
      <c r="H8" s="90"/>
      <c r="I8" s="90"/>
      <c r="J8" s="113">
        <v>0.63601245776072768</v>
      </c>
      <c r="K8" s="90" t="s">
        <v>42</v>
      </c>
      <c r="L8" s="92">
        <v>0.63601245776072768</v>
      </c>
      <c r="M8" s="93">
        <f t="shared" si="2"/>
        <v>19957322.98183259</v>
      </c>
      <c r="N8" s="90">
        <f t="shared" si="0"/>
        <v>0</v>
      </c>
      <c r="O8" s="94">
        <f t="shared" si="0"/>
        <v>19957322.98183259</v>
      </c>
      <c r="P8" s="90"/>
      <c r="Q8" s="90"/>
      <c r="R8" s="90"/>
      <c r="S8" s="90"/>
      <c r="T8" s="91">
        <f t="shared" si="1"/>
        <v>0.63601245776072768</v>
      </c>
      <c r="U8" s="90" t="str">
        <f t="shared" si="1"/>
        <v/>
      </c>
      <c r="V8" s="95">
        <f t="shared" si="1"/>
        <v>0.63601245776072768</v>
      </c>
      <c r="W8" s="197"/>
      <c r="X8" s="5"/>
      <c r="Y8" s="14"/>
      <c r="Z8" s="5"/>
      <c r="AA8" s="5"/>
      <c r="AB8" s="5"/>
      <c r="AC8" s="5"/>
      <c r="AD8" s="4"/>
      <c r="AE8" s="5"/>
      <c r="AF8" s="198"/>
    </row>
    <row r="9" spans="1:34" x14ac:dyDescent="0.25">
      <c r="B9" s="59">
        <v>2013</v>
      </c>
      <c r="C9" s="87">
        <v>24299121.098986909</v>
      </c>
      <c r="D9" s="88">
        <v>0</v>
      </c>
      <c r="E9" s="89">
        <v>24299121.098986909</v>
      </c>
      <c r="F9" s="90"/>
      <c r="G9" s="90"/>
      <c r="H9" s="90"/>
      <c r="I9" s="90"/>
      <c r="J9" s="113">
        <v>0.80434611154783175</v>
      </c>
      <c r="K9" s="90" t="s">
        <v>42</v>
      </c>
      <c r="L9" s="92">
        <v>0.80434611154783175</v>
      </c>
      <c r="M9" s="93">
        <f t="shared" si="2"/>
        <v>24299121.098986909</v>
      </c>
      <c r="N9" s="90">
        <f t="shared" si="0"/>
        <v>0</v>
      </c>
      <c r="O9" s="94">
        <f t="shared" si="0"/>
        <v>24299121.098986909</v>
      </c>
      <c r="P9" s="90"/>
      <c r="Q9" s="90"/>
      <c r="R9" s="90"/>
      <c r="S9" s="90"/>
      <c r="T9" s="91">
        <f t="shared" si="1"/>
        <v>0.80434611154783175</v>
      </c>
      <c r="U9" s="90" t="str">
        <f t="shared" si="1"/>
        <v/>
      </c>
      <c r="V9" s="95">
        <f t="shared" si="1"/>
        <v>0.80434611154783175</v>
      </c>
      <c r="W9" s="197"/>
      <c r="X9" s="5"/>
      <c r="Y9" s="14"/>
      <c r="Z9" s="5"/>
      <c r="AA9" s="5"/>
      <c r="AB9" s="5"/>
      <c r="AC9" s="5"/>
      <c r="AD9" s="4"/>
      <c r="AE9" s="5"/>
      <c r="AF9" s="198"/>
    </row>
    <row r="10" spans="1:34" x14ac:dyDescent="0.25">
      <c r="B10" s="59">
        <v>2014</v>
      </c>
      <c r="C10" s="87">
        <v>25339609.192134053</v>
      </c>
      <c r="D10" s="88">
        <v>0</v>
      </c>
      <c r="E10" s="89">
        <v>25339609.192134053</v>
      </c>
      <c r="F10" s="90"/>
      <c r="G10" s="90"/>
      <c r="H10" s="90"/>
      <c r="I10" s="90"/>
      <c r="J10" s="113">
        <v>0.86090226430058026</v>
      </c>
      <c r="K10" s="90" t="s">
        <v>42</v>
      </c>
      <c r="L10" s="92">
        <v>0.86090226430058026</v>
      </c>
      <c r="M10" s="93">
        <f t="shared" si="2"/>
        <v>25339609.192134053</v>
      </c>
      <c r="N10" s="90">
        <f t="shared" si="0"/>
        <v>0</v>
      </c>
      <c r="O10" s="94">
        <f t="shared" si="0"/>
        <v>25339609.192134053</v>
      </c>
      <c r="P10" s="90"/>
      <c r="Q10" s="90"/>
      <c r="R10" s="90"/>
      <c r="S10" s="90"/>
      <c r="T10" s="91">
        <f t="shared" si="1"/>
        <v>0.86090226430058026</v>
      </c>
      <c r="U10" s="90" t="str">
        <f t="shared" si="1"/>
        <v/>
      </c>
      <c r="V10" s="95">
        <f t="shared" si="1"/>
        <v>0.86090226430058026</v>
      </c>
      <c r="W10" s="197"/>
      <c r="X10" s="5"/>
      <c r="Y10" s="14"/>
      <c r="Z10" s="5"/>
      <c r="AA10" s="5"/>
      <c r="AB10" s="5"/>
      <c r="AC10" s="5"/>
      <c r="AD10" s="4"/>
      <c r="AE10" s="5"/>
      <c r="AF10" s="198"/>
    </row>
    <row r="11" spans="1:34" x14ac:dyDescent="0.25">
      <c r="B11" s="59">
        <v>2015</v>
      </c>
      <c r="C11" s="87">
        <v>38137417.345026158</v>
      </c>
      <c r="D11" s="88">
        <v>0</v>
      </c>
      <c r="E11" s="89">
        <v>38137417.345026158</v>
      </c>
      <c r="F11" s="90"/>
      <c r="G11" s="90"/>
      <c r="H11" s="90"/>
      <c r="I11" s="90"/>
      <c r="J11" s="113">
        <v>1.612235723088866</v>
      </c>
      <c r="K11" s="95" t="s">
        <v>42</v>
      </c>
      <c r="L11" s="92">
        <v>1.612235723088866</v>
      </c>
      <c r="M11" s="93">
        <f t="shared" si="2"/>
        <v>38137417.345026158</v>
      </c>
      <c r="N11" s="90">
        <f t="shared" si="0"/>
        <v>0</v>
      </c>
      <c r="O11" s="94">
        <f t="shared" si="0"/>
        <v>38137417.345026158</v>
      </c>
      <c r="P11" s="90"/>
      <c r="Q11" s="90"/>
      <c r="R11" s="90"/>
      <c r="S11" s="90"/>
      <c r="T11" s="91">
        <f t="shared" si="1"/>
        <v>1.612235723088866</v>
      </c>
      <c r="U11" s="95" t="str">
        <f t="shared" si="1"/>
        <v/>
      </c>
      <c r="V11" s="95">
        <f t="shared" si="1"/>
        <v>1.612235723088866</v>
      </c>
      <c r="W11" s="197"/>
      <c r="X11" s="5"/>
      <c r="Y11" s="14"/>
      <c r="Z11" s="5"/>
      <c r="AA11" s="5"/>
      <c r="AB11" s="5"/>
      <c r="AC11" s="5"/>
      <c r="AD11" s="4"/>
      <c r="AE11" s="7"/>
      <c r="AF11" s="198"/>
    </row>
    <row r="12" spans="1:34" x14ac:dyDescent="0.25">
      <c r="B12" s="59">
        <v>2016</v>
      </c>
      <c r="C12" s="87">
        <v>41466351.276469909</v>
      </c>
      <c r="D12" s="88">
        <v>0</v>
      </c>
      <c r="E12" s="89">
        <v>41466351.276469909</v>
      </c>
      <c r="F12" s="90"/>
      <c r="G12" s="90"/>
      <c r="H12" s="90"/>
      <c r="I12" s="90"/>
      <c r="J12" s="113">
        <v>0.90626924079825166</v>
      </c>
      <c r="K12" s="95" t="s">
        <v>42</v>
      </c>
      <c r="L12" s="92">
        <v>0.90626924079825166</v>
      </c>
      <c r="M12" s="93">
        <f t="shared" si="2"/>
        <v>41466351.276469909</v>
      </c>
      <c r="N12" s="90">
        <f t="shared" si="0"/>
        <v>0</v>
      </c>
      <c r="O12" s="94">
        <f t="shared" si="0"/>
        <v>41466351.276469909</v>
      </c>
      <c r="P12" s="90"/>
      <c r="Q12" s="90"/>
      <c r="R12" s="90"/>
      <c r="S12" s="90"/>
      <c r="T12" s="91">
        <f t="shared" si="1"/>
        <v>0.90626924079825166</v>
      </c>
      <c r="U12" s="95" t="str">
        <f t="shared" si="1"/>
        <v/>
      </c>
      <c r="V12" s="95">
        <f t="shared" si="1"/>
        <v>0.90626924079825166</v>
      </c>
      <c r="W12" s="197"/>
      <c r="X12" s="5"/>
      <c r="Y12" s="14"/>
      <c r="Z12" s="5"/>
      <c r="AA12" s="5"/>
      <c r="AB12" s="5"/>
      <c r="AC12" s="5"/>
      <c r="AD12" s="4"/>
      <c r="AE12" s="7"/>
      <c r="AF12" s="198"/>
    </row>
    <row r="13" spans="1:34" x14ac:dyDescent="0.25">
      <c r="A13" s="15"/>
      <c r="B13" s="59">
        <v>2017</v>
      </c>
      <c r="C13" s="87">
        <v>39586166.362889595</v>
      </c>
      <c r="D13" s="88">
        <v>0</v>
      </c>
      <c r="E13" s="89">
        <v>39586166.362889595</v>
      </c>
      <c r="F13" s="90"/>
      <c r="G13" s="90"/>
      <c r="H13" s="90"/>
      <c r="I13" s="90"/>
      <c r="J13" s="113">
        <v>1.1048352762696636</v>
      </c>
      <c r="K13" s="95" t="s">
        <v>42</v>
      </c>
      <c r="L13" s="92">
        <v>1.1048352762696636</v>
      </c>
      <c r="M13" s="93">
        <f t="shared" si="2"/>
        <v>39586166.362889595</v>
      </c>
      <c r="N13" s="90">
        <f t="shared" si="0"/>
        <v>0</v>
      </c>
      <c r="O13" s="94">
        <f t="shared" si="0"/>
        <v>39586166.362889595</v>
      </c>
      <c r="P13" s="90"/>
      <c r="Q13" s="90"/>
      <c r="R13" s="90"/>
      <c r="S13" s="90"/>
      <c r="T13" s="91">
        <f t="shared" si="1"/>
        <v>1.1048352762696636</v>
      </c>
      <c r="U13" s="95" t="str">
        <f t="shared" si="1"/>
        <v/>
      </c>
      <c r="V13" s="95">
        <f t="shared" si="1"/>
        <v>1.1048352762696636</v>
      </c>
      <c r="W13" s="197"/>
      <c r="X13" s="5"/>
      <c r="Y13" s="14"/>
      <c r="Z13" s="5"/>
      <c r="AA13" s="5"/>
      <c r="AB13" s="5"/>
      <c r="AC13" s="5"/>
      <c r="AD13" s="4"/>
      <c r="AE13" s="7"/>
      <c r="AF13" s="198"/>
    </row>
    <row r="14" spans="1:34" x14ac:dyDescent="0.25">
      <c r="A14" s="117">
        <v>2018</v>
      </c>
      <c r="B14" s="59">
        <v>2018</v>
      </c>
      <c r="C14" s="9">
        <v>42609782.822142787</v>
      </c>
      <c r="D14" s="10">
        <v>0</v>
      </c>
      <c r="E14" s="11">
        <v>42609782.822142787</v>
      </c>
      <c r="F14" s="5"/>
      <c r="G14" s="5"/>
      <c r="H14" s="5"/>
      <c r="I14" s="5"/>
      <c r="J14" s="4" cm="1">
        <f t="array" ref="J14">SUMPRODUCT('Gross Results by UW month'!J$11:J$1000,'Gross Results by UW month'!D$11:D$1000,--('Gross Results by UW month'!$A$11:$A$1000='30 Jun 2025 - Gross'!$A14))/'30 Jun 2025 - Gross'!C14</f>
        <v>0.69793303771064552</v>
      </c>
      <c r="K14" s="7"/>
      <c r="L14" s="6" cm="1">
        <f t="array" ref="L14">SUMPRODUCT('Gross Results by UW month'!L$11:L$1000,'Gross Results by UW month'!F$11:F$1000,--('Gross Results by UW month'!$A$11:$A$1000='30 Jun 2025 - Gross'!$A14))/'30 Jun 2025 - Gross'!E14</f>
        <v>0.69793303771064552</v>
      </c>
      <c r="M14" s="12">
        <f t="shared" si="2"/>
        <v>42609782.822142787</v>
      </c>
      <c r="N14" s="13">
        <f t="shared" si="0"/>
        <v>0</v>
      </c>
      <c r="O14" s="14">
        <f t="shared" si="0"/>
        <v>42609782.822142787</v>
      </c>
      <c r="P14" s="5"/>
      <c r="Q14" s="5"/>
      <c r="R14" s="5"/>
      <c r="S14" s="5"/>
      <c r="T14" s="4">
        <f t="shared" si="1"/>
        <v>0.69793303771064552</v>
      </c>
      <c r="U14" s="7" t="str">
        <f t="shared" si="1"/>
        <v/>
      </c>
      <c r="V14" s="7">
        <f t="shared" si="1"/>
        <v>0.69793303771064552</v>
      </c>
      <c r="W14" s="197"/>
      <c r="X14" s="13"/>
      <c r="Y14" s="14"/>
      <c r="Z14" s="5"/>
      <c r="AA14" s="5"/>
      <c r="AB14" s="5"/>
      <c r="AC14" s="5"/>
      <c r="AD14" s="4"/>
      <c r="AE14" s="7"/>
      <c r="AF14" s="198"/>
    </row>
    <row r="15" spans="1:34" x14ac:dyDescent="0.25">
      <c r="A15" s="117">
        <f t="shared" ref="A15:A20" si="3">A14+1</f>
        <v>2019</v>
      </c>
      <c r="B15" s="59">
        <v>2019</v>
      </c>
      <c r="C15" s="9">
        <v>48762179.302500531</v>
      </c>
      <c r="D15" s="10">
        <v>0</v>
      </c>
      <c r="E15" s="11">
        <v>48762179.302500531</v>
      </c>
      <c r="F15" s="5"/>
      <c r="G15" s="5"/>
      <c r="H15" s="5"/>
      <c r="I15" s="5"/>
      <c r="J15" s="4" cm="1">
        <f t="array" ref="J15">SUMPRODUCT('Gross Results by UW month'!J$11:J$1000,'Gross Results by UW month'!D$11:D$1000,--('Gross Results by UW month'!$A$11:$A$1000='30 Jun 2025 - Gross'!$A15))/'30 Jun 2025 - Gross'!C15</f>
        <v>0.95453078501824551</v>
      </c>
      <c r="K15" s="7"/>
      <c r="L15" s="6" cm="1">
        <f t="array" ref="L15">SUMPRODUCT('Gross Results by UW month'!L$11:L$1000,'Gross Results by UW month'!F$11:F$1000,--('Gross Results by UW month'!$A$11:$A$1000='30 Jun 2025 - Gross'!$A15))/'30 Jun 2025 - Gross'!E15</f>
        <v>0.95453078501824551</v>
      </c>
      <c r="M15" s="12">
        <f t="shared" si="2"/>
        <v>48762179.302500531</v>
      </c>
      <c r="N15" s="13">
        <f t="shared" si="0"/>
        <v>0</v>
      </c>
      <c r="O15" s="14">
        <f t="shared" si="0"/>
        <v>48762179.302500531</v>
      </c>
      <c r="P15" s="5"/>
      <c r="Q15" s="5"/>
      <c r="R15" s="5"/>
      <c r="S15" s="5"/>
      <c r="T15" s="4">
        <f t="shared" si="1"/>
        <v>0.95453078501824551</v>
      </c>
      <c r="U15" s="7" t="str">
        <f t="shared" si="1"/>
        <v/>
      </c>
      <c r="V15" s="7">
        <f t="shared" si="1"/>
        <v>0.95453078501824551</v>
      </c>
      <c r="W15" s="197"/>
      <c r="X15" s="13"/>
      <c r="Y15" s="14"/>
      <c r="Z15" s="5"/>
      <c r="AA15" s="5"/>
      <c r="AB15" s="5"/>
      <c r="AC15" s="5"/>
      <c r="AD15" s="4"/>
      <c r="AE15" s="7"/>
      <c r="AF15" s="198"/>
    </row>
    <row r="16" spans="1:34" x14ac:dyDescent="0.25">
      <c r="A16" s="117">
        <f t="shared" si="3"/>
        <v>2020</v>
      </c>
      <c r="B16" s="59">
        <v>2020</v>
      </c>
      <c r="C16" s="9">
        <v>70526849.944934607</v>
      </c>
      <c r="D16" s="10">
        <v>0</v>
      </c>
      <c r="E16" s="11">
        <v>70526849.944934607</v>
      </c>
      <c r="F16" s="5"/>
      <c r="G16" s="5"/>
      <c r="H16" s="5"/>
      <c r="I16" s="5"/>
      <c r="J16" s="4" cm="1">
        <f t="array" ref="J16">SUMPRODUCT('Gross Results by UW month'!J$11:J$1000,'Gross Results by UW month'!D$11:D$1000,--('Gross Results by UW month'!$A$11:$A$1000='30 Jun 2025 - Gross'!$A16))/'30 Jun 2025 - Gross'!C16</f>
        <v>0.67911321769763844</v>
      </c>
      <c r="K16" s="7"/>
      <c r="L16" s="6" cm="1">
        <f t="array" ref="L16">SUMPRODUCT('Gross Results by UW month'!L$11:L$1000,'Gross Results by UW month'!F$11:F$1000,--('Gross Results by UW month'!$A$11:$A$1000='30 Jun 2025 - Gross'!$A16))/'30 Jun 2025 - Gross'!E16</f>
        <v>0.67911321769763844</v>
      </c>
      <c r="M16" s="12">
        <f t="shared" si="2"/>
        <v>70361678.121363178</v>
      </c>
      <c r="N16" s="13">
        <f t="shared" si="0"/>
        <v>0</v>
      </c>
      <c r="O16" s="14">
        <f t="shared" si="0"/>
        <v>70361678.121363178</v>
      </c>
      <c r="P16" s="5"/>
      <c r="Q16" s="5"/>
      <c r="R16" s="5"/>
      <c r="S16" s="5"/>
      <c r="T16" s="4">
        <f t="shared" si="1"/>
        <v>0.67860398774291175</v>
      </c>
      <c r="U16" s="7" t="str">
        <f t="shared" si="1"/>
        <v/>
      </c>
      <c r="V16" s="7">
        <f t="shared" si="1"/>
        <v>0.67860398774291175</v>
      </c>
      <c r="W16" s="199">
        <v>165171.82357142799</v>
      </c>
      <c r="X16" s="96">
        <v>0</v>
      </c>
      <c r="Y16" s="94">
        <v>165171.82357142799</v>
      </c>
      <c r="Z16" s="90"/>
      <c r="AA16" s="90"/>
      <c r="AB16" s="90"/>
      <c r="AC16" s="90"/>
      <c r="AD16" s="91">
        <v>0.89604049614920978</v>
      </c>
      <c r="AE16" s="95" t="s">
        <v>42</v>
      </c>
      <c r="AF16" s="200">
        <v>0.89604049614920978</v>
      </c>
    </row>
    <row r="17" spans="1:32" x14ac:dyDescent="0.25">
      <c r="A17" s="117">
        <f t="shared" si="3"/>
        <v>2021</v>
      </c>
      <c r="B17" s="59">
        <v>2021</v>
      </c>
      <c r="C17" s="9">
        <f t="shared" ref="C17" si="4">SUM(C24:C27)</f>
        <v>88860697.167754754</v>
      </c>
      <c r="D17" s="10">
        <f t="shared" ref="D17:E17" si="5">SUM(D24:D27)</f>
        <v>0</v>
      </c>
      <c r="E17" s="11">
        <f t="shared" si="5"/>
        <v>88860697.167754754</v>
      </c>
      <c r="F17" s="5"/>
      <c r="G17" s="5"/>
      <c r="H17" s="5"/>
      <c r="I17" s="5"/>
      <c r="J17" s="4">
        <f t="shared" ref="J17:L17" si="6">SUMPRODUCT(J24:J27,C24:C27)/C17</f>
        <v>1.0700912702707304</v>
      </c>
      <c r="K17" s="7"/>
      <c r="L17" s="6">
        <f t="shared" si="6"/>
        <v>1.0700912702707304</v>
      </c>
      <c r="M17" s="12">
        <f t="shared" si="2"/>
        <v>71293213.435254782</v>
      </c>
      <c r="N17" s="13">
        <f t="shared" si="0"/>
        <v>0</v>
      </c>
      <c r="O17" s="14">
        <f t="shared" si="0"/>
        <v>71293213.435254782</v>
      </c>
      <c r="P17" s="5"/>
      <c r="Q17" s="5"/>
      <c r="R17" s="5"/>
      <c r="S17" s="5"/>
      <c r="T17" s="4">
        <f t="shared" si="1"/>
        <v>0.9684867560832473</v>
      </c>
      <c r="U17" s="7" t="str">
        <f t="shared" si="1"/>
        <v/>
      </c>
      <c r="V17" s="7">
        <f t="shared" si="1"/>
        <v>0.9684867560832473</v>
      </c>
      <c r="W17" s="201">
        <f>SUM(W24:W27)</f>
        <v>17567483.732499972</v>
      </c>
      <c r="X17" s="88">
        <f t="shared" ref="X17" si="7">Y17-W17</f>
        <v>0</v>
      </c>
      <c r="Y17" s="89">
        <f>SUM(Y24:Y27)</f>
        <v>17567483.732499972</v>
      </c>
      <c r="Z17" s="90"/>
      <c r="AA17" s="90"/>
      <c r="AB17" s="90"/>
      <c r="AC17" s="90"/>
      <c r="AD17" s="91">
        <f>SUMPRODUCT(AD24:AD27,W24:W27)/SUM(W24:W27)</f>
        <v>1.4824276313713634</v>
      </c>
      <c r="AE17" s="95"/>
      <c r="AF17" s="200">
        <f>SUMPRODUCT(AF24:AF27,Y24:Y27)/SUM(Y24:Y27)</f>
        <v>1.4824276313713634</v>
      </c>
    </row>
    <row r="18" spans="1:32" x14ac:dyDescent="0.25">
      <c r="A18" s="117">
        <f t="shared" si="3"/>
        <v>2022</v>
      </c>
      <c r="B18" s="59">
        <v>2022</v>
      </c>
      <c r="C18" s="9">
        <f t="shared" ref="C18" si="8">SUM(C28:C31)</f>
        <v>134683491.06624761</v>
      </c>
      <c r="D18" s="10">
        <f t="shared" ref="D18:E18" si="9">SUM(D28:D31)</f>
        <v>0</v>
      </c>
      <c r="E18" s="11">
        <f t="shared" si="9"/>
        <v>134683491.06624761</v>
      </c>
      <c r="F18" s="5"/>
      <c r="G18" s="5"/>
      <c r="H18" s="5"/>
      <c r="I18" s="5"/>
      <c r="J18" s="4">
        <f t="shared" ref="J18:L18" si="10">SUMPRODUCT(J28:J31,C28:C31)/C18</f>
        <v>1.0569800197659269</v>
      </c>
      <c r="K18" s="7"/>
      <c r="L18" s="6">
        <f t="shared" si="10"/>
        <v>1.0569800197659269</v>
      </c>
      <c r="M18" s="12">
        <f t="shared" si="2"/>
        <v>125073666.99410474</v>
      </c>
      <c r="N18" s="13">
        <f t="shared" si="0"/>
        <v>0</v>
      </c>
      <c r="O18" s="14">
        <f t="shared" si="0"/>
        <v>125073666.99410474</v>
      </c>
      <c r="P18" s="5"/>
      <c r="Q18" s="5"/>
      <c r="R18" s="5"/>
      <c r="S18" s="5"/>
      <c r="T18" s="4">
        <f t="shared" si="1"/>
        <v>1.0545356692622627</v>
      </c>
      <c r="U18" s="7" t="str">
        <f t="shared" si="1"/>
        <v/>
      </c>
      <c r="V18" s="7">
        <f t="shared" si="1"/>
        <v>1.0545356692622627</v>
      </c>
      <c r="W18" s="201">
        <f t="shared" ref="W18:Y18" si="11">SUM(W28:W31)</f>
        <v>9609824.0721428618</v>
      </c>
      <c r="X18" s="88">
        <f t="shared" ref="X18" si="12">Y18-W18</f>
        <v>0</v>
      </c>
      <c r="Y18" s="89">
        <f t="shared" si="11"/>
        <v>9609824.0721428618</v>
      </c>
      <c r="Z18" s="90"/>
      <c r="AA18" s="90"/>
      <c r="AB18" s="90"/>
      <c r="AC18" s="90"/>
      <c r="AD18" s="91">
        <f t="shared" ref="AD18" si="13">SUMPRODUCT(AD28:AD31,W28:W31)/SUM(W28:W31)</f>
        <v>1.088793701121282</v>
      </c>
      <c r="AE18" s="95"/>
      <c r="AF18" s="200">
        <f t="shared" ref="AF18" si="14">SUMPRODUCT(AF28:AF31,Y28:Y31)/SUM(Y28:Y31)</f>
        <v>1.0887937011212827</v>
      </c>
    </row>
    <row r="19" spans="1:32" x14ac:dyDescent="0.25">
      <c r="A19" s="117">
        <f t="shared" si="3"/>
        <v>2023</v>
      </c>
      <c r="B19" s="59">
        <v>2023</v>
      </c>
      <c r="C19" s="9">
        <f t="shared" ref="C19" si="15">SUM(C32:C35)</f>
        <v>94536116.883240119</v>
      </c>
      <c r="D19" s="10">
        <f t="shared" ref="D19:E19" si="16">SUM(D32:D35)</f>
        <v>0</v>
      </c>
      <c r="E19" s="11">
        <f t="shared" si="16"/>
        <v>94536116.883240119</v>
      </c>
      <c r="F19" s="5"/>
      <c r="G19" s="5"/>
      <c r="H19" s="5"/>
      <c r="I19" s="5"/>
      <c r="J19" s="4">
        <f t="shared" ref="J19:L19" si="17">SUMPRODUCT(J32:J35,C32:C35)/C19</f>
        <v>0.98205368940977655</v>
      </c>
      <c r="K19" s="7"/>
      <c r="L19" s="6">
        <f t="shared" si="17"/>
        <v>0.98205368940977655</v>
      </c>
      <c r="M19" s="12">
        <f t="shared" si="2"/>
        <v>86587336.791811541</v>
      </c>
      <c r="N19" s="13">
        <f t="shared" si="0"/>
        <v>0</v>
      </c>
      <c r="O19" s="14">
        <f t="shared" si="0"/>
        <v>86587336.791811541</v>
      </c>
      <c r="P19" s="5"/>
      <c r="Q19" s="5"/>
      <c r="R19" s="5"/>
      <c r="S19" s="5"/>
      <c r="T19" s="4">
        <f t="shared" si="1"/>
        <v>0.96715019492729293</v>
      </c>
      <c r="U19" s="7" t="str">
        <f t="shared" si="1"/>
        <v/>
      </c>
      <c r="V19" s="7">
        <f t="shared" si="1"/>
        <v>0.96715019492729293</v>
      </c>
      <c r="W19" s="201">
        <f>SUM(W32:W35)</f>
        <v>7948780.0914285732</v>
      </c>
      <c r="X19" s="88">
        <f>Y19-W19</f>
        <v>0</v>
      </c>
      <c r="Y19" s="89">
        <f t="shared" ref="Y19" si="18">SUM(Y32:Y35)</f>
        <v>7948780.0914285732</v>
      </c>
      <c r="Z19" s="90"/>
      <c r="AA19" s="90"/>
      <c r="AB19" s="90"/>
      <c r="AC19" s="90"/>
      <c r="AD19" s="91">
        <f>SUMPRODUCT(AD32:AD35,W32:W35)/SUM(W32:W35)</f>
        <v>1.1443998458371327</v>
      </c>
      <c r="AE19" s="95"/>
      <c r="AF19" s="200">
        <f>SUMPRODUCT(AF32:AF35,Y32:Y35)/SUM(Y32:Y35)</f>
        <v>1.1443998458371329</v>
      </c>
    </row>
    <row r="20" spans="1:32" x14ac:dyDescent="0.25">
      <c r="A20" s="117">
        <f t="shared" si="3"/>
        <v>2024</v>
      </c>
      <c r="B20" s="59">
        <v>2024</v>
      </c>
      <c r="C20" s="9">
        <f t="shared" ref="C20" si="19">SUM(C36:C39)</f>
        <v>83748126.19610022</v>
      </c>
      <c r="D20" s="10">
        <f t="shared" ref="D20:E20" si="20">SUM(D36:D39)</f>
        <v>5470347.9419649253</v>
      </c>
      <c r="E20" s="11">
        <f t="shared" si="20"/>
        <v>89218474.13806513</v>
      </c>
      <c r="F20" s="5"/>
      <c r="G20" s="5"/>
      <c r="H20" s="5"/>
      <c r="I20" s="5"/>
      <c r="J20" s="4">
        <f t="shared" ref="J20:L20" si="21">SUMPRODUCT(J36:J39,C36:C39)/C20</f>
        <v>0.88707466255453105</v>
      </c>
      <c r="K20" s="7">
        <f>SUMPRODUCT(K36:K39,D36:D39)/D20</f>
        <v>0.8384162733306646</v>
      </c>
      <c r="L20" s="6">
        <f t="shared" si="21"/>
        <v>0.88409121857701822</v>
      </c>
      <c r="M20" s="12">
        <f t="shared" ref="M20" si="22">SUM(M36:M39)</f>
        <v>83748126.19610022</v>
      </c>
      <c r="N20" s="13">
        <f t="shared" ref="N20" si="23">D20-X20</f>
        <v>5470347.9419649253</v>
      </c>
      <c r="O20" s="14">
        <f t="shared" ref="O20" si="24">SUM(O36:O39)</f>
        <v>89218474.13806513</v>
      </c>
      <c r="P20" s="5"/>
      <c r="Q20" s="5"/>
      <c r="R20" s="5"/>
      <c r="S20" s="5"/>
      <c r="T20" s="4">
        <f t="shared" ref="T20" si="25">SUMPRODUCT(T36:T39,M36:M39)/SUM(M36:M39)</f>
        <v>0.88707466255453105</v>
      </c>
      <c r="U20" s="7">
        <f t="shared" ref="U20" si="26">((V20*O20)-(M20*T20))/N20</f>
        <v>0.83841627333066548</v>
      </c>
      <c r="V20" s="7">
        <f t="shared" ref="V20" si="27">SUMPRODUCT(V36:V39,O36:O39)/SUM(O36:O39)</f>
        <v>0.88409121857701822</v>
      </c>
      <c r="W20" s="197"/>
      <c r="X20" s="13"/>
      <c r="Y20" s="14"/>
      <c r="Z20" s="5"/>
      <c r="AA20" s="5"/>
      <c r="AB20" s="5"/>
      <c r="AC20" s="5"/>
      <c r="AD20" s="4"/>
      <c r="AE20" s="7"/>
      <c r="AF20" s="198"/>
    </row>
    <row r="21" spans="1:32" x14ac:dyDescent="0.25">
      <c r="A21" s="117">
        <v>2025</v>
      </c>
      <c r="B21" s="59">
        <v>2025</v>
      </c>
      <c r="C21" s="9">
        <f t="shared" ref="C21:E21" si="28">SUM(C40:C41)</f>
        <v>8315506.3107700935</v>
      </c>
      <c r="D21" s="10">
        <f t="shared" si="28"/>
        <v>19060604.667887751</v>
      </c>
      <c r="E21" s="11">
        <f t="shared" si="28"/>
        <v>27376110.978657849</v>
      </c>
      <c r="F21" s="5"/>
      <c r="G21" s="5"/>
      <c r="H21" s="5"/>
      <c r="I21" s="5"/>
      <c r="J21" s="4">
        <f t="shared" ref="J21:L21" si="29">SUMPRODUCT(J40:J41,C40:C41)/C21</f>
        <v>0.86747368523901036</v>
      </c>
      <c r="K21" s="7">
        <f t="shared" si="29"/>
        <v>0.84799285656482704</v>
      </c>
      <c r="L21" s="6">
        <f t="shared" si="29"/>
        <v>0.85391016724147828</v>
      </c>
      <c r="M21" s="12">
        <f t="shared" ref="M21:O21" si="30">SUM(M40:M41)</f>
        <v>8315506.3107700935</v>
      </c>
      <c r="N21" s="13">
        <f t="shared" si="30"/>
        <v>19060604.667887751</v>
      </c>
      <c r="O21" s="14">
        <f t="shared" si="30"/>
        <v>27376110.978657849</v>
      </c>
      <c r="P21" s="5"/>
      <c r="Q21" s="5"/>
      <c r="R21" s="5"/>
      <c r="S21" s="5"/>
      <c r="T21" s="4">
        <f t="shared" ref="T21" si="31">SUMPRODUCT(T40:T41,M40:M41)/M21</f>
        <v>0.86747368523901036</v>
      </c>
      <c r="U21" s="7">
        <f t="shared" ref="U21" si="32">SUMPRODUCT(U40:U41,N40:N41)/N21</f>
        <v>0.84799285656482704</v>
      </c>
      <c r="V21" s="7">
        <f t="shared" ref="V21" si="33">SUMPRODUCT(V40:V41,O40:O41)/O21</f>
        <v>0.85391016724147828</v>
      </c>
      <c r="W21" s="197"/>
      <c r="X21" s="13"/>
      <c r="Y21" s="14"/>
      <c r="Z21" s="5"/>
      <c r="AA21" s="5"/>
      <c r="AB21" s="5"/>
      <c r="AC21" s="5"/>
      <c r="AD21" s="4"/>
      <c r="AE21" s="7"/>
      <c r="AF21" s="198"/>
    </row>
    <row r="22" spans="1:32" x14ac:dyDescent="0.25">
      <c r="A22" s="15"/>
      <c r="B22" s="60" t="s">
        <v>1</v>
      </c>
      <c r="C22" s="63">
        <f t="shared" ref="C22:E22" si="34">SUM(C6:C21)</f>
        <v>780736136.49239588</v>
      </c>
      <c r="D22" s="64">
        <f t="shared" si="34"/>
        <v>24530952.609852675</v>
      </c>
      <c r="E22" s="65">
        <f t="shared" si="34"/>
        <v>805267089.10224855</v>
      </c>
      <c r="F22" s="5"/>
      <c r="G22" s="5"/>
      <c r="H22" s="5"/>
      <c r="I22" s="5"/>
      <c r="J22" s="66">
        <f t="shared" ref="J22:L22" si="35">SUMPRODUCT(J6:J21,C6:C21)/C22</f>
        <v>0.9549917954168039</v>
      </c>
      <c r="K22" s="67">
        <f t="shared" si="35"/>
        <v>0.84585729977584956</v>
      </c>
      <c r="L22" s="68">
        <f t="shared" si="35"/>
        <v>0.95166721755077799</v>
      </c>
      <c r="M22" s="63">
        <f t="shared" ref="M22" si="36">SUM(M6:M21)</f>
        <v>745444876.772753</v>
      </c>
      <c r="N22" s="64">
        <f t="shared" ref="N22" si="37">SUM(N6:N21)</f>
        <v>24530952.609852675</v>
      </c>
      <c r="O22" s="65">
        <f t="shared" ref="O22" si="38">SUM(O6:O21)</f>
        <v>769975829.38260567</v>
      </c>
      <c r="P22" s="5"/>
      <c r="Q22" s="5"/>
      <c r="R22" s="5"/>
      <c r="S22" s="5"/>
      <c r="T22" s="66">
        <f t="shared" ref="T22" si="39">SUMPRODUCT(T6:T21,M6:M21)/M22</f>
        <v>0.93883049434072885</v>
      </c>
      <c r="U22" s="67">
        <f t="shared" ref="U22" si="40">SUMPRODUCT(U6:U21,N6:N21)/N22</f>
        <v>0.84585729977584967</v>
      </c>
      <c r="V22" s="67">
        <f t="shared" ref="V22" si="41">SUMPRODUCT(V6:V21,O6:O21)/O22</f>
        <v>0.93586842599673103</v>
      </c>
      <c r="W22" s="202">
        <f t="shared" ref="W22" si="42">SUM(W6:W21)</f>
        <v>35291259.719642833</v>
      </c>
      <c r="X22" s="64">
        <f t="shared" ref="X22" si="43">SUM(X6:X21)</f>
        <v>0</v>
      </c>
      <c r="Y22" s="65">
        <f t="shared" ref="Y22" si="44">SUM(Y6:Y21)</f>
        <v>35291259.719642833</v>
      </c>
      <c r="Z22" s="5"/>
      <c r="AA22" s="5"/>
      <c r="AB22" s="5"/>
      <c r="AC22" s="5"/>
      <c r="AD22" s="66">
        <f t="shared" ref="AD22" si="45">SUMPRODUCT(AD6:AD21,W6:W21)/W22</f>
        <v>1.2963612785366356</v>
      </c>
      <c r="AE22" s="67"/>
      <c r="AF22" s="203">
        <f t="shared" ref="AF22" si="46">SUMPRODUCT(AF6:AF21,Y6:Y21)/Y22</f>
        <v>1.2963612785366356</v>
      </c>
    </row>
    <row r="23" spans="1:32" x14ac:dyDescent="0.25">
      <c r="A23" s="15"/>
      <c r="B23" s="60"/>
      <c r="C23" s="36"/>
      <c r="D23" s="37"/>
      <c r="E23" s="38"/>
      <c r="F23" s="29"/>
      <c r="G23" s="29"/>
      <c r="H23" s="29"/>
      <c r="I23" s="29"/>
      <c r="J23" s="30"/>
      <c r="K23" s="31"/>
      <c r="L23" s="32"/>
      <c r="M23" s="39"/>
      <c r="N23" s="29"/>
      <c r="O23" s="40"/>
      <c r="P23" s="29"/>
      <c r="Q23" s="29"/>
      <c r="R23" s="29"/>
      <c r="S23" s="29"/>
      <c r="T23" s="30"/>
      <c r="U23" s="31"/>
      <c r="V23" s="31"/>
      <c r="W23" s="204"/>
      <c r="X23" s="29"/>
      <c r="Y23" s="40"/>
      <c r="Z23" s="29"/>
      <c r="AA23" s="29"/>
      <c r="AB23" s="29"/>
      <c r="AC23" s="29"/>
      <c r="AD23" s="30"/>
      <c r="AE23" s="31"/>
      <c r="AF23" s="205"/>
    </row>
    <row r="24" spans="1:32" s="15" customFormat="1" x14ac:dyDescent="0.25">
      <c r="A24" s="117">
        <v>2021</v>
      </c>
      <c r="B24" s="8" t="s">
        <v>79</v>
      </c>
      <c r="C24" s="9">
        <v>11277371.386454104</v>
      </c>
      <c r="D24" s="10">
        <v>0</v>
      </c>
      <c r="E24" s="11">
        <v>11277371.386454104</v>
      </c>
      <c r="F24" s="5"/>
      <c r="G24" s="5"/>
      <c r="H24" s="5"/>
      <c r="I24" s="5"/>
      <c r="J24" s="43" cm="1">
        <f t="array" ref="J24">SUMPRODUCT('Gross Results by UW month'!J$11:J$1000,'Gross Results by UW month'!D$11:D$1000,--('Gross Results by UW month'!$B$11:$B$1000='30 Jun 2025 - Gross'!$B24))/'30 Jun 2025 - Gross'!C24</f>
        <v>0.86258027505771329</v>
      </c>
      <c r="K24" s="44"/>
      <c r="L24" s="6" cm="1">
        <f t="array" ref="L24">SUMPRODUCT('Gross Results by UW month'!L$11:L$1000,'Gross Results by UW month'!F$11:F$1000,--('Gross Results by UW month'!$B$11:$B$1000='30 Jun 2025 - Gross'!$B24))/'30 Jun 2025 - Gross'!E24</f>
        <v>0.86258027505771329</v>
      </c>
      <c r="M24" s="12">
        <f t="shared" ref="M24:M27" si="47">C24-W24</f>
        <v>9071593.8735969625</v>
      </c>
      <c r="N24" s="13">
        <f t="shared" ref="N24:N27" si="48">D24-X24</f>
        <v>0</v>
      </c>
      <c r="O24" s="14">
        <f t="shared" ref="O24:O27" si="49">E24-Y24</f>
        <v>9071593.8735969625</v>
      </c>
      <c r="P24" s="5"/>
      <c r="Q24" s="5"/>
      <c r="R24" s="5"/>
      <c r="S24" s="5"/>
      <c r="T24" s="43">
        <f t="shared" ref="T24:T27" si="50">IFERROR((C24*J24-W24*AD24)/M24,"")</f>
        <v>0.79719246068674754</v>
      </c>
      <c r="U24" s="44" t="str">
        <f t="shared" ref="U24:U27" si="51">IFERROR((D24*K24-X24*AE24)/N24,"")</f>
        <v/>
      </c>
      <c r="V24" s="7">
        <f t="shared" ref="V24:V27" si="52">IFERROR((E24*L24-Y24*AF24)/O24,"")</f>
        <v>0.79719246068674754</v>
      </c>
      <c r="W24" s="199">
        <v>2205777.5128571419</v>
      </c>
      <c r="X24" s="96">
        <v>0</v>
      </c>
      <c r="Y24" s="94">
        <v>2205777.5128571419</v>
      </c>
      <c r="Z24" s="90"/>
      <c r="AA24" s="90"/>
      <c r="AB24" s="90"/>
      <c r="AC24" s="90"/>
      <c r="AD24" s="97">
        <v>1.1314975583276889</v>
      </c>
      <c r="AE24" s="98" t="s">
        <v>42</v>
      </c>
      <c r="AF24" s="200">
        <v>1.1314975583276889</v>
      </c>
    </row>
    <row r="25" spans="1:32" s="15" customFormat="1" x14ac:dyDescent="0.25">
      <c r="A25" s="117">
        <v>2021</v>
      </c>
      <c r="B25" s="8" t="s">
        <v>80</v>
      </c>
      <c r="C25" s="9">
        <v>18918455.587208807</v>
      </c>
      <c r="D25" s="10">
        <v>0</v>
      </c>
      <c r="E25" s="11">
        <v>18918455.587208807</v>
      </c>
      <c r="F25" s="5"/>
      <c r="G25" s="5"/>
      <c r="H25" s="5"/>
      <c r="I25" s="5"/>
      <c r="J25" s="4" cm="1">
        <f t="array" ref="J25">SUMPRODUCT('Gross Results by UW month'!J$11:J$1000,'Gross Results by UW month'!D$11:D$1000,--('Gross Results by UW month'!$B$11:$B$1000='30 Jun 2025 - Gross'!$B25))/'30 Jun 2025 - Gross'!C25</f>
        <v>1.1257155796450884</v>
      </c>
      <c r="K25" s="7"/>
      <c r="L25" s="6" cm="1">
        <f t="array" ref="L25">SUMPRODUCT('Gross Results by UW month'!L$11:L$1000,'Gross Results by UW month'!F$11:F$1000,--('Gross Results by UW month'!$B$11:$B$1000='30 Jun 2025 - Gross'!$B25))/'30 Jun 2025 - Gross'!E25</f>
        <v>1.1257155796450884</v>
      </c>
      <c r="M25" s="12">
        <f t="shared" si="47"/>
        <v>14547860.159351666</v>
      </c>
      <c r="N25" s="13">
        <f t="shared" si="48"/>
        <v>0</v>
      </c>
      <c r="O25" s="14">
        <f t="shared" si="49"/>
        <v>14547860.159351666</v>
      </c>
      <c r="P25" s="5"/>
      <c r="Q25" s="5"/>
      <c r="R25" s="5"/>
      <c r="S25" s="5"/>
      <c r="T25" s="4">
        <f t="shared" si="50"/>
        <v>0.7976268891528</v>
      </c>
      <c r="U25" s="7" t="str">
        <f t="shared" si="51"/>
        <v/>
      </c>
      <c r="V25" s="7">
        <f t="shared" si="52"/>
        <v>0.7976268891528</v>
      </c>
      <c r="W25" s="199">
        <v>4370595.427857141</v>
      </c>
      <c r="X25" s="96">
        <v>0</v>
      </c>
      <c r="Y25" s="94">
        <v>4370595.427857141</v>
      </c>
      <c r="Z25" s="90"/>
      <c r="AA25" s="90"/>
      <c r="AB25" s="90"/>
      <c r="AC25" s="90"/>
      <c r="AD25" s="91">
        <v>2.2177838041997391</v>
      </c>
      <c r="AE25" s="95" t="s">
        <v>42</v>
      </c>
      <c r="AF25" s="200">
        <v>2.2177838041997391</v>
      </c>
    </row>
    <row r="26" spans="1:32" s="15" customFormat="1" x14ac:dyDescent="0.25">
      <c r="A26" s="117">
        <v>2021</v>
      </c>
      <c r="B26" s="8" t="s">
        <v>81</v>
      </c>
      <c r="C26" s="9">
        <v>29536093.088691294</v>
      </c>
      <c r="D26" s="10">
        <v>0</v>
      </c>
      <c r="E26" s="11">
        <v>29536093.088691294</v>
      </c>
      <c r="F26" s="5"/>
      <c r="G26" s="5"/>
      <c r="H26" s="5"/>
      <c r="I26" s="5"/>
      <c r="J26" s="4" cm="1">
        <f t="array" ref="J26">SUMPRODUCT('Gross Results by UW month'!J$11:J$1000,'Gross Results by UW month'!D$11:D$1000,--('Gross Results by UW month'!$B$11:$B$1000='30 Jun 2025 - Gross'!$B26))/'30 Jun 2025 - Gross'!C26</f>
        <v>1.0458157785809603</v>
      </c>
      <c r="K26" s="7"/>
      <c r="L26" s="6" cm="1">
        <f t="array" ref="L26">SUMPRODUCT('Gross Results by UW month'!L$11:L$1000,'Gross Results by UW month'!F$11:F$1000,--('Gross Results by UW month'!$B$11:$B$1000='30 Jun 2025 - Gross'!$B26))/'30 Jun 2025 - Gross'!E26</f>
        <v>1.0458157785809603</v>
      </c>
      <c r="M26" s="12">
        <f t="shared" si="47"/>
        <v>23472293.690834172</v>
      </c>
      <c r="N26" s="13">
        <f t="shared" si="48"/>
        <v>0</v>
      </c>
      <c r="O26" s="14">
        <f t="shared" si="49"/>
        <v>23472293.690834172</v>
      </c>
      <c r="P26" s="5"/>
      <c r="Q26" s="5"/>
      <c r="R26" s="5"/>
      <c r="S26" s="5"/>
      <c r="T26" s="4">
        <f t="shared" si="50"/>
        <v>1.0705666490663945</v>
      </c>
      <c r="U26" s="7" t="str">
        <f t="shared" si="51"/>
        <v/>
      </c>
      <c r="V26" s="7">
        <f t="shared" si="52"/>
        <v>1.0705666490663945</v>
      </c>
      <c r="W26" s="199">
        <v>6063799.3978571203</v>
      </c>
      <c r="X26" s="96">
        <v>0</v>
      </c>
      <c r="Y26" s="94">
        <v>6063799.3978571203</v>
      </c>
      <c r="Z26" s="90"/>
      <c r="AA26" s="90"/>
      <c r="AB26" s="90"/>
      <c r="AC26" s="90"/>
      <c r="AD26" s="91">
        <v>0.95000790912155608</v>
      </c>
      <c r="AE26" s="95" t="s">
        <v>42</v>
      </c>
      <c r="AF26" s="200">
        <v>0.95000790912155608</v>
      </c>
    </row>
    <row r="27" spans="1:32" s="15" customFormat="1" x14ac:dyDescent="0.25">
      <c r="A27" s="117">
        <v>2021</v>
      </c>
      <c r="B27" s="8" t="s">
        <v>82</v>
      </c>
      <c r="C27" s="9">
        <v>29128777.105400547</v>
      </c>
      <c r="D27" s="10">
        <v>0</v>
      </c>
      <c r="E27" s="11">
        <v>29128777.105400547</v>
      </c>
      <c r="F27" s="5"/>
      <c r="G27" s="5"/>
      <c r="H27" s="5"/>
      <c r="I27" s="5"/>
      <c r="J27" s="7" cm="1">
        <f t="array" ref="J27">SUMPRODUCT('Gross Results by UW month'!J$11:J$1000,'Gross Results by UW month'!D$11:D$1000,--('Gross Results by UW month'!$B$11:$B$1000='30 Jun 2025 - Gross'!$B27))/'30 Jun 2025 - Gross'!C27</f>
        <v>1.1389185920765961</v>
      </c>
      <c r="K27" s="7"/>
      <c r="L27" s="7" cm="1">
        <f t="array" ref="L27">SUMPRODUCT('Gross Results by UW month'!L$11:L$1000,'Gross Results by UW month'!F$11:F$1000,--('Gross Results by UW month'!$B$11:$B$1000='30 Jun 2025 - Gross'!$B27))/'30 Jun 2025 - Gross'!E27</f>
        <v>1.1389185920765961</v>
      </c>
      <c r="M27" s="12">
        <f t="shared" si="47"/>
        <v>24201465.711471975</v>
      </c>
      <c r="N27" s="13">
        <f t="shared" si="48"/>
        <v>0</v>
      </c>
      <c r="O27" s="14">
        <f t="shared" si="49"/>
        <v>24201465.711471975</v>
      </c>
      <c r="P27" s="5"/>
      <c r="Q27" s="5"/>
      <c r="R27" s="5"/>
      <c r="S27" s="5"/>
      <c r="T27" s="7">
        <f t="shared" si="50"/>
        <v>1.0363962175685559</v>
      </c>
      <c r="U27" s="7" t="str">
        <f t="shared" si="51"/>
        <v/>
      </c>
      <c r="V27" s="7">
        <f t="shared" si="52"/>
        <v>1.0363962175685559</v>
      </c>
      <c r="W27" s="199">
        <v>4927311.3939285707</v>
      </c>
      <c r="X27" s="96">
        <v>0</v>
      </c>
      <c r="Y27" s="94">
        <v>4927311.3939285707</v>
      </c>
      <c r="Z27" s="90"/>
      <c r="AA27" s="90"/>
      <c r="AB27" s="90"/>
      <c r="AC27" s="90"/>
      <c r="AD27" s="95">
        <v>1.6424775379090728</v>
      </c>
      <c r="AE27" s="95" t="s">
        <v>42</v>
      </c>
      <c r="AF27" s="200">
        <v>1.6424775379090728</v>
      </c>
    </row>
    <row r="28" spans="1:32" s="15" customFormat="1" x14ac:dyDescent="0.25">
      <c r="A28" s="117">
        <v>2022</v>
      </c>
      <c r="B28" s="8" t="s">
        <v>13</v>
      </c>
      <c r="C28" s="9">
        <v>29179755.79329171</v>
      </c>
      <c r="D28" s="10">
        <v>0</v>
      </c>
      <c r="E28" s="11">
        <v>29179755.79329171</v>
      </c>
      <c r="F28" s="5"/>
      <c r="G28" s="5"/>
      <c r="H28" s="5"/>
      <c r="I28" s="5"/>
      <c r="J28" s="7" cm="1">
        <f t="array" ref="J28">SUMPRODUCT('Gross Results by UW month'!J$11:J$1000,'Gross Results by UW month'!D$11:D$1000,--('Gross Results by UW month'!$B$11:$B$1000='30 Jun 2025 - Gross'!$B28))/'30 Jun 2025 - Gross'!C28</f>
        <v>1.0706961058349895</v>
      </c>
      <c r="K28" s="7"/>
      <c r="L28" s="7" cm="1">
        <f t="array" ref="L28">SUMPRODUCT('Gross Results by UW month'!L$11:L$1000,'Gross Results by UW month'!F$11:F$1000,--('Gross Results by UW month'!$B$11:$B$1000='30 Jun 2025 - Gross'!$B28))/'30 Jun 2025 - Gross'!E28</f>
        <v>1.0706961058349895</v>
      </c>
      <c r="M28" s="12">
        <f t="shared" ref="M28:O35" si="53">C28-W28</f>
        <v>25623244.82864885</v>
      </c>
      <c r="N28" s="13">
        <f t="shared" si="53"/>
        <v>0</v>
      </c>
      <c r="O28" s="14">
        <f t="shared" si="53"/>
        <v>25623244.82864885</v>
      </c>
      <c r="P28" s="5"/>
      <c r="Q28" s="5"/>
      <c r="R28" s="5"/>
      <c r="S28" s="5"/>
      <c r="T28" s="7">
        <f t="shared" ref="T28:V35" si="54">IFERROR((C28*J28-W28*AD28)/M28,"")</f>
        <v>1.1012080756711697</v>
      </c>
      <c r="U28" s="7" t="str">
        <f t="shared" si="54"/>
        <v/>
      </c>
      <c r="V28" s="7">
        <f t="shared" si="54"/>
        <v>1.1012080756711697</v>
      </c>
      <c r="W28" s="199">
        <v>3556510.96464286</v>
      </c>
      <c r="X28" s="96">
        <v>0</v>
      </c>
      <c r="Y28" s="94">
        <v>3556510.96464286</v>
      </c>
      <c r="Z28" s="90"/>
      <c r="AA28" s="90"/>
      <c r="AB28" s="90"/>
      <c r="AC28" s="90"/>
      <c r="AD28" s="95">
        <v>0.85086951705479696</v>
      </c>
      <c r="AE28" s="95" t="s">
        <v>42</v>
      </c>
      <c r="AF28" s="200">
        <v>0.85086951705479696</v>
      </c>
    </row>
    <row r="29" spans="1:32" s="15" customFormat="1" x14ac:dyDescent="0.25">
      <c r="A29" s="117">
        <v>2022</v>
      </c>
      <c r="B29" s="8" t="s">
        <v>14</v>
      </c>
      <c r="C29" s="9">
        <v>33207827.033860881</v>
      </c>
      <c r="D29" s="10">
        <v>0</v>
      </c>
      <c r="E29" s="11">
        <v>33207827.033860881</v>
      </c>
      <c r="F29" s="5"/>
      <c r="G29" s="5"/>
      <c r="H29" s="5"/>
      <c r="I29" s="5"/>
      <c r="J29" s="7" cm="1">
        <f t="array" ref="J29">SUMPRODUCT('Gross Results by UW month'!J$11:J$1000,'Gross Results by UW month'!D$11:D$1000,--('Gross Results by UW month'!$B$11:$B$1000='30 Jun 2025 - Gross'!$B29))/'30 Jun 2025 - Gross'!C29</f>
        <v>1.1114975124676398</v>
      </c>
      <c r="K29" s="7"/>
      <c r="L29" s="7" cm="1">
        <f t="array" ref="L29">SUMPRODUCT('Gross Results by UW month'!L$11:L$1000,'Gross Results by UW month'!F$11:F$1000,--('Gross Results by UW month'!$B$11:$B$1000='30 Jun 2025 - Gross'!$B29))/'30 Jun 2025 - Gross'!E29</f>
        <v>1.1114975124676398</v>
      </c>
      <c r="M29" s="12">
        <f t="shared" si="53"/>
        <v>31710282.734218024</v>
      </c>
      <c r="N29" s="13">
        <f t="shared" si="53"/>
        <v>0</v>
      </c>
      <c r="O29" s="14">
        <f t="shared" si="53"/>
        <v>31710282.734218024</v>
      </c>
      <c r="P29" s="5"/>
      <c r="Q29" s="5"/>
      <c r="R29" s="5"/>
      <c r="S29" s="5"/>
      <c r="T29" s="4">
        <f t="shared" si="54"/>
        <v>1.1153200722394983</v>
      </c>
      <c r="U29" s="7" t="str">
        <f t="shared" si="54"/>
        <v/>
      </c>
      <c r="V29" s="7">
        <f t="shared" si="54"/>
        <v>1.1153200722394983</v>
      </c>
      <c r="W29" s="199">
        <v>1497544.2996428572</v>
      </c>
      <c r="X29" s="96">
        <v>0</v>
      </c>
      <c r="Y29" s="94">
        <v>1497544.2996428572</v>
      </c>
      <c r="Z29" s="90"/>
      <c r="AA29" s="90"/>
      <c r="AB29" s="90"/>
      <c r="AC29" s="90"/>
      <c r="AD29" s="95">
        <v>1.0305553652717359</v>
      </c>
      <c r="AE29" s="95" t="s">
        <v>42</v>
      </c>
      <c r="AF29" s="200">
        <v>1.0305553652717359</v>
      </c>
    </row>
    <row r="30" spans="1:32" s="15" customFormat="1" x14ac:dyDescent="0.25">
      <c r="A30" s="117">
        <v>2022</v>
      </c>
      <c r="B30" s="8" t="s">
        <v>15</v>
      </c>
      <c r="C30" s="9">
        <v>40419113.40828599</v>
      </c>
      <c r="D30" s="10">
        <v>0</v>
      </c>
      <c r="E30" s="11">
        <v>40419113.40828599</v>
      </c>
      <c r="F30" s="5"/>
      <c r="G30" s="5"/>
      <c r="H30" s="5"/>
      <c r="I30" s="5"/>
      <c r="J30" s="4" cm="1">
        <f t="array" ref="J30">SUMPRODUCT('Gross Results by UW month'!J$11:J$1000,'Gross Results by UW month'!D$11:D$1000,--('Gross Results by UW month'!$B$11:$B$1000='30 Jun 2025 - Gross'!$B30))/'30 Jun 2025 - Gross'!C30</f>
        <v>1.0493551405193802</v>
      </c>
      <c r="K30" s="7"/>
      <c r="L30" s="6" cm="1">
        <f t="array" ref="L30">SUMPRODUCT('Gross Results by UW month'!L$11:L$1000,'Gross Results by UW month'!F$11:F$1000,--('Gross Results by UW month'!$B$11:$B$1000='30 Jun 2025 - Gross'!$B30))/'30 Jun 2025 - Gross'!E30</f>
        <v>1.0493551405193802</v>
      </c>
      <c r="M30" s="12">
        <f t="shared" si="53"/>
        <v>38771327.466500275</v>
      </c>
      <c r="N30" s="13">
        <f t="shared" si="53"/>
        <v>0</v>
      </c>
      <c r="O30" s="14">
        <f t="shared" si="53"/>
        <v>38771327.466500275</v>
      </c>
      <c r="P30" s="5"/>
      <c r="Q30" s="5"/>
      <c r="R30" s="5"/>
      <c r="S30" s="5"/>
      <c r="T30" s="4">
        <f t="shared" si="54"/>
        <v>1.0629008847364714</v>
      </c>
      <c r="U30" s="7" t="str">
        <f t="shared" si="54"/>
        <v/>
      </c>
      <c r="V30" s="7">
        <f t="shared" si="54"/>
        <v>1.0629008847364714</v>
      </c>
      <c r="W30" s="199">
        <v>1647785.9417857141</v>
      </c>
      <c r="X30" s="96">
        <v>0</v>
      </c>
      <c r="Y30" s="94">
        <v>1647785.9417857141</v>
      </c>
      <c r="Z30" s="90"/>
      <c r="AA30" s="90"/>
      <c r="AB30" s="90"/>
      <c r="AC30" s="90"/>
      <c r="AD30" s="91">
        <v>0.73063262232072101</v>
      </c>
      <c r="AE30" s="95" t="s">
        <v>42</v>
      </c>
      <c r="AF30" s="200">
        <v>0.73063262232072079</v>
      </c>
    </row>
    <row r="31" spans="1:32" s="15" customFormat="1" x14ac:dyDescent="0.25">
      <c r="A31" s="117">
        <v>2022</v>
      </c>
      <c r="B31" s="8" t="s">
        <v>16</v>
      </c>
      <c r="C31" s="9">
        <v>31876794.830809031</v>
      </c>
      <c r="D31" s="10">
        <v>0</v>
      </c>
      <c r="E31" s="11">
        <v>31876794.830809031</v>
      </c>
      <c r="F31" s="5"/>
      <c r="G31" s="5"/>
      <c r="H31" s="5"/>
      <c r="I31" s="5"/>
      <c r="J31" s="4" cm="1">
        <f t="array" ref="J31">SUMPRODUCT('Gross Results by UW month'!J$11:J$1000,'Gross Results by UW month'!D$11:D$1000,--('Gross Results by UW month'!$B$11:$B$1000='30 Jun 2025 - Gross'!$B31))/'30 Jun 2025 - Gross'!C31</f>
        <v>0.9972987167679267</v>
      </c>
      <c r="K31" s="7"/>
      <c r="L31" s="6" cm="1">
        <f t="array" ref="L31">SUMPRODUCT('Gross Results by UW month'!L$11:L$1000,'Gross Results by UW month'!F$11:F$1000,--('Gross Results by UW month'!$B$11:$B$1000='30 Jun 2025 - Gross'!$B31))/'30 Jun 2025 - Gross'!E31</f>
        <v>0.9972987167679267</v>
      </c>
      <c r="M31" s="12">
        <f t="shared" si="53"/>
        <v>28968811.964737598</v>
      </c>
      <c r="N31" s="13">
        <f t="shared" si="53"/>
        <v>0</v>
      </c>
      <c r="O31" s="14">
        <f t="shared" si="53"/>
        <v>28968811.964737598</v>
      </c>
      <c r="P31" s="5"/>
      <c r="Q31" s="5"/>
      <c r="R31" s="5"/>
      <c r="S31" s="5"/>
      <c r="T31" s="4">
        <f t="shared" si="54"/>
        <v>0.93552079170803226</v>
      </c>
      <c r="U31" s="7" t="str">
        <f t="shared" si="54"/>
        <v/>
      </c>
      <c r="V31" s="7">
        <f t="shared" si="54"/>
        <v>0.93552079170803215</v>
      </c>
      <c r="W31" s="199">
        <v>2907982.8660714319</v>
      </c>
      <c r="X31" s="96">
        <v>0</v>
      </c>
      <c r="Y31" s="94">
        <v>2907982.8660714319</v>
      </c>
      <c r="Z31" s="90"/>
      <c r="AA31" s="90"/>
      <c r="AB31" s="90"/>
      <c r="AC31" s="90"/>
      <c r="AD31" s="91">
        <v>1.6127195005394135</v>
      </c>
      <c r="AE31" s="95" t="s">
        <v>42</v>
      </c>
      <c r="AF31" s="200">
        <v>1.612719500539415</v>
      </c>
    </row>
    <row r="32" spans="1:32" s="15" customFormat="1" x14ac:dyDescent="0.25">
      <c r="A32" s="117">
        <f t="shared" ref="A32:A37" si="55">A28+1</f>
        <v>2023</v>
      </c>
      <c r="B32" s="8" t="s">
        <v>17</v>
      </c>
      <c r="C32" s="9">
        <f t="shared" ref="C32" si="56">SUM(C43:C45)</f>
        <v>24632399.137876548</v>
      </c>
      <c r="D32" s="10">
        <f t="shared" ref="D32:E32" si="57">SUM(D43:D45)</f>
        <v>0</v>
      </c>
      <c r="E32" s="11">
        <f t="shared" si="57"/>
        <v>24632399.137876548</v>
      </c>
      <c r="F32" s="5"/>
      <c r="G32" s="5"/>
      <c r="H32" s="5"/>
      <c r="I32" s="5"/>
      <c r="J32" s="4">
        <f t="shared" ref="J32:L32" si="58">SUMPRODUCT(J43:J45,C43:C45)/C32</f>
        <v>1.072331978997719</v>
      </c>
      <c r="K32" s="7"/>
      <c r="L32" s="6">
        <f t="shared" si="58"/>
        <v>1.072331978997719</v>
      </c>
      <c r="M32" s="12">
        <f t="shared" si="53"/>
        <v>21886025.74573369</v>
      </c>
      <c r="N32" s="13">
        <f t="shared" si="53"/>
        <v>0</v>
      </c>
      <c r="O32" s="14">
        <f t="shared" si="53"/>
        <v>21886025.74573369</v>
      </c>
      <c r="P32" s="5"/>
      <c r="Q32" s="5"/>
      <c r="R32" s="5"/>
      <c r="S32" s="5"/>
      <c r="T32" s="4">
        <f t="shared" si="54"/>
        <v>1.1012550374234711</v>
      </c>
      <c r="U32" s="7" t="str">
        <f t="shared" si="54"/>
        <v/>
      </c>
      <c r="V32" s="7">
        <f t="shared" si="54"/>
        <v>1.1012550374234711</v>
      </c>
      <c r="W32" s="199">
        <f>SUM(W43:W45)</f>
        <v>2746373.3921428574</v>
      </c>
      <c r="X32" s="96">
        <f t="shared" ref="X32:X35" si="59">Y32-W32</f>
        <v>0</v>
      </c>
      <c r="Y32" s="94">
        <f>SUM(Y43:Y45)</f>
        <v>2746373.3921428574</v>
      </c>
      <c r="Z32" s="90"/>
      <c r="AA32" s="90"/>
      <c r="AB32" s="90"/>
      <c r="AC32" s="90"/>
      <c r="AD32" s="91">
        <f t="shared" ref="AD32:AF32" si="60">SUMPRODUCT(AD43:AD45,W43:W45)/SUM(W43:W45)</f>
        <v>0.8418422709476937</v>
      </c>
      <c r="AE32" s="95"/>
      <c r="AF32" s="200">
        <f t="shared" si="60"/>
        <v>0.8418422709476937</v>
      </c>
    </row>
    <row r="33" spans="1:32" s="15" customFormat="1" x14ac:dyDescent="0.25">
      <c r="A33" s="117">
        <f t="shared" si="55"/>
        <v>2023</v>
      </c>
      <c r="B33" s="8" t="s">
        <v>18</v>
      </c>
      <c r="C33" s="9">
        <f t="shared" ref="C33" si="61">SUM(C46:C48)</f>
        <v>23899491.004619353</v>
      </c>
      <c r="D33" s="10">
        <f t="shared" ref="D33:E33" si="62">SUM(D46:D48)</f>
        <v>0</v>
      </c>
      <c r="E33" s="11">
        <f t="shared" si="62"/>
        <v>23899491.004619353</v>
      </c>
      <c r="F33" s="5"/>
      <c r="G33" s="5"/>
      <c r="H33" s="5"/>
      <c r="I33" s="5"/>
      <c r="J33" s="4">
        <f t="shared" ref="J33:L33" si="63">SUMPRODUCT(J46:J48,C46:C48)/C33</f>
        <v>0.96867876881796711</v>
      </c>
      <c r="K33" s="7"/>
      <c r="L33" s="6">
        <f t="shared" si="63"/>
        <v>0.96867876881796711</v>
      </c>
      <c r="M33" s="12">
        <f t="shared" si="53"/>
        <v>20689082.959619351</v>
      </c>
      <c r="N33" s="13">
        <f t="shared" si="53"/>
        <v>0</v>
      </c>
      <c r="O33" s="14">
        <f t="shared" si="53"/>
        <v>20689082.959619351</v>
      </c>
      <c r="P33" s="5"/>
      <c r="Q33" s="5"/>
      <c r="R33" s="5"/>
      <c r="S33" s="5"/>
      <c r="T33" s="4">
        <f t="shared" si="54"/>
        <v>0.88169782479764036</v>
      </c>
      <c r="U33" s="7" t="str">
        <f t="shared" si="54"/>
        <v/>
      </c>
      <c r="V33" s="7">
        <f t="shared" si="54"/>
        <v>0.88169782479764036</v>
      </c>
      <c r="W33" s="199">
        <f>SUM(W46:W48)</f>
        <v>3210408.0450000032</v>
      </c>
      <c r="X33" s="96">
        <f t="shared" si="59"/>
        <v>0</v>
      </c>
      <c r="Y33" s="94">
        <f>SUM(Y46:Y48)</f>
        <v>3210408.0450000032</v>
      </c>
      <c r="Z33" s="90"/>
      <c r="AA33" s="90"/>
      <c r="AB33" s="90"/>
      <c r="AC33" s="90"/>
      <c r="AD33" s="91">
        <f t="shared" ref="AD33:AF33" si="64">SUMPRODUCT(AD46:AD48,W46:W48)/SUM(W46:W48)</f>
        <v>1.5292168504319947</v>
      </c>
      <c r="AE33" s="95"/>
      <c r="AF33" s="200">
        <f t="shared" si="64"/>
        <v>1.5292168504319952</v>
      </c>
    </row>
    <row r="34" spans="1:32" s="15" customFormat="1" x14ac:dyDescent="0.25">
      <c r="A34" s="117">
        <f t="shared" si="55"/>
        <v>2023</v>
      </c>
      <c r="B34" s="8" t="s">
        <v>19</v>
      </c>
      <c r="C34" s="9">
        <f t="shared" ref="C34" si="65">SUM(C49:C51)</f>
        <v>24172174.157557882</v>
      </c>
      <c r="D34" s="10">
        <f t="shared" ref="D34:E34" si="66">SUM(D49:D51)</f>
        <v>0</v>
      </c>
      <c r="E34" s="11">
        <f t="shared" si="66"/>
        <v>24172174.157557882</v>
      </c>
      <c r="F34" s="5"/>
      <c r="G34" s="5"/>
      <c r="H34" s="5"/>
      <c r="I34" s="5"/>
      <c r="J34" s="4">
        <f t="shared" ref="J34:L34" si="67">SUMPRODUCT(J49:J51,C49:C51)/C34</f>
        <v>0.92451324715331451</v>
      </c>
      <c r="K34" s="7"/>
      <c r="L34" s="6">
        <f t="shared" si="67"/>
        <v>0.92451324715331451</v>
      </c>
      <c r="M34" s="12">
        <f t="shared" si="53"/>
        <v>22235387.506843597</v>
      </c>
      <c r="N34" s="13">
        <f t="shared" si="53"/>
        <v>0</v>
      </c>
      <c r="O34" s="14">
        <f t="shared" si="53"/>
        <v>22235387.506843597</v>
      </c>
      <c r="P34" s="5"/>
      <c r="Q34" s="5"/>
      <c r="R34" s="5"/>
      <c r="S34" s="5"/>
      <c r="T34" s="4">
        <f t="shared" si="54"/>
        <v>0.92206738434333957</v>
      </c>
      <c r="U34" s="7" t="str">
        <f t="shared" si="54"/>
        <v/>
      </c>
      <c r="V34" s="7">
        <f t="shared" si="54"/>
        <v>0.92206738434333957</v>
      </c>
      <c r="W34" s="199">
        <f>SUM(W49:W51)</f>
        <v>1936786.6507142847</v>
      </c>
      <c r="X34" s="96">
        <f t="shared" si="59"/>
        <v>0</v>
      </c>
      <c r="Y34" s="94">
        <f>SUM(Y49:Y51)</f>
        <v>1936786.6507142847</v>
      </c>
      <c r="Z34" s="90"/>
      <c r="AA34" s="90"/>
      <c r="AB34" s="90"/>
      <c r="AC34" s="90"/>
      <c r="AD34" s="91">
        <f t="shared" ref="AD34:AF34" si="68">SUMPRODUCT(AD49:AD51,W49:W51)/SUM(W49:W51)</f>
        <v>0.95259311198938834</v>
      </c>
      <c r="AE34" s="95"/>
      <c r="AF34" s="200">
        <f t="shared" si="68"/>
        <v>0.95259311198938834</v>
      </c>
    </row>
    <row r="35" spans="1:32" s="15" customFormat="1" x14ac:dyDescent="0.25">
      <c r="A35" s="117">
        <f t="shared" si="55"/>
        <v>2023</v>
      </c>
      <c r="B35" s="8" t="s">
        <v>20</v>
      </c>
      <c r="C35" s="9">
        <f t="shared" ref="C35" si="69">SUM(C52:C54)</f>
        <v>21832052.583186343</v>
      </c>
      <c r="D35" s="10">
        <f t="shared" ref="D35:E35" si="70">SUM(D52:D54)</f>
        <v>0</v>
      </c>
      <c r="E35" s="11">
        <f t="shared" si="70"/>
        <v>21832052.583186343</v>
      </c>
      <c r="F35" s="5"/>
      <c r="G35" s="5"/>
      <c r="H35" s="5"/>
      <c r="I35" s="5"/>
      <c r="J35" s="4">
        <f t="shared" ref="J35:L35" si="71">SUMPRODUCT(J52:J54,C52:C54)/C35</f>
        <v>0.95854515877749291</v>
      </c>
      <c r="K35" s="7"/>
      <c r="L35" s="6">
        <f t="shared" si="71"/>
        <v>0.95854515877749291</v>
      </c>
      <c r="M35" s="12">
        <f t="shared" si="53"/>
        <v>21776840.579614915</v>
      </c>
      <c r="N35" s="13">
        <f t="shared" si="53"/>
        <v>0</v>
      </c>
      <c r="O35" s="14">
        <f t="shared" si="53"/>
        <v>21776840.579614915</v>
      </c>
      <c r="P35" s="5"/>
      <c r="Q35" s="5"/>
      <c r="R35" s="5"/>
      <c r="S35" s="5"/>
      <c r="T35" s="4">
        <f t="shared" si="54"/>
        <v>0.95958908444587843</v>
      </c>
      <c r="U35" s="7" t="str">
        <f t="shared" si="54"/>
        <v/>
      </c>
      <c r="V35" s="7">
        <f t="shared" si="54"/>
        <v>0.95958908444587843</v>
      </c>
      <c r="W35" s="199">
        <f>SUM(W52:W54)</f>
        <v>55212.003571428599</v>
      </c>
      <c r="X35" s="96">
        <f t="shared" si="59"/>
        <v>0</v>
      </c>
      <c r="Y35" s="94">
        <f>SUM(Y52:Y54)</f>
        <v>55212.003571428599</v>
      </c>
      <c r="Z35" s="90"/>
      <c r="AA35" s="90"/>
      <c r="AB35" s="90"/>
      <c r="AC35" s="90"/>
      <c r="AD35" s="91">
        <f>SUMPRODUCT(AD52:AD54,W52:W54)/SUM(W52:W54)</f>
        <v>0.54679768745107871</v>
      </c>
      <c r="AE35" s="95"/>
      <c r="AF35" s="200">
        <f>SUMPRODUCT(AF52:AF54,Y52:Y54)/SUM(Y52:Y54)</f>
        <v>0.54679768745107871</v>
      </c>
    </row>
    <row r="36" spans="1:32" s="15" customFormat="1" x14ac:dyDescent="0.25">
      <c r="A36" s="117">
        <f t="shared" si="55"/>
        <v>2024</v>
      </c>
      <c r="B36" s="8" t="s">
        <v>36</v>
      </c>
      <c r="C36" s="9">
        <f t="shared" ref="C36" si="72">SUM(C56:C58)</f>
        <v>27261249.188155953</v>
      </c>
      <c r="D36" s="10">
        <f t="shared" ref="D36:E36" si="73">SUM(D56:D58)</f>
        <v>0</v>
      </c>
      <c r="E36" s="11">
        <f t="shared" si="73"/>
        <v>27261249.188155953</v>
      </c>
      <c r="F36" s="5"/>
      <c r="G36" s="5"/>
      <c r="H36" s="5"/>
      <c r="I36" s="5"/>
      <c r="J36" s="4">
        <f t="shared" ref="J36:L36" si="74">SUMPRODUCT(J56:J58,C56:C58)/C36</f>
        <v>0.89130395550726838</v>
      </c>
      <c r="K36" s="7"/>
      <c r="L36" s="6">
        <f t="shared" si="74"/>
        <v>0.89130395550726838</v>
      </c>
      <c r="M36" s="12">
        <f t="shared" ref="M36" si="75">C36-W36</f>
        <v>27261249.188155953</v>
      </c>
      <c r="N36" s="13">
        <f t="shared" ref="N36" si="76">D36-X36</f>
        <v>0</v>
      </c>
      <c r="O36" s="14">
        <f t="shared" ref="O36" si="77">E36-Y36</f>
        <v>27261249.188155953</v>
      </c>
      <c r="P36" s="5"/>
      <c r="Q36" s="5"/>
      <c r="R36" s="5"/>
      <c r="S36" s="5"/>
      <c r="T36" s="4">
        <f t="shared" ref="T36" si="78">IFERROR((C36*J36-W36*AD36)/M36,"")</f>
        <v>0.89130395550726838</v>
      </c>
      <c r="U36" s="7" t="str">
        <f t="shared" ref="U36" si="79">IFERROR((D36*K36-X36*AE36)/N36,"")</f>
        <v/>
      </c>
      <c r="V36" s="7">
        <f t="shared" ref="V36" si="80">IFERROR((E36*L36-Y36*AF36)/O36,"")</f>
        <v>0.89130395550726838</v>
      </c>
      <c r="W36" s="197"/>
      <c r="X36" s="13"/>
      <c r="Y36" s="14"/>
      <c r="Z36" s="5"/>
      <c r="AA36" s="5"/>
      <c r="AB36" s="5"/>
      <c r="AC36" s="5"/>
      <c r="AD36" s="4"/>
      <c r="AE36" s="7"/>
      <c r="AF36" s="198"/>
    </row>
    <row r="37" spans="1:32" s="15" customFormat="1" x14ac:dyDescent="0.25">
      <c r="A37" s="117">
        <f t="shared" si="55"/>
        <v>2024</v>
      </c>
      <c r="B37" s="8" t="s">
        <v>40</v>
      </c>
      <c r="C37" s="9">
        <f t="shared" ref="C37" si="81">SUM(C59:C61)</f>
        <v>28592921.976573788</v>
      </c>
      <c r="D37" s="10">
        <f t="shared" ref="D37:E37" si="82">SUM(D59:D61)</f>
        <v>0</v>
      </c>
      <c r="E37" s="11">
        <f t="shared" si="82"/>
        <v>28592921.976573788</v>
      </c>
      <c r="F37" s="13">
        <f t="shared" ref="F37:I37" si="83">F59</f>
        <v>0</v>
      </c>
      <c r="G37" s="13">
        <f t="shared" si="83"/>
        <v>0</v>
      </c>
      <c r="H37" s="13">
        <f t="shared" si="83"/>
        <v>0</v>
      </c>
      <c r="I37" s="13">
        <f t="shared" si="83"/>
        <v>0</v>
      </c>
      <c r="J37" s="4">
        <f t="shared" ref="J37:L37" si="84">SUMPRODUCT(J59:J61,C59:C61)/C37</f>
        <v>0.86338816814020525</v>
      </c>
      <c r="K37" s="7"/>
      <c r="L37" s="6">
        <f t="shared" si="84"/>
        <v>0.86338816814020525</v>
      </c>
      <c r="M37" s="12">
        <f t="shared" ref="M37" si="85">C37-W37</f>
        <v>28592921.976573788</v>
      </c>
      <c r="N37" s="13">
        <f t="shared" ref="N37" si="86">D37-X37</f>
        <v>0</v>
      </c>
      <c r="O37" s="14">
        <f t="shared" ref="O37" si="87">E37-Y37</f>
        <v>28592921.976573788</v>
      </c>
      <c r="P37" s="5"/>
      <c r="Q37" s="5"/>
      <c r="R37" s="5"/>
      <c r="S37" s="5"/>
      <c r="T37" s="4">
        <f t="shared" ref="T37" si="88">IFERROR((C37*J37-W37*AD37)/M37,"")</f>
        <v>0.86338816814020525</v>
      </c>
      <c r="U37" s="7" t="str">
        <f t="shared" ref="U37" si="89">IFERROR((D37*K37-X37*AE37)/N37,"")</f>
        <v/>
      </c>
      <c r="V37" s="7">
        <f t="shared" ref="V37" si="90">IFERROR((E37*L37-Y37*AF37)/O37,"")</f>
        <v>0.86338816814020525</v>
      </c>
      <c r="W37" s="197"/>
      <c r="X37" s="13"/>
      <c r="Y37" s="14"/>
      <c r="Z37" s="5"/>
      <c r="AA37" s="5"/>
      <c r="AB37" s="5"/>
      <c r="AC37" s="5"/>
      <c r="AD37" s="4"/>
      <c r="AE37" s="7"/>
      <c r="AF37" s="198"/>
    </row>
    <row r="38" spans="1:32" s="15" customFormat="1" x14ac:dyDescent="0.25">
      <c r="A38" s="117">
        <f t="shared" ref="A38:A39" si="91">A34+1</f>
        <v>2024</v>
      </c>
      <c r="B38" s="8" t="s">
        <v>48</v>
      </c>
      <c r="C38" s="9">
        <f t="shared" ref="C38" si="92">SUM(C62:C64)</f>
        <v>17945431.757383507</v>
      </c>
      <c r="D38" s="10">
        <f t="shared" ref="D38:E38" si="93">SUM(D62:D64)</f>
        <v>1326374.2050107224</v>
      </c>
      <c r="E38" s="11">
        <f t="shared" si="93"/>
        <v>19271805.962394226</v>
      </c>
      <c r="F38" s="13"/>
      <c r="G38" s="13"/>
      <c r="H38" s="13"/>
      <c r="I38" s="13"/>
      <c r="J38" s="4">
        <f t="shared" ref="J38:L38" si="94">SUMPRODUCT(J62:J64,C62:C64)/C38</f>
        <v>0.88820159867018678</v>
      </c>
      <c r="K38" s="7">
        <f t="shared" si="94"/>
        <v>0.83151266314505112</v>
      </c>
      <c r="L38" s="6">
        <f t="shared" si="94"/>
        <v>0.88430000574543588</v>
      </c>
      <c r="M38" s="12">
        <f t="shared" ref="M38" si="95">C38-W38</f>
        <v>17945431.757383507</v>
      </c>
      <c r="N38" s="13">
        <f t="shared" ref="N38" si="96">D38-X38</f>
        <v>1326374.2050107224</v>
      </c>
      <c r="O38" s="14">
        <f t="shared" ref="O38" si="97">E38-Y38</f>
        <v>19271805.962394226</v>
      </c>
      <c r="P38" s="5"/>
      <c r="Q38" s="5"/>
      <c r="R38" s="5"/>
      <c r="S38" s="5"/>
      <c r="T38" s="4">
        <f t="shared" ref="T38" si="98">IFERROR((C38*J38-W38*AD38)/M38,"")</f>
        <v>0.88820159867018678</v>
      </c>
      <c r="U38" s="7">
        <f t="shared" ref="U38" si="99">IFERROR((D38*K38-X38*AE38)/N38,"")</f>
        <v>0.83151266314505112</v>
      </c>
      <c r="V38" s="7">
        <f t="shared" ref="V38" si="100">IFERROR((E38*L38-Y38*AF38)/O38,"")</f>
        <v>0.88430000574543588</v>
      </c>
      <c r="W38" s="197"/>
      <c r="X38" s="13"/>
      <c r="Y38" s="14"/>
      <c r="Z38" s="5"/>
      <c r="AA38" s="5"/>
      <c r="AB38" s="5"/>
      <c r="AC38" s="5"/>
      <c r="AD38" s="4"/>
      <c r="AE38" s="7"/>
      <c r="AF38" s="198"/>
    </row>
    <row r="39" spans="1:32" s="15" customFormat="1" x14ac:dyDescent="0.25">
      <c r="A39" s="117">
        <f t="shared" si="91"/>
        <v>2024</v>
      </c>
      <c r="B39" s="8" t="s">
        <v>53</v>
      </c>
      <c r="C39" s="9">
        <f t="shared" ref="C39" si="101">SUM(C65:C67)</f>
        <v>9948523.2739869636</v>
      </c>
      <c r="D39" s="10">
        <f t="shared" ref="D39:E39" si="102">SUM(D65:D67)</f>
        <v>4143973.7369542029</v>
      </c>
      <c r="E39" s="11">
        <f t="shared" si="102"/>
        <v>14092497.010941166</v>
      </c>
      <c r="F39" s="13"/>
      <c r="G39" s="13"/>
      <c r="H39" s="13"/>
      <c r="I39" s="13"/>
      <c r="J39" s="4">
        <f t="shared" ref="J39" si="103">SUMPRODUCT(J65:J67,C65:C67)/C39</f>
        <v>0.94152967135681243</v>
      </c>
      <c r="K39" s="7">
        <f t="shared" ref="K39:L39" si="104">SUMPRODUCT(K65:K67,D65:D67)/D39</f>
        <v>0.84062593271870345</v>
      </c>
      <c r="L39" s="6">
        <f t="shared" si="104"/>
        <v>0.91185839006775637</v>
      </c>
      <c r="M39" s="12">
        <f t="shared" ref="M39" si="105">C39-W39</f>
        <v>9948523.2739869636</v>
      </c>
      <c r="N39" s="13">
        <f t="shared" ref="N39" si="106">D39-X39</f>
        <v>4143973.7369542029</v>
      </c>
      <c r="O39" s="14">
        <f t="shared" ref="O39" si="107">E39-Y39</f>
        <v>14092497.010941166</v>
      </c>
      <c r="P39" s="5"/>
      <c r="Q39" s="5"/>
      <c r="R39" s="5"/>
      <c r="S39" s="5"/>
      <c r="T39" s="4">
        <f t="shared" ref="T39" si="108">IFERROR((C39*J39-W39*AD39)/M39,"")</f>
        <v>0.94152967135681243</v>
      </c>
      <c r="U39" s="7">
        <f t="shared" ref="U39" si="109">IFERROR((D39*K39-X39*AE39)/N39,"")</f>
        <v>0.84062593271870345</v>
      </c>
      <c r="V39" s="7">
        <f t="shared" ref="V39" si="110">IFERROR((E39*L39-Y39*AF39)/O39,"")</f>
        <v>0.91185839006775637</v>
      </c>
      <c r="W39" s="197"/>
      <c r="X39" s="13"/>
      <c r="Y39" s="14"/>
      <c r="Z39" s="5"/>
      <c r="AA39" s="5"/>
      <c r="AB39" s="5"/>
      <c r="AC39" s="5"/>
      <c r="AD39" s="4"/>
      <c r="AE39" s="7"/>
      <c r="AF39" s="198"/>
    </row>
    <row r="40" spans="1:32" s="15" customFormat="1" x14ac:dyDescent="0.25">
      <c r="A40" s="117">
        <v>2025</v>
      </c>
      <c r="B40" s="8" t="s">
        <v>88</v>
      </c>
      <c r="C40" s="9">
        <f t="shared" ref="C40" si="111">SUM(C69:C71)</f>
        <v>5975784.1786722932</v>
      </c>
      <c r="D40" s="10">
        <f t="shared" ref="D40:E40" si="112">SUM(D69:D71)</f>
        <v>7657711.2488361234</v>
      </c>
      <c r="E40" s="11">
        <f t="shared" si="112"/>
        <v>13633495.427508418</v>
      </c>
      <c r="F40" s="13"/>
      <c r="G40" s="13"/>
      <c r="H40" s="13"/>
      <c r="I40" s="13"/>
      <c r="J40" s="4">
        <f t="shared" ref="J40:L40" si="113">SUMPRODUCT(J69:J71,C69:C71)/C40</f>
        <v>0.88135528748593572</v>
      </c>
      <c r="K40" s="7">
        <f t="shared" si="113"/>
        <v>0.84628096871147407</v>
      </c>
      <c r="L40" s="6">
        <f t="shared" si="113"/>
        <v>0.86165461667465382</v>
      </c>
      <c r="M40" s="12">
        <f t="shared" ref="M40:M41" si="114">C40-W40</f>
        <v>5975784.1786722932</v>
      </c>
      <c r="N40" s="13">
        <f t="shared" ref="N40:N41" si="115">D40-X40</f>
        <v>7657711.2488361234</v>
      </c>
      <c r="O40" s="14">
        <f t="shared" ref="O40:O41" si="116">E40-Y40</f>
        <v>13633495.427508418</v>
      </c>
      <c r="P40" s="5"/>
      <c r="Q40" s="5"/>
      <c r="R40" s="5"/>
      <c r="S40" s="5"/>
      <c r="T40" s="4">
        <f t="shared" ref="T40:T41" si="117">IFERROR((C40*J40-W40*AD40)/M40,"")</f>
        <v>0.88135528748593572</v>
      </c>
      <c r="U40" s="7">
        <f t="shared" ref="U40:U41" si="118">IFERROR((D40*K40-X40*AE40)/N40,"")</f>
        <v>0.84628096871147407</v>
      </c>
      <c r="V40" s="7">
        <f t="shared" ref="V40:V41" si="119">IFERROR((E40*L40-Y40*AF40)/O40,"")</f>
        <v>0.86165461667465382</v>
      </c>
      <c r="W40" s="197"/>
      <c r="X40" s="13"/>
      <c r="Y40" s="14"/>
      <c r="Z40" s="5"/>
      <c r="AA40" s="5"/>
      <c r="AB40" s="5"/>
      <c r="AC40" s="5"/>
      <c r="AD40" s="4"/>
      <c r="AE40" s="7"/>
      <c r="AF40" s="198"/>
    </row>
    <row r="41" spans="1:32" s="15" customFormat="1" x14ac:dyDescent="0.25">
      <c r="A41" s="117">
        <v>2025</v>
      </c>
      <c r="B41" s="8" t="s">
        <v>93</v>
      </c>
      <c r="C41" s="9">
        <f t="shared" ref="C41:E41" si="120">SUM(C72:C74)</f>
        <v>2339722.1320978003</v>
      </c>
      <c r="D41" s="10">
        <f t="shared" si="120"/>
        <v>11402893.419051629</v>
      </c>
      <c r="E41" s="11">
        <f t="shared" si="120"/>
        <v>13742615.551149432</v>
      </c>
      <c r="F41" s="13"/>
      <c r="G41" s="13"/>
      <c r="H41" s="13"/>
      <c r="I41" s="13"/>
      <c r="J41" s="4">
        <f t="shared" ref="J41:L41" si="121">SUMPRODUCT(J72:J74,C72:C74)/SUM(C72:C74)</f>
        <v>0.83201927894700267</v>
      </c>
      <c r="K41" s="7">
        <f t="shared" si="121"/>
        <v>0.84914248959125382</v>
      </c>
      <c r="L41" s="6">
        <f t="shared" si="121"/>
        <v>0.84622721085353358</v>
      </c>
      <c r="M41" s="12">
        <f t="shared" si="114"/>
        <v>2339722.1320978003</v>
      </c>
      <c r="N41" s="13">
        <f t="shared" si="115"/>
        <v>11402893.419051629</v>
      </c>
      <c r="O41" s="14">
        <f t="shared" si="116"/>
        <v>13742615.551149432</v>
      </c>
      <c r="P41" s="5"/>
      <c r="Q41" s="5"/>
      <c r="R41" s="5"/>
      <c r="S41" s="5"/>
      <c r="T41" s="4">
        <f t="shared" si="117"/>
        <v>0.83201927894700267</v>
      </c>
      <c r="U41" s="7">
        <f t="shared" si="118"/>
        <v>0.84914248959125382</v>
      </c>
      <c r="V41" s="7">
        <f t="shared" si="119"/>
        <v>0.84622721085353358</v>
      </c>
      <c r="W41" s="197"/>
      <c r="X41" s="13"/>
      <c r="Y41" s="14"/>
      <c r="Z41" s="5"/>
      <c r="AA41" s="5"/>
      <c r="AB41" s="5"/>
      <c r="AC41" s="5"/>
      <c r="AD41" s="4"/>
      <c r="AE41" s="7"/>
      <c r="AF41" s="198"/>
    </row>
    <row r="42" spans="1:32" s="15" customFormat="1" x14ac:dyDescent="0.25">
      <c r="B42" s="16"/>
      <c r="C42" s="17"/>
      <c r="D42" s="83"/>
      <c r="E42" s="18"/>
      <c r="F42" s="19"/>
      <c r="G42" s="19"/>
      <c r="H42" s="19"/>
      <c r="I42" s="19"/>
      <c r="J42" s="20"/>
      <c r="K42" s="21"/>
      <c r="L42" s="22"/>
      <c r="M42" s="23"/>
      <c r="N42" s="19"/>
      <c r="O42" s="24"/>
      <c r="P42" s="19"/>
      <c r="Q42" s="19"/>
      <c r="R42" s="19"/>
      <c r="S42" s="19"/>
      <c r="T42" s="20"/>
      <c r="U42" s="21"/>
      <c r="V42" s="21"/>
      <c r="W42" s="206"/>
      <c r="X42" s="19"/>
      <c r="Y42" s="24"/>
      <c r="Z42" s="19"/>
      <c r="AA42" s="19"/>
      <c r="AB42" s="19"/>
      <c r="AC42" s="19"/>
      <c r="AD42" s="20"/>
      <c r="AE42" s="21"/>
      <c r="AF42" s="207"/>
    </row>
    <row r="43" spans="1:32" x14ac:dyDescent="0.25">
      <c r="A43" s="214">
        <v>44927</v>
      </c>
      <c r="B43" s="59" t="s">
        <v>21</v>
      </c>
      <c r="C43" s="9">
        <v>8290919.4525651261</v>
      </c>
      <c r="D43" s="10">
        <v>0</v>
      </c>
      <c r="E43" s="11">
        <v>8290919.4525651261</v>
      </c>
      <c r="F43" s="5"/>
      <c r="G43" s="5"/>
      <c r="H43" s="5"/>
      <c r="I43" s="5"/>
      <c r="J43" s="4" cm="1">
        <f t="array" ref="J43">SUMPRODUCT('Gross Results by UW month'!J$11:J$1000,'Gross Results by UW month'!D$11:D$1000,--('Gross Results by UW month'!$C$11:$C$1000='30 Jun 2025 - Gross'!$A43))/'30 Jun 2025 - Gross'!C43</f>
        <v>1.0765854795775345</v>
      </c>
      <c r="K43" s="7"/>
      <c r="L43" s="6" cm="1">
        <f t="array" ref="L43">SUMPRODUCT('Gross Results by UW month'!L$11:L$1000,'Gross Results by UW month'!F$11:F$1000,--('Gross Results by UW month'!$C$11:$C$1000='30 Jun 2025 - Gross'!$A43))/'30 Jun 2025 - Gross'!E43</f>
        <v>1.0765854795775345</v>
      </c>
      <c r="M43" s="12">
        <f t="shared" ref="M43:O54" si="122">C43-W43</f>
        <v>7404324.8361365553</v>
      </c>
      <c r="N43" s="13">
        <f t="shared" si="122"/>
        <v>0</v>
      </c>
      <c r="O43" s="14">
        <f t="shared" si="122"/>
        <v>7404324.8361365553</v>
      </c>
      <c r="P43" s="5"/>
      <c r="Q43" s="5"/>
      <c r="R43" s="5"/>
      <c r="S43" s="5"/>
      <c r="T43" s="4">
        <f t="shared" ref="T43:V54" si="123">IFERROR((C43*J43-W43*AD43)/M43,"")</f>
        <v>1.0892619137001913</v>
      </c>
      <c r="U43" s="7" t="str">
        <f t="shared" si="123"/>
        <v/>
      </c>
      <c r="V43" s="7">
        <f t="shared" si="123"/>
        <v>1.0892619137001913</v>
      </c>
      <c r="W43" s="199">
        <v>886594.61642857105</v>
      </c>
      <c r="X43" s="96">
        <v>0</v>
      </c>
      <c r="Y43" s="94">
        <v>886594.61642857105</v>
      </c>
      <c r="Z43" s="90"/>
      <c r="AA43" s="90"/>
      <c r="AB43" s="90"/>
      <c r="AC43" s="90"/>
      <c r="AD43" s="91">
        <v>0.97071924232681495</v>
      </c>
      <c r="AE43" s="95" t="s">
        <v>42</v>
      </c>
      <c r="AF43" s="200">
        <v>0.97071924232681495</v>
      </c>
    </row>
    <row r="44" spans="1:32" x14ac:dyDescent="0.25">
      <c r="A44" s="214">
        <f>EDATE(A43,1)</f>
        <v>44958</v>
      </c>
      <c r="B44" s="59" t="s">
        <v>22</v>
      </c>
      <c r="C44" s="82">
        <v>8112149.9071124336</v>
      </c>
      <c r="D44" s="10">
        <v>0</v>
      </c>
      <c r="E44" s="11">
        <v>8112149.9071124336</v>
      </c>
      <c r="F44" s="5"/>
      <c r="G44" s="5"/>
      <c r="H44" s="5"/>
      <c r="I44" s="5"/>
      <c r="J44" s="4" cm="1">
        <f t="array" ref="J44">SUMPRODUCT('Gross Results by UW month'!J$11:J$1000,'Gross Results by UW month'!D$11:D$1000,--('Gross Results by UW month'!$C$11:$C$1000='30 Jun 2025 - Gross'!$A44))/'30 Jun 2025 - Gross'!C44</f>
        <v>0.93924172404134887</v>
      </c>
      <c r="K44" s="7"/>
      <c r="L44" s="6" cm="1">
        <f t="array" ref="L44">SUMPRODUCT('Gross Results by UW month'!L$11:L$1000,'Gross Results by UW month'!F$11:F$1000,--('Gross Results by UW month'!$C$11:$C$1000='30 Jun 2025 - Gross'!$A44))/'30 Jun 2025 - Gross'!E44</f>
        <v>0.93924172404134887</v>
      </c>
      <c r="M44" s="12">
        <f t="shared" si="122"/>
        <v>7227647.1667552907</v>
      </c>
      <c r="N44" s="13">
        <f t="shared" si="122"/>
        <v>0</v>
      </c>
      <c r="O44" s="14">
        <f t="shared" si="122"/>
        <v>7227647.1667552907</v>
      </c>
      <c r="P44" s="5"/>
      <c r="Q44" s="5"/>
      <c r="R44" s="5"/>
      <c r="S44" s="5"/>
      <c r="T44" s="4">
        <f t="shared" si="123"/>
        <v>0.96823792886765603</v>
      </c>
      <c r="U44" s="7" t="str">
        <f t="shared" si="123"/>
        <v/>
      </c>
      <c r="V44" s="7">
        <f t="shared" si="123"/>
        <v>0.96823792886765603</v>
      </c>
      <c r="W44" s="199">
        <v>884502.74035714299</v>
      </c>
      <c r="X44" s="96">
        <v>0</v>
      </c>
      <c r="Y44" s="94">
        <v>884502.74035714299</v>
      </c>
      <c r="Z44" s="90"/>
      <c r="AA44" s="90"/>
      <c r="AB44" s="90"/>
      <c r="AC44" s="90"/>
      <c r="AD44" s="91">
        <v>0.70230143194582195</v>
      </c>
      <c r="AE44" s="95" t="s">
        <v>42</v>
      </c>
      <c r="AF44" s="200">
        <v>0.70230143194582206</v>
      </c>
    </row>
    <row r="45" spans="1:32" x14ac:dyDescent="0.25">
      <c r="A45" s="214">
        <f t="shared" ref="A45:A54" si="124">EDATE(A44,1)</f>
        <v>44986</v>
      </c>
      <c r="B45" s="59" t="s">
        <v>23</v>
      </c>
      <c r="C45" s="82">
        <v>8229329.7781989863</v>
      </c>
      <c r="D45" s="10">
        <v>0</v>
      </c>
      <c r="E45" s="11">
        <v>8229329.7781989863</v>
      </c>
      <c r="F45" s="5"/>
      <c r="G45" s="5"/>
      <c r="H45" s="5"/>
      <c r="I45" s="5"/>
      <c r="J45" s="4" cm="1">
        <f t="array" ref="J45">SUMPRODUCT('Gross Results by UW month'!J$11:J$1000,'Gross Results by UW month'!D$11:D$1000,--('Gross Results by UW month'!$C$11:$C$1000='30 Jun 2025 - Gross'!$A45))/'30 Jun 2025 - Gross'!C45</f>
        <v>1.1992417877952666</v>
      </c>
      <c r="K45" s="7"/>
      <c r="L45" s="6" cm="1">
        <f t="array" ref="L45">SUMPRODUCT('Gross Results by UW month'!L$11:L$1000,'Gross Results by UW month'!F$11:F$1000,--('Gross Results by UW month'!$C$11:$C$1000='30 Jun 2025 - Gross'!$A45))/'30 Jun 2025 - Gross'!E45</f>
        <v>1.1992417877952666</v>
      </c>
      <c r="M45" s="12">
        <f t="shared" si="122"/>
        <v>7254053.7428418435</v>
      </c>
      <c r="N45" s="13">
        <f t="shared" si="122"/>
        <v>0</v>
      </c>
      <c r="O45" s="14">
        <f t="shared" si="122"/>
        <v>7254053.7428418435</v>
      </c>
      <c r="P45" s="5"/>
      <c r="Q45" s="5"/>
      <c r="R45" s="5"/>
      <c r="S45" s="5"/>
      <c r="T45" s="4">
        <f t="shared" si="123"/>
        <v>1.2460294971752848</v>
      </c>
      <c r="U45" s="7" t="str">
        <f t="shared" si="123"/>
        <v/>
      </c>
      <c r="V45" s="7">
        <f t="shared" si="123"/>
        <v>1.2460294971752848</v>
      </c>
      <c r="W45" s="199">
        <v>975276.03535714303</v>
      </c>
      <c r="X45" s="96">
        <v>0</v>
      </c>
      <c r="Y45" s="94">
        <v>975276.03535714303</v>
      </c>
      <c r="Z45" s="90"/>
      <c r="AA45" s="90"/>
      <c r="AB45" s="90"/>
      <c r="AC45" s="90"/>
      <c r="AD45" s="91">
        <v>0.85123717572374236</v>
      </c>
      <c r="AE45" s="95" t="s">
        <v>42</v>
      </c>
      <c r="AF45" s="200">
        <v>0.85123717572374225</v>
      </c>
    </row>
    <row r="46" spans="1:32" x14ac:dyDescent="0.25">
      <c r="A46" s="214">
        <f t="shared" si="124"/>
        <v>45017</v>
      </c>
      <c r="B46" s="59" t="s">
        <v>24</v>
      </c>
      <c r="C46" s="82">
        <v>7473675.8639096022</v>
      </c>
      <c r="D46" s="10">
        <v>0</v>
      </c>
      <c r="E46" s="11">
        <v>7473675.8639096022</v>
      </c>
      <c r="F46" s="5"/>
      <c r="G46" s="5"/>
      <c r="H46" s="5"/>
      <c r="I46" s="5"/>
      <c r="J46" s="4" cm="1">
        <f t="array" ref="J46">SUMPRODUCT('Gross Results by UW month'!J$11:J$1000,'Gross Results by UW month'!D$11:D$1000,--('Gross Results by UW month'!$C$11:$C$1000='30 Jun 2025 - Gross'!$A46))/'30 Jun 2025 - Gross'!C46</f>
        <v>1.0353048721800853</v>
      </c>
      <c r="K46" s="7"/>
      <c r="L46" s="6" cm="1">
        <f t="array" ref="L46">SUMPRODUCT('Gross Results by UW month'!L$11:L$1000,'Gross Results by UW month'!F$11:F$1000,--('Gross Results by UW month'!$C$11:$C$1000='30 Jun 2025 - Gross'!$A46))/'30 Jun 2025 - Gross'!E46</f>
        <v>1.0353048721800853</v>
      </c>
      <c r="M46" s="12">
        <f t="shared" si="122"/>
        <v>6793681.6660524588</v>
      </c>
      <c r="N46" s="13">
        <f t="shared" si="122"/>
        <v>0</v>
      </c>
      <c r="O46" s="14">
        <f t="shared" si="122"/>
        <v>6793681.6660524588</v>
      </c>
      <c r="P46" s="5"/>
      <c r="Q46" s="5"/>
      <c r="R46" s="5"/>
      <c r="S46" s="5"/>
      <c r="T46" s="4">
        <f t="shared" si="123"/>
        <v>1.0304780303383976</v>
      </c>
      <c r="U46" s="7" t="str">
        <f t="shared" si="123"/>
        <v/>
      </c>
      <c r="V46" s="7">
        <f t="shared" si="123"/>
        <v>1.0304780303383976</v>
      </c>
      <c r="W46" s="199">
        <v>679994.19785714301</v>
      </c>
      <c r="X46" s="96">
        <v>0</v>
      </c>
      <c r="Y46" s="94">
        <v>679994.19785714301</v>
      </c>
      <c r="Z46" s="90"/>
      <c r="AA46" s="90"/>
      <c r="AB46" s="90"/>
      <c r="AC46" s="90"/>
      <c r="AD46" s="91">
        <v>1.0835288526613092</v>
      </c>
      <c r="AE46" s="95" t="s">
        <v>42</v>
      </c>
      <c r="AF46" s="200">
        <v>1.0835288526613089</v>
      </c>
    </row>
    <row r="47" spans="1:32" x14ac:dyDescent="0.25">
      <c r="A47" s="214">
        <f t="shared" si="124"/>
        <v>45047</v>
      </c>
      <c r="B47" s="59" t="s">
        <v>25</v>
      </c>
      <c r="C47" s="82">
        <v>8025829.9815008696</v>
      </c>
      <c r="D47" s="10">
        <v>0</v>
      </c>
      <c r="E47" s="11">
        <v>8025829.9815008696</v>
      </c>
      <c r="F47" s="5"/>
      <c r="G47" s="5"/>
      <c r="H47" s="5"/>
      <c r="I47" s="5"/>
      <c r="J47" s="4" cm="1">
        <f t="array" ref="J47">SUMPRODUCT('Gross Results by UW month'!J$11:J$1000,'Gross Results by UW month'!D$11:D$1000,--('Gross Results by UW month'!$C$11:$C$1000='30 Jun 2025 - Gross'!$A47))/'30 Jun 2025 - Gross'!C47</f>
        <v>0.98595309056882319</v>
      </c>
      <c r="K47" s="7"/>
      <c r="L47" s="6" cm="1">
        <f t="array" ref="L47">SUMPRODUCT('Gross Results by UW month'!L$11:L$1000,'Gross Results by UW month'!F$11:F$1000,--('Gross Results by UW month'!$C$11:$C$1000='30 Jun 2025 - Gross'!$A47))/'30 Jun 2025 - Gross'!E47</f>
        <v>0.98595309056882319</v>
      </c>
      <c r="M47" s="12">
        <f t="shared" si="122"/>
        <v>6675732.0275722994</v>
      </c>
      <c r="N47" s="13">
        <f t="shared" si="122"/>
        <v>0</v>
      </c>
      <c r="O47" s="14">
        <f t="shared" si="122"/>
        <v>6675732.0275722994</v>
      </c>
      <c r="P47" s="5"/>
      <c r="Q47" s="5"/>
      <c r="R47" s="5"/>
      <c r="S47" s="5"/>
      <c r="T47" s="4">
        <f t="shared" si="123"/>
        <v>0.76286624952129878</v>
      </c>
      <c r="U47" s="7" t="str">
        <f t="shared" si="123"/>
        <v/>
      </c>
      <c r="V47" s="7">
        <f t="shared" si="123"/>
        <v>0.76286624952129867</v>
      </c>
      <c r="W47" s="199">
        <v>1350097.95392857</v>
      </c>
      <c r="X47" s="96">
        <v>0</v>
      </c>
      <c r="Y47" s="94">
        <v>1350097.95392857</v>
      </c>
      <c r="Z47" s="90"/>
      <c r="AA47" s="90"/>
      <c r="AB47" s="90"/>
      <c r="AC47" s="90"/>
      <c r="AD47" s="91">
        <v>2.0890345117185678</v>
      </c>
      <c r="AE47" s="95" t="s">
        <v>42</v>
      </c>
      <c r="AF47" s="200">
        <v>2.0890345117185682</v>
      </c>
    </row>
    <row r="48" spans="1:32" x14ac:dyDescent="0.25">
      <c r="A48" s="214">
        <f t="shared" si="124"/>
        <v>45078</v>
      </c>
      <c r="B48" s="59" t="s">
        <v>26</v>
      </c>
      <c r="C48" s="82">
        <v>8399985.1592088807</v>
      </c>
      <c r="D48" s="10">
        <v>0</v>
      </c>
      <c r="E48" s="11">
        <v>8399985.1592088807</v>
      </c>
      <c r="F48" s="5"/>
      <c r="G48" s="5"/>
      <c r="H48" s="5"/>
      <c r="I48" s="5"/>
      <c r="J48" s="4" cm="1">
        <f t="array" ref="J48">SUMPRODUCT('Gross Results by UW month'!J$11:J$1000,'Gross Results by UW month'!D$11:D$1000,--('Gross Results by UW month'!$C$11:$C$1000='30 Jun 2025 - Gross'!$A48))/'30 Jun 2025 - Gross'!C48</f>
        <v>0.89289498373305698</v>
      </c>
      <c r="K48" s="7"/>
      <c r="L48" s="6" cm="1">
        <f t="array" ref="L48">SUMPRODUCT('Gross Results by UW month'!L$11:L$1000,'Gross Results by UW month'!F$11:F$1000,--('Gross Results by UW month'!$C$11:$C$1000='30 Jun 2025 - Gross'!$A48))/'30 Jun 2025 - Gross'!E48</f>
        <v>0.89289498373305698</v>
      </c>
      <c r="M48" s="12">
        <f t="shared" si="122"/>
        <v>7219669.2659945907</v>
      </c>
      <c r="N48" s="13">
        <f t="shared" si="122"/>
        <v>0</v>
      </c>
      <c r="O48" s="14">
        <f t="shared" si="122"/>
        <v>7219669.2659945907</v>
      </c>
      <c r="P48" s="5"/>
      <c r="Q48" s="5"/>
      <c r="R48" s="5"/>
      <c r="S48" s="5"/>
      <c r="T48" s="4">
        <f t="shared" si="123"/>
        <v>0.85157489344412884</v>
      </c>
      <c r="U48" s="7" t="str">
        <f t="shared" si="123"/>
        <v/>
      </c>
      <c r="V48" s="7">
        <f t="shared" si="123"/>
        <v>0.85157489344412884</v>
      </c>
      <c r="W48" s="199">
        <v>1180315.89321429</v>
      </c>
      <c r="X48" s="96">
        <v>0</v>
      </c>
      <c r="Y48" s="94">
        <v>1180315.89321429</v>
      </c>
      <c r="Z48" s="90"/>
      <c r="AA48" s="90"/>
      <c r="AB48" s="90"/>
      <c r="AC48" s="90"/>
      <c r="AD48" s="91">
        <v>1.1456386667099117</v>
      </c>
      <c r="AE48" s="95" t="s">
        <v>42</v>
      </c>
      <c r="AF48" s="200">
        <v>1.1456386667099117</v>
      </c>
    </row>
    <row r="49" spans="1:32" x14ac:dyDescent="0.25">
      <c r="A49" s="214">
        <f t="shared" si="124"/>
        <v>45108</v>
      </c>
      <c r="B49" s="59" t="s">
        <v>27</v>
      </c>
      <c r="C49" s="82">
        <v>8363665.9297510795</v>
      </c>
      <c r="D49" s="10">
        <v>0</v>
      </c>
      <c r="E49" s="11">
        <v>8363665.9297510795</v>
      </c>
      <c r="F49" s="5"/>
      <c r="G49" s="5"/>
      <c r="H49" s="5"/>
      <c r="I49" s="5"/>
      <c r="J49" s="4" cm="1">
        <f t="array" ref="J49">SUMPRODUCT('Gross Results by UW month'!J$11:J$1000,'Gross Results by UW month'!D$11:D$1000,--('Gross Results by UW month'!$C$11:$C$1000='30 Jun 2025 - Gross'!$A49))/'30 Jun 2025 - Gross'!C49</f>
        <v>0.90324843082332262</v>
      </c>
      <c r="K49" s="7"/>
      <c r="L49" s="6" cm="1">
        <f t="array" ref="L49">SUMPRODUCT('Gross Results by UW month'!L$11:L$1000,'Gross Results by UW month'!F$11:F$1000,--('Gross Results by UW month'!$C$11:$C$1000='30 Jun 2025 - Gross'!$A49))/'30 Jun 2025 - Gross'!E49</f>
        <v>0.90324843082332262</v>
      </c>
      <c r="M49" s="12">
        <f t="shared" si="122"/>
        <v>7507918.5068939365</v>
      </c>
      <c r="N49" s="13">
        <f t="shared" si="122"/>
        <v>0</v>
      </c>
      <c r="O49" s="14">
        <f t="shared" si="122"/>
        <v>7507918.5068939365</v>
      </c>
      <c r="P49" s="5"/>
      <c r="Q49" s="5"/>
      <c r="R49" s="5"/>
      <c r="S49" s="5"/>
      <c r="T49" s="4">
        <f t="shared" si="123"/>
        <v>0.88023083375220901</v>
      </c>
      <c r="U49" s="7" t="str">
        <f t="shared" si="123"/>
        <v/>
      </c>
      <c r="V49" s="7">
        <f t="shared" si="123"/>
        <v>0.88023083375220901</v>
      </c>
      <c r="W49" s="199">
        <v>855747.42285714298</v>
      </c>
      <c r="X49" s="96">
        <v>0</v>
      </c>
      <c r="Y49" s="94">
        <v>855747.42285714298</v>
      </c>
      <c r="Z49" s="90"/>
      <c r="AA49" s="90"/>
      <c r="AB49" s="90"/>
      <c r="AC49" s="90"/>
      <c r="AD49" s="91">
        <v>1.1051938161304207</v>
      </c>
      <c r="AE49" s="95" t="s">
        <v>42</v>
      </c>
      <c r="AF49" s="200">
        <v>1.1051938161304204</v>
      </c>
    </row>
    <row r="50" spans="1:32" x14ac:dyDescent="0.25">
      <c r="A50" s="214">
        <f t="shared" si="124"/>
        <v>45139</v>
      </c>
      <c r="B50" s="59" t="s">
        <v>28</v>
      </c>
      <c r="C50" s="9">
        <v>8229687.3047980908</v>
      </c>
      <c r="D50" s="10">
        <v>0</v>
      </c>
      <c r="E50" s="11">
        <v>8229687.3047980908</v>
      </c>
      <c r="F50" s="5"/>
      <c r="G50" s="5"/>
      <c r="H50" s="5"/>
      <c r="I50" s="5"/>
      <c r="J50" s="4" cm="1">
        <f t="array" ref="J50">SUMPRODUCT('Gross Results by UW month'!J$11:J$1000,'Gross Results by UW month'!D$11:D$1000,--('Gross Results by UW month'!$C$11:$C$1000='30 Jun 2025 - Gross'!$A50))/'30 Jun 2025 - Gross'!C50</f>
        <v>0.8770324425548679</v>
      </c>
      <c r="K50" s="7"/>
      <c r="L50" s="6" cm="1">
        <f t="array" ref="L50">SUMPRODUCT('Gross Results by UW month'!L$11:L$1000,'Gross Results by UW month'!F$11:F$1000,--('Gross Results by UW month'!$C$11:$C$1000='30 Jun 2025 - Gross'!$A50))/'30 Jun 2025 - Gross'!E50</f>
        <v>0.8770324425548679</v>
      </c>
      <c r="M50" s="12">
        <f t="shared" si="122"/>
        <v>7583999.571226663</v>
      </c>
      <c r="N50" s="13">
        <f t="shared" si="122"/>
        <v>0</v>
      </c>
      <c r="O50" s="14">
        <f t="shared" si="122"/>
        <v>7583999.571226663</v>
      </c>
      <c r="P50" s="5"/>
      <c r="Q50" s="5"/>
      <c r="R50" s="5"/>
      <c r="S50" s="5"/>
      <c r="T50" s="4">
        <f t="shared" si="123"/>
        <v>0.88485494667440245</v>
      </c>
      <c r="U50" s="7" t="str">
        <f t="shared" si="123"/>
        <v/>
      </c>
      <c r="V50" s="7">
        <f t="shared" si="123"/>
        <v>0.88485494667440245</v>
      </c>
      <c r="W50" s="199">
        <v>645687.73357142799</v>
      </c>
      <c r="X50" s="96">
        <v>0</v>
      </c>
      <c r="Y50" s="94">
        <v>645687.73357142799</v>
      </c>
      <c r="Z50" s="90"/>
      <c r="AA50" s="90"/>
      <c r="AB50" s="90"/>
      <c r="AC50" s="90"/>
      <c r="AD50" s="91">
        <v>0.78515232031632798</v>
      </c>
      <c r="AE50" s="95" t="s">
        <v>42</v>
      </c>
      <c r="AF50" s="200">
        <v>0.78515232031632809</v>
      </c>
    </row>
    <row r="51" spans="1:32" x14ac:dyDescent="0.25">
      <c r="A51" s="214">
        <f t="shared" si="124"/>
        <v>45170</v>
      </c>
      <c r="B51" s="59" t="s">
        <v>29</v>
      </c>
      <c r="C51" s="9">
        <v>7578820.9230087101</v>
      </c>
      <c r="D51" s="10">
        <v>0</v>
      </c>
      <c r="E51" s="11">
        <v>7578820.9230087101</v>
      </c>
      <c r="F51" s="5"/>
      <c r="G51" s="5"/>
      <c r="H51" s="5"/>
      <c r="I51" s="5"/>
      <c r="J51" s="4" cm="1">
        <f t="array" ref="J51">SUMPRODUCT('Gross Results by UW month'!J$11:J$1000,'Gross Results by UW month'!D$11:D$1000,--('Gross Results by UW month'!$C$11:$C$1000='30 Jun 2025 - Gross'!$A51))/'30 Jun 2025 - Gross'!C51</f>
        <v>0.99953863704486934</v>
      </c>
      <c r="K51" s="7"/>
      <c r="L51" s="6" cm="1">
        <f t="array" ref="L51">SUMPRODUCT('Gross Results by UW month'!L$11:L$1000,'Gross Results by UW month'!F$11:F$1000,--('Gross Results by UW month'!$C$11:$C$1000='30 Jun 2025 - Gross'!$A51))/'30 Jun 2025 - Gross'!E51</f>
        <v>0.99953863704486934</v>
      </c>
      <c r="M51" s="12">
        <f t="shared" si="122"/>
        <v>7143469.4287229963</v>
      </c>
      <c r="N51" s="13">
        <f t="shared" si="122"/>
        <v>0</v>
      </c>
      <c r="O51" s="14">
        <f t="shared" si="122"/>
        <v>7143469.4287229963</v>
      </c>
      <c r="P51" s="5"/>
      <c r="Q51" s="5"/>
      <c r="R51" s="5"/>
      <c r="S51" s="5"/>
      <c r="T51" s="4">
        <f t="shared" si="123"/>
        <v>1.0055456619118732</v>
      </c>
      <c r="U51" s="7" t="str">
        <f t="shared" si="123"/>
        <v/>
      </c>
      <c r="V51" s="7">
        <f t="shared" si="123"/>
        <v>1.0055456619118732</v>
      </c>
      <c r="W51" s="199">
        <v>435351.494285714</v>
      </c>
      <c r="X51" s="96">
        <v>0</v>
      </c>
      <c r="Y51" s="94">
        <v>435351.494285714</v>
      </c>
      <c r="Z51" s="90"/>
      <c r="AA51" s="90"/>
      <c r="AB51" s="90"/>
      <c r="AC51" s="90"/>
      <c r="AD51" s="91">
        <v>0.90097230832369279</v>
      </c>
      <c r="AE51" s="95" t="s">
        <v>42</v>
      </c>
      <c r="AF51" s="200">
        <v>0.90097230832369279</v>
      </c>
    </row>
    <row r="52" spans="1:32" x14ac:dyDescent="0.25">
      <c r="A52" s="214">
        <f t="shared" si="124"/>
        <v>45200</v>
      </c>
      <c r="B52" s="59" t="s">
        <v>30</v>
      </c>
      <c r="C52" s="9">
        <v>7164633.5239690589</v>
      </c>
      <c r="D52" s="10">
        <v>0</v>
      </c>
      <c r="E52" s="11">
        <v>7164633.5239690589</v>
      </c>
      <c r="F52" s="5"/>
      <c r="G52" s="5"/>
      <c r="H52" s="5"/>
      <c r="I52" s="5"/>
      <c r="J52" s="4" cm="1">
        <f t="array" ref="J52">SUMPRODUCT('Gross Results by UW month'!J$11:J$1000,'Gross Results by UW month'!D$11:D$1000,--('Gross Results by UW month'!$C$11:$C$1000='30 Jun 2025 - Gross'!$A52))/'30 Jun 2025 - Gross'!C52</f>
        <v>1.0381027712708455</v>
      </c>
      <c r="K52" s="7"/>
      <c r="L52" s="6" cm="1">
        <f t="array" ref="L52">SUMPRODUCT('Gross Results by UW month'!L$11:L$1000,'Gross Results by UW month'!F$11:F$1000,--('Gross Results by UW month'!$C$11:$C$1000='30 Jun 2025 - Gross'!$A52))/'30 Jun 2025 - Gross'!E52</f>
        <v>1.0381027712708455</v>
      </c>
      <c r="M52" s="12">
        <f t="shared" si="122"/>
        <v>7109421.5203976305</v>
      </c>
      <c r="N52" s="13">
        <f t="shared" si="122"/>
        <v>0</v>
      </c>
      <c r="O52" s="14">
        <f t="shared" si="122"/>
        <v>7109421.5203976305</v>
      </c>
      <c r="P52" s="5"/>
      <c r="Q52" s="5"/>
      <c r="R52" s="5"/>
      <c r="S52" s="5"/>
      <c r="T52" s="4">
        <f t="shared" si="123"/>
        <v>1.0419182628638943</v>
      </c>
      <c r="U52" s="7" t="str">
        <f t="shared" si="123"/>
        <v/>
      </c>
      <c r="V52" s="7">
        <f t="shared" ref="V52:V54" si="125">IFERROR((E52*L52-Y52*AF52)/O52,"")</f>
        <v>1.0419182628638943</v>
      </c>
      <c r="W52" s="199">
        <v>55212.003571428599</v>
      </c>
      <c r="X52" s="96">
        <v>0</v>
      </c>
      <c r="Y52" s="94">
        <v>55212.003571428599</v>
      </c>
      <c r="Z52" s="90"/>
      <c r="AA52" s="90"/>
      <c r="AB52" s="90"/>
      <c r="AC52" s="90"/>
      <c r="AD52" s="91">
        <v>0.54679768745107871</v>
      </c>
      <c r="AE52" s="95" t="s">
        <v>42</v>
      </c>
      <c r="AF52" s="200">
        <v>0.54679768745107871</v>
      </c>
    </row>
    <row r="53" spans="1:32" s="15" customFormat="1" x14ac:dyDescent="0.25">
      <c r="A53" s="214">
        <f t="shared" si="124"/>
        <v>45231</v>
      </c>
      <c r="B53" s="8" t="s">
        <v>31</v>
      </c>
      <c r="C53" s="9">
        <v>7288594.2972416785</v>
      </c>
      <c r="D53" s="10">
        <v>0</v>
      </c>
      <c r="E53" s="11">
        <v>7288594.2972416785</v>
      </c>
      <c r="F53" s="5"/>
      <c r="G53" s="5"/>
      <c r="H53" s="5"/>
      <c r="I53" s="5"/>
      <c r="J53" s="4" cm="1">
        <f t="array" ref="J53">SUMPRODUCT('Gross Results by UW month'!J$11:J$1000,'Gross Results by UW month'!D$11:D$1000,--('Gross Results by UW month'!$C$11:$C$1000='30 Jun 2025 - Gross'!$A53))/'30 Jun 2025 - Gross'!C53</f>
        <v>0.95890213579049521</v>
      </c>
      <c r="K53" s="7"/>
      <c r="L53" s="6" cm="1">
        <f t="array" ref="L53">SUMPRODUCT('Gross Results by UW month'!L$11:L$1000,'Gross Results by UW month'!F$11:F$1000,--('Gross Results by UW month'!$C$11:$C$1000='30 Jun 2025 - Gross'!$A53))/'30 Jun 2025 - Gross'!E53</f>
        <v>0.95890213579049521</v>
      </c>
      <c r="M53" s="12">
        <f t="shared" si="122"/>
        <v>7288594.2972416785</v>
      </c>
      <c r="N53" s="13">
        <f t="shared" si="122"/>
        <v>0</v>
      </c>
      <c r="O53" s="14">
        <f t="shared" si="122"/>
        <v>7288594.2972416785</v>
      </c>
      <c r="P53" s="5"/>
      <c r="Q53" s="5"/>
      <c r="R53" s="5"/>
      <c r="S53" s="5"/>
      <c r="T53" s="4">
        <f t="shared" si="123"/>
        <v>0.95890213579049521</v>
      </c>
      <c r="U53" s="7" t="str">
        <f t="shared" si="123"/>
        <v/>
      </c>
      <c r="V53" s="7">
        <f t="shared" si="125"/>
        <v>0.95890213579049521</v>
      </c>
      <c r="W53" s="197"/>
      <c r="X53" s="13"/>
      <c r="Y53" s="14"/>
      <c r="Z53" s="5"/>
      <c r="AA53" s="5"/>
      <c r="AB53" s="5"/>
      <c r="AC53" s="5"/>
      <c r="AD53" s="4"/>
      <c r="AE53" s="7"/>
      <c r="AF53" s="198"/>
    </row>
    <row r="54" spans="1:32" s="15" customFormat="1" x14ac:dyDescent="0.25">
      <c r="A54" s="214">
        <f t="shared" si="124"/>
        <v>45261</v>
      </c>
      <c r="B54" s="25" t="s">
        <v>32</v>
      </c>
      <c r="C54" s="26">
        <v>7378824.7619756032</v>
      </c>
      <c r="D54" s="27">
        <v>0</v>
      </c>
      <c r="E54" s="28">
        <v>7378824.7619756032</v>
      </c>
      <c r="F54" s="29"/>
      <c r="G54" s="29"/>
      <c r="H54" s="29"/>
      <c r="I54" s="29"/>
      <c r="J54" s="30" cm="1">
        <f t="array" ref="J54">SUMPRODUCT('Gross Results by UW month'!J$11:J$1000,'Gross Results by UW month'!D$11:D$1000,--('Gross Results by UW month'!$C$11:$C$1000='30 Jun 2025 - Gross'!$A54))/'30 Jun 2025 - Gross'!C54</f>
        <v>0.88094431898946157</v>
      </c>
      <c r="K54" s="31"/>
      <c r="L54" s="32" cm="1">
        <f t="array" ref="L54">SUMPRODUCT('Gross Results by UW month'!L$11:L$1000,'Gross Results by UW month'!F$11:F$1000,--('Gross Results by UW month'!$C$11:$C$1000='30 Jun 2025 - Gross'!$A54))/'30 Jun 2025 - Gross'!E54</f>
        <v>0.88094431898946157</v>
      </c>
      <c r="M54" s="33">
        <f t="shared" si="122"/>
        <v>7378824.7619756032</v>
      </c>
      <c r="N54" s="34">
        <f t="shared" si="122"/>
        <v>0</v>
      </c>
      <c r="O54" s="35">
        <f t="shared" si="122"/>
        <v>7378824.7619756032</v>
      </c>
      <c r="P54" s="29"/>
      <c r="Q54" s="29"/>
      <c r="R54" s="29"/>
      <c r="S54" s="29"/>
      <c r="T54" s="30">
        <f t="shared" si="123"/>
        <v>0.88094431898946157</v>
      </c>
      <c r="U54" s="31" t="str">
        <f t="shared" si="123"/>
        <v/>
      </c>
      <c r="V54" s="31">
        <f t="shared" si="125"/>
        <v>0.88094431898946157</v>
      </c>
      <c r="W54" s="208"/>
      <c r="X54" s="34"/>
      <c r="Y54" s="35"/>
      <c r="Z54" s="29"/>
      <c r="AA54" s="29"/>
      <c r="AB54" s="29"/>
      <c r="AC54" s="29"/>
      <c r="AD54" s="30"/>
      <c r="AE54" s="31"/>
      <c r="AF54" s="205"/>
    </row>
    <row r="55" spans="1:32" s="15" customFormat="1" x14ac:dyDescent="0.25">
      <c r="A55" s="117"/>
      <c r="B55" s="25"/>
      <c r="C55" s="36"/>
      <c r="D55" s="27"/>
      <c r="E55" s="38"/>
      <c r="F55" s="29"/>
      <c r="G55" s="29"/>
      <c r="H55" s="29"/>
      <c r="I55" s="29"/>
      <c r="J55" s="30"/>
      <c r="K55" s="31"/>
      <c r="L55" s="32"/>
      <c r="M55" s="39"/>
      <c r="N55" s="29"/>
      <c r="O55" s="40"/>
      <c r="P55" s="29"/>
      <c r="Q55" s="29"/>
      <c r="R55" s="29"/>
      <c r="S55" s="29"/>
      <c r="T55" s="30"/>
      <c r="U55" s="31"/>
      <c r="V55" s="31"/>
      <c r="W55" s="204"/>
      <c r="X55" s="29"/>
      <c r="Y55" s="40"/>
      <c r="Z55" s="29"/>
      <c r="AA55" s="29"/>
      <c r="AB55" s="29"/>
      <c r="AC55" s="29"/>
      <c r="AD55" s="30"/>
      <c r="AE55" s="31"/>
      <c r="AF55" s="205"/>
    </row>
    <row r="56" spans="1:32" s="15" customFormat="1" x14ac:dyDescent="0.25">
      <c r="A56" s="214">
        <v>45292</v>
      </c>
      <c r="B56" s="59" t="s">
        <v>37</v>
      </c>
      <c r="C56" s="9">
        <v>7479336.4148157705</v>
      </c>
      <c r="D56" s="10">
        <v>0</v>
      </c>
      <c r="E56" s="11">
        <v>7479336.4148157705</v>
      </c>
      <c r="F56" s="5"/>
      <c r="G56" s="5"/>
      <c r="H56" s="5"/>
      <c r="I56" s="5"/>
      <c r="J56" s="4" cm="1">
        <f t="array" ref="J56">SUMPRODUCT('Gross Results by UW month'!J$11:J$1000,'Gross Results by UW month'!D$11:D$1000,--('Gross Results by UW month'!$C$11:$C$1000='30 Jun 2025 - Gross'!$A56))/'30 Jun 2025 - Gross'!C56</f>
        <v>0.91588919298281513</v>
      </c>
      <c r="K56" s="7"/>
      <c r="L56" s="6" cm="1">
        <f t="array" ref="L56">SUMPRODUCT('Gross Results by UW month'!L$11:L$1000,'Gross Results by UW month'!F$11:F$1000,--('Gross Results by UW month'!$C$11:$C$1000='30 Jun 2025 - Gross'!$A56))/'30 Jun 2025 - Gross'!E56</f>
        <v>0.91588919298281513</v>
      </c>
      <c r="M56" s="13">
        <f t="shared" ref="M56:O57" si="126">C56-W56</f>
        <v>7479336.4148157705</v>
      </c>
      <c r="N56" s="13">
        <f t="shared" si="126"/>
        <v>0</v>
      </c>
      <c r="O56" s="13">
        <f t="shared" si="126"/>
        <v>7479336.4148157705</v>
      </c>
      <c r="P56" s="5"/>
      <c r="Q56" s="5"/>
      <c r="R56" s="5"/>
      <c r="S56" s="5"/>
      <c r="T56" s="4">
        <f t="shared" ref="T56:V57" si="127">IFERROR((C56*J56-W56*AD56)/M56,"")</f>
        <v>0.91588919298281513</v>
      </c>
      <c r="U56" s="7" t="str">
        <f t="shared" si="127"/>
        <v/>
      </c>
      <c r="V56" s="7">
        <f t="shared" si="127"/>
        <v>0.91588919298281513</v>
      </c>
      <c r="W56" s="197"/>
      <c r="X56" s="13"/>
      <c r="Y56" s="14"/>
      <c r="Z56" s="5"/>
      <c r="AA56" s="5"/>
      <c r="AB56" s="5"/>
      <c r="AC56" s="5"/>
      <c r="AD56" s="4"/>
      <c r="AE56" s="7"/>
      <c r="AF56" s="198"/>
    </row>
    <row r="57" spans="1:32" s="15" customFormat="1" x14ac:dyDescent="0.25">
      <c r="A57" s="214">
        <f>EDATE(A56,1)</f>
        <v>45323</v>
      </c>
      <c r="B57" s="59" t="s">
        <v>38</v>
      </c>
      <c r="C57" s="9">
        <v>8737585.1741028968</v>
      </c>
      <c r="D57" s="10">
        <v>0</v>
      </c>
      <c r="E57" s="11">
        <v>8737585.1741028968</v>
      </c>
      <c r="F57" s="5"/>
      <c r="G57" s="5"/>
      <c r="H57" s="5"/>
      <c r="I57" s="5"/>
      <c r="J57" s="4" cm="1">
        <f t="array" ref="J57">SUMPRODUCT('Gross Results by UW month'!J$11:J$1000,'Gross Results by UW month'!D$11:D$1000,--('Gross Results by UW month'!$C$11:$C$1000='30 Jun 2025 - Gross'!$A57))/'30 Jun 2025 - Gross'!C57</f>
        <v>0.92173448828953397</v>
      </c>
      <c r="K57" s="7"/>
      <c r="L57" s="6" cm="1">
        <f t="array" ref="L57">SUMPRODUCT('Gross Results by UW month'!L$11:L$1000,'Gross Results by UW month'!F$11:F$1000,--('Gross Results by UW month'!$C$11:$C$1000='30 Jun 2025 - Gross'!$A57))/'30 Jun 2025 - Gross'!E57</f>
        <v>0.92173448828953397</v>
      </c>
      <c r="M57" s="13">
        <f t="shared" si="126"/>
        <v>8737585.1741028968</v>
      </c>
      <c r="N57" s="13">
        <f t="shared" si="126"/>
        <v>0</v>
      </c>
      <c r="O57" s="13">
        <f t="shared" si="126"/>
        <v>8737585.1741028968</v>
      </c>
      <c r="P57" s="5"/>
      <c r="Q57" s="5"/>
      <c r="R57" s="5"/>
      <c r="S57" s="5"/>
      <c r="T57" s="4">
        <f t="shared" si="127"/>
        <v>0.92173448828953397</v>
      </c>
      <c r="U57" s="7" t="str">
        <f t="shared" si="127"/>
        <v/>
      </c>
      <c r="V57" s="7">
        <f t="shared" si="127"/>
        <v>0.92173448828953397</v>
      </c>
      <c r="W57" s="197"/>
      <c r="X57" s="13"/>
      <c r="Y57" s="14"/>
      <c r="Z57" s="5"/>
      <c r="AA57" s="5"/>
      <c r="AB57" s="5"/>
      <c r="AC57" s="5"/>
      <c r="AD57" s="4"/>
      <c r="AE57" s="7"/>
      <c r="AF57" s="198"/>
    </row>
    <row r="58" spans="1:32" s="15" customFormat="1" x14ac:dyDescent="0.25">
      <c r="A58" s="214">
        <f t="shared" ref="A58:A67" si="128">EDATE(A57,1)</f>
        <v>45352</v>
      </c>
      <c r="B58" s="59" t="s">
        <v>39</v>
      </c>
      <c r="C58" s="9">
        <v>11044327.599237286</v>
      </c>
      <c r="D58" s="10">
        <v>0</v>
      </c>
      <c r="E58" s="11">
        <v>11044327.599237286</v>
      </c>
      <c r="F58" s="5"/>
      <c r="G58" s="5"/>
      <c r="H58" s="5"/>
      <c r="I58" s="5"/>
      <c r="J58" s="4" cm="1">
        <f t="array" ref="J58">SUMPRODUCT('Gross Results by UW month'!J$11:J$1000,'Gross Results by UW month'!D$11:D$1000,--('Gross Results by UW month'!$C$11:$C$1000='30 Jun 2025 - Gross'!$A58))/'30 Jun 2025 - Gross'!C58</f>
        <v>0.85057982540928134</v>
      </c>
      <c r="K58" s="7"/>
      <c r="L58" s="6" cm="1">
        <f t="array" ref="L58">SUMPRODUCT('Gross Results by UW month'!L$11:L$1000,'Gross Results by UW month'!F$11:F$1000,--('Gross Results by UW month'!$C$11:$C$1000='30 Jun 2025 - Gross'!$A58))/'30 Jun 2025 - Gross'!E58</f>
        <v>0.85057982540928134</v>
      </c>
      <c r="M58" s="13">
        <f t="shared" ref="M58" si="129">C58-W58</f>
        <v>11044327.599237286</v>
      </c>
      <c r="N58" s="13">
        <f t="shared" ref="N58" si="130">D58-X58</f>
        <v>0</v>
      </c>
      <c r="O58" s="13">
        <f t="shared" ref="O58" si="131">E58-Y58</f>
        <v>11044327.599237286</v>
      </c>
      <c r="P58" s="5"/>
      <c r="Q58" s="5"/>
      <c r="R58" s="5"/>
      <c r="S58" s="5"/>
      <c r="T58" s="4">
        <f t="shared" ref="T58" si="132">IFERROR((C58*J58-W58*AD58)/M58,"")</f>
        <v>0.85057982540928134</v>
      </c>
      <c r="U58" s="7" t="str">
        <f t="shared" ref="U58" si="133">IFERROR((D58*K58-X58*AE58)/N58,"")</f>
        <v/>
      </c>
      <c r="V58" s="7">
        <f t="shared" ref="V58" si="134">IFERROR((E58*L58-Y58*AF58)/O58,"")</f>
        <v>0.85057982540928134</v>
      </c>
      <c r="W58" s="197"/>
      <c r="X58" s="13"/>
      <c r="Y58" s="14"/>
      <c r="Z58" s="5"/>
      <c r="AA58" s="5"/>
      <c r="AB58" s="5"/>
      <c r="AC58" s="5"/>
      <c r="AD58" s="4"/>
      <c r="AE58" s="7"/>
      <c r="AF58" s="198"/>
    </row>
    <row r="59" spans="1:32" s="15" customFormat="1" x14ac:dyDescent="0.25">
      <c r="A59" s="214">
        <f t="shared" si="128"/>
        <v>45383</v>
      </c>
      <c r="B59" s="59" t="s">
        <v>41</v>
      </c>
      <c r="C59" s="9">
        <v>9997344.4412674848</v>
      </c>
      <c r="D59" s="10">
        <v>0</v>
      </c>
      <c r="E59" s="11">
        <v>9997344.4412674848</v>
      </c>
      <c r="F59" s="5"/>
      <c r="G59" s="5"/>
      <c r="H59" s="5"/>
      <c r="I59" s="5"/>
      <c r="J59" s="4" cm="1">
        <f t="array" ref="J59">SUMPRODUCT('Gross Results by UW month'!J$11:J$1000,'Gross Results by UW month'!D$11:D$1000,--('Gross Results by UW month'!$C$11:$C$1000='30 Jun 2025 - Gross'!$A59))/'30 Jun 2025 - Gross'!C59</f>
        <v>0.79261630913388759</v>
      </c>
      <c r="K59" s="7"/>
      <c r="L59" s="6" cm="1">
        <f t="array" ref="L59">SUMPRODUCT('Gross Results by UW month'!L$11:L$1000,'Gross Results by UW month'!F$11:F$1000,--('Gross Results by UW month'!$C$11:$C$1000='30 Jun 2025 - Gross'!$A59))/'30 Jun 2025 - Gross'!E59</f>
        <v>0.79261630913388759</v>
      </c>
      <c r="M59" s="13">
        <f t="shared" ref="M59:M60" si="135">C59-W59</f>
        <v>9997344.4412674848</v>
      </c>
      <c r="N59" s="13">
        <f t="shared" ref="N59:N60" si="136">D59-X59</f>
        <v>0</v>
      </c>
      <c r="O59" s="13">
        <f t="shared" ref="O59:O60" si="137">E59-Y59</f>
        <v>9997344.4412674848</v>
      </c>
      <c r="P59" s="5"/>
      <c r="Q59" s="5"/>
      <c r="R59" s="5"/>
      <c r="S59" s="5"/>
      <c r="T59" s="4">
        <f t="shared" ref="T59:T60" si="138">IFERROR((C59*J59-W59*AD59)/M59,"")</f>
        <v>0.79261630913388759</v>
      </c>
      <c r="U59" s="7" t="str">
        <f t="shared" ref="U59:U60" si="139">IFERROR((D59*K59-X59*AE59)/N59,"")</f>
        <v/>
      </c>
      <c r="V59" s="7">
        <f t="shared" ref="V59:V60" si="140">IFERROR((E59*L59-Y59*AF59)/O59,"")</f>
        <v>0.79261630913388759</v>
      </c>
      <c r="W59" s="197"/>
      <c r="X59" s="13"/>
      <c r="Y59" s="14"/>
      <c r="Z59" s="5"/>
      <c r="AA59" s="5"/>
      <c r="AB59" s="5"/>
      <c r="AC59" s="5"/>
      <c r="AD59" s="4"/>
      <c r="AE59" s="7"/>
      <c r="AF59" s="198"/>
    </row>
    <row r="60" spans="1:32" s="15" customFormat="1" x14ac:dyDescent="0.25">
      <c r="A60" s="214">
        <f t="shared" si="128"/>
        <v>45413</v>
      </c>
      <c r="B60" s="59" t="s">
        <v>46</v>
      </c>
      <c r="C60" s="9">
        <v>9875049.540843796</v>
      </c>
      <c r="D60" s="10">
        <v>0</v>
      </c>
      <c r="E60" s="11">
        <v>9875049.540843796</v>
      </c>
      <c r="F60" s="5"/>
      <c r="G60" s="5"/>
      <c r="H60" s="5"/>
      <c r="I60" s="5"/>
      <c r="J60" s="4" cm="1">
        <f t="array" ref="J60">SUMPRODUCT('Gross Results by UW month'!J$11:J$1000,'Gross Results by UW month'!D$11:D$1000,--('Gross Results by UW month'!$C$11:$C$1000='30 Jun 2025 - Gross'!$A60))/'30 Jun 2025 - Gross'!C60</f>
        <v>0.97299374814550499</v>
      </c>
      <c r="K60" s="7"/>
      <c r="L60" s="6" cm="1">
        <f t="array" ref="L60">SUMPRODUCT('Gross Results by UW month'!L$11:L$1000,'Gross Results by UW month'!F$11:F$1000,--('Gross Results by UW month'!$C$11:$C$1000='30 Jun 2025 - Gross'!$A60))/'30 Jun 2025 - Gross'!E60</f>
        <v>0.97299374814550499</v>
      </c>
      <c r="M60" s="13">
        <f t="shared" si="135"/>
        <v>9875049.540843796</v>
      </c>
      <c r="N60" s="13">
        <f t="shared" si="136"/>
        <v>0</v>
      </c>
      <c r="O60" s="13">
        <f t="shared" si="137"/>
        <v>9875049.540843796</v>
      </c>
      <c r="P60" s="5"/>
      <c r="Q60" s="5"/>
      <c r="R60" s="5"/>
      <c r="S60" s="5"/>
      <c r="T60" s="4">
        <f t="shared" si="138"/>
        <v>0.97299374814550499</v>
      </c>
      <c r="U60" s="7" t="str">
        <f t="shared" si="139"/>
        <v/>
      </c>
      <c r="V60" s="7">
        <f t="shared" si="140"/>
        <v>0.97299374814550499</v>
      </c>
      <c r="W60" s="197"/>
      <c r="X60" s="13"/>
      <c r="Y60" s="14"/>
      <c r="Z60" s="5"/>
      <c r="AA60" s="5"/>
      <c r="AB60" s="5"/>
      <c r="AC60" s="5"/>
      <c r="AD60" s="4"/>
      <c r="AE60" s="7"/>
      <c r="AF60" s="198"/>
    </row>
    <row r="61" spans="1:32" s="15" customFormat="1" x14ac:dyDescent="0.25">
      <c r="A61" s="214">
        <f t="shared" si="128"/>
        <v>45444</v>
      </c>
      <c r="B61" s="59" t="s">
        <v>47</v>
      </c>
      <c r="C61" s="9">
        <v>8720527.994462505</v>
      </c>
      <c r="D61" s="10">
        <v>0</v>
      </c>
      <c r="E61" s="11">
        <v>8720527.994462505</v>
      </c>
      <c r="F61" s="5"/>
      <c r="G61" s="5"/>
      <c r="H61" s="5"/>
      <c r="I61" s="5"/>
      <c r="J61" s="4" cm="1">
        <f t="array" ref="J61">SUMPRODUCT('Gross Results by UW month'!J$11:J$1000,'Gross Results by UW month'!D$11:D$1000,--('Gross Results by UW month'!$C$11:$C$1000='30 Jun 2025 - Gross'!$A61))/'30 Jun 2025 - Gross'!C61</f>
        <v>0.82040569259419582</v>
      </c>
      <c r="K61" s="7"/>
      <c r="L61" s="6" cm="1">
        <f t="array" ref="L61">SUMPRODUCT('Gross Results by UW month'!L$11:L$1000,'Gross Results by UW month'!F$11:F$1000,--('Gross Results by UW month'!$C$11:$C$1000='30 Jun 2025 - Gross'!$A61))/'30 Jun 2025 - Gross'!E61</f>
        <v>0.82040569259419582</v>
      </c>
      <c r="M61" s="13">
        <f t="shared" ref="M61" si="141">C61-W61</f>
        <v>8720527.994462505</v>
      </c>
      <c r="N61" s="13">
        <f t="shared" ref="N61" si="142">D61-X61</f>
        <v>0</v>
      </c>
      <c r="O61" s="13">
        <f t="shared" ref="O61" si="143">E61-Y61</f>
        <v>8720527.994462505</v>
      </c>
      <c r="P61" s="5"/>
      <c r="Q61" s="5"/>
      <c r="R61" s="5"/>
      <c r="S61" s="5"/>
      <c r="T61" s="4">
        <f t="shared" ref="T61" si="144">IFERROR((C61*J61-W61*AD61)/M61,"")</f>
        <v>0.82040569259419582</v>
      </c>
      <c r="U61" s="7" t="str">
        <f t="shared" ref="U61" si="145">IFERROR((D61*K61-X61*AE61)/N61,"")</f>
        <v/>
      </c>
      <c r="V61" s="7">
        <f t="shared" ref="V61" si="146">IFERROR((E61*L61-Y61*AF61)/O61,"")</f>
        <v>0.82040569259419582</v>
      </c>
      <c r="W61" s="197"/>
      <c r="X61" s="13"/>
      <c r="Y61" s="14"/>
      <c r="Z61" s="5"/>
      <c r="AA61" s="5"/>
      <c r="AB61" s="5"/>
      <c r="AC61" s="5"/>
      <c r="AD61" s="4"/>
      <c r="AE61" s="7"/>
      <c r="AF61" s="198"/>
    </row>
    <row r="62" spans="1:32" s="15" customFormat="1" x14ac:dyDescent="0.25">
      <c r="A62" s="214">
        <f t="shared" si="128"/>
        <v>45474</v>
      </c>
      <c r="B62" s="59" t="s">
        <v>49</v>
      </c>
      <c r="C62" s="9">
        <v>7561539.4691572944</v>
      </c>
      <c r="D62" s="10">
        <v>134386.39858471043</v>
      </c>
      <c r="E62" s="11">
        <v>7695925.8677420048</v>
      </c>
      <c r="F62" s="5"/>
      <c r="G62" s="5"/>
      <c r="H62" s="5"/>
      <c r="I62" s="5"/>
      <c r="J62" s="4" cm="1">
        <f t="array" ref="J62">SUMPRODUCT('Gross Results by UW month'!J$11:J$1000,'Gross Results by UW month'!D$11:D$1000,--('Gross Results by UW month'!$C$11:$C$1000='30 Jun 2025 - Gross'!$A62))/'30 Jun 2025 - Gross'!C62</f>
        <v>0.80255942433036542</v>
      </c>
      <c r="K62" s="7" cm="1">
        <f t="array" ref="K62">SUMPRODUCT('Gross Results by UW month'!K$11:K$1000,'Gross Results by UW month'!E$11:E$1000,--('Gross Results by UW month'!$C$11:$C$1000='30 Jun 2025 - Gross'!$A62))/'30 Jun 2025 - Gross'!D62</f>
        <v>0.82576071660806249</v>
      </c>
      <c r="L62" s="6" cm="1">
        <f t="array" ref="L62">SUMPRODUCT('Gross Results by UW month'!L$11:L$1000,'Gross Results by UW month'!F$11:F$1000,--('Gross Results by UW month'!$C$11:$C$1000='30 Jun 2025 - Gross'!$A62))/'30 Jun 2025 - Gross'!E62</f>
        <v>0.80296456572144614</v>
      </c>
      <c r="M62" s="13">
        <f t="shared" ref="M62" si="147">C62-W62</f>
        <v>7561539.4691572944</v>
      </c>
      <c r="N62" s="13">
        <f t="shared" ref="N62" si="148">D62-X62</f>
        <v>134386.39858471043</v>
      </c>
      <c r="O62" s="13">
        <f t="shared" ref="O62" si="149">E62-Y62</f>
        <v>7695925.8677420048</v>
      </c>
      <c r="P62" s="5"/>
      <c r="Q62" s="5"/>
      <c r="R62" s="5"/>
      <c r="S62" s="5"/>
      <c r="T62" s="4">
        <f t="shared" ref="T62" si="150">IFERROR((C62*J62-W62*AD62)/M62,"")</f>
        <v>0.80255942433036542</v>
      </c>
      <c r="U62" s="7">
        <f t="shared" ref="U62" si="151">IFERROR((D62*K62-X62*AE62)/N62,"")</f>
        <v>0.82576071660806249</v>
      </c>
      <c r="V62" s="7">
        <f t="shared" ref="V62" si="152">IFERROR((E62*L62-Y62*AF62)/O62,"")</f>
        <v>0.80296456572144614</v>
      </c>
      <c r="W62" s="197"/>
      <c r="X62" s="13"/>
      <c r="Y62" s="14"/>
      <c r="Z62" s="5"/>
      <c r="AA62" s="5"/>
      <c r="AB62" s="5"/>
      <c r="AC62" s="5"/>
      <c r="AD62" s="4"/>
      <c r="AE62" s="7"/>
      <c r="AF62" s="198"/>
    </row>
    <row r="63" spans="1:32" s="15" customFormat="1" x14ac:dyDescent="0.25">
      <c r="A63" s="214">
        <f t="shared" si="128"/>
        <v>45505</v>
      </c>
      <c r="B63" s="59" t="s">
        <v>50</v>
      </c>
      <c r="C63" s="9">
        <v>5861667.0389134334</v>
      </c>
      <c r="D63" s="10">
        <v>481535.52223680262</v>
      </c>
      <c r="E63" s="11">
        <v>6343202.5611502361</v>
      </c>
      <c r="F63" s="5"/>
      <c r="G63" s="5"/>
      <c r="H63" s="5"/>
      <c r="I63" s="5"/>
      <c r="J63" s="4" cm="1">
        <f t="array" ref="J63">SUMPRODUCT('Gross Results by UW month'!J$11:J$1000,'Gross Results by UW month'!D$11:D$1000,--('Gross Results by UW month'!$C$11:$C$1000='30 Jun 2025 - Gross'!$A63))/'30 Jun 2025 - Gross'!C63</f>
        <v>0.81759396190649469</v>
      </c>
      <c r="K63" s="7" cm="1">
        <f t="array" ref="K63">SUMPRODUCT('Gross Results by UW month'!K$11:K$1000,'Gross Results by UW month'!E$11:E$1000,--('Gross Results by UW month'!$C$11:$C$1000='30 Jun 2025 - Gross'!$A63))/'30 Jun 2025 - Gross'!D63</f>
        <v>0.82748107970841844</v>
      </c>
      <c r="L63" s="6" cm="1">
        <f t="array" ref="L63">SUMPRODUCT('Gross Results by UW month'!L$11:L$1000,'Gross Results by UW month'!F$11:F$1000,--('Gross Results by UW month'!$C$11:$C$1000='30 Jun 2025 - Gross'!$A63))/'30 Jun 2025 - Gross'!E63</f>
        <v>0.81834452889348097</v>
      </c>
      <c r="M63" s="13">
        <f t="shared" ref="M63" si="153">C63-W63</f>
        <v>5861667.0389134334</v>
      </c>
      <c r="N63" s="13">
        <f t="shared" ref="N63" si="154">D63-X63</f>
        <v>481535.52223680262</v>
      </c>
      <c r="O63" s="13">
        <f t="shared" ref="O63" si="155">E63-Y63</f>
        <v>6343202.5611502361</v>
      </c>
      <c r="P63" s="5"/>
      <c r="Q63" s="5"/>
      <c r="R63" s="5"/>
      <c r="S63" s="5"/>
      <c r="T63" s="4">
        <f t="shared" ref="T63" si="156">IFERROR((C63*J63-W63*AD63)/M63,"")</f>
        <v>0.81759396190649469</v>
      </c>
      <c r="U63" s="7">
        <f t="shared" ref="U63" si="157">IFERROR((D63*K63-X63*AE63)/N63,"")</f>
        <v>0.82748107970841844</v>
      </c>
      <c r="V63" s="7">
        <f t="shared" ref="V63" si="158">IFERROR((E63*L63-Y63*AF63)/O63,"")</f>
        <v>0.81834452889348097</v>
      </c>
      <c r="W63" s="197"/>
      <c r="X63" s="13"/>
      <c r="Y63" s="14"/>
      <c r="Z63" s="5"/>
      <c r="AA63" s="5"/>
      <c r="AB63" s="5"/>
      <c r="AC63" s="5"/>
      <c r="AD63" s="4"/>
      <c r="AE63" s="7"/>
      <c r="AF63" s="198"/>
    </row>
    <row r="64" spans="1:32" s="15" customFormat="1" x14ac:dyDescent="0.25">
      <c r="A64" s="214">
        <f t="shared" si="128"/>
        <v>45536</v>
      </c>
      <c r="B64" s="59" t="s">
        <v>51</v>
      </c>
      <c r="C64" s="9">
        <v>4522225.249312778</v>
      </c>
      <c r="D64" s="10">
        <v>710452.28418920934</v>
      </c>
      <c r="E64" s="11">
        <v>5232677.5335019873</v>
      </c>
      <c r="F64" s="5"/>
      <c r="G64" s="5"/>
      <c r="H64" s="5"/>
      <c r="I64" s="5"/>
      <c r="J64" s="4" cm="1">
        <f t="array" ref="J64">SUMPRODUCT('Gross Results by UW month'!J$11:J$1000,'Gross Results by UW month'!D$11:D$1000,--('Gross Results by UW month'!$C$11:$C$1000='30 Jun 2025 - Gross'!$A64))/'30 Jun 2025 - Gross'!C64</f>
        <v>1.122923462374261</v>
      </c>
      <c r="K64" s="7" cm="1">
        <f t="array" ref="K64">SUMPRODUCT('Gross Results by UW month'!K$11:K$1000,'Gross Results by UW month'!E$11:E$1000,--('Gross Results by UW month'!$C$11:$C$1000='30 Jun 2025 - Gross'!$A64))/'30 Jun 2025 - Gross'!D64</f>
        <v>0.83533323502012879</v>
      </c>
      <c r="L64" s="6" cm="1">
        <f t="array" ref="L64">SUMPRODUCT('Gross Results by UW month'!L$11:L$1000,'Gross Results by UW month'!F$11:F$1000,--('Gross Results by UW month'!$C$11:$C$1000='30 Jun 2025 - Gross'!$A64))/'30 Jun 2025 - Gross'!E64</f>
        <v>1.0838766966169422</v>
      </c>
      <c r="M64" s="13">
        <f t="shared" ref="M64" si="159">C64-W64</f>
        <v>4522225.249312778</v>
      </c>
      <c r="N64" s="13">
        <f t="shared" ref="N64" si="160">D64-X64</f>
        <v>710452.28418920934</v>
      </c>
      <c r="O64" s="13">
        <f t="shared" ref="O64" si="161">E64-Y64</f>
        <v>5232677.5335019873</v>
      </c>
      <c r="P64" s="5"/>
      <c r="Q64" s="5"/>
      <c r="R64" s="5"/>
      <c r="S64" s="5"/>
      <c r="T64" s="4">
        <f t="shared" ref="T64" si="162">IFERROR((C64*J64-W64*AD64)/M64,"")</f>
        <v>1.122923462374261</v>
      </c>
      <c r="U64" s="7">
        <f t="shared" ref="U64" si="163">IFERROR((D64*K64-X64*AE64)/N64,"")</f>
        <v>0.83533323502012879</v>
      </c>
      <c r="V64" s="7">
        <f t="shared" ref="V64" si="164">IFERROR((E64*L64-Y64*AF64)/O64,"")</f>
        <v>1.0838766966169422</v>
      </c>
      <c r="W64" s="197"/>
      <c r="X64" s="13"/>
      <c r="Y64" s="14"/>
      <c r="Z64" s="5"/>
      <c r="AA64" s="5"/>
      <c r="AB64" s="5"/>
      <c r="AC64" s="5"/>
      <c r="AD64" s="4"/>
      <c r="AE64" s="7"/>
      <c r="AF64" s="198"/>
    </row>
    <row r="65" spans="1:32" s="15" customFormat="1" x14ac:dyDescent="0.25">
      <c r="A65" s="214">
        <f t="shared" si="128"/>
        <v>45566</v>
      </c>
      <c r="B65" s="59" t="s">
        <v>52</v>
      </c>
      <c r="C65" s="9">
        <v>3613063.9840755411</v>
      </c>
      <c r="D65" s="10">
        <v>959715.60489762342</v>
      </c>
      <c r="E65" s="11">
        <v>4572779.5889731646</v>
      </c>
      <c r="F65" s="5"/>
      <c r="G65" s="5"/>
      <c r="H65" s="5"/>
      <c r="I65" s="5"/>
      <c r="J65" s="4" cm="1">
        <f t="array" ref="J65">SUMPRODUCT('Gross Results by UW month'!J$11:J$1000,'Gross Results by UW month'!D$11:D$1000,--('Gross Results by UW month'!$C$11:$C$1000='30 Jun 2025 - Gross'!$A65))/'30 Jun 2025 - Gross'!C65</f>
        <v>0.92757294102988663</v>
      </c>
      <c r="K65" s="7" cm="1">
        <f t="array" ref="K65">SUMPRODUCT('Gross Results by UW month'!K$11:K$1000,'Gross Results by UW month'!E$11:E$1000,--('Gross Results by UW month'!$C$11:$C$1000='30 Jun 2025 - Gross'!$A65))/'30 Jun 2025 - Gross'!D65</f>
        <v>0.83797919451959835</v>
      </c>
      <c r="L65" s="6" cm="1">
        <f t="array" ref="L65">SUMPRODUCT('Gross Results by UW month'!L$11:L$1000,'Gross Results by UW month'!F$11:F$1000,--('Gross Results by UW month'!$C$11:$C$1000='30 Jun 2025 - Gross'!$A65))/'30 Jun 2025 - Gross'!E65</f>
        <v>0.9087693851282399</v>
      </c>
      <c r="M65" s="13">
        <f t="shared" ref="M65" si="165">C65-W65</f>
        <v>3613063.9840755411</v>
      </c>
      <c r="N65" s="13">
        <f t="shared" ref="N65" si="166">D65-X65</f>
        <v>959715.60489762342</v>
      </c>
      <c r="O65" s="13">
        <f t="shared" ref="O65" si="167">E65-Y65</f>
        <v>4572779.5889731646</v>
      </c>
      <c r="P65" s="5"/>
      <c r="Q65" s="5"/>
      <c r="R65" s="5"/>
      <c r="S65" s="5"/>
      <c r="T65" s="4">
        <f t="shared" ref="T65" si="168">IFERROR((C65*J65-W65*AD65)/M65,"")</f>
        <v>0.92757294102988663</v>
      </c>
      <c r="U65" s="7">
        <f t="shared" ref="U65" si="169">IFERROR((D65*K65-X65*AE65)/N65,"")</f>
        <v>0.83797919451959835</v>
      </c>
      <c r="V65" s="7">
        <f t="shared" ref="V65" si="170">IFERROR((E65*L65-Y65*AF65)/O65,"")</f>
        <v>0.9087693851282399</v>
      </c>
      <c r="W65" s="197"/>
      <c r="X65" s="13"/>
      <c r="Y65" s="14"/>
      <c r="Z65" s="5"/>
      <c r="AA65" s="5"/>
      <c r="AB65" s="5"/>
      <c r="AC65" s="5"/>
      <c r="AD65" s="4"/>
      <c r="AE65" s="7"/>
      <c r="AF65" s="198"/>
    </row>
    <row r="66" spans="1:32" s="15" customFormat="1" x14ac:dyDescent="0.25">
      <c r="A66" s="214">
        <f t="shared" si="128"/>
        <v>45597</v>
      </c>
      <c r="B66" s="59" t="s">
        <v>54</v>
      </c>
      <c r="C66" s="9">
        <v>3415622.357430866</v>
      </c>
      <c r="D66" s="10">
        <v>1420601.9587372569</v>
      </c>
      <c r="E66" s="11">
        <v>4836224.3161681229</v>
      </c>
      <c r="F66" s="5"/>
      <c r="G66" s="5"/>
      <c r="H66" s="5"/>
      <c r="I66" s="5"/>
      <c r="J66" s="4" cm="1">
        <f t="array" ref="J66">SUMPRODUCT('Gross Results by UW month'!J$11:J$1000,'Gross Results by UW month'!D$11:D$1000,--('Gross Results by UW month'!$C$11:$C$1000='30 Jun 2025 - Gross'!$A66))/'30 Jun 2025 - Gross'!C66</f>
        <v>0.94490549761250486</v>
      </c>
      <c r="K66" s="7" cm="1">
        <f t="array" ref="K66">SUMPRODUCT('Gross Results by UW month'!K$11:K$1000,'Gross Results by UW month'!E$11:E$1000,--('Gross Results by UW month'!$C$11:$C$1000='30 Jun 2025 - Gross'!$A66))/'30 Jun 2025 - Gross'!D66</f>
        <v>0.83997680098260274</v>
      </c>
      <c r="L66" s="6" cm="1">
        <f t="array" ref="L66">SUMPRODUCT('Gross Results by UW month'!L$11:L$1000,'Gross Results by UW month'!F$11:F$1000,--('Gross Results by UW month'!$C$11:$C$1000='30 Jun 2025 - Gross'!$A66))/'30 Jun 2025 - Gross'!E66</f>
        <v>0.9140835377084009</v>
      </c>
      <c r="M66" s="13">
        <f t="shared" ref="M66:M67" si="171">C66-W66</f>
        <v>3415622.357430866</v>
      </c>
      <c r="N66" s="13">
        <f t="shared" ref="N66:N67" si="172">D66-X66</f>
        <v>1420601.9587372569</v>
      </c>
      <c r="O66" s="13">
        <f t="shared" ref="O66:O67" si="173">E66-Y66</f>
        <v>4836224.3161681229</v>
      </c>
      <c r="P66" s="5"/>
      <c r="Q66" s="5"/>
      <c r="R66" s="5"/>
      <c r="S66" s="5"/>
      <c r="T66" s="4">
        <f t="shared" ref="T66:T67" si="174">IFERROR((C66*J66-W66*AD66)/M66,"")</f>
        <v>0.94490549761250486</v>
      </c>
      <c r="U66" s="7">
        <f t="shared" ref="U66:U67" si="175">IFERROR((D66*K66-X66*AE66)/N66,"")</f>
        <v>0.83997680098260274</v>
      </c>
      <c r="V66" s="7">
        <f t="shared" ref="V66:V67" si="176">IFERROR((E66*L66-Y66*AF66)/O66,"")</f>
        <v>0.9140835377084009</v>
      </c>
      <c r="W66" s="197"/>
      <c r="X66" s="13"/>
      <c r="Y66" s="14"/>
      <c r="Z66" s="5"/>
      <c r="AA66" s="5"/>
      <c r="AB66" s="5"/>
      <c r="AC66" s="5"/>
      <c r="AD66" s="4"/>
      <c r="AE66" s="7"/>
      <c r="AF66" s="198"/>
    </row>
    <row r="67" spans="1:32" s="15" customFormat="1" x14ac:dyDescent="0.25">
      <c r="A67" s="214">
        <f t="shared" si="128"/>
        <v>45627</v>
      </c>
      <c r="B67" s="25" t="s">
        <v>83</v>
      </c>
      <c r="C67" s="26">
        <v>2919836.9324805574</v>
      </c>
      <c r="D67" s="27">
        <v>1763656.1733193225</v>
      </c>
      <c r="E67" s="28">
        <v>4683493.1057998799</v>
      </c>
      <c r="F67" s="29"/>
      <c r="G67" s="29"/>
      <c r="H67" s="29"/>
      <c r="I67" s="29"/>
      <c r="J67" s="30" cm="1">
        <f t="array" ref="J67">SUMPRODUCT('Gross Results by UW month'!J$11:J$1000,'Gross Results by UW month'!D$11:D$1000,--('Gross Results by UW month'!$C$11:$C$1000='30 Jun 2025 - Gross'!$A67))/'30 Jun 2025 - Gross'!C67</f>
        <v>0.95485096735565422</v>
      </c>
      <c r="K67" s="31" cm="1">
        <f t="array" ref="K67">SUMPRODUCT('Gross Results by UW month'!K$11:K$1000,'Gross Results by UW month'!E$11:E$1000,--('Gross Results by UW month'!$C$11:$C$1000='30 Jun 2025 - Gross'!$A67))/'30 Jun 2025 - Gross'!D67</f>
        <v>0.84258905558807007</v>
      </c>
      <c r="L67" s="32" cm="1">
        <f t="array" ref="L67">SUMPRODUCT('Gross Results by UW month'!L$11:L$1000,'Gross Results by UW month'!F$11:F$1000,--('Gross Results by UW month'!$C$11:$C$1000='30 Jun 2025 - Gross'!$A67))/'30 Jun 2025 - Gross'!E67</f>
        <v>0.91257666284726435</v>
      </c>
      <c r="M67" s="33">
        <f t="shared" si="171"/>
        <v>2919836.9324805574</v>
      </c>
      <c r="N67" s="34">
        <f t="shared" si="172"/>
        <v>1763656.1733193225</v>
      </c>
      <c r="O67" s="35">
        <f t="shared" si="173"/>
        <v>4683493.1057998799</v>
      </c>
      <c r="P67" s="29"/>
      <c r="Q67" s="29"/>
      <c r="R67" s="29"/>
      <c r="S67" s="29"/>
      <c r="T67" s="30">
        <f t="shared" si="174"/>
        <v>0.95485096735565422</v>
      </c>
      <c r="U67" s="31">
        <f t="shared" si="175"/>
        <v>0.84258905558807007</v>
      </c>
      <c r="V67" s="32">
        <f t="shared" si="176"/>
        <v>0.91257666284726435</v>
      </c>
      <c r="W67" s="33"/>
      <c r="X67" s="34"/>
      <c r="Y67" s="35"/>
      <c r="Z67" s="29"/>
      <c r="AA67" s="29"/>
      <c r="AB67" s="29"/>
      <c r="AC67" s="29"/>
      <c r="AD67" s="30"/>
      <c r="AE67" s="31"/>
      <c r="AF67" s="32"/>
    </row>
    <row r="68" spans="1:32" s="15" customFormat="1" x14ac:dyDescent="0.25">
      <c r="A68" s="214"/>
      <c r="B68" s="25"/>
      <c r="C68" s="36"/>
      <c r="D68" s="37"/>
      <c r="E68" s="38"/>
      <c r="F68" s="29"/>
      <c r="G68" s="29"/>
      <c r="H68" s="29"/>
      <c r="I68" s="29"/>
      <c r="J68" s="30"/>
      <c r="K68" s="31"/>
      <c r="L68" s="32"/>
      <c r="M68" s="39"/>
      <c r="N68" s="29"/>
      <c r="O68" s="40"/>
      <c r="P68" s="29"/>
      <c r="Q68" s="29"/>
      <c r="R68" s="29"/>
      <c r="S68" s="29"/>
      <c r="T68" s="30"/>
      <c r="U68" s="31"/>
      <c r="V68" s="32"/>
      <c r="W68" s="39"/>
      <c r="X68" s="29"/>
      <c r="Y68" s="40"/>
      <c r="Z68" s="29"/>
      <c r="AA68" s="29"/>
      <c r="AB68" s="29"/>
      <c r="AC68" s="29"/>
      <c r="AD68" s="30"/>
      <c r="AE68" s="31"/>
      <c r="AF68" s="32"/>
    </row>
    <row r="69" spans="1:32" s="15" customFormat="1" x14ac:dyDescent="0.25">
      <c r="A69" s="214">
        <f t="shared" ref="A69:A72" si="177">EDATE(A56,12)</f>
        <v>45658</v>
      </c>
      <c r="B69" s="59" t="s">
        <v>89</v>
      </c>
      <c r="C69" s="9">
        <v>2471410.6879396252</v>
      </c>
      <c r="D69" s="10">
        <v>2248367.4893272435</v>
      </c>
      <c r="E69" s="11">
        <v>4719778.1772668688</v>
      </c>
      <c r="F69" s="5"/>
      <c r="G69" s="5"/>
      <c r="H69" s="5"/>
      <c r="I69" s="5"/>
      <c r="J69" s="4" cm="1">
        <f t="array" ref="J69">SUMPRODUCT('Gross Results by UW month'!J$11:J$1000,'Gross Results by UW month'!D$11:D$1000,--('Gross Results by UW month'!$C$11:$C$1000='30 Jun 2025 - Gross'!$A69))/'30 Jun 2025 - Gross'!C69</f>
        <v>0.95166447611082994</v>
      </c>
      <c r="K69" s="7" cm="1">
        <f t="array" ref="K69">SUMPRODUCT('Gross Results by UW month'!K$11:K$1000,'Gross Results by UW month'!E$11:E$1000,--('Gross Results by UW month'!$C$11:$C$1000='30 Jun 2025 - Gross'!$A69))/'30 Jun 2025 - Gross'!D69</f>
        <v>0.84466905788692048</v>
      </c>
      <c r="L69" s="6" cm="1">
        <f t="array" ref="L69">SUMPRODUCT('Gross Results by UW month'!L$11:L$1000,'Gross Results by UW month'!F$11:F$1000,--('Gross Results by UW month'!$C$11:$C$1000='30 Jun 2025 - Gross'!$A69))/'30 Jun 2025 - Gross'!E69</f>
        <v>0.90069491550726011</v>
      </c>
      <c r="M69" s="12">
        <f t="shared" ref="M69" si="178">C69-W69</f>
        <v>2471410.6879396252</v>
      </c>
      <c r="N69" s="13">
        <f t="shared" ref="N69" si="179">D69-X69</f>
        <v>2248367.4893272435</v>
      </c>
      <c r="O69" s="14">
        <f t="shared" ref="O69" si="180">E69-Y69</f>
        <v>4719778.1772668688</v>
      </c>
      <c r="P69" s="5"/>
      <c r="Q69" s="5"/>
      <c r="R69" s="5"/>
      <c r="S69" s="5"/>
      <c r="T69" s="4">
        <f t="shared" ref="T69" si="181">IFERROR((C69*J69-W69*AD69)/M69,"")</f>
        <v>0.95166447611082994</v>
      </c>
      <c r="U69" s="7">
        <f t="shared" ref="U69" si="182">IFERROR((D69*K69-X69*AE69)/N69,"")</f>
        <v>0.84466905788692048</v>
      </c>
      <c r="V69" s="6">
        <f t="shared" ref="V69" si="183">IFERROR((E69*L69-Y69*AF69)/O69,"")</f>
        <v>0.90069491550726011</v>
      </c>
      <c r="W69" s="12"/>
      <c r="X69" s="13"/>
      <c r="Y69" s="14"/>
      <c r="Z69" s="5"/>
      <c r="AA69" s="5"/>
      <c r="AB69" s="5"/>
      <c r="AC69" s="5"/>
      <c r="AD69" s="4"/>
      <c r="AE69" s="7"/>
      <c r="AF69" s="6"/>
    </row>
    <row r="70" spans="1:32" s="15" customFormat="1" x14ac:dyDescent="0.25">
      <c r="A70" s="214">
        <f t="shared" si="177"/>
        <v>45689</v>
      </c>
      <c r="B70" s="59" t="s">
        <v>90</v>
      </c>
      <c r="C70" s="9">
        <v>1771659.4145453353</v>
      </c>
      <c r="D70" s="10">
        <v>2266956.2144451202</v>
      </c>
      <c r="E70" s="11">
        <v>4038615.6289904555</v>
      </c>
      <c r="F70" s="5"/>
      <c r="G70" s="5"/>
      <c r="H70" s="5"/>
      <c r="I70" s="5"/>
      <c r="J70" s="4" cm="1">
        <f t="array" ref="J70">SUMPRODUCT('Gross Results by UW month'!J$11:J$1000,'Gross Results by UW month'!D$11:D$1000,--('Gross Results by UW month'!$C$11:$C$1000='30 Jun 2025 - Gross'!$A70))/'30 Jun 2025 - Gross'!C70</f>
        <v>0.79626387681654687</v>
      </c>
      <c r="K70" s="7" cm="1">
        <f t="array" ref="K70">SUMPRODUCT('Gross Results by UW month'!K$11:K$1000,'Gross Results by UW month'!E$11:E$1000,--('Gross Results by UW month'!$C$11:$C$1000='30 Jun 2025 - Gross'!$A70))/'30 Jun 2025 - Gross'!D70</f>
        <v>0.84586197300807597</v>
      </c>
      <c r="L70" s="6" cm="1">
        <f t="array" ref="L70">SUMPRODUCT('Gross Results by UW month'!L$11:L$1000,'Gross Results by UW month'!F$11:F$1000,--('Gross Results by UW month'!$C$11:$C$1000='30 Jun 2025 - Gross'!$A70))/'30 Jun 2025 - Gross'!E70</f>
        <v>0.82410428618329323</v>
      </c>
      <c r="M70" s="12">
        <f t="shared" ref="M70:M71" si="184">C70-W70</f>
        <v>1771659.4145453353</v>
      </c>
      <c r="N70" s="13">
        <f t="shared" ref="N70:N71" si="185">D70-X70</f>
        <v>2266956.2144451202</v>
      </c>
      <c r="O70" s="14">
        <f t="shared" ref="O70:O71" si="186">E70-Y70</f>
        <v>4038615.6289904555</v>
      </c>
      <c r="P70" s="5"/>
      <c r="Q70" s="5"/>
      <c r="R70" s="5"/>
      <c r="S70" s="5"/>
      <c r="T70" s="4">
        <f t="shared" ref="T70:T71" si="187">IFERROR((C70*J70-W70*AD70)/M70,"")</f>
        <v>0.79626387681654687</v>
      </c>
      <c r="U70" s="7">
        <f t="shared" ref="U70:U71" si="188">IFERROR((D70*K70-X70*AE70)/N70,"")</f>
        <v>0.84586197300807597</v>
      </c>
      <c r="V70" s="6">
        <f t="shared" ref="V70:V71" si="189">IFERROR((E70*L70-Y70*AF70)/O70,"")</f>
        <v>0.82410428618329323</v>
      </c>
      <c r="W70" s="12"/>
      <c r="X70" s="13"/>
      <c r="Y70" s="14"/>
      <c r="Z70" s="5"/>
      <c r="AA70" s="5"/>
      <c r="AB70" s="5"/>
      <c r="AC70" s="5"/>
      <c r="AD70" s="4"/>
      <c r="AE70" s="7"/>
      <c r="AF70" s="6"/>
    </row>
    <row r="71" spans="1:32" s="15" customFormat="1" x14ac:dyDescent="0.25">
      <c r="A71" s="214">
        <f t="shared" si="177"/>
        <v>45717</v>
      </c>
      <c r="B71" s="59" t="s">
        <v>92</v>
      </c>
      <c r="C71" s="9">
        <v>1732714.0761873331</v>
      </c>
      <c r="D71" s="10">
        <v>3142387.5450637592</v>
      </c>
      <c r="E71" s="11">
        <v>4875101.6212510923</v>
      </c>
      <c r="F71" s="5"/>
      <c r="G71" s="5"/>
      <c r="H71" s="5"/>
      <c r="I71" s="5"/>
      <c r="J71" s="4" cm="1">
        <f t="array" ref="J71">SUMPRODUCT('Gross Results by UW month'!J$11:J$1000,'Gross Results by UW month'!D$11:D$1000,--('Gross Results by UW month'!$C$11:$C$1000='30 Jun 2025 - Gross'!$A71))/'30 Jun 2025 - Gross'!C71</f>
        <v>0.8680756115516397</v>
      </c>
      <c r="K71" s="7" cm="1">
        <f t="array" ref="K71">SUMPRODUCT('Gross Results by UW month'!K$11:K$1000,'Gross Results by UW month'!E$11:E$1000,--('Gross Results by UW month'!$C$11:$C$1000='30 Jun 2025 - Gross'!$A71))/'30 Jun 2025 - Gross'!D71</f>
        <v>0.84773655391274905</v>
      </c>
      <c r="L71" s="6" cm="1">
        <f t="array" ref="L71">SUMPRODUCT('Gross Results by UW month'!L$11:L$1000,'Gross Results by UW month'!F$11:F$1000,--('Gross Results by UW month'!$C$11:$C$1000='30 Jun 2025 - Gross'!$A71))/'30 Jun 2025 - Gross'!E71</f>
        <v>0.85496548454953181</v>
      </c>
      <c r="M71" s="12">
        <f t="shared" si="184"/>
        <v>1732714.0761873331</v>
      </c>
      <c r="N71" s="13">
        <f t="shared" si="185"/>
        <v>3142387.5450637592</v>
      </c>
      <c r="O71" s="14">
        <f t="shared" si="186"/>
        <v>4875101.6212510923</v>
      </c>
      <c r="P71" s="5"/>
      <c r="Q71" s="5"/>
      <c r="R71" s="5"/>
      <c r="S71" s="5"/>
      <c r="T71" s="4">
        <f t="shared" si="187"/>
        <v>0.8680756115516397</v>
      </c>
      <c r="U71" s="7">
        <f t="shared" si="188"/>
        <v>0.84773655391274905</v>
      </c>
      <c r="V71" s="6">
        <f t="shared" si="189"/>
        <v>0.85496548454953181</v>
      </c>
      <c r="W71" s="12"/>
      <c r="X71" s="13"/>
      <c r="Y71" s="14"/>
      <c r="Z71" s="5"/>
      <c r="AA71" s="5"/>
      <c r="AB71" s="5"/>
      <c r="AC71" s="5"/>
      <c r="AD71" s="4"/>
      <c r="AE71" s="7"/>
      <c r="AF71" s="6"/>
    </row>
    <row r="72" spans="1:32" s="15" customFormat="1" x14ac:dyDescent="0.25">
      <c r="A72" s="214">
        <f t="shared" si="177"/>
        <v>45748</v>
      </c>
      <c r="B72" s="59" t="s">
        <v>94</v>
      </c>
      <c r="C72" s="9">
        <v>1226694.6413765592</v>
      </c>
      <c r="D72" s="10">
        <v>3385812.5059010494</v>
      </c>
      <c r="E72" s="11">
        <v>4612507.1472776085</v>
      </c>
      <c r="F72" s="5"/>
      <c r="G72" s="5"/>
      <c r="H72" s="5"/>
      <c r="I72" s="5"/>
      <c r="J72" s="4" cm="1">
        <f t="array" ref="J72">SUMPRODUCT('Gross Results by UW month'!J$11:J$1000,'Gross Results by UW month'!D$11:D$1000,--('Gross Results by UW month'!$C$11:$C$1000='30 Jun 2025 - Gross'!$A72))/'30 Jun 2025 - Gross'!C72</f>
        <v>0.83201927894700267</v>
      </c>
      <c r="K72" s="7" cm="1">
        <f t="array" ref="K72">SUMPRODUCT('Gross Results by UW month'!K$11:K$1000,'Gross Results by UW month'!E$11:E$1000,--('Gross Results by UW month'!$C$11:$C$1000='30 Jun 2025 - Gross'!$A72))/'30 Jun 2025 - Gross'!D72</f>
        <v>0.84914248959125371</v>
      </c>
      <c r="L72" s="6" cm="1">
        <f t="array" ref="L72">SUMPRODUCT('Gross Results by UW month'!L$11:L$1000,'Gross Results by UW month'!F$11:F$1000,--('Gross Results by UW month'!$C$11:$C$1000='30 Jun 2025 - Gross'!$A72))/'30 Jun 2025 - Gross'!E72</f>
        <v>0.84458857778802487</v>
      </c>
      <c r="M72" s="12">
        <f t="shared" ref="M72" si="190">C72-W72</f>
        <v>1226694.6413765592</v>
      </c>
      <c r="N72" s="13">
        <f t="shared" ref="N72" si="191">D72-X72</f>
        <v>3385812.5059010494</v>
      </c>
      <c r="O72" s="14">
        <f t="shared" ref="O72" si="192">E72-Y72</f>
        <v>4612507.1472776085</v>
      </c>
      <c r="P72" s="5"/>
      <c r="Q72" s="5"/>
      <c r="R72" s="5"/>
      <c r="S72" s="5"/>
      <c r="T72" s="4">
        <f t="shared" ref="T72" si="193">IFERROR((C72*J72-W72*AD72)/M72,"")</f>
        <v>0.83201927894700267</v>
      </c>
      <c r="U72" s="7">
        <f t="shared" ref="U72" si="194">IFERROR((D72*K72-X72*AE72)/N72,"")</f>
        <v>0.84914248959125371</v>
      </c>
      <c r="V72" s="6">
        <f t="shared" ref="V72" si="195">IFERROR((E72*L72-Y72*AF72)/O72,"")</f>
        <v>0.84458857778802487</v>
      </c>
      <c r="W72" s="12"/>
      <c r="X72" s="13"/>
      <c r="Y72" s="14"/>
      <c r="Z72" s="5"/>
      <c r="AA72" s="5"/>
      <c r="AB72" s="5"/>
      <c r="AC72" s="5"/>
      <c r="AD72" s="4"/>
      <c r="AE72" s="7"/>
      <c r="AF72" s="6"/>
    </row>
    <row r="73" spans="1:32" s="15" customFormat="1" x14ac:dyDescent="0.25">
      <c r="A73" s="214">
        <f t="shared" ref="A73:A74" si="196">EDATE(A60,12)</f>
        <v>45778</v>
      </c>
      <c r="B73" s="59" t="s">
        <v>96</v>
      </c>
      <c r="C73" s="9">
        <v>811396.34322219016</v>
      </c>
      <c r="D73" s="10">
        <v>4022197.5361649008</v>
      </c>
      <c r="E73" s="11">
        <v>4833593.8793870909</v>
      </c>
      <c r="F73" s="5"/>
      <c r="G73" s="5"/>
      <c r="H73" s="5"/>
      <c r="I73" s="5"/>
      <c r="J73" s="4" cm="1">
        <f t="array" ref="J73">SUMPRODUCT('Gross Results by UW month'!J$11:J$1000,'Gross Results by UW month'!D$11:D$1000,--('Gross Results by UW month'!$C$11:$C$1000='30 Jun 2025 - Gross'!$A73))/'30 Jun 2025 - Gross'!C73</f>
        <v>0.83201927894700267</v>
      </c>
      <c r="K73" s="7" cm="1">
        <f t="array" ref="K73">SUMPRODUCT('Gross Results by UW month'!K$11:K$1000,'Gross Results by UW month'!E$11:E$1000,--('Gross Results by UW month'!$C$11:$C$1000='30 Jun 2025 - Gross'!$A73))/'30 Jun 2025 - Gross'!D73</f>
        <v>0.8491424895912536</v>
      </c>
      <c r="L73" s="6" cm="1">
        <f t="array" ref="L73">SUMPRODUCT('Gross Results by UW month'!L$11:L$1000,'Gross Results by UW month'!F$11:F$1000,--('Gross Results by UW month'!$C$11:$C$1000='30 Jun 2025 - Gross'!$A73))/'30 Jun 2025 - Gross'!E73</f>
        <v>0.84626808374590146</v>
      </c>
      <c r="M73" s="12">
        <f t="shared" ref="M73:M74" si="197">C73-W73</f>
        <v>811396.34322219016</v>
      </c>
      <c r="N73" s="13">
        <f t="shared" ref="N73:N74" si="198">D73-X73</f>
        <v>4022197.5361649008</v>
      </c>
      <c r="O73" s="14">
        <f t="shared" ref="O73:O74" si="199">E73-Y73</f>
        <v>4833593.8793870909</v>
      </c>
      <c r="P73" s="5"/>
      <c r="Q73" s="5"/>
      <c r="R73" s="5"/>
      <c r="S73" s="5"/>
      <c r="T73" s="4">
        <f t="shared" ref="T73:T74" si="200">IFERROR((C73*J73-W73*AD73)/M73,"")</f>
        <v>0.83201927894700267</v>
      </c>
      <c r="U73" s="7">
        <f t="shared" ref="U73:U74" si="201">IFERROR((D73*K73-X73*AE73)/N73,"")</f>
        <v>0.8491424895912536</v>
      </c>
      <c r="V73" s="6">
        <f t="shared" ref="V73:V74" si="202">IFERROR((E73*L73-Y73*AF73)/O73,"")</f>
        <v>0.84626808374590146</v>
      </c>
      <c r="W73" s="12"/>
      <c r="X73" s="13"/>
      <c r="Y73" s="14"/>
      <c r="Z73" s="5"/>
      <c r="AA73" s="5"/>
      <c r="AB73" s="5"/>
      <c r="AC73" s="5"/>
      <c r="AD73" s="4"/>
      <c r="AE73" s="7"/>
      <c r="AF73" s="6"/>
    </row>
    <row r="74" spans="1:32" s="15" customFormat="1" x14ac:dyDescent="0.25">
      <c r="A74" s="214">
        <f t="shared" si="196"/>
        <v>45809</v>
      </c>
      <c r="B74" s="25" t="s">
        <v>97</v>
      </c>
      <c r="C74" s="26">
        <v>301631.14749905083</v>
      </c>
      <c r="D74" s="27">
        <v>3994883.3769856794</v>
      </c>
      <c r="E74" s="28">
        <v>4296514.5244847303</v>
      </c>
      <c r="F74" s="29"/>
      <c r="G74" s="29"/>
      <c r="H74" s="29"/>
      <c r="I74" s="29"/>
      <c r="J74" s="30" cm="1">
        <f t="array" ref="J74">SUMPRODUCT('Gross Results by UW month'!J$11:J$1000,'Gross Results by UW month'!D$11:D$1000,--('Gross Results by UW month'!$C$11:$C$1000='30 Jun 2025 - Gross'!$A74))/'30 Jun 2025 - Gross'!C74</f>
        <v>0.83201927894700267</v>
      </c>
      <c r="K74" s="31" cm="1">
        <f t="array" ref="K74">SUMPRODUCT('Gross Results by UW month'!K$11:K$1000,'Gross Results by UW month'!E$11:E$1000,--('Gross Results by UW month'!$C$11:$C$1000='30 Jun 2025 - Gross'!$A74))/'30 Jun 2025 - Gross'!D74</f>
        <v>0.84914248959125382</v>
      </c>
      <c r="L74" s="32" cm="1">
        <f t="array" ref="L74">SUMPRODUCT('Gross Results by UW month'!L$11:L$1000,'Gross Results by UW month'!F$11:F$1000,--('Gross Results by UW month'!$C$11:$C$1000='30 Jun 2025 - Gross'!$A74))/'30 Jun 2025 - Gross'!E74</f>
        <v>0.84794037712402948</v>
      </c>
      <c r="M74" s="33">
        <f t="shared" si="197"/>
        <v>301631.14749905083</v>
      </c>
      <c r="N74" s="34">
        <f t="shared" si="198"/>
        <v>3994883.3769856794</v>
      </c>
      <c r="O74" s="35">
        <f t="shared" si="199"/>
        <v>4296514.5244847303</v>
      </c>
      <c r="P74" s="29"/>
      <c r="Q74" s="29"/>
      <c r="R74" s="29"/>
      <c r="S74" s="29"/>
      <c r="T74" s="30">
        <f t="shared" si="200"/>
        <v>0.83201927894700267</v>
      </c>
      <c r="U74" s="31">
        <f t="shared" si="201"/>
        <v>0.84914248959125382</v>
      </c>
      <c r="V74" s="32">
        <f t="shared" si="202"/>
        <v>0.84794037712402948</v>
      </c>
      <c r="W74" s="33"/>
      <c r="X74" s="34"/>
      <c r="Y74" s="35"/>
      <c r="Z74" s="29"/>
      <c r="AA74" s="29"/>
      <c r="AB74" s="29"/>
      <c r="AC74" s="29"/>
      <c r="AD74" s="30"/>
      <c r="AE74" s="31"/>
      <c r="AF74" s="32"/>
    </row>
    <row r="75" spans="1:32" ht="15.75" thickBot="1" x14ac:dyDescent="0.3">
      <c r="B75" s="60"/>
      <c r="C75" s="36"/>
      <c r="D75" s="37"/>
      <c r="E75" s="38"/>
      <c r="F75" s="29"/>
      <c r="G75" s="29"/>
      <c r="H75" s="29"/>
      <c r="I75" s="29"/>
      <c r="J75" s="30"/>
      <c r="K75" s="31"/>
      <c r="L75" s="32"/>
      <c r="M75" s="39"/>
      <c r="N75" s="29"/>
      <c r="O75" s="40"/>
      <c r="P75" s="29"/>
      <c r="Q75" s="29"/>
      <c r="R75" s="29"/>
      <c r="S75" s="29"/>
      <c r="T75" s="30"/>
      <c r="U75" s="31"/>
      <c r="V75" s="32"/>
      <c r="W75" s="39"/>
      <c r="X75" s="29"/>
      <c r="Y75" s="40"/>
      <c r="Z75" s="29"/>
      <c r="AA75" s="29"/>
      <c r="AB75" s="29"/>
      <c r="AC75" s="29"/>
      <c r="AD75" s="30"/>
      <c r="AE75" s="31"/>
      <c r="AF75" s="32"/>
    </row>
    <row r="76" spans="1:32" x14ac:dyDescent="0.25">
      <c r="B76" s="61" t="s">
        <v>33</v>
      </c>
      <c r="C76" s="69">
        <f>SUM(C17,C28)</f>
        <v>118040452.96104646</v>
      </c>
      <c r="D76" s="70">
        <f t="shared" ref="D76:E76" si="203">SUM(D17,D28)</f>
        <v>0</v>
      </c>
      <c r="E76" s="71">
        <f t="shared" si="203"/>
        <v>118040452.96104646</v>
      </c>
      <c r="F76" s="72"/>
      <c r="G76" s="72"/>
      <c r="H76" s="72"/>
      <c r="I76" s="72"/>
      <c r="J76" s="73">
        <f>(J17*C17+J28*C28)/(C28+C17)</f>
        <v>1.0702407864206389</v>
      </c>
      <c r="K76" s="74"/>
      <c r="L76" s="75">
        <f t="shared" ref="L76" si="204">(L17*E17+L28*E28)/(E28+E17)</f>
        <v>1.0702407864206389</v>
      </c>
      <c r="M76" s="69">
        <f>SUM(M17,M28)</f>
        <v>96916458.263903633</v>
      </c>
      <c r="N76" s="70">
        <f t="shared" ref="N76:O76" si="205">SUM(N17,N28)</f>
        <v>0</v>
      </c>
      <c r="O76" s="71">
        <f t="shared" si="205"/>
        <v>96916458.263903633</v>
      </c>
      <c r="P76" s="72"/>
      <c r="Q76" s="72"/>
      <c r="R76" s="72"/>
      <c r="S76" s="72"/>
      <c r="T76" s="73">
        <f>(T17*M17+T28*M28)/(M28+M17)</f>
        <v>1.003576264374217</v>
      </c>
      <c r="U76" s="74"/>
      <c r="V76" s="74">
        <f t="shared" ref="V76" si="206">(V17*O17+V28*O28)/(O28+O17)</f>
        <v>1.003576264374217</v>
      </c>
      <c r="W76" s="210">
        <f>SUM(W17,W28)</f>
        <v>21123994.697142832</v>
      </c>
      <c r="X76" s="100">
        <f t="shared" ref="X76:Y76" si="207">SUM(X17,X28)</f>
        <v>0</v>
      </c>
      <c r="Y76" s="101">
        <f t="shared" si="207"/>
        <v>21123994.697142832</v>
      </c>
      <c r="Z76" s="102"/>
      <c r="AA76" s="102"/>
      <c r="AB76" s="102"/>
      <c r="AC76" s="102"/>
      <c r="AD76" s="103">
        <f>(AD17*W17+AD28*W28)/(W28+W17)</f>
        <v>1.3760962584194545</v>
      </c>
      <c r="AE76" s="104" t="str">
        <f>IFERROR((AE17*X17+AE28*X28)/(X28+X17),"")</f>
        <v/>
      </c>
      <c r="AF76" s="211">
        <f t="shared" ref="AF76" si="208">(AF17*Y17+AF28*Y28)/(Y28+Y17)</f>
        <v>1.3760962584194545</v>
      </c>
    </row>
    <row r="77" spans="1:32" x14ac:dyDescent="0.25">
      <c r="B77" s="59" t="s">
        <v>34</v>
      </c>
      <c r="C77" s="9">
        <f>SUM(C29:C32)</f>
        <v>130136134.41083243</v>
      </c>
      <c r="D77" s="10">
        <f t="shared" ref="D77" si="209">SUM(D29:D32)</f>
        <v>0</v>
      </c>
      <c r="E77" s="11">
        <f>SUM(E29:E32)</f>
        <v>130136134.41083243</v>
      </c>
      <c r="F77" s="5"/>
      <c r="G77" s="5"/>
      <c r="H77" s="5"/>
      <c r="I77" s="5"/>
      <c r="J77" s="4">
        <f>SUMPRODUCT(J29:J32,C29:C32)/C77</f>
        <v>1.0568103785307004</v>
      </c>
      <c r="K77" s="7"/>
      <c r="L77" s="6">
        <f>SUMPRODUCT(L29:L32,E29:E32)/E77</f>
        <v>1.0568103785307004</v>
      </c>
      <c r="M77" s="9">
        <f>SUM(M29:M32)</f>
        <v>121336447.91118959</v>
      </c>
      <c r="N77" s="10">
        <f t="shared" ref="N77" si="210">SUM(N29:N32)</f>
        <v>0</v>
      </c>
      <c r="O77" s="11">
        <f>SUM(O29:O32)</f>
        <v>121336447.91118959</v>
      </c>
      <c r="P77" s="5"/>
      <c r="Q77" s="5"/>
      <c r="R77" s="5"/>
      <c r="S77" s="5"/>
      <c r="T77" s="4">
        <f>SUMPRODUCT(T29:T32,M29:M32)/M77</f>
        <v>1.0531066081290086</v>
      </c>
      <c r="U77" s="7"/>
      <c r="V77" s="7">
        <f>SUMPRODUCT(V29:V32,O29:O32)/O77</f>
        <v>1.0531066081290086</v>
      </c>
      <c r="W77" s="201">
        <f>SUM(W29:W32)</f>
        <v>8799686.4996428601</v>
      </c>
      <c r="X77" s="88">
        <f t="shared" ref="X77" si="211">SUM(X29:X32)</f>
        <v>0</v>
      </c>
      <c r="Y77" s="89">
        <f>SUM(Y29:Y32)</f>
        <v>8799686.4996428601</v>
      </c>
      <c r="Z77" s="90"/>
      <c r="AA77" s="90"/>
      <c r="AB77" s="90"/>
      <c r="AC77" s="90"/>
      <c r="AD77" s="91">
        <f>SUMPRODUCT(AD29:AD32,W29:W32)/W77</f>
        <v>1.1078806461405857</v>
      </c>
      <c r="AE77" s="95"/>
      <c r="AF77" s="200">
        <f>SUMPRODUCT(AF29:AF32,Y29:Y32)/Y77</f>
        <v>1.1078806461405861</v>
      </c>
    </row>
    <row r="78" spans="1:32" x14ac:dyDescent="0.25">
      <c r="B78" s="59" t="s">
        <v>43</v>
      </c>
      <c r="C78" s="9">
        <f t="shared" ref="C78:E78" si="212">SUM(C33:C36)</f>
        <v>97164966.933519527</v>
      </c>
      <c r="D78" s="10">
        <f t="shared" si="212"/>
        <v>0</v>
      </c>
      <c r="E78" s="11">
        <f t="shared" si="212"/>
        <v>97164966.933519527</v>
      </c>
      <c r="F78" s="5"/>
      <c r="G78" s="5"/>
      <c r="H78" s="5"/>
      <c r="I78" s="5"/>
      <c r="J78" s="4">
        <f>SUMPRODUCT(J33:J36,C33:C36)/SUM(C33:C36)</f>
        <v>0.93370579077359095</v>
      </c>
      <c r="K78" s="7"/>
      <c r="L78" s="6">
        <f>SUMPRODUCT(L33:L36,E33:E36)/SUM(E33:E36)</f>
        <v>0.93370579077359095</v>
      </c>
      <c r="M78" s="9">
        <f t="shared" ref="M78:O78" si="213">SUM(M33:M36)</f>
        <v>91962560.234233811</v>
      </c>
      <c r="N78" s="10">
        <f t="shared" si="213"/>
        <v>0</v>
      </c>
      <c r="O78" s="11">
        <f t="shared" si="213"/>
        <v>91962560.234233811</v>
      </c>
      <c r="P78" s="5"/>
      <c r="Q78" s="5"/>
      <c r="R78" s="5"/>
      <c r="S78" s="5"/>
      <c r="T78" s="4">
        <f>SUMPRODUCT(T33:T36,M33:M36)/SUM(M33:M36)</f>
        <v>0.9127510431902095</v>
      </c>
      <c r="U78" s="7"/>
      <c r="V78" s="7">
        <f>SUMPRODUCT(V33:V36,O33:O36)/SUM(O33:O36)</f>
        <v>0.9127510431902095</v>
      </c>
      <c r="W78" s="201">
        <f t="shared" ref="W78:Y78" si="214">SUM(W33:W36)</f>
        <v>5202406.6992857158</v>
      </c>
      <c r="X78" s="88">
        <f t="shared" si="214"/>
        <v>0</v>
      </c>
      <c r="Y78" s="89">
        <f t="shared" si="214"/>
        <v>5202406.6992857158</v>
      </c>
      <c r="Z78" s="90"/>
      <c r="AA78" s="90"/>
      <c r="AB78" s="90"/>
      <c r="AC78" s="90"/>
      <c r="AD78" s="91">
        <f>SUMPRODUCT(AD33:AD36,W33:W36)/SUM(W33:W36)</f>
        <v>1.3041213211654097</v>
      </c>
      <c r="AE78" s="95"/>
      <c r="AF78" s="200">
        <f>SUMPRODUCT(AF33:AF36,Y33:Y36)/SUM(Y33:Y36)</f>
        <v>1.3041213211654097</v>
      </c>
    </row>
    <row r="79" spans="1:32" x14ac:dyDescent="0.25">
      <c r="B79" s="59" t="s">
        <v>44</v>
      </c>
      <c r="C79" s="9">
        <f t="shared" ref="C79:E79" si="215">C78+C77</f>
        <v>227301101.34435195</v>
      </c>
      <c r="D79" s="10">
        <f t="shared" si="215"/>
        <v>0</v>
      </c>
      <c r="E79" s="11">
        <f t="shared" si="215"/>
        <v>227301101.34435195</v>
      </c>
      <c r="F79" s="5"/>
      <c r="G79" s="5"/>
      <c r="H79" s="5"/>
      <c r="I79" s="5"/>
      <c r="J79" s="4">
        <f t="shared" ref="J79:L79" si="216">SUMPRODUCT(J77:J78,C77:C78)/SUM(C77:C78)</f>
        <v>1.0041865543255419</v>
      </c>
      <c r="K79" s="7"/>
      <c r="L79" s="6">
        <f t="shared" si="216"/>
        <v>1.0041865543255419</v>
      </c>
      <c r="M79" s="9">
        <f t="shared" ref="M79" si="217">M78+M77</f>
        <v>213299008.14542341</v>
      </c>
      <c r="N79" s="10">
        <f t="shared" ref="N79" si="218">N78+N77</f>
        <v>0</v>
      </c>
      <c r="O79" s="11">
        <f t="shared" ref="O79" si="219">O78+O77</f>
        <v>213299008.14542341</v>
      </c>
      <c r="P79" s="5"/>
      <c r="Q79" s="5"/>
      <c r="R79" s="5"/>
      <c r="S79" s="5"/>
      <c r="T79" s="4">
        <f t="shared" ref="T79" si="220">SUMPRODUCT(T77:T78,M77:M78)/SUM(M77:M78)</f>
        <v>0.99259316642517204</v>
      </c>
      <c r="U79" s="7"/>
      <c r="V79" s="7">
        <f t="shared" ref="V79" si="221">SUMPRODUCT(V77:V78,O77:O78)/SUM(O77:O78)</f>
        <v>0.99259316642517204</v>
      </c>
      <c r="W79" s="201">
        <f t="shared" ref="W79" si="222">W78+W77</f>
        <v>14002093.198928576</v>
      </c>
      <c r="X79" s="88">
        <f t="shared" ref="X79" si="223">X78+X77</f>
        <v>0</v>
      </c>
      <c r="Y79" s="89">
        <f t="shared" ref="Y79" si="224">Y78+Y77</f>
        <v>14002093.198928576</v>
      </c>
      <c r="Z79" s="90"/>
      <c r="AA79" s="90"/>
      <c r="AB79" s="90"/>
      <c r="AC79" s="90"/>
      <c r="AD79" s="91">
        <f t="shared" ref="AD79" si="225">SUMPRODUCT(AD77:AD78,W77:W78)/SUM(W77:W78)</f>
        <v>1.1807928734709692</v>
      </c>
      <c r="AE79" s="95"/>
      <c r="AF79" s="200">
        <f t="shared" ref="AF79" si="226">SUMPRODUCT(AF77:AF78,Y77:Y78)/SUM(Y77:Y78)</f>
        <v>1.1807928734709694</v>
      </c>
    </row>
    <row r="80" spans="1:32" x14ac:dyDescent="0.25">
      <c r="B80" s="59" t="s">
        <v>45</v>
      </c>
      <c r="C80" s="9">
        <f t="shared" ref="C80:E80" si="227">SUM(C37:C40)</f>
        <v>62462661.186616547</v>
      </c>
      <c r="D80" s="10">
        <f t="shared" si="227"/>
        <v>13128059.190801049</v>
      </c>
      <c r="E80" s="11">
        <f t="shared" si="227"/>
        <v>75590720.377417594</v>
      </c>
      <c r="F80" s="5">
        <f t="shared" ref="F80:I81" si="228">F37</f>
        <v>0</v>
      </c>
      <c r="G80" s="5">
        <f t="shared" si="228"/>
        <v>0</v>
      </c>
      <c r="H80" s="5">
        <f t="shared" si="228"/>
        <v>0</v>
      </c>
      <c r="I80" s="5">
        <f t="shared" si="228"/>
        <v>0</v>
      </c>
      <c r="J80" s="4">
        <f t="shared" ref="J80:L80" si="229">SUMPRODUCT(J37:J40,C37:C40)/SUM(C37:C40)</f>
        <v>0.88468165596016746</v>
      </c>
      <c r="K80" s="7">
        <f t="shared" si="229"/>
        <v>0.8430038186342762</v>
      </c>
      <c r="L80" s="6">
        <f t="shared" si="229"/>
        <v>0.87744334532326629</v>
      </c>
      <c r="M80" s="9">
        <f t="shared" ref="M80:O80" si="230">SUM(M37:M40)</f>
        <v>62462661.186616547</v>
      </c>
      <c r="N80" s="10">
        <f t="shared" si="230"/>
        <v>13128059.190801049</v>
      </c>
      <c r="O80" s="11">
        <f t="shared" si="230"/>
        <v>75590720.377417594</v>
      </c>
      <c r="P80" s="5">
        <f t="shared" ref="P80:S81" si="231">P37</f>
        <v>0</v>
      </c>
      <c r="Q80" s="5">
        <f t="shared" si="231"/>
        <v>0</v>
      </c>
      <c r="R80" s="5">
        <f t="shared" si="231"/>
        <v>0</v>
      </c>
      <c r="S80" s="5">
        <f t="shared" si="231"/>
        <v>0</v>
      </c>
      <c r="T80" s="4">
        <f t="shared" ref="T80" si="232">SUMPRODUCT(T37:T40,M37:M40)/SUM(M37:M40)</f>
        <v>0.88468165596016746</v>
      </c>
      <c r="U80" s="7">
        <f t="shared" ref="U80" si="233">SUMPRODUCT(U37:U40,N37:N40)/SUM(N37:N40)</f>
        <v>0.8430038186342762</v>
      </c>
      <c r="V80" s="7">
        <f t="shared" ref="V80" si="234">SUMPRODUCT(V37:V40,O37:O40)/SUM(O37:O40)</f>
        <v>0.87744334532326629</v>
      </c>
      <c r="W80" s="201"/>
      <c r="X80" s="88"/>
      <c r="Y80" s="89"/>
      <c r="Z80" s="90">
        <f t="shared" ref="Z80:AC81" si="235">Z37</f>
        <v>0</v>
      </c>
      <c r="AA80" s="90">
        <f t="shared" si="235"/>
        <v>0</v>
      </c>
      <c r="AB80" s="90">
        <f t="shared" si="235"/>
        <v>0</v>
      </c>
      <c r="AC80" s="90">
        <f t="shared" si="235"/>
        <v>0</v>
      </c>
      <c r="AD80" s="91"/>
      <c r="AE80" s="95"/>
      <c r="AF80" s="200"/>
    </row>
    <row r="81" spans="2:32" ht="15.75" thickBot="1" x14ac:dyDescent="0.3">
      <c r="B81" s="62" t="s">
        <v>95</v>
      </c>
      <c r="C81" s="76">
        <f t="shared" ref="C81:E81" si="236">SUM(C41)</f>
        <v>2339722.1320978003</v>
      </c>
      <c r="D81" s="77">
        <f t="shared" si="236"/>
        <v>11402893.419051629</v>
      </c>
      <c r="E81" s="78">
        <f t="shared" si="236"/>
        <v>13742615.551149432</v>
      </c>
      <c r="F81" s="84">
        <f t="shared" si="228"/>
        <v>0</v>
      </c>
      <c r="G81" s="84">
        <f t="shared" si="228"/>
        <v>0</v>
      </c>
      <c r="H81" s="84">
        <f t="shared" si="228"/>
        <v>0</v>
      </c>
      <c r="I81" s="84">
        <f t="shared" si="228"/>
        <v>0</v>
      </c>
      <c r="J81" s="79">
        <f t="shared" ref="J81:L81" si="237">SUMPRODUCT(J41,C41)/SUM(C41)</f>
        <v>0.83201927894700267</v>
      </c>
      <c r="K81" s="80">
        <f t="shared" si="237"/>
        <v>0.84914248959125382</v>
      </c>
      <c r="L81" s="81">
        <f t="shared" si="237"/>
        <v>0.84622721085353358</v>
      </c>
      <c r="M81" s="76">
        <f t="shared" ref="M81:O81" si="238">SUM(M41)</f>
        <v>2339722.1320978003</v>
      </c>
      <c r="N81" s="77">
        <f t="shared" si="238"/>
        <v>11402893.419051629</v>
      </c>
      <c r="O81" s="78">
        <f t="shared" si="238"/>
        <v>13742615.551149432</v>
      </c>
      <c r="P81" s="85">
        <f t="shared" si="231"/>
        <v>0</v>
      </c>
      <c r="Q81" s="85">
        <f t="shared" si="231"/>
        <v>0</v>
      </c>
      <c r="R81" s="85">
        <f t="shared" si="231"/>
        <v>0</v>
      </c>
      <c r="S81" s="85">
        <f t="shared" si="231"/>
        <v>0</v>
      </c>
      <c r="T81" s="79">
        <f t="shared" ref="T81" si="239">SUMPRODUCT(T41,M41)/SUM(M41)</f>
        <v>0.83201927894700267</v>
      </c>
      <c r="U81" s="80">
        <f t="shared" ref="U81" si="240">SUMPRODUCT(U41,N41)/SUM(N41)</f>
        <v>0.84914248959125382</v>
      </c>
      <c r="V81" s="80">
        <f t="shared" ref="V81" si="241">SUMPRODUCT(V41,O41)/SUM(O41)</f>
        <v>0.84622721085353358</v>
      </c>
      <c r="W81" s="212"/>
      <c r="X81" s="52"/>
      <c r="Y81" s="53"/>
      <c r="Z81" s="213">
        <f t="shared" si="235"/>
        <v>0</v>
      </c>
      <c r="AA81" s="213">
        <f t="shared" si="235"/>
        <v>0</v>
      </c>
      <c r="AB81" s="213">
        <f t="shared" si="235"/>
        <v>0</v>
      </c>
      <c r="AC81" s="213">
        <f t="shared" si="235"/>
        <v>0</v>
      </c>
      <c r="AD81" s="41"/>
      <c r="AE81" s="42"/>
      <c r="AF81" s="209"/>
    </row>
    <row r="87" spans="2:32" x14ac:dyDescent="0.25">
      <c r="B87" s="2"/>
    </row>
    <row r="88" spans="2:32" x14ac:dyDescent="0.25">
      <c r="C88" s="3"/>
    </row>
    <row r="90" spans="2:32" x14ac:dyDescent="0.25">
      <c r="B90" s="215" t="s">
        <v>85</v>
      </c>
      <c r="C90" s="216"/>
      <c r="D90" s="216"/>
      <c r="E90" s="216"/>
      <c r="F90" s="216"/>
      <c r="G90" s="216"/>
      <c r="H90" s="216"/>
      <c r="I90" s="216"/>
      <c r="J90" s="216"/>
      <c r="K90" s="216"/>
      <c r="L90" s="216"/>
    </row>
    <row r="91" spans="2:32" x14ac:dyDescent="0.25">
      <c r="B91" s="215">
        <v>2021</v>
      </c>
      <c r="C91" s="217">
        <f t="shared" ref="C91:E91" si="242">SUM(C24:C27)-C17</f>
        <v>0</v>
      </c>
      <c r="D91" s="217">
        <f t="shared" si="242"/>
        <v>0</v>
      </c>
      <c r="E91" s="217">
        <f t="shared" si="242"/>
        <v>0</v>
      </c>
      <c r="F91" s="216"/>
      <c r="G91" s="216"/>
      <c r="H91" s="216"/>
      <c r="I91" s="216"/>
      <c r="J91" s="216">
        <f t="shared" ref="J91:L91" si="243">SUMPRODUCT(J24:J27,C24:C27)-(J17*C17)</f>
        <v>0</v>
      </c>
      <c r="K91" s="216">
        <f t="shared" si="243"/>
        <v>0</v>
      </c>
      <c r="L91" s="216">
        <f t="shared" si="243"/>
        <v>0</v>
      </c>
    </row>
    <row r="92" spans="2:32" x14ac:dyDescent="0.25">
      <c r="B92" s="215">
        <v>2022</v>
      </c>
      <c r="C92" s="217">
        <f t="shared" ref="C92:E92" si="244">SUM(C28:C31)-C18</f>
        <v>0</v>
      </c>
      <c r="D92" s="217">
        <f t="shared" si="244"/>
        <v>0</v>
      </c>
      <c r="E92" s="217">
        <f t="shared" si="244"/>
        <v>0</v>
      </c>
      <c r="F92" s="216"/>
      <c r="G92" s="216"/>
      <c r="H92" s="216"/>
      <c r="I92" s="216"/>
      <c r="J92" s="216">
        <f t="shared" ref="J92:L92" si="245">SUMPRODUCT(J28:J31,C28:C31)-(J18*C18)</f>
        <v>0</v>
      </c>
      <c r="K92" s="216">
        <f t="shared" si="245"/>
        <v>0</v>
      </c>
      <c r="L92" s="216">
        <f t="shared" si="245"/>
        <v>0</v>
      </c>
    </row>
    <row r="93" spans="2:32" x14ac:dyDescent="0.25">
      <c r="B93" s="215">
        <v>2023</v>
      </c>
      <c r="C93" s="217">
        <f t="shared" ref="C93:E93" si="246">SUM(C32:C35)-C19</f>
        <v>0</v>
      </c>
      <c r="D93" s="217">
        <f t="shared" si="246"/>
        <v>0</v>
      </c>
      <c r="E93" s="217">
        <f t="shared" si="246"/>
        <v>0</v>
      </c>
      <c r="F93" s="216"/>
      <c r="G93" s="216"/>
      <c r="H93" s="216"/>
      <c r="I93" s="216"/>
      <c r="J93" s="216">
        <f t="shared" ref="J93:L93" si="247">SUMPRODUCT(J32:J35,C32:C35)-(J19*C19)</f>
        <v>0</v>
      </c>
      <c r="K93" s="216">
        <f t="shared" si="247"/>
        <v>0</v>
      </c>
      <c r="L93" s="216">
        <f t="shared" si="247"/>
        <v>0</v>
      </c>
    </row>
    <row r="94" spans="2:32" x14ac:dyDescent="0.25">
      <c r="B94" s="215">
        <v>2024</v>
      </c>
      <c r="C94" s="217">
        <f t="shared" ref="C94:E94" si="248">SUM(C36:C39)-C20</f>
        <v>0</v>
      </c>
      <c r="D94" s="217">
        <f t="shared" si="248"/>
        <v>0</v>
      </c>
      <c r="E94" s="217">
        <f t="shared" si="248"/>
        <v>0</v>
      </c>
      <c r="F94" s="216"/>
      <c r="G94" s="216"/>
      <c r="H94" s="216"/>
      <c r="I94" s="216"/>
      <c r="J94" s="216">
        <f t="shared" ref="J94:L94" si="249">SUMPRODUCT(J36:J39,C36:C39)-(J20*C20)</f>
        <v>0</v>
      </c>
      <c r="K94" s="216">
        <f t="shared" si="249"/>
        <v>0</v>
      </c>
      <c r="L94" s="216">
        <f t="shared" si="249"/>
        <v>0</v>
      </c>
    </row>
    <row r="95" spans="2:32" x14ac:dyDescent="0.25">
      <c r="B95" s="215">
        <v>2025</v>
      </c>
      <c r="C95" s="217">
        <f t="shared" ref="C95:E95" si="250">SUM(C40:C41)-C21</f>
        <v>0</v>
      </c>
      <c r="D95" s="217">
        <f t="shared" si="250"/>
        <v>0</v>
      </c>
      <c r="E95" s="217">
        <f t="shared" si="250"/>
        <v>0</v>
      </c>
      <c r="F95" s="216"/>
      <c r="G95" s="216"/>
      <c r="H95" s="216"/>
      <c r="I95" s="216"/>
      <c r="J95" s="216">
        <f t="shared" ref="J95:L95" si="251">SUMPRODUCT(J40:J41,C40:C41)-(J21*C21)</f>
        <v>0</v>
      </c>
      <c r="K95" s="216">
        <f t="shared" si="251"/>
        <v>0</v>
      </c>
      <c r="L95" s="216">
        <f t="shared" si="251"/>
        <v>0</v>
      </c>
    </row>
    <row r="96" spans="2:32" x14ac:dyDescent="0.25"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</row>
    <row r="97" spans="2:12" x14ac:dyDescent="0.25">
      <c r="B97" s="215" t="s">
        <v>86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</row>
    <row r="98" spans="2:12" x14ac:dyDescent="0.25">
      <c r="B98" s="215">
        <v>2023</v>
      </c>
      <c r="C98" s="217">
        <f t="shared" ref="C98:E98" si="252">SUM(C43:C54)-C19</f>
        <v>0</v>
      </c>
      <c r="D98" s="217">
        <f t="shared" si="252"/>
        <v>0</v>
      </c>
      <c r="E98" s="217">
        <f t="shared" si="252"/>
        <v>0</v>
      </c>
      <c r="F98" s="216"/>
      <c r="G98" s="216"/>
      <c r="H98" s="216"/>
      <c r="I98" s="216"/>
      <c r="J98" s="216">
        <f t="shared" ref="J98:L98" si="253">SUMPRODUCT(J43:J54,C43:C54)-(J19*C19)</f>
        <v>0</v>
      </c>
      <c r="K98" s="216">
        <f t="shared" si="253"/>
        <v>0</v>
      </c>
      <c r="L98" s="216">
        <f t="shared" si="253"/>
        <v>0</v>
      </c>
    </row>
    <row r="99" spans="2:12" x14ac:dyDescent="0.25">
      <c r="B99" s="215">
        <v>2024</v>
      </c>
      <c r="C99" s="217">
        <f t="shared" ref="C99:E99" si="254">SUM(C56:C67)-C20</f>
        <v>0</v>
      </c>
      <c r="D99" s="217">
        <f t="shared" si="254"/>
        <v>0</v>
      </c>
      <c r="E99" s="217">
        <f t="shared" si="254"/>
        <v>0</v>
      </c>
      <c r="F99" s="216"/>
      <c r="G99" s="216"/>
      <c r="H99" s="216"/>
      <c r="I99" s="216"/>
      <c r="J99" s="216">
        <f t="shared" ref="J99:L99" si="255">SUMPRODUCT(J56:J67,C56:C67)-(J20*C20)</f>
        <v>0</v>
      </c>
      <c r="K99" s="216">
        <f t="shared" si="255"/>
        <v>0</v>
      </c>
      <c r="L99" s="216">
        <f t="shared" si="255"/>
        <v>0</v>
      </c>
    </row>
    <row r="100" spans="2:12" x14ac:dyDescent="0.25">
      <c r="B100" s="215">
        <v>2025</v>
      </c>
      <c r="C100" s="217">
        <f t="shared" ref="C100:E100" si="256">SUM(C69:C74)-C21</f>
        <v>0</v>
      </c>
      <c r="D100" s="217">
        <f t="shared" si="256"/>
        <v>0</v>
      </c>
      <c r="E100" s="217">
        <f t="shared" si="256"/>
        <v>0</v>
      </c>
      <c r="F100" s="216"/>
      <c r="G100" s="216"/>
      <c r="H100" s="216"/>
      <c r="I100" s="216"/>
      <c r="J100" s="216">
        <f t="shared" ref="J100:L100" si="257">SUMPRODUCT(J69:J74,C69:C74)-(J21*C21)</f>
        <v>0</v>
      </c>
      <c r="K100" s="216">
        <f t="shared" si="257"/>
        <v>0</v>
      </c>
      <c r="L100" s="216">
        <f t="shared" si="257"/>
        <v>0</v>
      </c>
    </row>
    <row r="101" spans="2:12" x14ac:dyDescent="0.25">
      <c r="B101" s="216"/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</row>
    <row r="102" spans="2:12" x14ac:dyDescent="0.25">
      <c r="B102" s="215" t="s">
        <v>87</v>
      </c>
      <c r="C102" s="217">
        <f t="shared" ref="C102:E102" si="258">(C76+C77+C78+C80+C81)-SUM(C17:C21)</f>
        <v>0</v>
      </c>
      <c r="D102" s="217">
        <f t="shared" si="258"/>
        <v>0</v>
      </c>
      <c r="E102" s="217">
        <f t="shared" si="258"/>
        <v>0</v>
      </c>
      <c r="F102" s="216"/>
      <c r="G102" s="216"/>
      <c r="H102" s="216"/>
      <c r="I102" s="216"/>
      <c r="J102" s="216">
        <f t="shared" ref="J102:L102" si="259">(SUMPRODUCT(J76:J78,C76:C78)+(J80*C80)+(C81*J81))-SUMPRODUCT(J17:J21,C17:C21)</f>
        <v>0</v>
      </c>
      <c r="K102" s="216">
        <f t="shared" si="259"/>
        <v>0</v>
      </c>
      <c r="L102" s="216">
        <f t="shared" si="259"/>
        <v>0</v>
      </c>
    </row>
  </sheetData>
  <pageMargins left="0.7" right="0.7" top="0.75" bottom="0.75" header="0.3" footer="0.3"/>
  <pageSetup paperSize="9" orientation="portrait" r:id="rId1"/>
  <ignoredErrors>
    <ignoredError sqref="C17:E18 J17:L1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502C-344B-45F8-ACC2-5BFF03B59FB8}">
  <sheetPr codeName="Sheet4">
    <tabColor rgb="FF7030A0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09C3-5387-4A70-8F9F-A07286C49530}">
  <sheetPr codeName="Sheet5">
    <pageSetUpPr fitToPage="1"/>
  </sheetPr>
  <dimension ref="A1:Q100"/>
  <sheetViews>
    <sheetView showGridLines="0" view="pageBreakPreview" zoomScale="70" zoomScaleNormal="100" zoomScaleSheetLayoutView="70" workbookViewId="0"/>
  </sheetViews>
  <sheetFormatPr defaultColWidth="9.140625" defaultRowHeight="15" x14ac:dyDescent="0.25"/>
  <cols>
    <col min="1" max="2" width="9.140625" style="131"/>
    <col min="3" max="3" width="21.28515625" customWidth="1"/>
    <col min="4" max="4" width="15.42578125" customWidth="1"/>
    <col min="5" max="5" width="15.85546875" customWidth="1"/>
    <col min="6" max="6" width="15.42578125" customWidth="1"/>
    <col min="7" max="9" width="13.140625" customWidth="1"/>
    <col min="10" max="12" width="0" hidden="1" customWidth="1"/>
    <col min="13" max="17" width="13.140625" customWidth="1"/>
    <col min="18" max="16384" width="9.140625" style="131"/>
  </cols>
  <sheetData>
    <row r="1" spans="1:17" ht="15.95" customHeight="1" thickTop="1" x14ac:dyDescent="0.2">
      <c r="C1" s="128" t="s">
        <v>55</v>
      </c>
      <c r="D1" s="129"/>
      <c r="E1" s="129"/>
      <c r="F1" s="130"/>
      <c r="G1" s="130"/>
      <c r="H1" s="130"/>
      <c r="I1" s="130"/>
      <c r="J1" s="130"/>
      <c r="K1" s="130"/>
      <c r="L1" s="130"/>
      <c r="M1" s="130"/>
      <c r="N1" s="227" t="s">
        <v>98</v>
      </c>
      <c r="O1" s="228"/>
      <c r="P1" s="228"/>
      <c r="Q1" s="229"/>
    </row>
    <row r="2" spans="1:17" ht="15.6" customHeight="1" x14ac:dyDescent="0.2">
      <c r="C2" s="128"/>
      <c r="D2" s="129"/>
      <c r="E2" s="129"/>
      <c r="F2" s="130"/>
      <c r="G2" s="130"/>
      <c r="H2" s="130"/>
      <c r="I2" s="130"/>
      <c r="J2" s="130"/>
      <c r="K2" s="130"/>
      <c r="L2" s="130"/>
      <c r="M2" s="130"/>
      <c r="N2" s="230" t="s">
        <v>91</v>
      </c>
      <c r="O2" s="231"/>
      <c r="P2" s="231"/>
      <c r="Q2" s="232"/>
    </row>
    <row r="3" spans="1:17" ht="15.95" customHeight="1" thickBot="1" x14ac:dyDescent="0.25">
      <c r="C3" s="128" t="s">
        <v>99</v>
      </c>
      <c r="D3" s="129"/>
      <c r="E3" s="129"/>
      <c r="F3" s="130"/>
      <c r="G3" s="130"/>
      <c r="H3" s="130"/>
      <c r="I3" s="130"/>
      <c r="J3" s="130"/>
      <c r="K3" s="130"/>
      <c r="L3" s="130"/>
      <c r="M3" s="130"/>
      <c r="N3" s="233" t="s">
        <v>100</v>
      </c>
      <c r="O3" s="234"/>
      <c r="P3" s="234"/>
      <c r="Q3" s="235"/>
    </row>
    <row r="4" spans="1:17" ht="14.45" customHeight="1" thickTop="1" x14ac:dyDescent="0.2">
      <c r="C4" s="132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231"/>
      <c r="O4" s="231"/>
      <c r="P4" s="231"/>
      <c r="Q4" s="231"/>
    </row>
    <row r="5" spans="1:17" ht="14.1" customHeight="1" x14ac:dyDescent="0.2">
      <c r="C5" s="133" t="s">
        <v>56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231"/>
      <c r="O5" s="231"/>
      <c r="P5" s="231"/>
      <c r="Q5" s="236"/>
    </row>
    <row r="6" spans="1:17" ht="12.95" customHeight="1" x14ac:dyDescent="0.2">
      <c r="C6" s="133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</row>
    <row r="7" spans="1:17" ht="18" customHeight="1" x14ac:dyDescent="0.2">
      <c r="C7" s="134"/>
      <c r="D7" s="134"/>
      <c r="E7" s="134"/>
      <c r="F7" s="134"/>
      <c r="G7" s="248" t="s">
        <v>57</v>
      </c>
      <c r="H7" s="248"/>
      <c r="I7" s="248"/>
      <c r="J7" s="249"/>
      <c r="K7" s="249"/>
      <c r="L7" s="249"/>
      <c r="M7" s="248" t="s">
        <v>58</v>
      </c>
      <c r="N7" s="248"/>
      <c r="O7" s="248"/>
      <c r="P7" s="134"/>
      <c r="Q7" s="134"/>
    </row>
    <row r="8" spans="1:17" ht="57.75" customHeight="1" x14ac:dyDescent="0.25">
      <c r="A8" s="144" t="s">
        <v>66</v>
      </c>
      <c r="B8" s="144" t="s">
        <v>67</v>
      </c>
      <c r="C8" s="135" t="s">
        <v>2</v>
      </c>
      <c r="D8" s="135" t="s">
        <v>3</v>
      </c>
      <c r="E8" s="135" t="s">
        <v>4</v>
      </c>
      <c r="F8" s="135" t="s">
        <v>5</v>
      </c>
      <c r="G8" s="135" t="s">
        <v>10</v>
      </c>
      <c r="H8" s="135" t="s">
        <v>11</v>
      </c>
      <c r="I8" s="135" t="s">
        <v>12</v>
      </c>
      <c r="J8" s="135"/>
      <c r="K8" s="135"/>
      <c r="L8" s="135"/>
      <c r="M8" s="135" t="s">
        <v>59</v>
      </c>
      <c r="N8" s="135" t="s">
        <v>11</v>
      </c>
      <c r="O8" s="135" t="s">
        <v>12</v>
      </c>
      <c r="P8" s="135" t="s">
        <v>101</v>
      </c>
      <c r="Q8" s="135" t="s">
        <v>60</v>
      </c>
    </row>
    <row r="9" spans="1:17" ht="26.1" hidden="1" customHeight="1" x14ac:dyDescent="0.25">
      <c r="A9" s="145">
        <f>YEAR(C9)</f>
        <v>1900</v>
      </c>
      <c r="B9" s="145" t="str">
        <f t="shared" ref="B9:B17" si="0">YEAR(C9)&amp;" Q"&amp;ROUNDUP(MONTH(C9)*4/12,0)</f>
        <v>1900 Q1</v>
      </c>
      <c r="C9" s="134"/>
      <c r="D9" s="134"/>
      <c r="E9" s="134"/>
      <c r="F9" s="134"/>
      <c r="G9" s="135"/>
      <c r="H9" s="135" t="s">
        <v>57</v>
      </c>
      <c r="I9" s="134"/>
      <c r="J9" s="135"/>
      <c r="K9" s="135"/>
      <c r="L9" s="134"/>
      <c r="M9" s="135"/>
      <c r="N9" s="135" t="s">
        <v>61</v>
      </c>
      <c r="O9" s="134"/>
      <c r="P9" s="134"/>
      <c r="Q9" s="134"/>
    </row>
    <row r="10" spans="1:17" ht="26.1" hidden="1" customHeight="1" x14ac:dyDescent="0.25">
      <c r="A10" s="145" t="e">
        <f t="shared" ref="A10:A73" si="1">YEAR(C10)</f>
        <v>#VALUE!</v>
      </c>
      <c r="B10" s="145" t="e">
        <f t="shared" si="0"/>
        <v>#VALUE!</v>
      </c>
      <c r="C10" s="135" t="s">
        <v>2</v>
      </c>
      <c r="D10" s="135" t="s">
        <v>3</v>
      </c>
      <c r="E10" s="135" t="s">
        <v>4</v>
      </c>
      <c r="F10" s="135" t="s">
        <v>5</v>
      </c>
      <c r="G10" s="135" t="s">
        <v>10</v>
      </c>
      <c r="H10" s="135" t="s">
        <v>11</v>
      </c>
      <c r="I10" s="135" t="s">
        <v>12</v>
      </c>
      <c r="J10" s="135"/>
      <c r="K10" s="135"/>
      <c r="L10" s="135"/>
      <c r="M10" s="135" t="s">
        <v>62</v>
      </c>
      <c r="N10" s="135" t="s">
        <v>63</v>
      </c>
      <c r="O10" s="135" t="s">
        <v>64</v>
      </c>
      <c r="P10" s="135" t="s">
        <v>65</v>
      </c>
      <c r="Q10" s="135" t="s">
        <v>60</v>
      </c>
    </row>
    <row r="11" spans="1:17" ht="14.1" customHeight="1" x14ac:dyDescent="0.25">
      <c r="A11" s="145">
        <f t="shared" si="1"/>
        <v>2018</v>
      </c>
      <c r="B11" s="145" t="str">
        <f t="shared" si="0"/>
        <v>2018 Q1</v>
      </c>
      <c r="C11" s="136">
        <v>43101</v>
      </c>
      <c r="D11" s="137">
        <v>3192036.801428563</v>
      </c>
      <c r="E11" s="137">
        <v>0</v>
      </c>
      <c r="F11" s="137">
        <v>3192036.801428563</v>
      </c>
      <c r="G11" s="138">
        <v>0.6219357942358914</v>
      </c>
      <c r="H11" s="137">
        <v>0</v>
      </c>
      <c r="I11" s="138">
        <v>0.6219357942358914</v>
      </c>
      <c r="J11" s="138"/>
      <c r="K11" s="137"/>
      <c r="L11" s="138"/>
      <c r="M11" s="138">
        <v>0.62290577945741665</v>
      </c>
      <c r="N11" s="137">
        <v>0</v>
      </c>
      <c r="O11" s="138">
        <v>0.62290577945741665</v>
      </c>
      <c r="P11" s="138">
        <v>0.63870548079858014</v>
      </c>
      <c r="Q11" s="139">
        <v>-1.5799701341163486E-2</v>
      </c>
    </row>
    <row r="12" spans="1:17" ht="14.1" customHeight="1" x14ac:dyDescent="0.25">
      <c r="A12" s="145">
        <f t="shared" si="1"/>
        <v>2018</v>
      </c>
      <c r="B12" s="145" t="str">
        <f t="shared" si="0"/>
        <v>2018 Q1</v>
      </c>
      <c r="C12" s="136">
        <v>43132</v>
      </c>
      <c r="D12" s="137">
        <v>3079164.2989285607</v>
      </c>
      <c r="E12" s="137">
        <v>0</v>
      </c>
      <c r="F12" s="137">
        <v>3079164.2989285607</v>
      </c>
      <c r="G12" s="138">
        <v>0.72829744210531555</v>
      </c>
      <c r="H12" s="137">
        <v>0</v>
      </c>
      <c r="I12" s="138">
        <v>0.72829744210531555</v>
      </c>
      <c r="J12" s="138"/>
      <c r="K12" s="137"/>
      <c r="L12" s="138"/>
      <c r="M12" s="138">
        <v>0.72920878615285256</v>
      </c>
      <c r="N12" s="137">
        <v>0</v>
      </c>
      <c r="O12" s="138">
        <v>0.72920878615285256</v>
      </c>
      <c r="P12" s="138">
        <v>1.0023509434362083</v>
      </c>
      <c r="Q12" s="139">
        <v>-0.27314215728335578</v>
      </c>
    </row>
    <row r="13" spans="1:17" ht="14.1" customHeight="1" x14ac:dyDescent="0.25">
      <c r="A13" s="145">
        <f t="shared" si="1"/>
        <v>2018</v>
      </c>
      <c r="B13" s="145" t="str">
        <f t="shared" si="0"/>
        <v>2018 Q1</v>
      </c>
      <c r="C13" s="136">
        <v>43160</v>
      </c>
      <c r="D13" s="137">
        <v>3393252.8239285448</v>
      </c>
      <c r="E13" s="137">
        <v>0</v>
      </c>
      <c r="F13" s="137">
        <v>3393252.8239285448</v>
      </c>
      <c r="G13" s="138">
        <v>0.72075155598285767</v>
      </c>
      <c r="H13" s="137">
        <v>0</v>
      </c>
      <c r="I13" s="138">
        <v>0.72075155598285767</v>
      </c>
      <c r="J13" s="138"/>
      <c r="K13" s="137"/>
      <c r="L13" s="138"/>
      <c r="M13" s="138">
        <v>0.72165648755794976</v>
      </c>
      <c r="N13" s="137">
        <v>0</v>
      </c>
      <c r="O13" s="138">
        <v>0.72165648755794976</v>
      </c>
      <c r="P13" s="138">
        <v>0.69116980717472487</v>
      </c>
      <c r="Q13" s="139">
        <v>3.0486680383224884E-2</v>
      </c>
    </row>
    <row r="14" spans="1:17" ht="14.1" customHeight="1" x14ac:dyDescent="0.25">
      <c r="A14" s="145">
        <f t="shared" si="1"/>
        <v>2018</v>
      </c>
      <c r="B14" s="145" t="str">
        <f t="shared" si="0"/>
        <v>2018 Q2</v>
      </c>
      <c r="C14" s="136">
        <v>43191</v>
      </c>
      <c r="D14" s="137">
        <v>3689321.0585714201</v>
      </c>
      <c r="E14" s="137">
        <v>0</v>
      </c>
      <c r="F14" s="137">
        <v>3689321.0585714201</v>
      </c>
      <c r="G14" s="138">
        <v>0.68590371041520448</v>
      </c>
      <c r="H14" s="137">
        <v>0</v>
      </c>
      <c r="I14" s="138">
        <v>0.68590371041520459</v>
      </c>
      <c r="J14" s="138"/>
      <c r="K14" s="137"/>
      <c r="L14" s="138"/>
      <c r="M14" s="138">
        <v>0.6868261789954323</v>
      </c>
      <c r="N14" s="137">
        <v>0</v>
      </c>
      <c r="O14" s="138">
        <v>0.6868261789954323</v>
      </c>
      <c r="P14" s="138">
        <v>0.65025832176713994</v>
      </c>
      <c r="Q14" s="139">
        <v>3.6567857228292366E-2</v>
      </c>
    </row>
    <row r="15" spans="1:17" ht="14.1" customHeight="1" x14ac:dyDescent="0.25">
      <c r="A15" s="145">
        <f t="shared" si="1"/>
        <v>2018</v>
      </c>
      <c r="B15" s="145" t="str">
        <f t="shared" si="0"/>
        <v>2018 Q2</v>
      </c>
      <c r="C15" s="136">
        <v>43221</v>
      </c>
      <c r="D15" s="137">
        <v>4524974.5203571375</v>
      </c>
      <c r="E15" s="137">
        <v>0</v>
      </c>
      <c r="F15" s="137">
        <v>4524974.5203571375</v>
      </c>
      <c r="G15" s="138">
        <v>0.80708365775909574</v>
      </c>
      <c r="H15" s="137">
        <v>0</v>
      </c>
      <c r="I15" s="138">
        <v>0.80708365775909574</v>
      </c>
      <c r="J15" s="138"/>
      <c r="K15" s="137"/>
      <c r="L15" s="138"/>
      <c r="M15" s="138">
        <v>0.80804929768091527</v>
      </c>
      <c r="N15" s="137">
        <v>0</v>
      </c>
      <c r="O15" s="138">
        <v>0.80804929768091527</v>
      </c>
      <c r="P15" s="138">
        <v>0.77074626482720143</v>
      </c>
      <c r="Q15" s="139">
        <v>3.7303032853713836E-2</v>
      </c>
    </row>
    <row r="16" spans="1:17" ht="14.1" customHeight="1" x14ac:dyDescent="0.25">
      <c r="A16" s="145">
        <f t="shared" si="1"/>
        <v>2018</v>
      </c>
      <c r="B16" s="145" t="str">
        <f t="shared" si="0"/>
        <v>2018 Q2</v>
      </c>
      <c r="C16" s="136">
        <v>43252</v>
      </c>
      <c r="D16" s="137">
        <v>4349709.5932142921</v>
      </c>
      <c r="E16" s="137">
        <v>0</v>
      </c>
      <c r="F16" s="137">
        <v>4349709.5932142921</v>
      </c>
      <c r="G16" s="138">
        <v>0.54492557153470533</v>
      </c>
      <c r="H16" s="137">
        <v>0</v>
      </c>
      <c r="I16" s="138">
        <v>0.54492557153470533</v>
      </c>
      <c r="J16" s="138"/>
      <c r="K16" s="137"/>
      <c r="L16" s="138"/>
      <c r="M16" s="138">
        <v>0.54587616768916547</v>
      </c>
      <c r="N16" s="137">
        <v>0</v>
      </c>
      <c r="O16" s="138">
        <v>0.54587616768916547</v>
      </c>
      <c r="P16" s="138">
        <v>0.49404256627900595</v>
      </c>
      <c r="Q16" s="139">
        <v>5.1833601410159524E-2</v>
      </c>
    </row>
    <row r="17" spans="1:17" ht="14.1" customHeight="1" x14ac:dyDescent="0.25">
      <c r="A17" s="145">
        <f t="shared" si="1"/>
        <v>2018</v>
      </c>
      <c r="B17" s="145" t="str">
        <f t="shared" si="0"/>
        <v>2018 Q3</v>
      </c>
      <c r="C17" s="136">
        <v>43282</v>
      </c>
      <c r="D17" s="137">
        <v>4084209.1717857099</v>
      </c>
      <c r="E17" s="137">
        <v>0</v>
      </c>
      <c r="F17" s="137">
        <v>4084209.1717857099</v>
      </c>
      <c r="G17" s="138">
        <v>0.70632055486217016</v>
      </c>
      <c r="H17" s="137">
        <v>0</v>
      </c>
      <c r="I17" s="138">
        <v>0.70632055486217016</v>
      </c>
      <c r="J17" s="138"/>
      <c r="K17" s="137"/>
      <c r="L17" s="138"/>
      <c r="M17" s="138">
        <v>0.70735939575500417</v>
      </c>
      <c r="N17" s="137">
        <v>0</v>
      </c>
      <c r="O17" s="138">
        <v>0.70735939575500417</v>
      </c>
      <c r="P17" s="138">
        <v>0.66930057571961288</v>
      </c>
      <c r="Q17" s="139">
        <v>3.8058820035391294E-2</v>
      </c>
    </row>
    <row r="18" spans="1:17" ht="14.1" customHeight="1" x14ac:dyDescent="0.25">
      <c r="A18" s="145">
        <f t="shared" si="1"/>
        <v>2018</v>
      </c>
      <c r="B18" s="145" t="str">
        <f t="shared" ref="B18:B49" si="2">YEAR(C18)&amp;" Q"&amp;ROUNDUP(MONTH(C18)*4/12,0)</f>
        <v>2018 Q3</v>
      </c>
      <c r="C18" s="136">
        <v>43313</v>
      </c>
      <c r="D18" s="137">
        <v>3511309.6278571561</v>
      </c>
      <c r="E18" s="137">
        <v>0</v>
      </c>
      <c r="F18" s="137">
        <v>3511309.6278571561</v>
      </c>
      <c r="G18" s="138">
        <v>0.64093699776552648</v>
      </c>
      <c r="H18" s="137">
        <v>0</v>
      </c>
      <c r="I18" s="138">
        <v>0.64093699776552637</v>
      </c>
      <c r="J18" s="138"/>
      <c r="K18" s="137"/>
      <c r="L18" s="138"/>
      <c r="M18" s="138">
        <v>0.64220372049095931</v>
      </c>
      <c r="N18" s="137">
        <v>0</v>
      </c>
      <c r="O18" s="138">
        <v>0.64220372049095931</v>
      </c>
      <c r="P18" s="138">
        <v>0.6278420656831869</v>
      </c>
      <c r="Q18" s="139">
        <v>1.4361654807772406E-2</v>
      </c>
    </row>
    <row r="19" spans="1:17" ht="14.1" customHeight="1" x14ac:dyDescent="0.25">
      <c r="A19" s="145">
        <f t="shared" si="1"/>
        <v>2018</v>
      </c>
      <c r="B19" s="146" t="str">
        <f t="shared" si="2"/>
        <v>2018 Q3</v>
      </c>
      <c r="C19" s="136">
        <v>43344</v>
      </c>
      <c r="D19" s="137">
        <v>3381332.0396428602</v>
      </c>
      <c r="E19" s="137">
        <v>0</v>
      </c>
      <c r="F19" s="137">
        <v>3381332.0396428602</v>
      </c>
      <c r="G19" s="138">
        <v>0.66096399872651057</v>
      </c>
      <c r="H19" s="137">
        <v>0</v>
      </c>
      <c r="I19" s="138">
        <v>0.66096399872651057</v>
      </c>
      <c r="J19" s="138"/>
      <c r="K19" s="137"/>
      <c r="L19" s="138"/>
      <c r="M19" s="138">
        <v>0.66212071487313695</v>
      </c>
      <c r="N19" s="137">
        <v>0</v>
      </c>
      <c r="O19" s="138">
        <v>0.66212071487313695</v>
      </c>
      <c r="P19" s="138">
        <v>0.61008099347081102</v>
      </c>
      <c r="Q19" s="139">
        <v>5.2039721402325934E-2</v>
      </c>
    </row>
    <row r="20" spans="1:17" ht="14.1" customHeight="1" x14ac:dyDescent="0.25">
      <c r="A20" s="145">
        <f t="shared" si="1"/>
        <v>2018</v>
      </c>
      <c r="B20" s="146" t="str">
        <f t="shared" si="2"/>
        <v>2018 Q4</v>
      </c>
      <c r="C20" s="136">
        <v>43374</v>
      </c>
      <c r="D20" s="137">
        <v>3348407.3249999718</v>
      </c>
      <c r="E20" s="137">
        <v>0</v>
      </c>
      <c r="F20" s="137">
        <v>3348407.3249999718</v>
      </c>
      <c r="G20" s="138">
        <v>0.68720760212714904</v>
      </c>
      <c r="H20" s="137">
        <v>0</v>
      </c>
      <c r="I20" s="138">
        <v>0.68720760212714904</v>
      </c>
      <c r="J20" s="138"/>
      <c r="K20" s="137"/>
      <c r="L20" s="138"/>
      <c r="M20" s="138">
        <v>0.68824178995891094</v>
      </c>
      <c r="N20" s="137">
        <v>0</v>
      </c>
      <c r="O20" s="138">
        <v>0.68824178995891094</v>
      </c>
      <c r="P20" s="138">
        <v>0.67629509203189453</v>
      </c>
      <c r="Q20" s="139">
        <v>1.1946697927016414E-2</v>
      </c>
    </row>
    <row r="21" spans="1:17" ht="14.1" customHeight="1" x14ac:dyDescent="0.25">
      <c r="A21" s="145">
        <f t="shared" si="1"/>
        <v>2018</v>
      </c>
      <c r="B21" s="146" t="str">
        <f t="shared" si="2"/>
        <v>2018 Q4</v>
      </c>
      <c r="C21" s="136">
        <v>43405</v>
      </c>
      <c r="D21" s="137">
        <v>3344639.790000007</v>
      </c>
      <c r="E21" s="137">
        <v>0</v>
      </c>
      <c r="F21" s="137">
        <v>3344639.790000007</v>
      </c>
      <c r="G21" s="138">
        <v>0.83414678675363174</v>
      </c>
      <c r="H21" s="137">
        <v>0</v>
      </c>
      <c r="I21" s="138">
        <v>0.83414678675363174</v>
      </c>
      <c r="J21" s="138"/>
      <c r="K21" s="137"/>
      <c r="L21" s="138"/>
      <c r="M21" s="138">
        <v>0.83521067040996744</v>
      </c>
      <c r="N21" s="137">
        <v>0</v>
      </c>
      <c r="O21" s="138">
        <v>0.83521067040996744</v>
      </c>
      <c r="P21" s="138">
        <v>0.94227585267780767</v>
      </c>
      <c r="Q21" s="139">
        <v>-0.10706518226784023</v>
      </c>
    </row>
    <row r="22" spans="1:17" ht="14.1" customHeight="1" x14ac:dyDescent="0.25">
      <c r="A22" s="145">
        <f t="shared" si="1"/>
        <v>2018</v>
      </c>
      <c r="B22" s="146" t="str">
        <f t="shared" si="2"/>
        <v>2018 Q4</v>
      </c>
      <c r="C22" s="140">
        <v>43435</v>
      </c>
      <c r="D22" s="141">
        <v>2711425.7714285683</v>
      </c>
      <c r="E22" s="141">
        <v>0</v>
      </c>
      <c r="F22" s="141">
        <v>2711425.7714285683</v>
      </c>
      <c r="G22" s="142">
        <v>0.74033906180673847</v>
      </c>
      <c r="H22" s="141">
        <v>0</v>
      </c>
      <c r="I22" s="142">
        <v>0.74033906180673847</v>
      </c>
      <c r="J22" s="142"/>
      <c r="K22" s="141"/>
      <c r="L22" s="142"/>
      <c r="M22" s="142">
        <v>0.74159150697548071</v>
      </c>
      <c r="N22" s="141">
        <v>0</v>
      </c>
      <c r="O22" s="142">
        <v>0.74159150697548071</v>
      </c>
      <c r="P22" s="142">
        <v>0.68945605655103892</v>
      </c>
      <c r="Q22" s="143">
        <v>5.2135450424441787E-2</v>
      </c>
    </row>
    <row r="23" spans="1:17" ht="14.1" customHeight="1" x14ac:dyDescent="0.25">
      <c r="A23" s="145">
        <f t="shared" si="1"/>
        <v>2019</v>
      </c>
      <c r="B23" s="146" t="str">
        <f t="shared" si="2"/>
        <v>2019 Q1</v>
      </c>
      <c r="C23" s="136">
        <v>43466</v>
      </c>
      <c r="D23" s="137">
        <v>2581148.0496428637</v>
      </c>
      <c r="E23" s="137">
        <v>0</v>
      </c>
      <c r="F23" s="137">
        <v>2581148.0496428637</v>
      </c>
      <c r="G23" s="138">
        <v>0.71147261539312656</v>
      </c>
      <c r="H23" s="137">
        <v>0</v>
      </c>
      <c r="I23" s="138">
        <v>0.71147261539312656</v>
      </c>
      <c r="J23" s="138"/>
      <c r="K23" s="137"/>
      <c r="L23" s="138"/>
      <c r="M23" s="138">
        <v>0.71414275227777069</v>
      </c>
      <c r="N23" s="137">
        <v>0</v>
      </c>
      <c r="O23" s="138">
        <v>0.71414275227777069</v>
      </c>
      <c r="P23" s="138">
        <v>0.5902962909124162</v>
      </c>
      <c r="Q23" s="139">
        <v>0.12384646136535449</v>
      </c>
    </row>
    <row r="24" spans="1:17" ht="14.1" customHeight="1" x14ac:dyDescent="0.25">
      <c r="A24" s="145">
        <f t="shared" si="1"/>
        <v>2019</v>
      </c>
      <c r="B24" s="146" t="str">
        <f t="shared" si="2"/>
        <v>2019 Q1</v>
      </c>
      <c r="C24" s="136">
        <v>43497</v>
      </c>
      <c r="D24" s="137">
        <v>2437684.2307142764</v>
      </c>
      <c r="E24" s="137">
        <v>0</v>
      </c>
      <c r="F24" s="137">
        <v>2437684.2307142764</v>
      </c>
      <c r="G24" s="138">
        <v>0.83109771257719833</v>
      </c>
      <c r="H24" s="137">
        <v>0</v>
      </c>
      <c r="I24" s="138">
        <v>0.83109771257719833</v>
      </c>
      <c r="J24" s="138"/>
      <c r="K24" s="137"/>
      <c r="L24" s="138"/>
      <c r="M24" s="138">
        <v>0.83365950860176041</v>
      </c>
      <c r="N24" s="137">
        <v>0</v>
      </c>
      <c r="O24" s="138">
        <v>0.83365950860176041</v>
      </c>
      <c r="P24" s="138">
        <v>1.1331786240380257</v>
      </c>
      <c r="Q24" s="139">
        <v>-0.2995191154362653</v>
      </c>
    </row>
    <row r="25" spans="1:17" ht="14.1" customHeight="1" x14ac:dyDescent="0.25">
      <c r="A25" s="145">
        <f t="shared" si="1"/>
        <v>2019</v>
      </c>
      <c r="B25" s="146" t="str">
        <f t="shared" si="2"/>
        <v>2019 Q1</v>
      </c>
      <c r="C25" s="136">
        <v>43525</v>
      </c>
      <c r="D25" s="137">
        <v>3097910.8332142965</v>
      </c>
      <c r="E25" s="137">
        <v>0</v>
      </c>
      <c r="F25" s="137">
        <v>3097910.8332142965</v>
      </c>
      <c r="G25" s="138">
        <v>0.63325529169682793</v>
      </c>
      <c r="H25" s="137">
        <v>0</v>
      </c>
      <c r="I25" s="138">
        <v>0.63325529169682793</v>
      </c>
      <c r="J25" s="138"/>
      <c r="K25" s="137"/>
      <c r="L25" s="138"/>
      <c r="M25" s="138">
        <v>0.6357706419209832</v>
      </c>
      <c r="N25" s="137">
        <v>0</v>
      </c>
      <c r="O25" s="138">
        <v>0.6357706419209832</v>
      </c>
      <c r="P25" s="138">
        <v>0.51207896721611779</v>
      </c>
      <c r="Q25" s="139">
        <v>0.12369167470486542</v>
      </c>
    </row>
    <row r="26" spans="1:17" ht="14.1" customHeight="1" x14ac:dyDescent="0.25">
      <c r="A26" s="145">
        <f t="shared" si="1"/>
        <v>2019</v>
      </c>
      <c r="B26" s="146" t="str">
        <f t="shared" si="2"/>
        <v>2019 Q2</v>
      </c>
      <c r="C26" s="136">
        <v>43556</v>
      </c>
      <c r="D26" s="137">
        <v>3615438.2685714462</v>
      </c>
      <c r="E26" s="137">
        <v>0</v>
      </c>
      <c r="F26" s="137">
        <v>3615438.2685714462</v>
      </c>
      <c r="G26" s="138">
        <v>0.85189174863073758</v>
      </c>
      <c r="H26" s="137">
        <v>0</v>
      </c>
      <c r="I26" s="138">
        <v>0.85189174863073758</v>
      </c>
      <c r="J26" s="138"/>
      <c r="K26" s="137"/>
      <c r="L26" s="138"/>
      <c r="M26" s="138">
        <v>0.85449192222040471</v>
      </c>
      <c r="N26" s="137">
        <v>0</v>
      </c>
      <c r="O26" s="138">
        <v>0.85449192222040471</v>
      </c>
      <c r="P26" s="138">
        <v>0.78896876746093547</v>
      </c>
      <c r="Q26" s="139">
        <v>6.5523154759469238E-2</v>
      </c>
    </row>
    <row r="27" spans="1:17" ht="14.1" customHeight="1" x14ac:dyDescent="0.25">
      <c r="A27" s="145">
        <f t="shared" si="1"/>
        <v>2019</v>
      </c>
      <c r="B27" s="146" t="str">
        <f t="shared" si="2"/>
        <v>2019 Q2</v>
      </c>
      <c r="C27" s="136">
        <v>43586</v>
      </c>
      <c r="D27" s="137">
        <v>4467392.1917857202</v>
      </c>
      <c r="E27" s="137">
        <v>0</v>
      </c>
      <c r="F27" s="137">
        <v>4467392.1917857202</v>
      </c>
      <c r="G27" s="138">
        <v>0.7891774020208846</v>
      </c>
      <c r="H27" s="137">
        <v>0</v>
      </c>
      <c r="I27" s="138">
        <v>0.7891774020208846</v>
      </c>
      <c r="J27" s="138"/>
      <c r="K27" s="137"/>
      <c r="L27" s="138"/>
      <c r="M27" s="138">
        <v>0.79189717038851848</v>
      </c>
      <c r="N27" s="137">
        <v>0</v>
      </c>
      <c r="O27" s="138">
        <v>0.79189717038851848</v>
      </c>
      <c r="P27" s="138">
        <v>0.78768668272494569</v>
      </c>
      <c r="Q27" s="139">
        <v>4.2104876635727928E-3</v>
      </c>
    </row>
    <row r="28" spans="1:17" ht="14.1" customHeight="1" x14ac:dyDescent="0.25">
      <c r="A28" s="145">
        <f t="shared" si="1"/>
        <v>2019</v>
      </c>
      <c r="B28" s="146" t="str">
        <f t="shared" si="2"/>
        <v>2019 Q2</v>
      </c>
      <c r="C28" s="136">
        <v>43617</v>
      </c>
      <c r="D28" s="137">
        <v>4170032.28607147</v>
      </c>
      <c r="E28" s="137">
        <v>0</v>
      </c>
      <c r="F28" s="137">
        <v>4170032.28607147</v>
      </c>
      <c r="G28" s="138">
        <v>0.71495564794715571</v>
      </c>
      <c r="H28" s="137">
        <v>0</v>
      </c>
      <c r="I28" s="138">
        <v>0.71495564794715571</v>
      </c>
      <c r="J28" s="138"/>
      <c r="K28" s="137"/>
      <c r="L28" s="138"/>
      <c r="M28" s="138">
        <v>0.71788743216536433</v>
      </c>
      <c r="N28" s="137">
        <v>0</v>
      </c>
      <c r="O28" s="138">
        <v>0.71788743216536433</v>
      </c>
      <c r="P28" s="138">
        <v>0.84008882108623761</v>
      </c>
      <c r="Q28" s="139">
        <v>-0.12220138892087329</v>
      </c>
    </row>
    <row r="29" spans="1:17" ht="14.1" customHeight="1" x14ac:dyDescent="0.25">
      <c r="A29" s="145">
        <f t="shared" si="1"/>
        <v>2019</v>
      </c>
      <c r="B29" s="146" t="str">
        <f t="shared" si="2"/>
        <v>2019 Q3</v>
      </c>
      <c r="C29" s="136">
        <v>43647</v>
      </c>
      <c r="D29" s="137">
        <v>4706972.5978571931</v>
      </c>
      <c r="E29" s="137">
        <v>0</v>
      </c>
      <c r="F29" s="137">
        <v>4706972.5978571931</v>
      </c>
      <c r="G29" s="138">
        <v>0.74984423604967088</v>
      </c>
      <c r="H29" s="137">
        <v>0</v>
      </c>
      <c r="I29" s="138">
        <v>0.74984423604967088</v>
      </c>
      <c r="J29" s="138"/>
      <c r="K29" s="137"/>
      <c r="L29" s="138"/>
      <c r="M29" s="138">
        <v>0.7529805033710999</v>
      </c>
      <c r="N29" s="137">
        <v>0</v>
      </c>
      <c r="O29" s="138">
        <v>0.7529805033710999</v>
      </c>
      <c r="P29" s="138">
        <v>0.63930975665905143</v>
      </c>
      <c r="Q29" s="139">
        <v>0.11367074671204846</v>
      </c>
    </row>
    <row r="30" spans="1:17" ht="14.1" customHeight="1" x14ac:dyDescent="0.25">
      <c r="A30" s="145">
        <f t="shared" si="1"/>
        <v>2019</v>
      </c>
      <c r="B30" s="146" t="str">
        <f t="shared" si="2"/>
        <v>2019 Q3</v>
      </c>
      <c r="C30" s="136">
        <v>43678</v>
      </c>
      <c r="D30" s="137">
        <v>4415530.3664286695</v>
      </c>
      <c r="E30" s="137">
        <v>0</v>
      </c>
      <c r="F30" s="137">
        <v>4415530.3664286695</v>
      </c>
      <c r="G30" s="138">
        <v>0.63676940867941623</v>
      </c>
      <c r="H30" s="137">
        <v>0</v>
      </c>
      <c r="I30" s="138">
        <v>0.63676940867941623</v>
      </c>
      <c r="J30" s="138"/>
      <c r="K30" s="137"/>
      <c r="L30" s="138"/>
      <c r="M30" s="138">
        <v>0.6393553288085736</v>
      </c>
      <c r="N30" s="137">
        <v>0</v>
      </c>
      <c r="O30" s="138">
        <v>0.6393553288085736</v>
      </c>
      <c r="P30" s="138">
        <v>0.51559308419870586</v>
      </c>
      <c r="Q30" s="139">
        <v>0.12376224460986773</v>
      </c>
    </row>
    <row r="31" spans="1:17" ht="14.1" customHeight="1" x14ac:dyDescent="0.25">
      <c r="A31" s="145">
        <f t="shared" si="1"/>
        <v>2019</v>
      </c>
      <c r="B31" s="146" t="str">
        <f t="shared" si="2"/>
        <v>2019 Q3</v>
      </c>
      <c r="C31" s="136">
        <v>43709</v>
      </c>
      <c r="D31" s="137">
        <v>4532495.2417857926</v>
      </c>
      <c r="E31" s="137">
        <v>0</v>
      </c>
      <c r="F31" s="137">
        <v>4532495.2417857926</v>
      </c>
      <c r="G31" s="138">
        <v>0.77277163774051916</v>
      </c>
      <c r="H31" s="137">
        <v>0</v>
      </c>
      <c r="I31" s="138">
        <v>0.77277163774051916</v>
      </c>
      <c r="J31" s="138"/>
      <c r="K31" s="137"/>
      <c r="L31" s="138"/>
      <c r="M31" s="138">
        <v>0.77530472783283633</v>
      </c>
      <c r="N31" s="137">
        <v>0</v>
      </c>
      <c r="O31" s="138">
        <v>0.77530472783283633</v>
      </c>
      <c r="P31" s="138">
        <v>0.71646857197541314</v>
      </c>
      <c r="Q31" s="139">
        <v>5.8836155857423189E-2</v>
      </c>
    </row>
    <row r="32" spans="1:17" ht="14.1" customHeight="1" x14ac:dyDescent="0.25">
      <c r="A32" s="145">
        <f t="shared" si="1"/>
        <v>2019</v>
      </c>
      <c r="B32" s="146" t="str">
        <f t="shared" si="2"/>
        <v>2019 Q4</v>
      </c>
      <c r="C32" s="136">
        <v>43739</v>
      </c>
      <c r="D32" s="137">
        <v>5277373.4228572166</v>
      </c>
      <c r="E32" s="137">
        <v>0</v>
      </c>
      <c r="F32" s="137">
        <v>5277373.4228572166</v>
      </c>
      <c r="G32" s="138">
        <v>0.72668385489532272</v>
      </c>
      <c r="H32" s="137">
        <v>0</v>
      </c>
      <c r="I32" s="138">
        <v>0.72668385489532272</v>
      </c>
      <c r="J32" s="138"/>
      <c r="K32" s="137"/>
      <c r="L32" s="138"/>
      <c r="M32" s="138">
        <v>0.72944507752600507</v>
      </c>
      <c r="N32" s="137">
        <v>0</v>
      </c>
      <c r="O32" s="138">
        <v>0.72944507752600507</v>
      </c>
      <c r="P32" s="138">
        <v>0.69556718086213043</v>
      </c>
      <c r="Q32" s="139">
        <v>3.387789666387464E-2</v>
      </c>
    </row>
    <row r="33" spans="1:17" ht="14.1" customHeight="1" x14ac:dyDescent="0.25">
      <c r="A33" s="145">
        <f t="shared" si="1"/>
        <v>2019</v>
      </c>
      <c r="B33" s="146" t="str">
        <f t="shared" si="2"/>
        <v>2019 Q4</v>
      </c>
      <c r="C33" s="136">
        <v>43770</v>
      </c>
      <c r="D33" s="137">
        <v>4963236.5846429132</v>
      </c>
      <c r="E33" s="137">
        <v>0</v>
      </c>
      <c r="F33" s="137">
        <v>4963236.5846429132</v>
      </c>
      <c r="G33" s="138">
        <v>0.68444584676183196</v>
      </c>
      <c r="H33" s="137">
        <v>0</v>
      </c>
      <c r="I33" s="138">
        <v>0.68444584676183196</v>
      </c>
      <c r="J33" s="138"/>
      <c r="K33" s="137"/>
      <c r="L33" s="138"/>
      <c r="M33" s="138">
        <v>0.68737798779373194</v>
      </c>
      <c r="N33" s="137">
        <v>0</v>
      </c>
      <c r="O33" s="138">
        <v>0.68737798779373194</v>
      </c>
      <c r="P33" s="138">
        <v>0.56327081366369347</v>
      </c>
      <c r="Q33" s="139">
        <v>0.12410717413003847</v>
      </c>
    </row>
    <row r="34" spans="1:17" ht="14.1" customHeight="1" x14ac:dyDescent="0.25">
      <c r="A34" s="145">
        <f t="shared" si="1"/>
        <v>2019</v>
      </c>
      <c r="B34" s="146" t="str">
        <f t="shared" si="2"/>
        <v>2019 Q4</v>
      </c>
      <c r="C34" s="140">
        <v>43800</v>
      </c>
      <c r="D34" s="141">
        <v>4496965.2289286675</v>
      </c>
      <c r="E34" s="141">
        <v>0</v>
      </c>
      <c r="F34" s="141">
        <v>4496965.2289286675</v>
      </c>
      <c r="G34" s="142">
        <v>0.72114554395698915</v>
      </c>
      <c r="H34" s="141">
        <v>0</v>
      </c>
      <c r="I34" s="142">
        <v>0.72114554395698915</v>
      </c>
      <c r="J34" s="142"/>
      <c r="K34" s="141"/>
      <c r="L34" s="142"/>
      <c r="M34" s="142">
        <v>0.72449637545146384</v>
      </c>
      <c r="N34" s="141">
        <v>0</v>
      </c>
      <c r="O34" s="142">
        <v>0.72449637545146384</v>
      </c>
      <c r="P34" s="142">
        <v>0.9153263566711578</v>
      </c>
      <c r="Q34" s="143">
        <v>-0.19082998121969397</v>
      </c>
    </row>
    <row r="35" spans="1:17" ht="14.1" customHeight="1" x14ac:dyDescent="0.25">
      <c r="A35" s="145">
        <f t="shared" si="1"/>
        <v>2020</v>
      </c>
      <c r="B35" s="146" t="str">
        <f t="shared" si="2"/>
        <v>2020 Q1</v>
      </c>
      <c r="C35" s="136">
        <v>43831</v>
      </c>
      <c r="D35" s="137">
        <v>4689905.9853571979</v>
      </c>
      <c r="E35" s="137">
        <v>0</v>
      </c>
      <c r="F35" s="137">
        <v>4689905.9853571979</v>
      </c>
      <c r="G35" s="138">
        <v>0.63273668921735737</v>
      </c>
      <c r="H35" s="137">
        <v>0</v>
      </c>
      <c r="I35" s="138">
        <v>0.63273668921735737</v>
      </c>
      <c r="J35" s="138"/>
      <c r="K35" s="137"/>
      <c r="L35" s="138"/>
      <c r="M35" s="138">
        <v>0.63386390230137024</v>
      </c>
      <c r="N35" s="137">
        <v>0</v>
      </c>
      <c r="O35" s="138">
        <v>0.63386390230137024</v>
      </c>
      <c r="P35" s="138">
        <v>0.62244122725236384</v>
      </c>
      <c r="Q35" s="139">
        <v>1.1422675049006403E-2</v>
      </c>
    </row>
    <row r="36" spans="1:17" ht="14.1" customHeight="1" x14ac:dyDescent="0.25">
      <c r="A36" s="145">
        <f t="shared" si="1"/>
        <v>2020</v>
      </c>
      <c r="B36" s="146" t="str">
        <f t="shared" si="2"/>
        <v>2020 Q1</v>
      </c>
      <c r="C36" s="136">
        <v>43862</v>
      </c>
      <c r="D36" s="137">
        <v>5203363.0414286274</v>
      </c>
      <c r="E36" s="137">
        <v>0</v>
      </c>
      <c r="F36" s="137">
        <v>5203363.0414286274</v>
      </c>
      <c r="G36" s="138">
        <v>0.61326582639288785</v>
      </c>
      <c r="H36" s="137">
        <v>0</v>
      </c>
      <c r="I36" s="138">
        <v>0.61326582639288785</v>
      </c>
      <c r="J36" s="138"/>
      <c r="K36" s="137"/>
      <c r="L36" s="138"/>
      <c r="M36" s="138">
        <v>0.61445078077577397</v>
      </c>
      <c r="N36" s="137">
        <v>0</v>
      </c>
      <c r="O36" s="138">
        <v>0.61445078077577397</v>
      </c>
      <c r="P36" s="138">
        <v>0.58752618800613765</v>
      </c>
      <c r="Q36" s="139">
        <v>2.6924592769636324E-2</v>
      </c>
    </row>
    <row r="37" spans="1:17" ht="14.1" customHeight="1" x14ac:dyDescent="0.25">
      <c r="A37" s="145">
        <f t="shared" si="1"/>
        <v>2020</v>
      </c>
      <c r="B37" s="146" t="str">
        <f t="shared" si="2"/>
        <v>2020 Q1</v>
      </c>
      <c r="C37" s="136">
        <v>43891</v>
      </c>
      <c r="D37" s="137">
        <v>5389933.4839286609</v>
      </c>
      <c r="E37" s="137">
        <v>0</v>
      </c>
      <c r="F37" s="137">
        <v>5389933.4839286609</v>
      </c>
      <c r="G37" s="138">
        <v>0.53924189925560773</v>
      </c>
      <c r="H37" s="137">
        <v>0</v>
      </c>
      <c r="I37" s="138">
        <v>0.53924189925560773</v>
      </c>
      <c r="J37" s="138"/>
      <c r="K37" s="137"/>
      <c r="L37" s="138"/>
      <c r="M37" s="138">
        <v>0.54031771905138615</v>
      </c>
      <c r="N37" s="137">
        <v>0</v>
      </c>
      <c r="O37" s="138">
        <v>0.54031771905138615</v>
      </c>
      <c r="P37" s="138">
        <v>0.54302707063921274</v>
      </c>
      <c r="Q37" s="139">
        <v>-2.7093515878265917E-3</v>
      </c>
    </row>
    <row r="38" spans="1:17" ht="14.1" customHeight="1" x14ac:dyDescent="0.25">
      <c r="A38" s="145">
        <f t="shared" si="1"/>
        <v>2020</v>
      </c>
      <c r="B38" s="146" t="str">
        <f t="shared" si="2"/>
        <v>2020 Q2</v>
      </c>
      <c r="C38" s="136">
        <v>43922</v>
      </c>
      <c r="D38" s="137">
        <v>4359680.5757143032</v>
      </c>
      <c r="E38" s="137">
        <v>0</v>
      </c>
      <c r="F38" s="137">
        <v>4359680.5757143032</v>
      </c>
      <c r="G38" s="138">
        <v>0.64395864537205127</v>
      </c>
      <c r="H38" s="137">
        <v>0</v>
      </c>
      <c r="I38" s="138">
        <v>0.64395864537205127</v>
      </c>
      <c r="J38" s="138"/>
      <c r="K38" s="137"/>
      <c r="L38" s="138"/>
      <c r="M38" s="138">
        <v>0.64520945589802214</v>
      </c>
      <c r="N38" s="137">
        <v>0</v>
      </c>
      <c r="O38" s="138">
        <v>0.64520945589802214</v>
      </c>
      <c r="P38" s="138">
        <v>0.63228800917037375</v>
      </c>
      <c r="Q38" s="139">
        <v>1.2921446727648389E-2</v>
      </c>
    </row>
    <row r="39" spans="1:17" ht="14.1" customHeight="1" x14ac:dyDescent="0.25">
      <c r="A39" s="145">
        <f t="shared" si="1"/>
        <v>2020</v>
      </c>
      <c r="B39" s="146" t="str">
        <f t="shared" si="2"/>
        <v>2020 Q2</v>
      </c>
      <c r="C39" s="136">
        <v>43952</v>
      </c>
      <c r="D39" s="137">
        <v>5241189.3410717025</v>
      </c>
      <c r="E39" s="137">
        <v>0</v>
      </c>
      <c r="F39" s="137">
        <v>5241189.3410717025</v>
      </c>
      <c r="G39" s="138">
        <v>0.56515588014589013</v>
      </c>
      <c r="H39" s="137">
        <v>0</v>
      </c>
      <c r="I39" s="138">
        <v>0.56515588014589013</v>
      </c>
      <c r="J39" s="138"/>
      <c r="K39" s="137"/>
      <c r="L39" s="138"/>
      <c r="M39" s="138">
        <v>0.56633721353743249</v>
      </c>
      <c r="N39" s="137">
        <v>0</v>
      </c>
      <c r="O39" s="138">
        <v>0.56633721353743249</v>
      </c>
      <c r="P39" s="138">
        <v>0.53477374037031611</v>
      </c>
      <c r="Q39" s="139">
        <v>3.1563473167116385E-2</v>
      </c>
    </row>
    <row r="40" spans="1:17" ht="14.1" customHeight="1" x14ac:dyDescent="0.25">
      <c r="A40" s="145">
        <f t="shared" si="1"/>
        <v>2020</v>
      </c>
      <c r="B40" s="146" t="str">
        <f t="shared" si="2"/>
        <v>2020 Q2</v>
      </c>
      <c r="C40" s="136">
        <v>43983</v>
      </c>
      <c r="D40" s="137">
        <v>6065052.5758124935</v>
      </c>
      <c r="E40" s="137">
        <v>0</v>
      </c>
      <c r="F40" s="137">
        <v>6065052.5758124935</v>
      </c>
      <c r="G40" s="138">
        <v>0.55950704437126475</v>
      </c>
      <c r="H40" s="137">
        <v>0</v>
      </c>
      <c r="I40" s="138">
        <v>0.55950704437126475</v>
      </c>
      <c r="J40" s="138"/>
      <c r="K40" s="137"/>
      <c r="L40" s="138"/>
      <c r="M40" s="138">
        <v>0.56105624564543488</v>
      </c>
      <c r="N40" s="137">
        <v>0</v>
      </c>
      <c r="O40" s="138">
        <v>0.56105624564543488</v>
      </c>
      <c r="P40" s="138">
        <v>0.52911492486717449</v>
      </c>
      <c r="Q40" s="139">
        <v>3.1941320778260396E-2</v>
      </c>
    </row>
    <row r="41" spans="1:17" ht="14.1" customHeight="1" x14ac:dyDescent="0.25">
      <c r="A41" s="145">
        <f t="shared" si="1"/>
        <v>2020</v>
      </c>
      <c r="B41" s="146" t="str">
        <f t="shared" si="2"/>
        <v>2020 Q3</v>
      </c>
      <c r="C41" s="136">
        <v>44013</v>
      </c>
      <c r="D41" s="137">
        <v>7476305.4562505456</v>
      </c>
      <c r="E41" s="137">
        <v>0</v>
      </c>
      <c r="F41" s="137">
        <v>7476305.4562505456</v>
      </c>
      <c r="G41" s="138">
        <v>0.59789378895040601</v>
      </c>
      <c r="H41" s="137">
        <v>0</v>
      </c>
      <c r="I41" s="138">
        <v>0.59789378895040601</v>
      </c>
      <c r="J41" s="138"/>
      <c r="K41" s="137"/>
      <c r="L41" s="138"/>
      <c r="M41" s="138">
        <v>0.5997145216399401</v>
      </c>
      <c r="N41" s="137">
        <v>0</v>
      </c>
      <c r="O41" s="138">
        <v>0.5997145216399401</v>
      </c>
      <c r="P41" s="138">
        <v>0.56754693917764298</v>
      </c>
      <c r="Q41" s="139">
        <v>3.2167582462297117E-2</v>
      </c>
    </row>
    <row r="42" spans="1:17" ht="14.1" customHeight="1" x14ac:dyDescent="0.25">
      <c r="A42" s="145">
        <f t="shared" si="1"/>
        <v>2020</v>
      </c>
      <c r="B42" s="146" t="str">
        <f t="shared" si="2"/>
        <v>2020 Q3</v>
      </c>
      <c r="C42" s="136">
        <v>44044</v>
      </c>
      <c r="D42" s="137">
        <v>7663550.7620301219</v>
      </c>
      <c r="E42" s="137">
        <v>0</v>
      </c>
      <c r="F42" s="137">
        <v>7663550.7620301219</v>
      </c>
      <c r="G42" s="138">
        <v>0.66593323616249334</v>
      </c>
      <c r="H42" s="137">
        <v>0</v>
      </c>
      <c r="I42" s="138">
        <v>0.66593323616249334</v>
      </c>
      <c r="J42" s="138"/>
      <c r="K42" s="137"/>
      <c r="L42" s="138"/>
      <c r="M42" s="138">
        <v>0.66788239108992387</v>
      </c>
      <c r="N42" s="137">
        <v>0</v>
      </c>
      <c r="O42" s="138">
        <v>0.66788239108992387</v>
      </c>
      <c r="P42" s="138">
        <v>0.82063797465398136</v>
      </c>
      <c r="Q42" s="139">
        <v>-0.1527555835640575</v>
      </c>
    </row>
    <row r="43" spans="1:17" ht="14.1" customHeight="1" x14ac:dyDescent="0.25">
      <c r="A43" s="145">
        <f t="shared" si="1"/>
        <v>2020</v>
      </c>
      <c r="B43" s="146" t="str">
        <f t="shared" si="2"/>
        <v>2020 Q3</v>
      </c>
      <c r="C43" s="136">
        <v>44075</v>
      </c>
      <c r="D43" s="137">
        <v>7938865.4794571055</v>
      </c>
      <c r="E43" s="137">
        <v>0</v>
      </c>
      <c r="F43" s="137">
        <v>7938865.4794571055</v>
      </c>
      <c r="G43" s="138">
        <v>0.52890106602162312</v>
      </c>
      <c r="H43" s="137">
        <v>0</v>
      </c>
      <c r="I43" s="138">
        <v>0.52890106602162312</v>
      </c>
      <c r="J43" s="138"/>
      <c r="K43" s="137"/>
      <c r="L43" s="138"/>
      <c r="M43" s="138">
        <v>0.53082035899440605</v>
      </c>
      <c r="N43" s="137">
        <v>0</v>
      </c>
      <c r="O43" s="138">
        <v>0.53082035899440605</v>
      </c>
      <c r="P43" s="138">
        <v>0.60257238569586058</v>
      </c>
      <c r="Q43" s="139">
        <v>-7.175202670145453E-2</v>
      </c>
    </row>
    <row r="44" spans="1:17" ht="14.1" customHeight="1" x14ac:dyDescent="0.25">
      <c r="A44" s="145">
        <f t="shared" si="1"/>
        <v>2020</v>
      </c>
      <c r="B44" s="146" t="str">
        <f t="shared" si="2"/>
        <v>2020 Q4</v>
      </c>
      <c r="C44" s="136">
        <v>44105</v>
      </c>
      <c r="D44" s="137">
        <v>7143410.7442501793</v>
      </c>
      <c r="E44" s="137">
        <v>0</v>
      </c>
      <c r="F44" s="137">
        <v>7143410.7442501793</v>
      </c>
      <c r="G44" s="138">
        <v>0.74306241242361681</v>
      </c>
      <c r="H44" s="137">
        <v>0</v>
      </c>
      <c r="I44" s="138">
        <v>0.74306241242361681</v>
      </c>
      <c r="J44" s="138"/>
      <c r="K44" s="137"/>
      <c r="L44" s="138"/>
      <c r="M44" s="138">
        <v>0.74583893984935989</v>
      </c>
      <c r="N44" s="137">
        <v>0</v>
      </c>
      <c r="O44" s="138">
        <v>0.74583893984935989</v>
      </c>
      <c r="P44" s="138">
        <v>0.73800471309412963</v>
      </c>
      <c r="Q44" s="139">
        <v>7.8342267552302669E-3</v>
      </c>
    </row>
    <row r="45" spans="1:17" ht="14.1" customHeight="1" x14ac:dyDescent="0.25">
      <c r="A45" s="145">
        <f t="shared" si="1"/>
        <v>2020</v>
      </c>
      <c r="B45" s="146" t="str">
        <f t="shared" si="2"/>
        <v>2020 Q4</v>
      </c>
      <c r="C45" s="136">
        <v>44136</v>
      </c>
      <c r="D45" s="137">
        <v>5061616.7735897377</v>
      </c>
      <c r="E45" s="137">
        <v>0</v>
      </c>
      <c r="F45" s="137">
        <v>5061616.7735897377</v>
      </c>
      <c r="G45" s="138">
        <v>0.59135214356845256</v>
      </c>
      <c r="H45" s="137">
        <v>0</v>
      </c>
      <c r="I45" s="138">
        <v>0.59135214356845256</v>
      </c>
      <c r="J45" s="138"/>
      <c r="K45" s="137"/>
      <c r="L45" s="138"/>
      <c r="M45" s="138">
        <v>0.5937553016271484</v>
      </c>
      <c r="N45" s="137">
        <v>0</v>
      </c>
      <c r="O45" s="138">
        <v>0.5937553016271484</v>
      </c>
      <c r="P45" s="138">
        <v>0.56128478853707786</v>
      </c>
      <c r="Q45" s="139">
        <v>3.2470513090070541E-2</v>
      </c>
    </row>
    <row r="46" spans="1:17" ht="14.1" customHeight="1" x14ac:dyDescent="0.25">
      <c r="A46" s="145">
        <f t="shared" si="1"/>
        <v>2020</v>
      </c>
      <c r="B46" s="146" t="str">
        <f t="shared" si="2"/>
        <v>2020 Q4</v>
      </c>
      <c r="C46" s="140">
        <v>44166</v>
      </c>
      <c r="D46" s="141">
        <v>4293975.7260439256</v>
      </c>
      <c r="E46" s="141">
        <v>0</v>
      </c>
      <c r="F46" s="141">
        <v>4293975.7260439256</v>
      </c>
      <c r="G46" s="142">
        <v>0.52765502276093723</v>
      </c>
      <c r="H46" s="141">
        <v>0</v>
      </c>
      <c r="I46" s="142">
        <v>0.52765502276093723</v>
      </c>
      <c r="J46" s="142"/>
      <c r="K46" s="141"/>
      <c r="L46" s="142"/>
      <c r="M46" s="142">
        <v>0.52989628982145132</v>
      </c>
      <c r="N46" s="141">
        <v>0</v>
      </c>
      <c r="O46" s="142">
        <v>0.52989628982145132</v>
      </c>
      <c r="P46" s="142">
        <v>0.49786957856124475</v>
      </c>
      <c r="Q46" s="143">
        <v>3.2026711260206564E-2</v>
      </c>
    </row>
    <row r="47" spans="1:17" ht="14.1" customHeight="1" x14ac:dyDescent="0.25">
      <c r="A47" s="145">
        <f t="shared" si="1"/>
        <v>2021</v>
      </c>
      <c r="B47" s="146" t="str">
        <f t="shared" si="2"/>
        <v>2021 Q1</v>
      </c>
      <c r="C47" s="136">
        <v>44197</v>
      </c>
      <c r="D47" s="137">
        <v>3605661.2035315316</v>
      </c>
      <c r="E47" s="137">
        <v>0</v>
      </c>
      <c r="F47" s="137">
        <v>3605661.2035315316</v>
      </c>
      <c r="G47" s="138">
        <v>0.72531450656555085</v>
      </c>
      <c r="H47" s="137">
        <v>0</v>
      </c>
      <c r="I47" s="138">
        <v>0.72531450656555085</v>
      </c>
      <c r="J47" s="138"/>
      <c r="K47" s="137"/>
      <c r="L47" s="138"/>
      <c r="M47" s="138">
        <v>0.72983480701014425</v>
      </c>
      <c r="N47" s="137">
        <v>0</v>
      </c>
      <c r="O47" s="138">
        <v>0.72983480701014425</v>
      </c>
      <c r="P47" s="138">
        <v>0.87448994060065155</v>
      </c>
      <c r="Q47" s="139">
        <v>-0.1446551335905073</v>
      </c>
    </row>
    <row r="48" spans="1:17" ht="14.1" customHeight="1" x14ac:dyDescent="0.25">
      <c r="A48" s="145">
        <f t="shared" si="1"/>
        <v>2021</v>
      </c>
      <c r="B48" s="146" t="str">
        <f t="shared" si="2"/>
        <v>2021 Q1</v>
      </c>
      <c r="C48" s="136">
        <v>44228</v>
      </c>
      <c r="D48" s="137">
        <v>3778861.6148537509</v>
      </c>
      <c r="E48" s="137">
        <v>0</v>
      </c>
      <c r="F48" s="137">
        <v>3778861.6148537509</v>
      </c>
      <c r="G48" s="138">
        <v>0.67973886895895419</v>
      </c>
      <c r="H48" s="137">
        <v>0</v>
      </c>
      <c r="I48" s="138">
        <v>0.67973886895895408</v>
      </c>
      <c r="J48" s="138"/>
      <c r="K48" s="137"/>
      <c r="L48" s="138"/>
      <c r="M48" s="138">
        <v>0.68457393660717014</v>
      </c>
      <c r="N48" s="137">
        <v>0</v>
      </c>
      <c r="O48" s="138">
        <v>0.68457393660717014</v>
      </c>
      <c r="P48" s="138">
        <v>0.57306596522731423</v>
      </c>
      <c r="Q48" s="139">
        <v>0.11150797137985591</v>
      </c>
    </row>
    <row r="49" spans="1:17" ht="14.1" customHeight="1" x14ac:dyDescent="0.25">
      <c r="A49" s="145">
        <f t="shared" si="1"/>
        <v>2021</v>
      </c>
      <c r="B49" s="146" t="str">
        <f t="shared" si="2"/>
        <v>2021 Q1</v>
      </c>
      <c r="C49" s="136">
        <v>44256</v>
      </c>
      <c r="D49" s="137">
        <v>3892848.5680688205</v>
      </c>
      <c r="E49" s="137">
        <v>0</v>
      </c>
      <c r="F49" s="137">
        <v>3892848.5680688205</v>
      </c>
      <c r="G49" s="138">
        <v>0.79201547441391096</v>
      </c>
      <c r="H49" s="137">
        <v>0</v>
      </c>
      <c r="I49" s="138">
        <v>0.79201547441391096</v>
      </c>
      <c r="J49" s="138"/>
      <c r="K49" s="137"/>
      <c r="L49" s="138"/>
      <c r="M49" s="138">
        <v>0.7970624749444547</v>
      </c>
      <c r="N49" s="137">
        <v>0</v>
      </c>
      <c r="O49" s="138">
        <v>0.7970624749444547</v>
      </c>
      <c r="P49" s="138">
        <v>0.89947181949456012</v>
      </c>
      <c r="Q49" s="139">
        <v>-0.10240934455010542</v>
      </c>
    </row>
    <row r="50" spans="1:17" ht="14.1" customHeight="1" x14ac:dyDescent="0.25">
      <c r="A50" s="145">
        <f t="shared" si="1"/>
        <v>2021</v>
      </c>
      <c r="B50" s="146" t="str">
        <f t="shared" ref="B50:B81" si="3">YEAR(C50)&amp;" Q"&amp;ROUNDUP(MONTH(C50)*4/12,0)</f>
        <v>2021 Q2</v>
      </c>
      <c r="C50" s="136">
        <v>44287</v>
      </c>
      <c r="D50" s="137">
        <v>4761249.8139392743</v>
      </c>
      <c r="E50" s="137">
        <v>0</v>
      </c>
      <c r="F50" s="137">
        <v>4761249.8139392743</v>
      </c>
      <c r="G50" s="138">
        <v>0.9227600335724454</v>
      </c>
      <c r="H50" s="137">
        <v>0</v>
      </c>
      <c r="I50" s="138">
        <v>0.9227600335724454</v>
      </c>
      <c r="J50" s="138"/>
      <c r="K50" s="137"/>
      <c r="L50" s="138"/>
      <c r="M50" s="138">
        <v>0.92936908542127439</v>
      </c>
      <c r="N50" s="137">
        <v>0</v>
      </c>
      <c r="O50" s="138">
        <v>0.92936908542127439</v>
      </c>
      <c r="P50" s="138">
        <v>0.89230046122219597</v>
      </c>
      <c r="Q50" s="139">
        <v>3.7068624199078415E-2</v>
      </c>
    </row>
    <row r="51" spans="1:17" ht="14.1" customHeight="1" x14ac:dyDescent="0.25">
      <c r="A51" s="145">
        <f t="shared" si="1"/>
        <v>2021</v>
      </c>
      <c r="B51" s="146" t="str">
        <f t="shared" si="3"/>
        <v>2021 Q2</v>
      </c>
      <c r="C51" s="136">
        <v>44317</v>
      </c>
      <c r="D51" s="137">
        <v>5990963.1646344624</v>
      </c>
      <c r="E51" s="137">
        <v>0</v>
      </c>
      <c r="F51" s="137">
        <v>5990963.1646344624</v>
      </c>
      <c r="G51" s="138">
        <v>1.0277054457993891</v>
      </c>
      <c r="H51" s="137">
        <v>0</v>
      </c>
      <c r="I51" s="138">
        <v>1.0277054457993891</v>
      </c>
      <c r="J51" s="138"/>
      <c r="K51" s="137"/>
      <c r="L51" s="138"/>
      <c r="M51" s="138">
        <v>1.0358411547128648</v>
      </c>
      <c r="N51" s="137">
        <v>0</v>
      </c>
      <c r="O51" s="138">
        <v>1.0358411547128648</v>
      </c>
      <c r="P51" s="138">
        <v>1.039856654231271</v>
      </c>
      <c r="Q51" s="139">
        <v>-4.0154995184062958E-3</v>
      </c>
    </row>
    <row r="52" spans="1:17" ht="14.1" customHeight="1" x14ac:dyDescent="0.25">
      <c r="A52" s="145">
        <f t="shared" si="1"/>
        <v>2021</v>
      </c>
      <c r="B52" s="146" t="str">
        <f t="shared" si="3"/>
        <v>2021 Q2</v>
      </c>
      <c r="C52" s="136">
        <v>44348</v>
      </c>
      <c r="D52" s="137">
        <v>8166242.6086350689</v>
      </c>
      <c r="E52" s="137">
        <v>0</v>
      </c>
      <c r="F52" s="137">
        <v>8166242.6086350689</v>
      </c>
      <c r="G52" s="138">
        <v>1.0064093442842501</v>
      </c>
      <c r="H52" s="137">
        <v>0</v>
      </c>
      <c r="I52" s="138">
        <v>1.0064093442842501</v>
      </c>
      <c r="J52" s="138"/>
      <c r="K52" s="137"/>
      <c r="L52" s="138"/>
      <c r="M52" s="138">
        <v>1.0172273029021899</v>
      </c>
      <c r="N52" s="137">
        <v>0</v>
      </c>
      <c r="O52" s="138">
        <v>1.0172273029021899</v>
      </c>
      <c r="P52" s="138">
        <v>1.0837556396192072</v>
      </c>
      <c r="Q52" s="139">
        <v>-6.65283367170173E-2</v>
      </c>
    </row>
    <row r="53" spans="1:17" ht="14.1" customHeight="1" x14ac:dyDescent="0.25">
      <c r="A53" s="145">
        <f t="shared" si="1"/>
        <v>2021</v>
      </c>
      <c r="B53" s="146" t="str">
        <f t="shared" si="3"/>
        <v>2021 Q3</v>
      </c>
      <c r="C53" s="136">
        <v>44378</v>
      </c>
      <c r="D53" s="137">
        <v>10077720.599623105</v>
      </c>
      <c r="E53" s="137">
        <v>0</v>
      </c>
      <c r="F53" s="137">
        <v>10077720.599623105</v>
      </c>
      <c r="G53" s="138">
        <v>0.96778650068890437</v>
      </c>
      <c r="H53" s="137">
        <v>0</v>
      </c>
      <c r="I53" s="138">
        <v>0.96778650068890437</v>
      </c>
      <c r="J53" s="138"/>
      <c r="K53" s="137"/>
      <c r="L53" s="138"/>
      <c r="M53" s="138">
        <v>0.98077861285037038</v>
      </c>
      <c r="N53" s="137">
        <v>0</v>
      </c>
      <c r="O53" s="138">
        <v>0.98077861285037038</v>
      </c>
      <c r="P53" s="138">
        <v>1.0090535002579817</v>
      </c>
      <c r="Q53" s="139">
        <v>-2.8274887407611304E-2</v>
      </c>
    </row>
    <row r="54" spans="1:17" ht="14.1" customHeight="1" x14ac:dyDescent="0.25">
      <c r="A54" s="145">
        <f t="shared" si="1"/>
        <v>2021</v>
      </c>
      <c r="B54" s="146" t="str">
        <f t="shared" si="3"/>
        <v>2021 Q3</v>
      </c>
      <c r="C54" s="136">
        <v>44409</v>
      </c>
      <c r="D54" s="137">
        <v>8518805.4160544593</v>
      </c>
      <c r="E54" s="137">
        <v>0</v>
      </c>
      <c r="F54" s="137">
        <v>8518805.4160544593</v>
      </c>
      <c r="G54" s="138">
        <v>0.94947047134504536</v>
      </c>
      <c r="H54" s="137">
        <v>0</v>
      </c>
      <c r="I54" s="138">
        <v>0.94947047134504536</v>
      </c>
      <c r="J54" s="138"/>
      <c r="K54" s="137"/>
      <c r="L54" s="138"/>
      <c r="M54" s="138">
        <v>0.959003814017519</v>
      </c>
      <c r="N54" s="137">
        <v>0</v>
      </c>
      <c r="O54" s="138">
        <v>0.959003814017519</v>
      </c>
      <c r="P54" s="138">
        <v>0.94209084309452196</v>
      </c>
      <c r="Q54" s="139">
        <v>1.6912970922997039E-2</v>
      </c>
    </row>
    <row r="55" spans="1:17" ht="14.1" customHeight="1" x14ac:dyDescent="0.25">
      <c r="A55" s="145">
        <f t="shared" si="1"/>
        <v>2021</v>
      </c>
      <c r="B55" s="146" t="str">
        <f t="shared" si="3"/>
        <v>2021 Q3</v>
      </c>
      <c r="C55" s="136">
        <v>44440</v>
      </c>
      <c r="D55" s="137">
        <v>10939567.07301373</v>
      </c>
      <c r="E55" s="137">
        <v>0</v>
      </c>
      <c r="F55" s="137">
        <v>10939567.07301373</v>
      </c>
      <c r="G55" s="138">
        <v>0.82823484768294664</v>
      </c>
      <c r="H55" s="137">
        <v>0</v>
      </c>
      <c r="I55" s="138">
        <v>0.82823484768294664</v>
      </c>
      <c r="J55" s="138"/>
      <c r="K55" s="137"/>
      <c r="L55" s="138"/>
      <c r="M55" s="138">
        <v>0.8366351836201168</v>
      </c>
      <c r="N55" s="137">
        <v>0</v>
      </c>
      <c r="O55" s="138">
        <v>0.8366351836201168</v>
      </c>
      <c r="P55" s="138">
        <v>0.75813730420915681</v>
      </c>
      <c r="Q55" s="139">
        <v>7.8497879410959981E-2</v>
      </c>
    </row>
    <row r="56" spans="1:17" ht="14.1" customHeight="1" x14ac:dyDescent="0.25">
      <c r="A56" s="145">
        <f t="shared" si="1"/>
        <v>2021</v>
      </c>
      <c r="B56" s="146" t="str">
        <f t="shared" si="3"/>
        <v>2021 Q4</v>
      </c>
      <c r="C56" s="136">
        <v>44470</v>
      </c>
      <c r="D56" s="137">
        <v>10408641.859501489</v>
      </c>
      <c r="E56" s="137">
        <v>0</v>
      </c>
      <c r="F56" s="137">
        <v>10408641.859501489</v>
      </c>
      <c r="G56" s="138">
        <v>0.99063943301326551</v>
      </c>
      <c r="H56" s="137">
        <v>0</v>
      </c>
      <c r="I56" s="138">
        <v>0.9906394330132654</v>
      </c>
      <c r="J56" s="138"/>
      <c r="K56" s="137"/>
      <c r="L56" s="138"/>
      <c r="M56" s="138">
        <v>1.0043526572368076</v>
      </c>
      <c r="N56" s="137">
        <v>0</v>
      </c>
      <c r="O56" s="138">
        <v>1.0043526572368076</v>
      </c>
      <c r="P56" s="138">
        <v>0.93292357131401116</v>
      </c>
      <c r="Q56" s="139">
        <v>7.1429085922796398E-2</v>
      </c>
    </row>
    <row r="57" spans="1:17" ht="14.1" customHeight="1" x14ac:dyDescent="0.25">
      <c r="A57" s="145">
        <f t="shared" si="1"/>
        <v>2021</v>
      </c>
      <c r="B57" s="146" t="str">
        <f t="shared" si="3"/>
        <v>2021 Q4</v>
      </c>
      <c r="C57" s="136">
        <v>44501</v>
      </c>
      <c r="D57" s="137">
        <v>9981957.0771819428</v>
      </c>
      <c r="E57" s="137">
        <v>0</v>
      </c>
      <c r="F57" s="137">
        <v>9981957.0771819428</v>
      </c>
      <c r="G57" s="138">
        <v>0.97954773796241967</v>
      </c>
      <c r="H57" s="137">
        <v>0</v>
      </c>
      <c r="I57" s="138">
        <v>0.97954773796241978</v>
      </c>
      <c r="J57" s="138"/>
      <c r="K57" s="137"/>
      <c r="L57" s="138"/>
      <c r="M57" s="138">
        <v>0.99192881133142752</v>
      </c>
      <c r="N57" s="137">
        <v>0</v>
      </c>
      <c r="O57" s="138">
        <v>0.99192881133142752</v>
      </c>
      <c r="P57" s="138">
        <v>0.94301824409305479</v>
      </c>
      <c r="Q57" s="139">
        <v>4.8910567238372726E-2</v>
      </c>
    </row>
    <row r="58" spans="1:17" ht="14.1" customHeight="1" x14ac:dyDescent="0.25">
      <c r="A58" s="145">
        <f t="shared" si="1"/>
        <v>2021</v>
      </c>
      <c r="B58" s="146" t="str">
        <f t="shared" si="3"/>
        <v>2021 Q4</v>
      </c>
      <c r="C58" s="140">
        <v>44531</v>
      </c>
      <c r="D58" s="141">
        <v>8738178.1687171143</v>
      </c>
      <c r="E58" s="141">
        <v>0</v>
      </c>
      <c r="F58" s="141">
        <v>8738178.1687171143</v>
      </c>
      <c r="G58" s="142">
        <v>1.0383006699926862</v>
      </c>
      <c r="H58" s="141">
        <v>0</v>
      </c>
      <c r="I58" s="142">
        <v>1.0383006699926862</v>
      </c>
      <c r="J58" s="142"/>
      <c r="K58" s="141"/>
      <c r="L58" s="142"/>
      <c r="M58" s="142">
        <v>1.0514155670280316</v>
      </c>
      <c r="N58" s="141">
        <v>0</v>
      </c>
      <c r="O58" s="142">
        <v>1.0514155670280316</v>
      </c>
      <c r="P58" s="142">
        <v>1.0575927293401979</v>
      </c>
      <c r="Q58" s="143">
        <v>-6.1771623121662511E-3</v>
      </c>
    </row>
    <row r="59" spans="1:17" ht="14.1" customHeight="1" x14ac:dyDescent="0.25">
      <c r="A59" s="145">
        <f t="shared" si="1"/>
        <v>2022</v>
      </c>
      <c r="B59" s="146" t="str">
        <f t="shared" si="3"/>
        <v>2022 Q1</v>
      </c>
      <c r="C59" s="136">
        <v>44562</v>
      </c>
      <c r="D59" s="137">
        <v>9898541.4741593394</v>
      </c>
      <c r="E59" s="137">
        <v>0</v>
      </c>
      <c r="F59" s="137">
        <v>9898541.4741593394</v>
      </c>
      <c r="G59" s="138">
        <v>1.0530411302593836</v>
      </c>
      <c r="H59" s="137">
        <v>0</v>
      </c>
      <c r="I59" s="138">
        <v>1.0530411302593836</v>
      </c>
      <c r="J59" s="138"/>
      <c r="K59" s="137"/>
      <c r="L59" s="138"/>
      <c r="M59" s="138">
        <v>1.0697823087634233</v>
      </c>
      <c r="N59" s="137">
        <v>0</v>
      </c>
      <c r="O59" s="138">
        <v>1.0697823087634233</v>
      </c>
      <c r="P59" s="138">
        <v>1.0005901420914147</v>
      </c>
      <c r="Q59" s="139">
        <v>6.9192166672008559E-2</v>
      </c>
    </row>
    <row r="60" spans="1:17" ht="14.1" customHeight="1" x14ac:dyDescent="0.25">
      <c r="A60" s="145">
        <f t="shared" si="1"/>
        <v>2022</v>
      </c>
      <c r="B60" s="146" t="str">
        <f t="shared" si="3"/>
        <v>2022 Q1</v>
      </c>
      <c r="C60" s="136">
        <v>44593</v>
      </c>
      <c r="D60" s="137">
        <v>9285962.4853484053</v>
      </c>
      <c r="E60" s="137">
        <v>0</v>
      </c>
      <c r="F60" s="137">
        <v>9285962.4853484053</v>
      </c>
      <c r="G60" s="138">
        <v>0.96860251859501734</v>
      </c>
      <c r="H60" s="137">
        <v>0</v>
      </c>
      <c r="I60" s="138">
        <v>0.96860251859501734</v>
      </c>
      <c r="J60" s="138"/>
      <c r="K60" s="137"/>
      <c r="L60" s="138"/>
      <c r="M60" s="138">
        <v>0.98395381547920147</v>
      </c>
      <c r="N60" s="137">
        <v>0</v>
      </c>
      <c r="O60" s="138">
        <v>0.98395381547920147</v>
      </c>
      <c r="P60" s="138">
        <v>1.0187818029695728</v>
      </c>
      <c r="Q60" s="139">
        <v>-3.4827987490371304E-2</v>
      </c>
    </row>
    <row r="61" spans="1:17" ht="14.1" customHeight="1" x14ac:dyDescent="0.25">
      <c r="A61" s="145">
        <f t="shared" si="1"/>
        <v>2022</v>
      </c>
      <c r="B61" s="146" t="str">
        <f t="shared" si="3"/>
        <v>2022 Q1</v>
      </c>
      <c r="C61" s="136">
        <v>44621</v>
      </c>
      <c r="D61" s="137">
        <v>9995251.8337839637</v>
      </c>
      <c r="E61" s="137">
        <v>0</v>
      </c>
      <c r="F61" s="137">
        <v>9995251.8337839637</v>
      </c>
      <c r="G61" s="138">
        <v>0.97884056281666132</v>
      </c>
      <c r="H61" s="137">
        <v>0</v>
      </c>
      <c r="I61" s="138">
        <v>0.97884056281666132</v>
      </c>
      <c r="J61" s="138"/>
      <c r="K61" s="137"/>
      <c r="L61" s="138"/>
      <c r="M61" s="138">
        <v>0.99090259450069651</v>
      </c>
      <c r="N61" s="137">
        <v>0</v>
      </c>
      <c r="O61" s="138">
        <v>0.99090259450069651</v>
      </c>
      <c r="P61" s="138">
        <v>0.95057781371840422</v>
      </c>
      <c r="Q61" s="139">
        <v>4.0324780782292291E-2</v>
      </c>
    </row>
    <row r="62" spans="1:17" ht="14.1" customHeight="1" x14ac:dyDescent="0.25">
      <c r="A62" s="145">
        <f t="shared" si="1"/>
        <v>2022</v>
      </c>
      <c r="B62" s="146" t="str">
        <f t="shared" si="3"/>
        <v>2022 Q2</v>
      </c>
      <c r="C62" s="136">
        <v>44652</v>
      </c>
      <c r="D62" s="137">
        <v>9576658.8937659971</v>
      </c>
      <c r="E62" s="137">
        <v>0</v>
      </c>
      <c r="F62" s="137">
        <v>9576658.8937659971</v>
      </c>
      <c r="G62" s="138">
        <v>1.0645468663697564</v>
      </c>
      <c r="H62" s="137">
        <v>0</v>
      </c>
      <c r="I62" s="138">
        <v>1.0645468663697564</v>
      </c>
      <c r="J62" s="138"/>
      <c r="K62" s="137"/>
      <c r="L62" s="138"/>
      <c r="M62" s="138">
        <v>1.079263880800827</v>
      </c>
      <c r="N62" s="137">
        <v>0</v>
      </c>
      <c r="O62" s="138">
        <v>1.079263880800827</v>
      </c>
      <c r="P62" s="138">
        <v>1.0199858084912106</v>
      </c>
      <c r="Q62" s="139">
        <v>5.9278072309616459E-2</v>
      </c>
    </row>
    <row r="63" spans="1:17" ht="14.1" customHeight="1" x14ac:dyDescent="0.25">
      <c r="A63" s="145">
        <f t="shared" si="1"/>
        <v>2022</v>
      </c>
      <c r="B63" s="146" t="str">
        <f t="shared" si="3"/>
        <v>2022 Q2</v>
      </c>
      <c r="C63" s="136">
        <v>44682</v>
      </c>
      <c r="D63" s="137">
        <v>11276309.91377309</v>
      </c>
      <c r="E63" s="137">
        <v>0</v>
      </c>
      <c r="F63" s="137">
        <v>11276309.91377309</v>
      </c>
      <c r="G63" s="138">
        <v>1.0046620983466412</v>
      </c>
      <c r="H63" s="137">
        <v>0</v>
      </c>
      <c r="I63" s="138">
        <v>1.0046620983466412</v>
      </c>
      <c r="J63" s="138"/>
      <c r="K63" s="137"/>
      <c r="L63" s="138"/>
      <c r="M63" s="138">
        <v>1.0180828435262443</v>
      </c>
      <c r="N63" s="137">
        <v>0</v>
      </c>
      <c r="O63" s="138">
        <v>1.0180828435262443</v>
      </c>
      <c r="P63" s="138">
        <v>1.0021042359218886</v>
      </c>
      <c r="Q63" s="139">
        <v>1.5978607604355766E-2</v>
      </c>
    </row>
    <row r="64" spans="1:17" ht="14.1" customHeight="1" x14ac:dyDescent="0.25">
      <c r="A64" s="145">
        <f t="shared" si="1"/>
        <v>2022</v>
      </c>
      <c r="B64" s="146" t="str">
        <f t="shared" si="3"/>
        <v>2022 Q2</v>
      </c>
      <c r="C64" s="136">
        <v>44713</v>
      </c>
      <c r="D64" s="137">
        <v>12354858.226321792</v>
      </c>
      <c r="E64" s="137">
        <v>0</v>
      </c>
      <c r="F64" s="137">
        <v>12354858.226321792</v>
      </c>
      <c r="G64" s="138">
        <v>1.0620697181979952</v>
      </c>
      <c r="H64" s="137">
        <v>0</v>
      </c>
      <c r="I64" s="138">
        <v>1.0620697181979952</v>
      </c>
      <c r="J64" s="138"/>
      <c r="K64" s="137"/>
      <c r="L64" s="138"/>
      <c r="M64" s="138">
        <v>1.0732484445850994</v>
      </c>
      <c r="N64" s="137">
        <v>0</v>
      </c>
      <c r="O64" s="138">
        <v>1.0732484445850994</v>
      </c>
      <c r="P64" s="138">
        <v>1.0495440566746912</v>
      </c>
      <c r="Q64" s="139">
        <v>2.3704387910408187E-2</v>
      </c>
    </row>
    <row r="65" spans="1:17" ht="14.1" customHeight="1" x14ac:dyDescent="0.25">
      <c r="A65" s="145">
        <f t="shared" si="1"/>
        <v>2022</v>
      </c>
      <c r="B65" s="146" t="str">
        <f t="shared" si="3"/>
        <v>2022 Q3</v>
      </c>
      <c r="C65" s="136">
        <v>44743</v>
      </c>
      <c r="D65" s="137">
        <v>14702107.89420083</v>
      </c>
      <c r="E65" s="137">
        <v>0</v>
      </c>
      <c r="F65" s="137">
        <v>14702107.89420083</v>
      </c>
      <c r="G65" s="138">
        <v>1.0264988568644831</v>
      </c>
      <c r="H65" s="137">
        <v>0</v>
      </c>
      <c r="I65" s="138">
        <v>1.0264988568644831</v>
      </c>
      <c r="J65" s="138"/>
      <c r="K65" s="137"/>
      <c r="L65" s="138"/>
      <c r="M65" s="138">
        <v>1.0377525651940178</v>
      </c>
      <c r="N65" s="137">
        <v>0</v>
      </c>
      <c r="O65" s="138">
        <v>1.0377525651940178</v>
      </c>
      <c r="P65" s="138">
        <v>1.0920582513113892</v>
      </c>
      <c r="Q65" s="139">
        <v>-5.430568611737141E-2</v>
      </c>
    </row>
    <row r="66" spans="1:17" ht="14.1" customHeight="1" x14ac:dyDescent="0.25">
      <c r="A66" s="145">
        <f t="shared" si="1"/>
        <v>2022</v>
      </c>
      <c r="B66" s="146" t="str">
        <f t="shared" si="3"/>
        <v>2022 Q3</v>
      </c>
      <c r="C66" s="136">
        <v>44774</v>
      </c>
      <c r="D66" s="137">
        <v>12490081.279784946</v>
      </c>
      <c r="E66" s="137">
        <v>0</v>
      </c>
      <c r="F66" s="137">
        <v>12490081.279784946</v>
      </c>
      <c r="G66" s="138">
        <v>1.0043109965837784</v>
      </c>
      <c r="H66" s="137">
        <v>0</v>
      </c>
      <c r="I66" s="138">
        <v>1.0043109965837784</v>
      </c>
      <c r="J66" s="138"/>
      <c r="K66" s="137"/>
      <c r="L66" s="138"/>
      <c r="M66" s="138">
        <v>1.0176906549809936</v>
      </c>
      <c r="N66" s="137">
        <v>0</v>
      </c>
      <c r="O66" s="138">
        <v>1.0176906549809936</v>
      </c>
      <c r="P66" s="138">
        <v>0.98423037442831218</v>
      </c>
      <c r="Q66" s="139">
        <v>3.3460280552681465E-2</v>
      </c>
    </row>
    <row r="67" spans="1:17" ht="14.1" customHeight="1" x14ac:dyDescent="0.25">
      <c r="A67" s="145">
        <f t="shared" si="1"/>
        <v>2022</v>
      </c>
      <c r="B67" s="146" t="str">
        <f t="shared" si="3"/>
        <v>2022 Q3</v>
      </c>
      <c r="C67" s="136">
        <v>44805</v>
      </c>
      <c r="D67" s="137">
        <v>13226924.234300219</v>
      </c>
      <c r="E67" s="137">
        <v>0</v>
      </c>
      <c r="F67" s="137">
        <v>13226924.234300219</v>
      </c>
      <c r="G67" s="138">
        <v>0.91347355255765383</v>
      </c>
      <c r="H67" s="137">
        <v>0</v>
      </c>
      <c r="I67" s="138">
        <v>0.91347355255765372</v>
      </c>
      <c r="J67" s="138"/>
      <c r="K67" s="137"/>
      <c r="L67" s="138"/>
      <c r="M67" s="138">
        <v>0.92332803278350106</v>
      </c>
      <c r="N67" s="137">
        <v>0</v>
      </c>
      <c r="O67" s="138">
        <v>0.92332803278350106</v>
      </c>
      <c r="P67" s="138">
        <v>0.88615296619047634</v>
      </c>
      <c r="Q67" s="139">
        <v>3.7175066593024719E-2</v>
      </c>
    </row>
    <row r="68" spans="1:17" ht="14.1" customHeight="1" x14ac:dyDescent="0.25">
      <c r="A68" s="145">
        <f t="shared" si="1"/>
        <v>2022</v>
      </c>
      <c r="B68" s="146" t="str">
        <f t="shared" si="3"/>
        <v>2022 Q4</v>
      </c>
      <c r="C68" s="136">
        <v>44835</v>
      </c>
      <c r="D68" s="137">
        <v>13280228.39356778</v>
      </c>
      <c r="E68" s="137">
        <v>0</v>
      </c>
      <c r="F68" s="137">
        <v>13280228.39356778</v>
      </c>
      <c r="G68" s="138">
        <v>0.90537883210180281</v>
      </c>
      <c r="H68" s="137">
        <v>0</v>
      </c>
      <c r="I68" s="138">
        <v>0.90537883210180281</v>
      </c>
      <c r="J68" s="138"/>
      <c r="K68" s="137"/>
      <c r="L68" s="138"/>
      <c r="M68" s="138">
        <v>0.91400417985077032</v>
      </c>
      <c r="N68" s="137">
        <v>0</v>
      </c>
      <c r="O68" s="138">
        <v>0.91400417985077043</v>
      </c>
      <c r="P68" s="138">
        <v>0.87720465257999913</v>
      </c>
      <c r="Q68" s="139">
        <v>3.6799527270771293E-2</v>
      </c>
    </row>
    <row r="69" spans="1:17" ht="14.1" customHeight="1" x14ac:dyDescent="0.25">
      <c r="A69" s="145">
        <f t="shared" si="1"/>
        <v>2022</v>
      </c>
      <c r="B69" s="146" t="str">
        <f t="shared" si="3"/>
        <v>2022 Q4</v>
      </c>
      <c r="C69" s="136">
        <v>44866</v>
      </c>
      <c r="D69" s="137">
        <v>10195621.828492334</v>
      </c>
      <c r="E69" s="137">
        <v>0</v>
      </c>
      <c r="F69" s="137">
        <v>10195621.828492334</v>
      </c>
      <c r="G69" s="138">
        <v>0.95985354117849597</v>
      </c>
      <c r="H69" s="137">
        <v>0</v>
      </c>
      <c r="I69" s="138">
        <v>0.95985354117849597</v>
      </c>
      <c r="J69" s="138"/>
      <c r="K69" s="137"/>
      <c r="L69" s="138"/>
      <c r="M69" s="138">
        <v>0.96926145354282145</v>
      </c>
      <c r="N69" s="137">
        <v>0</v>
      </c>
      <c r="O69" s="138">
        <v>0.96926145354282134</v>
      </c>
      <c r="P69" s="138">
        <v>1.0034967298040296</v>
      </c>
      <c r="Q69" s="139">
        <v>-3.4235276261208258E-2</v>
      </c>
    </row>
    <row r="70" spans="1:17" ht="14.1" customHeight="1" x14ac:dyDescent="0.25">
      <c r="A70" s="145">
        <f t="shared" si="1"/>
        <v>2022</v>
      </c>
      <c r="B70" s="146" t="str">
        <f t="shared" si="3"/>
        <v>2022 Q4</v>
      </c>
      <c r="C70" s="140">
        <v>44896</v>
      </c>
      <c r="D70" s="141">
        <v>8400944.6087489165</v>
      </c>
      <c r="E70" s="141">
        <v>0</v>
      </c>
      <c r="F70" s="141">
        <v>8400944.6087489165</v>
      </c>
      <c r="G70" s="142">
        <v>0.94210583790605018</v>
      </c>
      <c r="H70" s="141">
        <v>0</v>
      </c>
      <c r="I70" s="142">
        <v>0.94210583790605018</v>
      </c>
      <c r="J70" s="142"/>
      <c r="K70" s="141"/>
      <c r="L70" s="142"/>
      <c r="M70" s="142">
        <v>0.95336770083557365</v>
      </c>
      <c r="N70" s="141">
        <v>0</v>
      </c>
      <c r="O70" s="142">
        <v>0.95336770083557365</v>
      </c>
      <c r="P70" s="142">
        <v>0.99251303638598254</v>
      </c>
      <c r="Q70" s="143">
        <v>-3.9145335550408888E-2</v>
      </c>
    </row>
    <row r="71" spans="1:17" ht="14.1" customHeight="1" x14ac:dyDescent="0.25">
      <c r="A71" s="145">
        <f t="shared" si="1"/>
        <v>2023</v>
      </c>
      <c r="B71" s="146" t="str">
        <f t="shared" si="3"/>
        <v>2023 Q1</v>
      </c>
      <c r="C71" s="136">
        <v>44927</v>
      </c>
      <c r="D71" s="137">
        <v>8290919.4525651261</v>
      </c>
      <c r="E71" s="137">
        <v>0</v>
      </c>
      <c r="F71" s="137">
        <v>8290919.4525651261</v>
      </c>
      <c r="G71" s="138">
        <v>0.89493181612699357</v>
      </c>
      <c r="H71" s="137">
        <v>0</v>
      </c>
      <c r="I71" s="138">
        <v>0.89493181612699357</v>
      </c>
      <c r="J71" s="138"/>
      <c r="K71" s="137"/>
      <c r="L71" s="138"/>
      <c r="M71" s="138">
        <v>0.90097795043213535</v>
      </c>
      <c r="N71" s="137">
        <v>0</v>
      </c>
      <c r="O71" s="138">
        <v>0.90097795043213535</v>
      </c>
      <c r="P71" s="138">
        <v>0.9374785899576018</v>
      </c>
      <c r="Q71" s="139">
        <v>-3.650063952546645E-2</v>
      </c>
    </row>
    <row r="72" spans="1:17" ht="14.1" customHeight="1" x14ac:dyDescent="0.25">
      <c r="A72" s="145">
        <f t="shared" si="1"/>
        <v>2023</v>
      </c>
      <c r="B72" s="146" t="str">
        <f t="shared" si="3"/>
        <v>2023 Q1</v>
      </c>
      <c r="C72" s="136">
        <v>44958</v>
      </c>
      <c r="D72" s="137">
        <v>8112149.9071124336</v>
      </c>
      <c r="E72" s="137">
        <v>0</v>
      </c>
      <c r="F72" s="137">
        <v>8112149.9071124336</v>
      </c>
      <c r="G72" s="138">
        <v>0.7577440466555192</v>
      </c>
      <c r="H72" s="137">
        <v>0</v>
      </c>
      <c r="I72" s="138">
        <v>0.7577440466555192</v>
      </c>
      <c r="J72" s="138"/>
      <c r="K72" s="137"/>
      <c r="L72" s="138"/>
      <c r="M72" s="138">
        <v>0.76363419489594975</v>
      </c>
      <c r="N72" s="137">
        <v>0</v>
      </c>
      <c r="O72" s="138">
        <v>0.76363419489594975</v>
      </c>
      <c r="P72" s="138">
        <v>0.73515908645725203</v>
      </c>
      <c r="Q72" s="139">
        <v>2.8475108438697716E-2</v>
      </c>
    </row>
    <row r="73" spans="1:17" ht="14.1" customHeight="1" x14ac:dyDescent="0.25">
      <c r="A73" s="145">
        <f t="shared" si="1"/>
        <v>2023</v>
      </c>
      <c r="B73" s="146" t="str">
        <f t="shared" si="3"/>
        <v>2023 Q1</v>
      </c>
      <c r="C73" s="136">
        <v>44986</v>
      </c>
      <c r="D73" s="137">
        <v>8229329.7781989863</v>
      </c>
      <c r="E73" s="137">
        <v>0</v>
      </c>
      <c r="F73" s="137">
        <v>8229329.7781989863</v>
      </c>
      <c r="G73" s="138">
        <v>1.0171266808354267</v>
      </c>
      <c r="H73" s="137">
        <v>0</v>
      </c>
      <c r="I73" s="138">
        <v>1.0171266808354267</v>
      </c>
      <c r="J73" s="138"/>
      <c r="K73" s="137"/>
      <c r="L73" s="138"/>
      <c r="M73" s="138">
        <v>1.0236342586498675</v>
      </c>
      <c r="N73" s="137">
        <v>0</v>
      </c>
      <c r="O73" s="138">
        <v>1.0236342586498675</v>
      </c>
      <c r="P73" s="138">
        <v>1.1236020558041868</v>
      </c>
      <c r="Q73" s="139">
        <v>-9.996779715431936E-2</v>
      </c>
    </row>
    <row r="74" spans="1:17" ht="14.1" customHeight="1" x14ac:dyDescent="0.25">
      <c r="A74" s="145">
        <f t="shared" ref="A74:A94" si="4">YEAR(C74)</f>
        <v>2023</v>
      </c>
      <c r="B74" s="146" t="str">
        <f t="shared" si="3"/>
        <v>2023 Q2</v>
      </c>
      <c r="C74" s="136">
        <v>45017</v>
      </c>
      <c r="D74" s="137">
        <v>7473675.8639096022</v>
      </c>
      <c r="E74" s="137">
        <v>0</v>
      </c>
      <c r="F74" s="137">
        <v>7473675.8639096022</v>
      </c>
      <c r="G74" s="138">
        <v>0.85126478980782772</v>
      </c>
      <c r="H74" s="137">
        <v>0</v>
      </c>
      <c r="I74" s="138">
        <v>0.85126478980782772</v>
      </c>
      <c r="J74" s="138"/>
      <c r="K74" s="137"/>
      <c r="L74" s="138"/>
      <c r="M74" s="138">
        <v>0.85969734303468615</v>
      </c>
      <c r="N74" s="137">
        <v>0</v>
      </c>
      <c r="O74" s="138">
        <v>0.85969734303468615</v>
      </c>
      <c r="P74" s="138">
        <v>0.88259512313056931</v>
      </c>
      <c r="Q74" s="139">
        <v>-2.2897780095883169E-2</v>
      </c>
    </row>
    <row r="75" spans="1:17" ht="14.1" customHeight="1" x14ac:dyDescent="0.25">
      <c r="A75" s="145">
        <f t="shared" si="4"/>
        <v>2023</v>
      </c>
      <c r="B75" s="146" t="str">
        <f t="shared" si="3"/>
        <v>2023 Q2</v>
      </c>
      <c r="C75" s="136">
        <v>45047</v>
      </c>
      <c r="D75" s="137">
        <v>8025829.9815008705</v>
      </c>
      <c r="E75" s="137">
        <v>0</v>
      </c>
      <c r="F75" s="137">
        <v>8025829.9815008705</v>
      </c>
      <c r="G75" s="138">
        <v>0.80181518722801637</v>
      </c>
      <c r="H75" s="137">
        <v>0</v>
      </c>
      <c r="I75" s="138">
        <v>0.80181518722801637</v>
      </c>
      <c r="J75" s="138"/>
      <c r="K75" s="137"/>
      <c r="L75" s="138"/>
      <c r="M75" s="138">
        <v>0.81034556142342395</v>
      </c>
      <c r="N75" s="137">
        <v>0</v>
      </c>
      <c r="O75" s="138">
        <v>0.81034556142342395</v>
      </c>
      <c r="P75" s="138">
        <v>0.79017404820048265</v>
      </c>
      <c r="Q75" s="139">
        <v>2.0171513222941306E-2</v>
      </c>
    </row>
    <row r="76" spans="1:17" ht="14.1" customHeight="1" x14ac:dyDescent="0.25">
      <c r="A76" s="145">
        <f t="shared" si="4"/>
        <v>2023</v>
      </c>
      <c r="B76" s="146" t="str">
        <f t="shared" si="3"/>
        <v>2023 Q2</v>
      </c>
      <c r="C76" s="136">
        <v>45078</v>
      </c>
      <c r="D76" s="137">
        <v>8399985.1592088826</v>
      </c>
      <c r="E76" s="137">
        <v>0</v>
      </c>
      <c r="F76" s="137">
        <v>8399985.1592088826</v>
      </c>
      <c r="G76" s="138">
        <v>0.71067618678722133</v>
      </c>
      <c r="H76" s="137">
        <v>0</v>
      </c>
      <c r="I76" s="138">
        <v>0.71067618678722133</v>
      </c>
      <c r="J76" s="138"/>
      <c r="K76" s="137"/>
      <c r="L76" s="138"/>
      <c r="M76" s="138">
        <v>0.71728745458765764</v>
      </c>
      <c r="N76" s="137">
        <v>0</v>
      </c>
      <c r="O76" s="138">
        <v>0.71728745458765764</v>
      </c>
      <c r="P76" s="138">
        <v>0.68547787159014761</v>
      </c>
      <c r="Q76" s="139">
        <v>3.1809582997510022E-2</v>
      </c>
    </row>
    <row r="77" spans="1:17" ht="14.1" customHeight="1" x14ac:dyDescent="0.25">
      <c r="A77" s="145">
        <f t="shared" si="4"/>
        <v>2023</v>
      </c>
      <c r="B77" s="146" t="str">
        <f t="shared" si="3"/>
        <v>2023 Q3</v>
      </c>
      <c r="C77" s="136">
        <v>45108</v>
      </c>
      <c r="D77" s="137">
        <v>8363665.9297510795</v>
      </c>
      <c r="E77" s="137">
        <v>0</v>
      </c>
      <c r="F77" s="137">
        <v>8363665.9297510795</v>
      </c>
      <c r="G77" s="138">
        <v>0.72093990784205153</v>
      </c>
      <c r="H77" s="137">
        <v>0</v>
      </c>
      <c r="I77" s="138">
        <v>0.72093990784205153</v>
      </c>
      <c r="J77" s="138"/>
      <c r="K77" s="137"/>
      <c r="L77" s="138"/>
      <c r="M77" s="138">
        <v>0.7276409016779235</v>
      </c>
      <c r="N77" s="137">
        <v>0</v>
      </c>
      <c r="O77" s="138">
        <v>0.7276409016779235</v>
      </c>
      <c r="P77" s="138">
        <v>0.79916069559996272</v>
      </c>
      <c r="Q77" s="139">
        <v>-7.1519793922039221E-2</v>
      </c>
    </row>
    <row r="78" spans="1:17" ht="14.1" customHeight="1" x14ac:dyDescent="0.25">
      <c r="A78" s="145">
        <f t="shared" si="4"/>
        <v>2023</v>
      </c>
      <c r="B78" s="146" t="str">
        <f t="shared" si="3"/>
        <v>2023 Q3</v>
      </c>
      <c r="C78" s="136">
        <v>45139</v>
      </c>
      <c r="D78" s="137">
        <v>8229687.3047980899</v>
      </c>
      <c r="E78" s="137">
        <v>0</v>
      </c>
      <c r="F78" s="137">
        <v>8229687.3047980899</v>
      </c>
      <c r="G78" s="138">
        <v>0.69451764947642758</v>
      </c>
      <c r="H78" s="137">
        <v>0</v>
      </c>
      <c r="I78" s="138">
        <v>0.69451764947642758</v>
      </c>
      <c r="J78" s="138"/>
      <c r="K78" s="137"/>
      <c r="L78" s="138"/>
      <c r="M78" s="138">
        <v>0.70142491340946889</v>
      </c>
      <c r="N78" s="137">
        <v>0</v>
      </c>
      <c r="O78" s="138">
        <v>0.70142491340946889</v>
      </c>
      <c r="P78" s="138">
        <v>0.67319688887281515</v>
      </c>
      <c r="Q78" s="139">
        <v>2.822802453665374E-2</v>
      </c>
    </row>
    <row r="79" spans="1:17" ht="14.1" customHeight="1" x14ac:dyDescent="0.25">
      <c r="A79" s="145">
        <f t="shared" si="4"/>
        <v>2023</v>
      </c>
      <c r="B79" s="146" t="str">
        <f t="shared" si="3"/>
        <v>2023 Q3</v>
      </c>
      <c r="C79" s="136">
        <v>45170</v>
      </c>
      <c r="D79" s="137">
        <v>7578820.9230087101</v>
      </c>
      <c r="E79" s="137">
        <v>0</v>
      </c>
      <c r="F79" s="137">
        <v>7578820.9230087101</v>
      </c>
      <c r="G79" s="138">
        <v>0.8157567173219662</v>
      </c>
      <c r="H79" s="137">
        <v>0</v>
      </c>
      <c r="I79" s="138">
        <v>0.8157567173219662</v>
      </c>
      <c r="J79" s="138"/>
      <c r="K79" s="137"/>
      <c r="L79" s="138"/>
      <c r="M79" s="138">
        <v>0.82393110789947022</v>
      </c>
      <c r="N79" s="137">
        <v>0</v>
      </c>
      <c r="O79" s="138">
        <v>0.82393110789947033</v>
      </c>
      <c r="P79" s="138">
        <v>0.81320682993744475</v>
      </c>
      <c r="Q79" s="139">
        <v>1.0724277962025575E-2</v>
      </c>
    </row>
    <row r="80" spans="1:17" ht="14.1" customHeight="1" x14ac:dyDescent="0.25">
      <c r="A80" s="145">
        <f t="shared" si="4"/>
        <v>2023</v>
      </c>
      <c r="B80" s="146" t="str">
        <f t="shared" si="3"/>
        <v>2023 Q4</v>
      </c>
      <c r="C80" s="136">
        <v>45200</v>
      </c>
      <c r="D80" s="137">
        <v>7164633.5239690589</v>
      </c>
      <c r="E80" s="137">
        <v>0</v>
      </c>
      <c r="F80" s="137">
        <v>7164633.5239690589</v>
      </c>
      <c r="G80" s="138">
        <v>0.85371625767940362</v>
      </c>
      <c r="H80" s="137">
        <v>0</v>
      </c>
      <c r="I80" s="138">
        <v>0.85371625767940351</v>
      </c>
      <c r="J80" s="138"/>
      <c r="K80" s="137"/>
      <c r="L80" s="138"/>
      <c r="M80" s="138">
        <v>0.86249524212544637</v>
      </c>
      <c r="N80" s="137">
        <v>0</v>
      </c>
      <c r="O80" s="138">
        <v>0.86249524212544637</v>
      </c>
      <c r="P80" s="138">
        <v>0.87374320334235511</v>
      </c>
      <c r="Q80" s="139">
        <v>-1.1247961216908742E-2</v>
      </c>
    </row>
    <row r="81" spans="1:17" ht="14.1" customHeight="1" x14ac:dyDescent="0.25">
      <c r="A81" s="145">
        <f t="shared" si="4"/>
        <v>2023</v>
      </c>
      <c r="B81" s="146" t="str">
        <f t="shared" si="3"/>
        <v>2023 Q4</v>
      </c>
      <c r="C81" s="136">
        <v>45231</v>
      </c>
      <c r="D81" s="137">
        <v>7288594.2972416785</v>
      </c>
      <c r="E81" s="137">
        <v>0</v>
      </c>
      <c r="F81" s="137">
        <v>7288594.2972416785</v>
      </c>
      <c r="G81" s="138">
        <v>0.77532425104539548</v>
      </c>
      <c r="H81" s="137">
        <v>0</v>
      </c>
      <c r="I81" s="138">
        <v>0.77532425104539548</v>
      </c>
      <c r="J81" s="138"/>
      <c r="K81" s="137"/>
      <c r="L81" s="138"/>
      <c r="M81" s="138">
        <v>0.78329460664509609</v>
      </c>
      <c r="N81" s="137">
        <v>0</v>
      </c>
      <c r="O81" s="138">
        <v>0.78329460664509609</v>
      </c>
      <c r="P81" s="138">
        <v>0.82170949651125946</v>
      </c>
      <c r="Q81" s="139">
        <v>-3.8414889866163371E-2</v>
      </c>
    </row>
    <row r="82" spans="1:17" ht="14.1" customHeight="1" x14ac:dyDescent="0.25">
      <c r="A82" s="145">
        <f t="shared" si="4"/>
        <v>2023</v>
      </c>
      <c r="B82" s="146" t="str">
        <f t="shared" ref="B82:B94" si="5">YEAR(C82)&amp;" Q"&amp;ROUNDUP(MONTH(C82)*4/12,0)</f>
        <v>2023 Q4</v>
      </c>
      <c r="C82" s="140">
        <v>45261</v>
      </c>
      <c r="D82" s="141">
        <v>7378824.7619756032</v>
      </c>
      <c r="E82" s="141">
        <v>0</v>
      </c>
      <c r="F82" s="141">
        <v>7378824.7619756032</v>
      </c>
      <c r="G82" s="142">
        <v>0.6976693706836814</v>
      </c>
      <c r="H82" s="141">
        <v>0</v>
      </c>
      <c r="I82" s="142">
        <v>0.6976693706836814</v>
      </c>
      <c r="J82" s="142"/>
      <c r="K82" s="141"/>
      <c r="L82" s="142"/>
      <c r="M82" s="142">
        <v>0.70533678984406245</v>
      </c>
      <c r="N82" s="141">
        <v>0</v>
      </c>
      <c r="O82" s="142">
        <v>0.70533678984406245</v>
      </c>
      <c r="P82" s="142">
        <v>0.6968899950244587</v>
      </c>
      <c r="Q82" s="143">
        <v>8.4467948196037534E-3</v>
      </c>
    </row>
    <row r="83" spans="1:17" ht="14.1" customHeight="1" x14ac:dyDescent="0.25">
      <c r="A83" s="145">
        <f t="shared" si="4"/>
        <v>2024</v>
      </c>
      <c r="B83" s="146" t="str">
        <f t="shared" si="5"/>
        <v>2024 Q1</v>
      </c>
      <c r="C83" s="136">
        <v>45292</v>
      </c>
      <c r="D83" s="137">
        <v>7479336.4148157705</v>
      </c>
      <c r="E83" s="137">
        <v>0</v>
      </c>
      <c r="F83" s="137">
        <v>7479336.4148157705</v>
      </c>
      <c r="G83" s="138">
        <v>0.72819773297164392</v>
      </c>
      <c r="H83" s="137">
        <v>0</v>
      </c>
      <c r="I83" s="138">
        <v>0.72819773297164392</v>
      </c>
      <c r="J83" s="138"/>
      <c r="K83" s="138"/>
      <c r="L83" s="138"/>
      <c r="M83" s="138">
        <v>0.73608719867282824</v>
      </c>
      <c r="N83" s="137">
        <v>0</v>
      </c>
      <c r="O83" s="138">
        <v>0.73608719867282824</v>
      </c>
      <c r="P83" s="138">
        <v>0.73268954473151504</v>
      </c>
      <c r="Q83" s="139">
        <v>3.3976539413131945E-3</v>
      </c>
    </row>
    <row r="84" spans="1:17" ht="14.1" customHeight="1" x14ac:dyDescent="0.25">
      <c r="A84" s="145">
        <f t="shared" si="4"/>
        <v>2024</v>
      </c>
      <c r="B84" s="146" t="str">
        <f t="shared" si="5"/>
        <v>2024 Q1</v>
      </c>
      <c r="C84" s="136">
        <v>45323</v>
      </c>
      <c r="D84" s="137">
        <v>8737585.1741028968</v>
      </c>
      <c r="E84" s="137">
        <v>0</v>
      </c>
      <c r="F84" s="137">
        <v>8737585.1741028968</v>
      </c>
      <c r="G84" s="138">
        <v>0.73279450173349314</v>
      </c>
      <c r="H84" s="137">
        <v>0</v>
      </c>
      <c r="I84" s="138">
        <v>0.73279450173349314</v>
      </c>
      <c r="J84" s="138"/>
      <c r="K84" s="138"/>
      <c r="L84" s="138"/>
      <c r="M84" s="138">
        <v>0.74193249397954708</v>
      </c>
      <c r="N84" s="137">
        <v>0</v>
      </c>
      <c r="O84" s="138">
        <v>0.74193249397954708</v>
      </c>
      <c r="P84" s="138">
        <v>0.74000733995125278</v>
      </c>
      <c r="Q84" s="139">
        <v>1.9251540282942958E-3</v>
      </c>
    </row>
    <row r="85" spans="1:17" ht="14.1" customHeight="1" x14ac:dyDescent="0.25">
      <c r="A85" s="145">
        <f t="shared" si="4"/>
        <v>2024</v>
      </c>
      <c r="B85" s="146" t="str">
        <f t="shared" si="5"/>
        <v>2024 Q1</v>
      </c>
      <c r="C85" s="136">
        <v>45352</v>
      </c>
      <c r="D85" s="137">
        <v>11044327.599237286</v>
      </c>
      <c r="E85" s="137">
        <v>0</v>
      </c>
      <c r="F85" s="137">
        <v>11044327.599237286</v>
      </c>
      <c r="G85" s="138">
        <v>0.66139186965458363</v>
      </c>
      <c r="H85" s="137">
        <v>0</v>
      </c>
      <c r="I85" s="138">
        <v>0.66139186965458363</v>
      </c>
      <c r="J85" s="138"/>
      <c r="K85" s="138"/>
      <c r="L85" s="138"/>
      <c r="M85" s="138">
        <v>0.67077783109929445</v>
      </c>
      <c r="N85" s="137">
        <v>0</v>
      </c>
      <c r="O85" s="138">
        <v>0.67077783109929445</v>
      </c>
      <c r="P85" s="138">
        <v>0.65804659941786547</v>
      </c>
      <c r="Q85" s="139">
        <v>1.2731231681428978E-2</v>
      </c>
    </row>
    <row r="86" spans="1:17" ht="14.1" customHeight="1" x14ac:dyDescent="0.25">
      <c r="A86" s="145">
        <f t="shared" si="4"/>
        <v>2024</v>
      </c>
      <c r="B86" s="146" t="str">
        <f t="shared" si="5"/>
        <v>2024 Q2</v>
      </c>
      <c r="C86" s="136">
        <v>45383</v>
      </c>
      <c r="D86" s="137">
        <v>9997344.4412674848</v>
      </c>
      <c r="E86" s="137">
        <v>0</v>
      </c>
      <c r="F86" s="137">
        <v>9997344.4412674848</v>
      </c>
      <c r="G86" s="138">
        <v>0.60387813895535392</v>
      </c>
      <c r="H86" s="138">
        <v>0</v>
      </c>
      <c r="I86" s="138">
        <v>0.60387813895535392</v>
      </c>
      <c r="J86" s="138"/>
      <c r="K86" s="138"/>
      <c r="L86" s="138"/>
      <c r="M86" s="138">
        <v>0.6128143148239007</v>
      </c>
      <c r="N86" s="138">
        <v>0</v>
      </c>
      <c r="O86" s="138">
        <v>0.6128143148239007</v>
      </c>
      <c r="P86" s="138">
        <v>0.58335728500273998</v>
      </c>
      <c r="Q86" s="139">
        <v>2.9457029821160718E-2</v>
      </c>
    </row>
    <row r="87" spans="1:17" ht="14.1" customHeight="1" x14ac:dyDescent="0.25">
      <c r="A87" s="145">
        <f t="shared" si="4"/>
        <v>2024</v>
      </c>
      <c r="B87" s="146" t="str">
        <f t="shared" si="5"/>
        <v>2024 Q2</v>
      </c>
      <c r="C87" s="136">
        <v>45413</v>
      </c>
      <c r="D87" s="137">
        <v>9875049.540843796</v>
      </c>
      <c r="E87" s="137">
        <v>0</v>
      </c>
      <c r="F87" s="137">
        <v>9875049.540843796</v>
      </c>
      <c r="G87" s="138">
        <v>0.78318863977370257</v>
      </c>
      <c r="H87" s="138">
        <v>0</v>
      </c>
      <c r="I87" s="138">
        <v>0.78318863977370257</v>
      </c>
      <c r="J87" s="138"/>
      <c r="K87" s="138"/>
      <c r="L87" s="138"/>
      <c r="M87" s="138">
        <v>0.7931917538355181</v>
      </c>
      <c r="N87" s="138">
        <v>0</v>
      </c>
      <c r="O87" s="138">
        <v>0.7931917538355181</v>
      </c>
      <c r="P87" s="138">
        <v>0.81982448889053905</v>
      </c>
      <c r="Q87" s="139">
        <v>-2.6632735055020951E-2</v>
      </c>
    </row>
    <row r="88" spans="1:17" ht="14.1" customHeight="1" x14ac:dyDescent="0.25">
      <c r="A88" s="145">
        <f t="shared" si="4"/>
        <v>2024</v>
      </c>
      <c r="B88" s="146" t="str">
        <f t="shared" si="5"/>
        <v>2024 Q2</v>
      </c>
      <c r="C88" s="136">
        <v>45444</v>
      </c>
      <c r="D88" s="137">
        <v>8720527.994462505</v>
      </c>
      <c r="E88" s="137">
        <v>0</v>
      </c>
      <c r="F88" s="137">
        <v>8720527.994462505</v>
      </c>
      <c r="G88" s="138">
        <v>0.63200223088546748</v>
      </c>
      <c r="H88" s="138">
        <v>0</v>
      </c>
      <c r="I88" s="138">
        <v>0.63200223088546748</v>
      </c>
      <c r="J88" s="138"/>
      <c r="K88" s="138"/>
      <c r="L88" s="138"/>
      <c r="M88" s="138">
        <v>0.64060369828420893</v>
      </c>
      <c r="N88" s="138">
        <v>0</v>
      </c>
      <c r="O88" s="138">
        <v>0.64060369828420893</v>
      </c>
      <c r="P88" s="138">
        <v>0.61664613771951382</v>
      </c>
      <c r="Q88" s="139">
        <v>2.3957560564695113E-2</v>
      </c>
    </row>
    <row r="89" spans="1:17" ht="14.1" customHeight="1" x14ac:dyDescent="0.25">
      <c r="A89" s="145">
        <f t="shared" si="4"/>
        <v>2024</v>
      </c>
      <c r="B89" s="146" t="str">
        <f t="shared" si="5"/>
        <v>2024 Q3</v>
      </c>
      <c r="C89" s="136">
        <v>45474</v>
      </c>
      <c r="D89" s="137">
        <v>7561539.4691572944</v>
      </c>
      <c r="E89" s="137">
        <v>134386.39858471043</v>
      </c>
      <c r="F89" s="137">
        <v>7695925.8677420048</v>
      </c>
      <c r="G89" s="138">
        <v>0.61566714286309965</v>
      </c>
      <c r="H89" s="138">
        <v>0.67676071660806247</v>
      </c>
      <c r="I89" s="138">
        <v>0.61673395996780545</v>
      </c>
      <c r="J89" s="138"/>
      <c r="K89" s="138"/>
      <c r="L89" s="138"/>
      <c r="M89" s="138">
        <v>0.62275743002037853</v>
      </c>
      <c r="N89" s="138">
        <v>0.68576071660806248</v>
      </c>
      <c r="O89" s="138">
        <v>0.62385759456575285</v>
      </c>
      <c r="P89" s="138">
        <v>0.60230258342158471</v>
      </c>
      <c r="Q89" s="139">
        <v>2.1555011144168135E-2</v>
      </c>
    </row>
    <row r="90" spans="1:17" ht="14.1" customHeight="1" x14ac:dyDescent="0.25">
      <c r="A90" s="145">
        <f t="shared" si="4"/>
        <v>2024</v>
      </c>
      <c r="B90" s="146" t="str">
        <f t="shared" si="5"/>
        <v>2024 Q3</v>
      </c>
      <c r="C90" s="136">
        <v>45505</v>
      </c>
      <c r="D90" s="137">
        <v>5861667.0389134334</v>
      </c>
      <c r="E90" s="137">
        <v>481535.52223680355</v>
      </c>
      <c r="F90" s="137">
        <v>6343202.561150237</v>
      </c>
      <c r="G90" s="138">
        <v>0.63059228758943708</v>
      </c>
      <c r="H90" s="138">
        <v>0.67848107970841687</v>
      </c>
      <c r="I90" s="138">
        <v>0.63422769955996716</v>
      </c>
      <c r="J90" s="138"/>
      <c r="K90" s="138"/>
      <c r="L90" s="138"/>
      <c r="M90" s="138">
        <v>0.6377919675965078</v>
      </c>
      <c r="N90" s="138">
        <v>0.68748107970841676</v>
      </c>
      <c r="O90" s="138">
        <v>0.64156404839002301</v>
      </c>
      <c r="P90" s="138">
        <v>0.608891698314732</v>
      </c>
      <c r="Q90" s="139">
        <v>3.2672350075291012E-2</v>
      </c>
    </row>
    <row r="91" spans="1:17" ht="14.1" customHeight="1" x14ac:dyDescent="0.25">
      <c r="A91" s="145">
        <f t="shared" si="4"/>
        <v>2024</v>
      </c>
      <c r="B91" s="146" t="str">
        <f t="shared" si="5"/>
        <v>2024 Q3</v>
      </c>
      <c r="C91" s="136">
        <v>45536</v>
      </c>
      <c r="D91" s="137">
        <v>4522225.249312778</v>
      </c>
      <c r="E91" s="137">
        <v>710452.28418920934</v>
      </c>
      <c r="F91" s="137">
        <v>5232677.5335019873</v>
      </c>
      <c r="G91" s="138">
        <v>0.93576807881612778</v>
      </c>
      <c r="H91" s="138">
        <v>0.68633323502012888</v>
      </c>
      <c r="I91" s="138">
        <v>0.90190175447325427</v>
      </c>
      <c r="J91" s="138"/>
      <c r="K91" s="138"/>
      <c r="L91" s="138"/>
      <c r="M91" s="138">
        <v>0.94312146806427399</v>
      </c>
      <c r="N91" s="138">
        <v>0.69533323502012889</v>
      </c>
      <c r="O91" s="138">
        <v>0.90947870773090322</v>
      </c>
      <c r="P91" s="138">
        <v>0.99010093161786283</v>
      </c>
      <c r="Q91" s="139">
        <v>-8.062222388695961E-2</v>
      </c>
    </row>
    <row r="92" spans="1:17" ht="14.1" customHeight="1" x14ac:dyDescent="0.25">
      <c r="A92" s="145">
        <f t="shared" si="4"/>
        <v>2024</v>
      </c>
      <c r="B92" s="146" t="str">
        <f t="shared" si="5"/>
        <v>2024 Q4</v>
      </c>
      <c r="C92" s="136">
        <v>45566</v>
      </c>
      <c r="D92" s="137">
        <v>3613063.9840755411</v>
      </c>
      <c r="E92" s="137">
        <v>959715.60489762342</v>
      </c>
      <c r="F92" s="137">
        <v>4572779.5889731646</v>
      </c>
      <c r="G92" s="138">
        <v>0.74062892579916639</v>
      </c>
      <c r="H92" s="138">
        <v>0.68897919451959855</v>
      </c>
      <c r="I92" s="138">
        <v>0.72978889904228939</v>
      </c>
      <c r="J92" s="138"/>
      <c r="K92" s="138"/>
      <c r="L92" s="138"/>
      <c r="M92" s="138">
        <v>0.74777094671989974</v>
      </c>
      <c r="N92" s="138">
        <v>0.69797919451959833</v>
      </c>
      <c r="O92" s="138">
        <v>0.73732086473977188</v>
      </c>
      <c r="P92" s="138">
        <v>0.80397039311684171</v>
      </c>
      <c r="Q92" s="139">
        <v>-6.6649528377069833E-2</v>
      </c>
    </row>
    <row r="93" spans="1:17" ht="14.1" customHeight="1" x14ac:dyDescent="0.25">
      <c r="A93" s="145">
        <f t="shared" si="4"/>
        <v>2024</v>
      </c>
      <c r="B93" s="146" t="str">
        <f t="shared" si="5"/>
        <v>2024 Q4</v>
      </c>
      <c r="C93" s="136">
        <v>45597</v>
      </c>
      <c r="D93" s="137">
        <v>3415622.357430866</v>
      </c>
      <c r="E93" s="137">
        <v>1420601.9587372569</v>
      </c>
      <c r="F93" s="137">
        <v>4836224.3161681229</v>
      </c>
      <c r="G93" s="138">
        <v>0.75801468044438536</v>
      </c>
      <c r="H93" s="138">
        <v>0.69097680098260295</v>
      </c>
      <c r="I93" s="138">
        <v>0.73832284304250551</v>
      </c>
      <c r="J93" s="138"/>
      <c r="K93" s="138"/>
      <c r="L93" s="138"/>
      <c r="M93" s="138">
        <v>0.76510350330251797</v>
      </c>
      <c r="N93" s="138">
        <v>0.69997680098260284</v>
      </c>
      <c r="O93" s="138">
        <v>0.74597305880008524</v>
      </c>
      <c r="P93" s="138">
        <v>0.72276819065282871</v>
      </c>
      <c r="Q93" s="139">
        <v>2.320486814725653E-2</v>
      </c>
    </row>
    <row r="94" spans="1:17" ht="14.45" customHeight="1" x14ac:dyDescent="0.25">
      <c r="A94" s="145">
        <f t="shared" si="4"/>
        <v>2024</v>
      </c>
      <c r="B94" s="146" t="str">
        <f t="shared" si="5"/>
        <v>2024 Q4</v>
      </c>
      <c r="C94" s="140">
        <v>45627</v>
      </c>
      <c r="D94" s="141">
        <v>2919836.9324805574</v>
      </c>
      <c r="E94" s="141">
        <v>1763656.1733193225</v>
      </c>
      <c r="F94" s="141">
        <v>4683493.1057998799</v>
      </c>
      <c r="G94" s="142">
        <v>0.76802480220095426</v>
      </c>
      <c r="H94" s="237">
        <v>0.69358905558807005</v>
      </c>
      <c r="I94" s="142">
        <v>0.7399946415785601</v>
      </c>
      <c r="J94" s="142"/>
      <c r="K94" s="141"/>
      <c r="L94" s="142"/>
      <c r="M94" s="142">
        <v>0.77504897304566744</v>
      </c>
      <c r="N94" s="237">
        <v>0.70258905558807005</v>
      </c>
      <c r="O94" s="142">
        <v>0.74776284752878686</v>
      </c>
      <c r="P94" s="142">
        <v>0.7322242068987822</v>
      </c>
      <c r="Q94" s="143">
        <v>1.5538640630004652E-2</v>
      </c>
    </row>
    <row r="95" spans="1:17" x14ac:dyDescent="0.25">
      <c r="A95" s="145">
        <f t="shared" ref="A95:A97" si="6">YEAR(C95)</f>
        <v>2025</v>
      </c>
      <c r="B95" s="146" t="str">
        <f t="shared" ref="B95:B97" si="7">YEAR(C95)&amp;" Q"&amp;ROUNDUP(MONTH(C95)*4/12,0)</f>
        <v>2025 Q1</v>
      </c>
      <c r="C95" s="136">
        <v>45658</v>
      </c>
      <c r="D95" s="137">
        <v>2471410.6879396252</v>
      </c>
      <c r="E95" s="137">
        <v>2248367.4893272435</v>
      </c>
      <c r="F95" s="137">
        <v>4719778.1772668688</v>
      </c>
      <c r="G95" s="138">
        <v>0.82712847173115434</v>
      </c>
      <c r="H95" s="243">
        <v>0.69566905788692013</v>
      </c>
      <c r="I95" s="138">
        <v>0.76450496249993238</v>
      </c>
      <c r="J95" s="138"/>
      <c r="K95" s="138"/>
      <c r="L95" s="138"/>
      <c r="M95" s="138">
        <v>0.83447136694703639</v>
      </c>
      <c r="N95" s="243">
        <v>0.70466905788692036</v>
      </c>
      <c r="O95" s="138">
        <v>0.77263725509490422</v>
      </c>
      <c r="P95" s="138">
        <v>0.84986953403122023</v>
      </c>
      <c r="Q95" s="139">
        <v>-7.7232278936316012E-2</v>
      </c>
    </row>
    <row r="96" spans="1:17" x14ac:dyDescent="0.25">
      <c r="A96" s="145">
        <f t="shared" si="6"/>
        <v>2025</v>
      </c>
      <c r="B96" s="146" t="str">
        <f t="shared" si="7"/>
        <v>2025 Q1</v>
      </c>
      <c r="C96" s="136">
        <v>45689</v>
      </c>
      <c r="D96" s="137">
        <v>1771659.4145453353</v>
      </c>
      <c r="E96" s="137">
        <v>2266956.2144451202</v>
      </c>
      <c r="F96" s="137">
        <v>4038615.6289904555</v>
      </c>
      <c r="G96" s="138">
        <v>0.6712230251871395</v>
      </c>
      <c r="H96" s="243">
        <v>0.69686197300807584</v>
      </c>
      <c r="I96" s="138">
        <v>0.68561468248606272</v>
      </c>
      <c r="J96" s="138"/>
      <c r="K96" s="138"/>
      <c r="L96" s="138"/>
      <c r="M96" s="138">
        <v>0.6790707676527532</v>
      </c>
      <c r="N96" s="243">
        <v>0.70586197300807607</v>
      </c>
      <c r="O96" s="138">
        <v>0.69410921029056039</v>
      </c>
      <c r="P96" s="138">
        <v>0.66783614177692185</v>
      </c>
      <c r="Q96" s="139">
        <v>2.6273068513638531E-2</v>
      </c>
    </row>
    <row r="97" spans="1:17" x14ac:dyDescent="0.25">
      <c r="A97" s="145">
        <f t="shared" si="6"/>
        <v>2025</v>
      </c>
      <c r="B97" s="146" t="str">
        <f t="shared" si="7"/>
        <v>2025 Q1</v>
      </c>
      <c r="C97" s="136">
        <v>45717</v>
      </c>
      <c r="D97" s="137">
        <v>1732714.0761873331</v>
      </c>
      <c r="E97" s="137">
        <v>3142387.5450637592</v>
      </c>
      <c r="F97" s="137">
        <v>4875101.6212510923</v>
      </c>
      <c r="G97" s="138">
        <v>0.74275330933522699</v>
      </c>
      <c r="H97" s="243">
        <v>0.69873655391274903</v>
      </c>
      <c r="I97" s="138">
        <v>0.71438103840434608</v>
      </c>
      <c r="J97" s="138"/>
      <c r="K97" s="138"/>
      <c r="L97" s="138"/>
      <c r="M97" s="138">
        <v>0.75088250238784604</v>
      </c>
      <c r="N97" s="243">
        <v>0.70773655391274903</v>
      </c>
      <c r="O97" s="138">
        <v>0.72307153522418854</v>
      </c>
      <c r="P97" s="138">
        <v>0.70231164818493486</v>
      </c>
      <c r="Q97" s="139">
        <v>2.0759887039253688E-2</v>
      </c>
    </row>
    <row r="98" spans="1:17" x14ac:dyDescent="0.25">
      <c r="A98" s="145">
        <f t="shared" ref="A98:A100" si="8">YEAR(C98)</f>
        <v>2025</v>
      </c>
      <c r="B98" s="146" t="str">
        <f t="shared" ref="B98:B100" si="9">YEAR(C98)&amp;" Q"&amp;ROUNDUP(MONTH(C98)*4/12,0)</f>
        <v>2025 Q2</v>
      </c>
      <c r="C98" s="136">
        <v>45748</v>
      </c>
      <c r="D98" s="137">
        <v>1226694.6413765592</v>
      </c>
      <c r="E98" s="137">
        <v>3385812.5059010494</v>
      </c>
      <c r="F98" s="137">
        <v>4612507.1472776085</v>
      </c>
      <c r="G98" s="138">
        <v>0.70665301602654029</v>
      </c>
      <c r="H98" s="243">
        <v>0.70014248959125347</v>
      </c>
      <c r="I98" s="138">
        <v>0.70187396178971295</v>
      </c>
      <c r="J98" s="138"/>
      <c r="K98" s="138"/>
      <c r="L98" s="138"/>
      <c r="M98" s="138">
        <v>0.71482616978320912</v>
      </c>
      <c r="N98" s="243">
        <v>0.70914248959125348</v>
      </c>
      <c r="O98" s="138">
        <v>0.71065406232429196</v>
      </c>
      <c r="P98" s="138">
        <v>0.73764001597697482</v>
      </c>
      <c r="Q98" s="139">
        <v>-2.6985953652682859E-2</v>
      </c>
    </row>
    <row r="99" spans="1:17" x14ac:dyDescent="0.25">
      <c r="A99" s="145">
        <f t="shared" si="8"/>
        <v>2025</v>
      </c>
      <c r="B99" s="146" t="str">
        <f t="shared" si="9"/>
        <v>2025 Q2</v>
      </c>
      <c r="C99" s="136">
        <v>45778</v>
      </c>
      <c r="D99" s="137">
        <v>811396.34322219016</v>
      </c>
      <c r="E99" s="137">
        <v>4022197.5361649008</v>
      </c>
      <c r="F99" s="137">
        <v>4833593.8793870909</v>
      </c>
      <c r="G99" s="138">
        <v>0.70665301602654029</v>
      </c>
      <c r="H99" s="243">
        <v>0.70014248959125369</v>
      </c>
      <c r="I99" s="138">
        <v>0.70123538598963975</v>
      </c>
      <c r="J99" s="138"/>
      <c r="K99" s="138"/>
      <c r="L99" s="138"/>
      <c r="M99" s="138">
        <v>0.71482616978320912</v>
      </c>
      <c r="N99" s="243">
        <v>0.70914248959125348</v>
      </c>
      <c r="O99" s="138">
        <v>0.71009658657144537</v>
      </c>
      <c r="P99" s="138">
        <v>0.66328526331026583</v>
      </c>
      <c r="Q99" s="139">
        <v>4.6811323261179538E-2</v>
      </c>
    </row>
    <row r="100" spans="1:17" x14ac:dyDescent="0.25">
      <c r="A100" s="145">
        <f t="shared" si="8"/>
        <v>2025</v>
      </c>
      <c r="B100" s="146" t="str">
        <f t="shared" si="9"/>
        <v>2025 Q2</v>
      </c>
      <c r="C100" s="136">
        <v>45809</v>
      </c>
      <c r="D100" s="137">
        <v>301631.14749905083</v>
      </c>
      <c r="E100" s="137">
        <v>3994883.3769856794</v>
      </c>
      <c r="F100" s="137">
        <v>4296514.5244847303</v>
      </c>
      <c r="G100" s="138">
        <v>0.70665301602654029</v>
      </c>
      <c r="H100" s="243">
        <v>0.70014248959125358</v>
      </c>
      <c r="I100" s="138">
        <v>0.70059955253106376</v>
      </c>
      <c r="J100" s="138"/>
      <c r="K100" s="138"/>
      <c r="L100" s="138"/>
      <c r="M100" s="138">
        <v>0.71482616978320912</v>
      </c>
      <c r="N100" s="243">
        <v>0.70914248959125359</v>
      </c>
      <c r="O100" s="138">
        <v>0.70954150487877277</v>
      </c>
      <c r="P100" s="138">
        <v>0.64360194079487576</v>
      </c>
      <c r="Q100" s="139">
        <v>6.5939564083897007E-2</v>
      </c>
    </row>
  </sheetData>
  <mergeCells count="1">
    <mergeCell ref="J7:L7"/>
  </mergeCells>
  <pageMargins left="0.7" right="0.7" top="0.75" bottom="0.75" header="0.3" footer="0.3"/>
  <pageSetup paperSize="9" scale="45" orientation="portrait" r:id="rId1"/>
  <headerFooter>
    <oddHeader>&amp;RClass Number: &amp;11 &amp;A</oddHeader>
    <oddFooter>&amp;RPage Number: &amp;11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7187-622F-44BB-8906-6120CD4D0E86}">
  <sheetPr codeName="Sheet6">
    <pageSetUpPr fitToPage="1"/>
  </sheetPr>
  <dimension ref="A1:N100"/>
  <sheetViews>
    <sheetView showGridLines="0" view="pageBreakPreview" zoomScale="70" zoomScaleNormal="100" zoomScaleSheetLayoutView="70" workbookViewId="0"/>
  </sheetViews>
  <sheetFormatPr defaultColWidth="9.140625" defaultRowHeight="15" x14ac:dyDescent="0.25"/>
  <cols>
    <col min="1" max="2" width="9.140625" style="131"/>
    <col min="3" max="3" width="21.28515625" customWidth="1"/>
    <col min="4" max="4" width="15.42578125" customWidth="1"/>
    <col min="5" max="5" width="15.85546875" customWidth="1"/>
    <col min="6" max="6" width="15.42578125" customWidth="1"/>
    <col min="7" max="14" width="13.140625" customWidth="1"/>
    <col min="15" max="16384" width="9.140625" style="131"/>
  </cols>
  <sheetData>
    <row r="1" spans="1:14" ht="15.95" customHeight="1" x14ac:dyDescent="0.2">
      <c r="C1" s="128" t="s">
        <v>55</v>
      </c>
      <c r="D1" s="129"/>
      <c r="E1" s="129"/>
      <c r="F1" s="130"/>
      <c r="G1" s="130"/>
      <c r="H1" s="130"/>
      <c r="I1" s="130"/>
      <c r="J1" s="130"/>
      <c r="K1" s="130"/>
      <c r="L1" s="130"/>
      <c r="M1" s="130"/>
      <c r="N1" s="130"/>
    </row>
    <row r="2" spans="1:14" ht="15.6" customHeight="1" x14ac:dyDescent="0.2">
      <c r="C2" s="128"/>
      <c r="D2" s="129"/>
      <c r="E2" s="129"/>
      <c r="F2" s="130"/>
      <c r="G2" s="130"/>
      <c r="H2" s="130"/>
      <c r="I2" s="130"/>
      <c r="J2" s="130"/>
      <c r="K2" s="130"/>
      <c r="L2" s="130"/>
      <c r="M2" s="130"/>
      <c r="N2" s="130"/>
    </row>
    <row r="3" spans="1:14" ht="15.95" customHeight="1" x14ac:dyDescent="0.2">
      <c r="C3" s="128" t="s">
        <v>99</v>
      </c>
      <c r="D3" s="129"/>
      <c r="E3" s="129"/>
      <c r="F3" s="130"/>
      <c r="G3" s="130"/>
      <c r="H3" s="130"/>
      <c r="I3" s="130"/>
      <c r="J3" s="130"/>
      <c r="K3" s="130"/>
      <c r="L3" s="130"/>
      <c r="M3" s="130"/>
      <c r="N3" s="130"/>
    </row>
    <row r="4" spans="1:14" ht="14.45" customHeight="1" x14ac:dyDescent="0.2">
      <c r="C4" s="132"/>
      <c r="D4" s="130"/>
      <c r="E4" s="130"/>
      <c r="F4" s="130"/>
      <c r="G4" s="130"/>
      <c r="H4" s="130"/>
      <c r="I4" s="130"/>
      <c r="J4" s="130"/>
      <c r="K4" s="231"/>
      <c r="L4" s="231"/>
      <c r="M4" s="231"/>
      <c r="N4" s="231"/>
    </row>
    <row r="5" spans="1:14" ht="14.1" customHeight="1" x14ac:dyDescent="0.2">
      <c r="C5" s="133" t="s">
        <v>56</v>
      </c>
      <c r="D5" s="130"/>
      <c r="E5" s="130"/>
      <c r="F5" s="130"/>
      <c r="G5" s="130"/>
      <c r="H5" s="130"/>
      <c r="I5" s="130"/>
      <c r="J5" s="130"/>
      <c r="K5" s="231"/>
      <c r="L5" s="231"/>
      <c r="M5" s="231"/>
      <c r="N5" s="236"/>
    </row>
    <row r="6" spans="1:14" ht="12.95" customHeight="1" x14ac:dyDescent="0.2">
      <c r="C6" s="133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</row>
    <row r="7" spans="1:14" ht="12.75" x14ac:dyDescent="0.2">
      <c r="C7" s="134"/>
      <c r="D7" s="134"/>
      <c r="E7" s="134"/>
      <c r="F7" s="134"/>
      <c r="G7" s="248" t="s">
        <v>57</v>
      </c>
      <c r="H7" s="248"/>
      <c r="I7" s="248"/>
      <c r="J7" s="248" t="s">
        <v>58</v>
      </c>
      <c r="K7" s="248"/>
      <c r="L7" s="248"/>
      <c r="M7" s="134"/>
      <c r="N7" s="134"/>
    </row>
    <row r="8" spans="1:14" ht="57.75" customHeight="1" x14ac:dyDescent="0.25">
      <c r="A8" s="144" t="s">
        <v>66</v>
      </c>
      <c r="B8" s="144" t="s">
        <v>67</v>
      </c>
      <c r="C8" s="135" t="s">
        <v>2</v>
      </c>
      <c r="D8" s="135" t="s">
        <v>3</v>
      </c>
      <c r="E8" s="135" t="s">
        <v>4</v>
      </c>
      <c r="F8" s="135" t="s">
        <v>5</v>
      </c>
      <c r="G8" s="135" t="s">
        <v>10</v>
      </c>
      <c r="H8" s="135" t="s">
        <v>11</v>
      </c>
      <c r="I8" s="135" t="s">
        <v>12</v>
      </c>
      <c r="J8" s="135" t="s">
        <v>59</v>
      </c>
      <c r="K8" s="135" t="s">
        <v>11</v>
      </c>
      <c r="L8" s="135" t="s">
        <v>12</v>
      </c>
      <c r="M8" s="135" t="s">
        <v>101</v>
      </c>
      <c r="N8" s="135" t="s">
        <v>60</v>
      </c>
    </row>
    <row r="9" spans="1:14" ht="15" hidden="1" customHeight="1" x14ac:dyDescent="0.25">
      <c r="A9" s="145">
        <f>YEAR(C9)</f>
        <v>1900</v>
      </c>
      <c r="B9" s="145" t="str">
        <f t="shared" ref="B9:B72" si="0">YEAR(C9)&amp;" Q"&amp;ROUNDUP(MONTH(C9)*4/12,0)</f>
        <v>1900 Q1</v>
      </c>
      <c r="C9" s="134"/>
      <c r="D9" s="134"/>
      <c r="E9" s="134"/>
      <c r="F9" s="134"/>
      <c r="G9" s="135"/>
      <c r="H9" s="135" t="s">
        <v>57</v>
      </c>
      <c r="I9" s="134"/>
      <c r="J9" s="135"/>
      <c r="K9" s="135" t="s">
        <v>61</v>
      </c>
      <c r="L9" s="134"/>
      <c r="M9" s="134"/>
      <c r="N9" s="134"/>
    </row>
    <row r="10" spans="1:14" ht="25.5" hidden="1" customHeight="1" x14ac:dyDescent="0.25">
      <c r="A10" s="145" t="e">
        <f t="shared" ref="A10:A73" si="1">YEAR(C10)</f>
        <v>#VALUE!</v>
      </c>
      <c r="B10" s="145" t="e">
        <f t="shared" si="0"/>
        <v>#VALUE!</v>
      </c>
      <c r="C10" s="135" t="s">
        <v>2</v>
      </c>
      <c r="D10" s="135" t="s">
        <v>3</v>
      </c>
      <c r="E10" s="135" t="s">
        <v>4</v>
      </c>
      <c r="F10" s="135" t="s">
        <v>5</v>
      </c>
      <c r="G10" s="135" t="s">
        <v>10</v>
      </c>
      <c r="H10" s="135" t="s">
        <v>11</v>
      </c>
      <c r="I10" s="135" t="s">
        <v>12</v>
      </c>
      <c r="J10" s="135" t="s">
        <v>62</v>
      </c>
      <c r="K10" s="135" t="s">
        <v>63</v>
      </c>
      <c r="L10" s="135" t="s">
        <v>64</v>
      </c>
      <c r="M10" s="135" t="s">
        <v>65</v>
      </c>
      <c r="N10" s="135" t="s">
        <v>60</v>
      </c>
    </row>
    <row r="11" spans="1:14" ht="14.1" customHeight="1" x14ac:dyDescent="0.25">
      <c r="A11" s="145">
        <f t="shared" si="1"/>
        <v>2018</v>
      </c>
      <c r="B11" s="145" t="str">
        <f t="shared" si="0"/>
        <v>2018 Q1</v>
      </c>
      <c r="C11" s="136">
        <v>43101</v>
      </c>
      <c r="D11" s="137">
        <v>3192036.801428563</v>
      </c>
      <c r="E11" s="137">
        <v>0</v>
      </c>
      <c r="F11" s="137">
        <v>3192036.801428563</v>
      </c>
      <c r="G11" s="138">
        <v>0.6219357942358914</v>
      </c>
      <c r="H11" s="137">
        <v>0</v>
      </c>
      <c r="I11" s="138">
        <v>0.6219357942358914</v>
      </c>
      <c r="J11" s="138">
        <v>0.62290577945741665</v>
      </c>
      <c r="K11" s="137">
        <v>0</v>
      </c>
      <c r="L11" s="138">
        <v>0.62290577945741665</v>
      </c>
      <c r="M11" s="138">
        <v>0.63870555097320969</v>
      </c>
      <c r="N11" s="139">
        <v>-1.5799771515793037E-2</v>
      </c>
    </row>
    <row r="12" spans="1:14" ht="14.1" customHeight="1" x14ac:dyDescent="0.25">
      <c r="A12" s="145">
        <f t="shared" si="1"/>
        <v>2018</v>
      </c>
      <c r="B12" s="145" t="str">
        <f t="shared" si="0"/>
        <v>2018 Q1</v>
      </c>
      <c r="C12" s="136">
        <v>43132</v>
      </c>
      <c r="D12" s="137">
        <v>3079164.2989285607</v>
      </c>
      <c r="E12" s="137">
        <v>0</v>
      </c>
      <c r="F12" s="137">
        <v>3079164.2989285607</v>
      </c>
      <c r="G12" s="138">
        <v>0.72829744210531555</v>
      </c>
      <c r="H12" s="137">
        <v>0</v>
      </c>
      <c r="I12" s="138">
        <v>0.72829744210531555</v>
      </c>
      <c r="J12" s="138">
        <v>0.72920878615285256</v>
      </c>
      <c r="K12" s="137">
        <v>0</v>
      </c>
      <c r="L12" s="138">
        <v>0.72920878615285256</v>
      </c>
      <c r="M12" s="138">
        <v>1.0023509653577407</v>
      </c>
      <c r="N12" s="139">
        <v>-0.27314217920488815</v>
      </c>
    </row>
    <row r="13" spans="1:14" ht="14.1" customHeight="1" x14ac:dyDescent="0.25">
      <c r="A13" s="145">
        <f t="shared" si="1"/>
        <v>2018</v>
      </c>
      <c r="B13" s="145" t="str">
        <f t="shared" si="0"/>
        <v>2018 Q1</v>
      </c>
      <c r="C13" s="136">
        <v>43160</v>
      </c>
      <c r="D13" s="137">
        <v>3393252.8239285448</v>
      </c>
      <c r="E13" s="137">
        <v>0</v>
      </c>
      <c r="F13" s="137">
        <v>3393252.8239285448</v>
      </c>
      <c r="G13" s="138">
        <v>0.72075155598285767</v>
      </c>
      <c r="H13" s="137">
        <v>0</v>
      </c>
      <c r="I13" s="138">
        <v>0.72075155598285767</v>
      </c>
      <c r="J13" s="138">
        <v>0.72165648755794976</v>
      </c>
      <c r="K13" s="137">
        <v>0</v>
      </c>
      <c r="L13" s="138">
        <v>0.72165648755794976</v>
      </c>
      <c r="M13" s="138">
        <v>0.69116980793632077</v>
      </c>
      <c r="N13" s="139">
        <v>3.0486679621628987E-2</v>
      </c>
    </row>
    <row r="14" spans="1:14" ht="14.1" customHeight="1" x14ac:dyDescent="0.25">
      <c r="A14" s="145">
        <f t="shared" si="1"/>
        <v>2018</v>
      </c>
      <c r="B14" s="145" t="str">
        <f t="shared" si="0"/>
        <v>2018 Q2</v>
      </c>
      <c r="C14" s="136">
        <v>43191</v>
      </c>
      <c r="D14" s="137">
        <v>3689321.0585714201</v>
      </c>
      <c r="E14" s="137">
        <v>0</v>
      </c>
      <c r="F14" s="137">
        <v>3689321.0585714201</v>
      </c>
      <c r="G14" s="138">
        <v>0.68590371041520448</v>
      </c>
      <c r="H14" s="137">
        <v>0</v>
      </c>
      <c r="I14" s="138">
        <v>0.68590371041520459</v>
      </c>
      <c r="J14" s="138">
        <v>0.6868261789954323</v>
      </c>
      <c r="K14" s="137">
        <v>0</v>
      </c>
      <c r="L14" s="138">
        <v>0.6868261789954323</v>
      </c>
      <c r="M14" s="138">
        <v>0.65025832284156715</v>
      </c>
      <c r="N14" s="139">
        <v>3.6567856153865153E-2</v>
      </c>
    </row>
    <row r="15" spans="1:14" ht="14.1" customHeight="1" x14ac:dyDescent="0.25">
      <c r="A15" s="145">
        <f t="shared" si="1"/>
        <v>2018</v>
      </c>
      <c r="B15" s="145" t="str">
        <f t="shared" si="0"/>
        <v>2018 Q2</v>
      </c>
      <c r="C15" s="136">
        <v>43221</v>
      </c>
      <c r="D15" s="137">
        <v>4524974.5203571375</v>
      </c>
      <c r="E15" s="137">
        <v>0</v>
      </c>
      <c r="F15" s="137">
        <v>4524974.5203571375</v>
      </c>
      <c r="G15" s="138">
        <v>0.80708365775909574</v>
      </c>
      <c r="H15" s="137">
        <v>0</v>
      </c>
      <c r="I15" s="138">
        <v>0.80708365775909574</v>
      </c>
      <c r="J15" s="138">
        <v>0.80804929768091527</v>
      </c>
      <c r="K15" s="137">
        <v>0</v>
      </c>
      <c r="L15" s="138">
        <v>0.80804929768091527</v>
      </c>
      <c r="M15" s="138">
        <v>0.77074626458539031</v>
      </c>
      <c r="N15" s="139">
        <v>3.7303033095524962E-2</v>
      </c>
    </row>
    <row r="16" spans="1:14" ht="14.1" customHeight="1" x14ac:dyDescent="0.25">
      <c r="A16" s="145">
        <f t="shared" si="1"/>
        <v>2018</v>
      </c>
      <c r="B16" s="145" t="str">
        <f t="shared" si="0"/>
        <v>2018 Q2</v>
      </c>
      <c r="C16" s="136">
        <v>43252</v>
      </c>
      <c r="D16" s="137">
        <v>4349709.5932142921</v>
      </c>
      <c r="E16" s="137">
        <v>0</v>
      </c>
      <c r="F16" s="137">
        <v>4349709.5932142921</v>
      </c>
      <c r="G16" s="138">
        <v>0.54492557153470533</v>
      </c>
      <c r="H16" s="137">
        <v>0</v>
      </c>
      <c r="I16" s="138">
        <v>0.54492557153470533</v>
      </c>
      <c r="J16" s="138">
        <v>0.54587616768916547</v>
      </c>
      <c r="K16" s="137">
        <v>0</v>
      </c>
      <c r="L16" s="138">
        <v>0.54587616768916547</v>
      </c>
      <c r="M16" s="138">
        <v>0.49404256627900595</v>
      </c>
      <c r="N16" s="139">
        <v>5.1833601410159524E-2</v>
      </c>
    </row>
    <row r="17" spans="1:14" ht="14.1" customHeight="1" x14ac:dyDescent="0.25">
      <c r="A17" s="145">
        <f t="shared" si="1"/>
        <v>2018</v>
      </c>
      <c r="B17" s="145" t="str">
        <f t="shared" si="0"/>
        <v>2018 Q3</v>
      </c>
      <c r="C17" s="136">
        <v>43282</v>
      </c>
      <c r="D17" s="137">
        <v>4084209.1717857099</v>
      </c>
      <c r="E17" s="137">
        <v>0</v>
      </c>
      <c r="F17" s="137">
        <v>4084209.1717857099</v>
      </c>
      <c r="G17" s="138">
        <v>0.70632055486217016</v>
      </c>
      <c r="H17" s="137">
        <v>0</v>
      </c>
      <c r="I17" s="138">
        <v>0.70632055486217016</v>
      </c>
      <c r="J17" s="138">
        <v>0.70735939575500417</v>
      </c>
      <c r="K17" s="137">
        <v>0</v>
      </c>
      <c r="L17" s="138">
        <v>0.70735939575500417</v>
      </c>
      <c r="M17" s="138">
        <v>0.66930058149796534</v>
      </c>
      <c r="N17" s="139">
        <v>3.8058814257038831E-2</v>
      </c>
    </row>
    <row r="18" spans="1:14" ht="14.1" customHeight="1" x14ac:dyDescent="0.25">
      <c r="A18" s="145">
        <f t="shared" si="1"/>
        <v>2018</v>
      </c>
      <c r="B18" s="145" t="str">
        <f t="shared" si="0"/>
        <v>2018 Q3</v>
      </c>
      <c r="C18" s="136">
        <v>43313</v>
      </c>
      <c r="D18" s="137">
        <v>3511309.6278571561</v>
      </c>
      <c r="E18" s="137">
        <v>0</v>
      </c>
      <c r="F18" s="137">
        <v>3511309.6278571561</v>
      </c>
      <c r="G18" s="138">
        <v>0.64093699776552648</v>
      </c>
      <c r="H18" s="137">
        <v>0</v>
      </c>
      <c r="I18" s="138">
        <v>0.64093699776552637</v>
      </c>
      <c r="J18" s="138">
        <v>0.64220372049095931</v>
      </c>
      <c r="K18" s="137">
        <v>0</v>
      </c>
      <c r="L18" s="138">
        <v>0.64220372049095931</v>
      </c>
      <c r="M18" s="138">
        <v>0.62784206505498519</v>
      </c>
      <c r="N18" s="139">
        <v>1.4361655435974119E-2</v>
      </c>
    </row>
    <row r="19" spans="1:14" ht="14.1" customHeight="1" x14ac:dyDescent="0.25">
      <c r="A19" s="145">
        <f t="shared" si="1"/>
        <v>2018</v>
      </c>
      <c r="B19" s="146" t="str">
        <f t="shared" si="0"/>
        <v>2018 Q3</v>
      </c>
      <c r="C19" s="136">
        <v>43344</v>
      </c>
      <c r="D19" s="137">
        <v>3381332.0396428602</v>
      </c>
      <c r="E19" s="137">
        <v>0</v>
      </c>
      <c r="F19" s="137">
        <v>3381332.0396428602</v>
      </c>
      <c r="G19" s="138">
        <v>0.66096399872651057</v>
      </c>
      <c r="H19" s="137">
        <v>0</v>
      </c>
      <c r="I19" s="138">
        <v>0.66096399872651057</v>
      </c>
      <c r="J19" s="138">
        <v>0.66212071487313695</v>
      </c>
      <c r="K19" s="137">
        <v>0</v>
      </c>
      <c r="L19" s="138">
        <v>0.66212071487313695</v>
      </c>
      <c r="M19" s="138">
        <v>0.61008099347081102</v>
      </c>
      <c r="N19" s="139">
        <v>5.2039721402325934E-2</v>
      </c>
    </row>
    <row r="20" spans="1:14" ht="14.1" customHeight="1" x14ac:dyDescent="0.25">
      <c r="A20" s="145">
        <f t="shared" si="1"/>
        <v>2018</v>
      </c>
      <c r="B20" s="146" t="str">
        <f t="shared" si="0"/>
        <v>2018 Q4</v>
      </c>
      <c r="C20" s="136">
        <v>43374</v>
      </c>
      <c r="D20" s="137">
        <v>3348407.3249999718</v>
      </c>
      <c r="E20" s="137">
        <v>0</v>
      </c>
      <c r="F20" s="137">
        <v>3348407.3249999718</v>
      </c>
      <c r="G20" s="138">
        <v>0.68720760212714904</v>
      </c>
      <c r="H20" s="137">
        <v>0</v>
      </c>
      <c r="I20" s="138">
        <v>0.68720760212714904</v>
      </c>
      <c r="J20" s="138">
        <v>0.68824178995891094</v>
      </c>
      <c r="K20" s="137">
        <v>0</v>
      </c>
      <c r="L20" s="138">
        <v>0.68824178995891094</v>
      </c>
      <c r="M20" s="138">
        <v>0.6762950912325566</v>
      </c>
      <c r="N20" s="139">
        <v>1.1946698726354343E-2</v>
      </c>
    </row>
    <row r="21" spans="1:14" ht="14.1" customHeight="1" x14ac:dyDescent="0.25">
      <c r="A21" s="145">
        <f t="shared" si="1"/>
        <v>2018</v>
      </c>
      <c r="B21" s="146" t="str">
        <f t="shared" si="0"/>
        <v>2018 Q4</v>
      </c>
      <c r="C21" s="136">
        <v>43405</v>
      </c>
      <c r="D21" s="137">
        <v>3344639.790000007</v>
      </c>
      <c r="E21" s="137">
        <v>0</v>
      </c>
      <c r="F21" s="137">
        <v>3344639.790000007</v>
      </c>
      <c r="G21" s="138">
        <v>0.83414678675363174</v>
      </c>
      <c r="H21" s="137">
        <v>0</v>
      </c>
      <c r="I21" s="138">
        <v>0.83414678675363174</v>
      </c>
      <c r="J21" s="138">
        <v>0.83521067040996744</v>
      </c>
      <c r="K21" s="137">
        <v>0</v>
      </c>
      <c r="L21" s="138">
        <v>0.83521067040996744</v>
      </c>
      <c r="M21" s="138">
        <v>0.94227591735789962</v>
      </c>
      <c r="N21" s="139">
        <v>-0.10706524694793218</v>
      </c>
    </row>
    <row r="22" spans="1:14" ht="14.1" customHeight="1" x14ac:dyDescent="0.25">
      <c r="A22" s="145">
        <f t="shared" si="1"/>
        <v>2018</v>
      </c>
      <c r="B22" s="146" t="str">
        <f t="shared" si="0"/>
        <v>2018 Q4</v>
      </c>
      <c r="C22" s="140">
        <v>43435</v>
      </c>
      <c r="D22" s="141">
        <v>2711425.7714285683</v>
      </c>
      <c r="E22" s="141">
        <v>0</v>
      </c>
      <c r="F22" s="141">
        <v>2711425.7714285683</v>
      </c>
      <c r="G22" s="142">
        <v>0.74033906180673847</v>
      </c>
      <c r="H22" s="141">
        <v>0</v>
      </c>
      <c r="I22" s="142">
        <v>0.74033906180673847</v>
      </c>
      <c r="J22" s="142">
        <v>0.74159150697548071</v>
      </c>
      <c r="K22" s="141">
        <v>0</v>
      </c>
      <c r="L22" s="142">
        <v>0.74159150697548071</v>
      </c>
      <c r="M22" s="142">
        <v>0.68945605655103892</v>
      </c>
      <c r="N22" s="143">
        <v>5.2135450424441787E-2</v>
      </c>
    </row>
    <row r="23" spans="1:14" ht="14.1" customHeight="1" x14ac:dyDescent="0.25">
      <c r="A23" s="145">
        <f t="shared" si="1"/>
        <v>2019</v>
      </c>
      <c r="B23" s="146" t="str">
        <f t="shared" si="0"/>
        <v>2019 Q1</v>
      </c>
      <c r="C23" s="136">
        <v>43466</v>
      </c>
      <c r="D23" s="137">
        <v>2581148.0496428637</v>
      </c>
      <c r="E23" s="137">
        <v>0</v>
      </c>
      <c r="F23" s="137">
        <v>2581148.0496428637</v>
      </c>
      <c r="G23" s="138">
        <v>0.96765340692758617</v>
      </c>
      <c r="H23" s="137">
        <v>0</v>
      </c>
      <c r="I23" s="138">
        <v>0.96765340692758617</v>
      </c>
      <c r="J23" s="138">
        <v>0.93313659063501042</v>
      </c>
      <c r="K23" s="137">
        <v>0</v>
      </c>
      <c r="L23" s="138">
        <v>0.93313659063501053</v>
      </c>
      <c r="M23" s="138">
        <v>0.5902962909124162</v>
      </c>
      <c r="N23" s="139">
        <v>0.34284029972259433</v>
      </c>
    </row>
    <row r="24" spans="1:14" ht="14.1" customHeight="1" x14ac:dyDescent="0.25">
      <c r="A24" s="145">
        <f t="shared" si="1"/>
        <v>2019</v>
      </c>
      <c r="B24" s="146" t="str">
        <f t="shared" si="0"/>
        <v>2019 Q1</v>
      </c>
      <c r="C24" s="136">
        <v>43497</v>
      </c>
      <c r="D24" s="137">
        <v>2437684.2307142764</v>
      </c>
      <c r="E24" s="137">
        <v>0</v>
      </c>
      <c r="F24" s="137">
        <v>2437684.2307142764</v>
      </c>
      <c r="G24" s="138">
        <v>1.0872785041116577</v>
      </c>
      <c r="H24" s="137">
        <v>0</v>
      </c>
      <c r="I24" s="138">
        <v>1.0872785041116577</v>
      </c>
      <c r="J24" s="138">
        <v>1.0526533469590003</v>
      </c>
      <c r="K24" s="137">
        <v>0</v>
      </c>
      <c r="L24" s="138">
        <v>1.0526533469590003</v>
      </c>
      <c r="M24" s="138">
        <v>5.9408413761474739</v>
      </c>
      <c r="N24" s="139">
        <v>-4.8881880291884734</v>
      </c>
    </row>
    <row r="25" spans="1:14" ht="14.1" customHeight="1" x14ac:dyDescent="0.25">
      <c r="A25" s="145">
        <f t="shared" si="1"/>
        <v>2019</v>
      </c>
      <c r="B25" s="146" t="str">
        <f t="shared" si="0"/>
        <v>2019 Q1</v>
      </c>
      <c r="C25" s="136">
        <v>43525</v>
      </c>
      <c r="D25" s="137">
        <v>3097910.8332142965</v>
      </c>
      <c r="E25" s="137">
        <v>0</v>
      </c>
      <c r="F25" s="137">
        <v>3097910.8332142965</v>
      </c>
      <c r="G25" s="138">
        <v>0.88943608323128753</v>
      </c>
      <c r="H25" s="137">
        <v>0</v>
      </c>
      <c r="I25" s="138">
        <v>0.88943608323128753</v>
      </c>
      <c r="J25" s="138">
        <v>0.85476448027822305</v>
      </c>
      <c r="K25" s="137">
        <v>0</v>
      </c>
      <c r="L25" s="138">
        <v>0.85476448027822294</v>
      </c>
      <c r="M25" s="138">
        <v>0.51207896721611779</v>
      </c>
      <c r="N25" s="139">
        <v>0.34268551306210515</v>
      </c>
    </row>
    <row r="26" spans="1:14" ht="14.1" customHeight="1" x14ac:dyDescent="0.25">
      <c r="A26" s="145">
        <f t="shared" si="1"/>
        <v>2019</v>
      </c>
      <c r="B26" s="146" t="str">
        <f t="shared" si="0"/>
        <v>2019 Q2</v>
      </c>
      <c r="C26" s="136">
        <v>43556</v>
      </c>
      <c r="D26" s="137">
        <v>3615438.2685714462</v>
      </c>
      <c r="E26" s="137">
        <v>0</v>
      </c>
      <c r="F26" s="137">
        <v>3615438.2685714462</v>
      </c>
      <c r="G26" s="138">
        <v>1.1080725401651972</v>
      </c>
      <c r="H26" s="137">
        <v>0</v>
      </c>
      <c r="I26" s="138">
        <v>1.1080725401651972</v>
      </c>
      <c r="J26" s="138">
        <v>1.0734857605776444</v>
      </c>
      <c r="K26" s="137">
        <v>0</v>
      </c>
      <c r="L26" s="138">
        <v>1.0734857605776444</v>
      </c>
      <c r="M26" s="138">
        <v>0.79054367998163255</v>
      </c>
      <c r="N26" s="139">
        <v>0.28294208059601189</v>
      </c>
    </row>
    <row r="27" spans="1:14" ht="14.1" customHeight="1" x14ac:dyDescent="0.25">
      <c r="A27" s="145">
        <f t="shared" si="1"/>
        <v>2019</v>
      </c>
      <c r="B27" s="146" t="str">
        <f t="shared" si="0"/>
        <v>2019 Q2</v>
      </c>
      <c r="C27" s="136">
        <v>43586</v>
      </c>
      <c r="D27" s="137">
        <v>4467392.1917857202</v>
      </c>
      <c r="E27" s="137">
        <v>0</v>
      </c>
      <c r="F27" s="137">
        <v>4467392.1917857202</v>
      </c>
      <c r="G27" s="138">
        <v>1.045358193555344</v>
      </c>
      <c r="H27" s="137">
        <v>0</v>
      </c>
      <c r="I27" s="138">
        <v>1.045358193555344</v>
      </c>
      <c r="J27" s="138">
        <v>1.0108910087457583</v>
      </c>
      <c r="K27" s="137">
        <v>0</v>
      </c>
      <c r="L27" s="138">
        <v>1.0108910087457583</v>
      </c>
      <c r="M27" s="138">
        <v>0.78893769290766946</v>
      </c>
      <c r="N27" s="139">
        <v>0.22195331583808886</v>
      </c>
    </row>
    <row r="28" spans="1:14" ht="14.1" customHeight="1" x14ac:dyDescent="0.25">
      <c r="A28" s="145">
        <f t="shared" si="1"/>
        <v>2019</v>
      </c>
      <c r="B28" s="146" t="str">
        <f t="shared" si="0"/>
        <v>2019 Q2</v>
      </c>
      <c r="C28" s="136">
        <v>43617</v>
      </c>
      <c r="D28" s="137">
        <v>4170032.28607147</v>
      </c>
      <c r="E28" s="137">
        <v>0</v>
      </c>
      <c r="F28" s="137">
        <v>4170032.28607147</v>
      </c>
      <c r="G28" s="138">
        <v>0.97113643948161532</v>
      </c>
      <c r="H28" s="137">
        <v>0</v>
      </c>
      <c r="I28" s="138">
        <v>0.97113643948161532</v>
      </c>
      <c r="J28" s="138">
        <v>0.93688127052260417</v>
      </c>
      <c r="K28" s="137">
        <v>0</v>
      </c>
      <c r="L28" s="138">
        <v>0.93688127052260417</v>
      </c>
      <c r="M28" s="138">
        <v>1.2531469338092238</v>
      </c>
      <c r="N28" s="139">
        <v>-0.31626566328661965</v>
      </c>
    </row>
    <row r="29" spans="1:14" ht="14.1" customHeight="1" x14ac:dyDescent="0.25">
      <c r="A29" s="145">
        <f t="shared" si="1"/>
        <v>2019</v>
      </c>
      <c r="B29" s="146" t="str">
        <f t="shared" si="0"/>
        <v>2019 Q3</v>
      </c>
      <c r="C29" s="136">
        <v>43647</v>
      </c>
      <c r="D29" s="137">
        <v>4706972.5978571931</v>
      </c>
      <c r="E29" s="137">
        <v>0</v>
      </c>
      <c r="F29" s="137">
        <v>4706972.5978571931</v>
      </c>
      <c r="G29" s="138">
        <v>1.0060250275841305</v>
      </c>
      <c r="H29" s="137">
        <v>0</v>
      </c>
      <c r="I29" s="138">
        <v>1.0060250275841305</v>
      </c>
      <c r="J29" s="138">
        <v>0.97197434172833974</v>
      </c>
      <c r="K29" s="137">
        <v>0</v>
      </c>
      <c r="L29" s="138">
        <v>0.97197434172833963</v>
      </c>
      <c r="M29" s="138">
        <v>0.63870486265350135</v>
      </c>
      <c r="N29" s="139">
        <v>0.33326947907483828</v>
      </c>
    </row>
    <row r="30" spans="1:14" ht="14.1" customHeight="1" x14ac:dyDescent="0.25">
      <c r="A30" s="145">
        <f t="shared" si="1"/>
        <v>2019</v>
      </c>
      <c r="B30" s="146" t="str">
        <f t="shared" si="0"/>
        <v>2019 Q3</v>
      </c>
      <c r="C30" s="136">
        <v>43678</v>
      </c>
      <c r="D30" s="137">
        <v>4415530.3664286695</v>
      </c>
      <c r="E30" s="137">
        <v>0</v>
      </c>
      <c r="F30" s="137">
        <v>4415530.3664286695</v>
      </c>
      <c r="G30" s="138">
        <v>0.89295020021387572</v>
      </c>
      <c r="H30" s="137">
        <v>0</v>
      </c>
      <c r="I30" s="138">
        <v>0.89295020021387572</v>
      </c>
      <c r="J30" s="138">
        <v>0.85834916716581344</v>
      </c>
      <c r="K30" s="137">
        <v>0</v>
      </c>
      <c r="L30" s="138">
        <v>0.85834916716581344</v>
      </c>
      <c r="M30" s="138">
        <v>0.51559308419870586</v>
      </c>
      <c r="N30" s="139">
        <v>0.34275608296710758</v>
      </c>
    </row>
    <row r="31" spans="1:14" ht="14.1" customHeight="1" x14ac:dyDescent="0.25">
      <c r="A31" s="145">
        <f t="shared" si="1"/>
        <v>2019</v>
      </c>
      <c r="B31" s="146" t="str">
        <f t="shared" si="0"/>
        <v>2019 Q3</v>
      </c>
      <c r="C31" s="136">
        <v>43709</v>
      </c>
      <c r="D31" s="137">
        <v>4532495.2417857926</v>
      </c>
      <c r="E31" s="137">
        <v>0</v>
      </c>
      <c r="F31" s="137">
        <v>4532495.2417857926</v>
      </c>
      <c r="G31" s="138">
        <v>1.0289524292749788</v>
      </c>
      <c r="H31" s="137">
        <v>0</v>
      </c>
      <c r="I31" s="138">
        <v>1.0289524292749788</v>
      </c>
      <c r="J31" s="138">
        <v>0.99429856619007606</v>
      </c>
      <c r="K31" s="137">
        <v>0</v>
      </c>
      <c r="L31" s="138">
        <v>0.99429856619007606</v>
      </c>
      <c r="M31" s="138">
        <v>0.71690899266571484</v>
      </c>
      <c r="N31" s="139">
        <v>0.27738957352436122</v>
      </c>
    </row>
    <row r="32" spans="1:14" ht="14.1" customHeight="1" x14ac:dyDescent="0.25">
      <c r="A32" s="145">
        <f t="shared" si="1"/>
        <v>2019</v>
      </c>
      <c r="B32" s="146" t="str">
        <f t="shared" si="0"/>
        <v>2019 Q4</v>
      </c>
      <c r="C32" s="136">
        <v>43739</v>
      </c>
      <c r="D32" s="137">
        <v>5277373.4228572166</v>
      </c>
      <c r="E32" s="137">
        <v>0</v>
      </c>
      <c r="F32" s="137">
        <v>5277373.4228572166</v>
      </c>
      <c r="G32" s="138">
        <v>0.98286464642978233</v>
      </c>
      <c r="H32" s="137">
        <v>0</v>
      </c>
      <c r="I32" s="138">
        <v>0.98286464642978233</v>
      </c>
      <c r="J32" s="138">
        <v>0.94843891588324492</v>
      </c>
      <c r="K32" s="137">
        <v>0</v>
      </c>
      <c r="L32" s="138">
        <v>0.94843891588324492</v>
      </c>
      <c r="M32" s="138">
        <v>0.69467546063069219</v>
      </c>
      <c r="N32" s="139">
        <v>0.25376345525255273</v>
      </c>
    </row>
    <row r="33" spans="1:14" ht="14.1" customHeight="1" x14ac:dyDescent="0.25">
      <c r="A33" s="145">
        <f t="shared" si="1"/>
        <v>2019</v>
      </c>
      <c r="B33" s="146" t="str">
        <f t="shared" si="0"/>
        <v>2019 Q4</v>
      </c>
      <c r="C33" s="136">
        <v>43770</v>
      </c>
      <c r="D33" s="137">
        <v>4963236.5846429132</v>
      </c>
      <c r="E33" s="137">
        <v>0</v>
      </c>
      <c r="F33" s="137">
        <v>4963236.5846429132</v>
      </c>
      <c r="G33" s="138">
        <v>0.94062663829629145</v>
      </c>
      <c r="H33" s="137">
        <v>0</v>
      </c>
      <c r="I33" s="138">
        <v>0.94062663829629145</v>
      </c>
      <c r="J33" s="138">
        <v>0.90637182615097167</v>
      </c>
      <c r="K33" s="137">
        <v>0</v>
      </c>
      <c r="L33" s="138">
        <v>0.90637182615097178</v>
      </c>
      <c r="M33" s="138">
        <v>0.56327081366369347</v>
      </c>
      <c r="N33" s="139">
        <v>0.34310101248727831</v>
      </c>
    </row>
    <row r="34" spans="1:14" ht="14.1" customHeight="1" x14ac:dyDescent="0.25">
      <c r="A34" s="145">
        <f t="shared" si="1"/>
        <v>2019</v>
      </c>
      <c r="B34" s="146" t="str">
        <f t="shared" si="0"/>
        <v>2019 Q4</v>
      </c>
      <c r="C34" s="140">
        <v>43800</v>
      </c>
      <c r="D34" s="141">
        <v>4496965.2289286675</v>
      </c>
      <c r="E34" s="141">
        <v>0</v>
      </c>
      <c r="F34" s="141">
        <v>4496965.2289286675</v>
      </c>
      <c r="G34" s="142">
        <v>0.97732633549144865</v>
      </c>
      <c r="H34" s="141">
        <v>0</v>
      </c>
      <c r="I34" s="142">
        <v>0.97732633549144876</v>
      </c>
      <c r="J34" s="142">
        <v>0.94349021380870357</v>
      </c>
      <c r="K34" s="141">
        <v>0</v>
      </c>
      <c r="L34" s="142">
        <v>0.94349021380870368</v>
      </c>
      <c r="M34" s="142">
        <v>0.90078409940637383</v>
      </c>
      <c r="N34" s="143">
        <v>4.2706114402329853E-2</v>
      </c>
    </row>
    <row r="35" spans="1:14" ht="14.1" customHeight="1" x14ac:dyDescent="0.25">
      <c r="A35" s="145">
        <f t="shared" si="1"/>
        <v>2020</v>
      </c>
      <c r="B35" s="146" t="str">
        <f t="shared" si="0"/>
        <v>2020 Q1</v>
      </c>
      <c r="C35" s="136">
        <v>43831</v>
      </c>
      <c r="D35" s="137">
        <v>4689905.9853571979</v>
      </c>
      <c r="E35" s="137">
        <v>0</v>
      </c>
      <c r="F35" s="137">
        <v>4689905.9853571979</v>
      </c>
      <c r="G35" s="138">
        <v>0.68765062878929062</v>
      </c>
      <c r="H35" s="137">
        <v>0</v>
      </c>
      <c r="I35" s="138">
        <v>0.68765062878929062</v>
      </c>
      <c r="J35" s="138">
        <v>0.70766239239299333</v>
      </c>
      <c r="K35" s="137">
        <v>0</v>
      </c>
      <c r="L35" s="138">
        <v>0.70766239239299333</v>
      </c>
      <c r="M35" s="138">
        <v>0.62185935281082849</v>
      </c>
      <c r="N35" s="139">
        <v>8.5803039582164842E-2</v>
      </c>
    </row>
    <row r="36" spans="1:14" ht="14.1" customHeight="1" x14ac:dyDescent="0.25">
      <c r="A36" s="145">
        <f t="shared" si="1"/>
        <v>2020</v>
      </c>
      <c r="B36" s="146" t="str">
        <f t="shared" si="0"/>
        <v>2020 Q1</v>
      </c>
      <c r="C36" s="136">
        <v>43862</v>
      </c>
      <c r="D36" s="137">
        <v>5203363.0414286274</v>
      </c>
      <c r="E36" s="137">
        <v>0</v>
      </c>
      <c r="F36" s="137">
        <v>5203363.0414286274</v>
      </c>
      <c r="G36" s="138">
        <v>0.66817976596482109</v>
      </c>
      <c r="H36" s="137">
        <v>0</v>
      </c>
      <c r="I36" s="138">
        <v>0.66817976596482109</v>
      </c>
      <c r="J36" s="138">
        <v>0.68824927086739707</v>
      </c>
      <c r="K36" s="137">
        <v>0</v>
      </c>
      <c r="L36" s="138">
        <v>0.68824927086739707</v>
      </c>
      <c r="M36" s="138">
        <v>0.58739407777855712</v>
      </c>
      <c r="N36" s="139">
        <v>0.10085519308883995</v>
      </c>
    </row>
    <row r="37" spans="1:14" ht="14.1" customHeight="1" x14ac:dyDescent="0.25">
      <c r="A37" s="145">
        <f t="shared" si="1"/>
        <v>2020</v>
      </c>
      <c r="B37" s="146" t="str">
        <f t="shared" si="0"/>
        <v>2020 Q1</v>
      </c>
      <c r="C37" s="136">
        <v>43891</v>
      </c>
      <c r="D37" s="137">
        <v>5389933.4839286609</v>
      </c>
      <c r="E37" s="137">
        <v>0</v>
      </c>
      <c r="F37" s="137">
        <v>5389933.4839286609</v>
      </c>
      <c r="G37" s="138">
        <v>0.59415583882754097</v>
      </c>
      <c r="H37" s="137">
        <v>0</v>
      </c>
      <c r="I37" s="138">
        <v>0.59415583882754097</v>
      </c>
      <c r="J37" s="138">
        <v>0.61411620914300924</v>
      </c>
      <c r="K37" s="137">
        <v>0</v>
      </c>
      <c r="L37" s="138">
        <v>0.61411620914300924</v>
      </c>
      <c r="M37" s="138">
        <v>0.54316773836772192</v>
      </c>
      <c r="N37" s="139">
        <v>7.094847077528732E-2</v>
      </c>
    </row>
    <row r="38" spans="1:14" ht="14.1" customHeight="1" x14ac:dyDescent="0.25">
      <c r="A38" s="145">
        <f t="shared" si="1"/>
        <v>2020</v>
      </c>
      <c r="B38" s="146" t="str">
        <f t="shared" si="0"/>
        <v>2020 Q2</v>
      </c>
      <c r="C38" s="136">
        <v>43922</v>
      </c>
      <c r="D38" s="137">
        <v>4359680.5757143032</v>
      </c>
      <c r="E38" s="137">
        <v>0</v>
      </c>
      <c r="F38" s="137">
        <v>4359680.5757143032</v>
      </c>
      <c r="G38" s="138">
        <v>0.69887258494398452</v>
      </c>
      <c r="H38" s="137">
        <v>0</v>
      </c>
      <c r="I38" s="138">
        <v>0.69887258494398452</v>
      </c>
      <c r="J38" s="138">
        <v>0.71900794598964524</v>
      </c>
      <c r="K38" s="137">
        <v>0</v>
      </c>
      <c r="L38" s="138">
        <v>0.71900794598964524</v>
      </c>
      <c r="M38" s="138">
        <v>0.63192217246002291</v>
      </c>
      <c r="N38" s="139">
        <v>8.7085773529622323E-2</v>
      </c>
    </row>
    <row r="39" spans="1:14" ht="14.1" customHeight="1" x14ac:dyDescent="0.25">
      <c r="A39" s="145">
        <f t="shared" si="1"/>
        <v>2020</v>
      </c>
      <c r="B39" s="146" t="str">
        <f t="shared" si="0"/>
        <v>2020 Q2</v>
      </c>
      <c r="C39" s="136">
        <v>43952</v>
      </c>
      <c r="D39" s="137">
        <v>5241189.3410717025</v>
      </c>
      <c r="E39" s="137">
        <v>0</v>
      </c>
      <c r="F39" s="137">
        <v>5241189.3410717025</v>
      </c>
      <c r="G39" s="138">
        <v>0.62006981971782338</v>
      </c>
      <c r="H39" s="137">
        <v>0</v>
      </c>
      <c r="I39" s="138">
        <v>0.62006981971782338</v>
      </c>
      <c r="J39" s="138">
        <v>0.64013570362905559</v>
      </c>
      <c r="K39" s="137">
        <v>0</v>
      </c>
      <c r="L39" s="138">
        <v>0.64013570362905559</v>
      </c>
      <c r="M39" s="138">
        <v>0.53477374037031611</v>
      </c>
      <c r="N39" s="139">
        <v>0.10536196325873948</v>
      </c>
    </row>
    <row r="40" spans="1:14" ht="14.1" customHeight="1" x14ac:dyDescent="0.25">
      <c r="A40" s="145">
        <f t="shared" si="1"/>
        <v>2020</v>
      </c>
      <c r="B40" s="146" t="str">
        <f t="shared" si="0"/>
        <v>2020 Q2</v>
      </c>
      <c r="C40" s="136">
        <v>43983</v>
      </c>
      <c r="D40" s="137">
        <v>6065052.5758124935</v>
      </c>
      <c r="E40" s="137">
        <v>0</v>
      </c>
      <c r="F40" s="137">
        <v>6065052.5758124935</v>
      </c>
      <c r="G40" s="138">
        <v>0.614420983943198</v>
      </c>
      <c r="H40" s="137">
        <v>0</v>
      </c>
      <c r="I40" s="138">
        <v>0.614420983943198</v>
      </c>
      <c r="J40" s="138">
        <v>0.63485473573705797</v>
      </c>
      <c r="K40" s="137">
        <v>0</v>
      </c>
      <c r="L40" s="138">
        <v>0.63485473573705797</v>
      </c>
      <c r="M40" s="138">
        <v>0.52911492486717449</v>
      </c>
      <c r="N40" s="139">
        <v>0.10573981086988349</v>
      </c>
    </row>
    <row r="41" spans="1:14" ht="14.1" customHeight="1" x14ac:dyDescent="0.25">
      <c r="A41" s="145">
        <f t="shared" si="1"/>
        <v>2020</v>
      </c>
      <c r="B41" s="146" t="str">
        <f t="shared" si="0"/>
        <v>2020 Q3</v>
      </c>
      <c r="C41" s="136">
        <v>44013</v>
      </c>
      <c r="D41" s="137">
        <v>7476305.4562505456</v>
      </c>
      <c r="E41" s="137">
        <v>0</v>
      </c>
      <c r="F41" s="137">
        <v>7476305.4562505456</v>
      </c>
      <c r="G41" s="138">
        <v>0.65280772852233926</v>
      </c>
      <c r="H41" s="137">
        <v>0</v>
      </c>
      <c r="I41" s="138">
        <v>0.65280772852233926</v>
      </c>
      <c r="J41" s="138">
        <v>0.67351301173156319</v>
      </c>
      <c r="K41" s="137">
        <v>0</v>
      </c>
      <c r="L41" s="138">
        <v>0.67351301173156319</v>
      </c>
      <c r="M41" s="138">
        <v>0.56754693917764298</v>
      </c>
      <c r="N41" s="139">
        <v>0.10596607255392021</v>
      </c>
    </row>
    <row r="42" spans="1:14" ht="14.1" customHeight="1" x14ac:dyDescent="0.25">
      <c r="A42" s="145">
        <f t="shared" si="1"/>
        <v>2020</v>
      </c>
      <c r="B42" s="146" t="str">
        <f t="shared" si="0"/>
        <v>2020 Q3</v>
      </c>
      <c r="C42" s="136">
        <v>44044</v>
      </c>
      <c r="D42" s="137">
        <v>7663550.7620301219</v>
      </c>
      <c r="E42" s="137">
        <v>0</v>
      </c>
      <c r="F42" s="137">
        <v>7663550.7620301219</v>
      </c>
      <c r="G42" s="138">
        <v>0.72084717573442658</v>
      </c>
      <c r="H42" s="137">
        <v>0</v>
      </c>
      <c r="I42" s="138">
        <v>0.72084717573442658</v>
      </c>
      <c r="J42" s="138">
        <v>0.74168088118154696</v>
      </c>
      <c r="K42" s="137">
        <v>0</v>
      </c>
      <c r="L42" s="138">
        <v>0.74168088118154696</v>
      </c>
      <c r="M42" s="138">
        <v>1.2241702346510464</v>
      </c>
      <c r="N42" s="139">
        <v>-0.48248935346949939</v>
      </c>
    </row>
    <row r="43" spans="1:14" ht="14.1" customHeight="1" x14ac:dyDescent="0.25">
      <c r="A43" s="145">
        <f t="shared" si="1"/>
        <v>2020</v>
      </c>
      <c r="B43" s="146" t="str">
        <f t="shared" si="0"/>
        <v>2020 Q3</v>
      </c>
      <c r="C43" s="136">
        <v>44075</v>
      </c>
      <c r="D43" s="137">
        <v>7938865.4794571055</v>
      </c>
      <c r="E43" s="137">
        <v>0</v>
      </c>
      <c r="F43" s="137">
        <v>7938865.4794571055</v>
      </c>
      <c r="G43" s="138">
        <v>0.58381500559355626</v>
      </c>
      <c r="H43" s="137">
        <v>0</v>
      </c>
      <c r="I43" s="138">
        <v>0.58381500559355626</v>
      </c>
      <c r="J43" s="138">
        <v>0.60461884908602914</v>
      </c>
      <c r="K43" s="137">
        <v>0</v>
      </c>
      <c r="L43" s="138">
        <v>0.60461884908602914</v>
      </c>
      <c r="M43" s="138">
        <v>0.59576582092879016</v>
      </c>
      <c r="N43" s="139">
        <v>8.8530281572389846E-3</v>
      </c>
    </row>
    <row r="44" spans="1:14" ht="14.1" customHeight="1" x14ac:dyDescent="0.25">
      <c r="A44" s="145">
        <f t="shared" si="1"/>
        <v>2020</v>
      </c>
      <c r="B44" s="146" t="str">
        <f t="shared" si="0"/>
        <v>2020 Q4</v>
      </c>
      <c r="C44" s="136">
        <v>44105</v>
      </c>
      <c r="D44" s="137">
        <v>7143410.7442501793</v>
      </c>
      <c r="E44" s="137">
        <v>0</v>
      </c>
      <c r="F44" s="137">
        <v>7143410.7442501793</v>
      </c>
      <c r="G44" s="138">
        <v>0.79797635199555006</v>
      </c>
      <c r="H44" s="137">
        <v>0</v>
      </c>
      <c r="I44" s="138">
        <v>0.79797635199555006</v>
      </c>
      <c r="J44" s="138">
        <v>0.81963742994098299</v>
      </c>
      <c r="K44" s="137">
        <v>0</v>
      </c>
      <c r="L44" s="138">
        <v>0.81963742994098299</v>
      </c>
      <c r="M44" s="138">
        <v>0.75208915649677821</v>
      </c>
      <c r="N44" s="139">
        <v>6.7548273444204776E-2</v>
      </c>
    </row>
    <row r="45" spans="1:14" ht="14.1" customHeight="1" x14ac:dyDescent="0.25">
      <c r="A45" s="145">
        <f t="shared" si="1"/>
        <v>2020</v>
      </c>
      <c r="B45" s="146" t="str">
        <f t="shared" si="0"/>
        <v>2020 Q4</v>
      </c>
      <c r="C45" s="136">
        <v>44136</v>
      </c>
      <c r="D45" s="137">
        <v>5061616.7735897377</v>
      </c>
      <c r="E45" s="137">
        <v>0</v>
      </c>
      <c r="F45" s="137">
        <v>5061616.7735897377</v>
      </c>
      <c r="G45" s="138">
        <v>0.64626608314038581</v>
      </c>
      <c r="H45" s="137">
        <v>0</v>
      </c>
      <c r="I45" s="138">
        <v>0.64626608314038581</v>
      </c>
      <c r="J45" s="138">
        <v>0.66755379171877149</v>
      </c>
      <c r="K45" s="137">
        <v>0</v>
      </c>
      <c r="L45" s="138">
        <v>0.66755379171877149</v>
      </c>
      <c r="M45" s="138">
        <v>0.56128478853707786</v>
      </c>
      <c r="N45" s="139">
        <v>0.10626900318169363</v>
      </c>
    </row>
    <row r="46" spans="1:14" ht="14.1" customHeight="1" x14ac:dyDescent="0.25">
      <c r="A46" s="145">
        <f t="shared" si="1"/>
        <v>2020</v>
      </c>
      <c r="B46" s="146" t="str">
        <f t="shared" si="0"/>
        <v>2020 Q4</v>
      </c>
      <c r="C46" s="140">
        <v>44166</v>
      </c>
      <c r="D46" s="141">
        <v>4293975.7260439256</v>
      </c>
      <c r="E46" s="141">
        <v>0</v>
      </c>
      <c r="F46" s="141">
        <v>4293975.7260439256</v>
      </c>
      <c r="G46" s="142">
        <v>0.58256896233287037</v>
      </c>
      <c r="H46" s="141">
        <v>0</v>
      </c>
      <c r="I46" s="142">
        <v>0.58256896233287037</v>
      </c>
      <c r="J46" s="142">
        <v>0.60369477991307441</v>
      </c>
      <c r="K46" s="141">
        <v>0</v>
      </c>
      <c r="L46" s="142">
        <v>0.60369477991307441</v>
      </c>
      <c r="M46" s="142">
        <v>0.49786957856124475</v>
      </c>
      <c r="N46" s="143">
        <v>0.10582520135182966</v>
      </c>
    </row>
    <row r="47" spans="1:14" ht="14.1" customHeight="1" x14ac:dyDescent="0.25">
      <c r="A47" s="145">
        <f t="shared" si="1"/>
        <v>2021</v>
      </c>
      <c r="B47" s="146" t="str">
        <f t="shared" si="0"/>
        <v>2021 Q1</v>
      </c>
      <c r="C47" s="136">
        <v>44197</v>
      </c>
      <c r="D47" s="137">
        <v>3605661.2035315316</v>
      </c>
      <c r="E47" s="137">
        <v>0</v>
      </c>
      <c r="F47" s="137">
        <v>3605661.2035315316</v>
      </c>
      <c r="G47" s="138">
        <v>0.84084260830483837</v>
      </c>
      <c r="H47" s="137">
        <v>0</v>
      </c>
      <c r="I47" s="138">
        <v>0.84084260830483837</v>
      </c>
      <c r="J47" s="138">
        <v>0.8545400534559906</v>
      </c>
      <c r="K47" s="137">
        <v>0</v>
      </c>
      <c r="L47" s="138">
        <v>0.8545400534559906</v>
      </c>
      <c r="M47" s="138">
        <v>1.8161099304668469</v>
      </c>
      <c r="N47" s="139">
        <v>-0.96156987701085628</v>
      </c>
    </row>
    <row r="48" spans="1:14" ht="14.1" customHeight="1" x14ac:dyDescent="0.25">
      <c r="A48" s="145">
        <f t="shared" si="1"/>
        <v>2021</v>
      </c>
      <c r="B48" s="146" t="str">
        <f t="shared" si="0"/>
        <v>2021 Q1</v>
      </c>
      <c r="C48" s="136">
        <v>44228</v>
      </c>
      <c r="D48" s="137">
        <v>3778861.6148537509</v>
      </c>
      <c r="E48" s="137">
        <v>0</v>
      </c>
      <c r="F48" s="137">
        <v>3778861.6148537509</v>
      </c>
      <c r="G48" s="138">
        <v>0.7952669706982417</v>
      </c>
      <c r="H48" s="137">
        <v>0</v>
      </c>
      <c r="I48" s="138">
        <v>0.7952669706982417</v>
      </c>
      <c r="J48" s="138">
        <v>0.80927918305301649</v>
      </c>
      <c r="K48" s="137">
        <v>0</v>
      </c>
      <c r="L48" s="138">
        <v>0.80927918305301649</v>
      </c>
      <c r="M48" s="138">
        <v>0.57306596522731423</v>
      </c>
      <c r="N48" s="139">
        <v>0.23621321782570226</v>
      </c>
    </row>
    <row r="49" spans="1:14" ht="14.1" customHeight="1" x14ac:dyDescent="0.25">
      <c r="A49" s="145">
        <f t="shared" si="1"/>
        <v>2021</v>
      </c>
      <c r="B49" s="146" t="str">
        <f t="shared" si="0"/>
        <v>2021 Q1</v>
      </c>
      <c r="C49" s="136">
        <v>44256</v>
      </c>
      <c r="D49" s="137">
        <v>3892848.5680688205</v>
      </c>
      <c r="E49" s="137">
        <v>0</v>
      </c>
      <c r="F49" s="137">
        <v>3892848.5680688205</v>
      </c>
      <c r="G49" s="138">
        <v>0.90754357615319847</v>
      </c>
      <c r="H49" s="137">
        <v>0</v>
      </c>
      <c r="I49" s="138">
        <v>0.90754357615319847</v>
      </c>
      <c r="J49" s="138">
        <v>0.92176772139030105</v>
      </c>
      <c r="K49" s="137">
        <v>0</v>
      </c>
      <c r="L49" s="138">
        <v>0.92176772139030105</v>
      </c>
      <c r="M49" s="138">
        <v>0.9188375087982199</v>
      </c>
      <c r="N49" s="139">
        <v>2.9302125920811495E-3</v>
      </c>
    </row>
    <row r="50" spans="1:14" ht="14.1" customHeight="1" x14ac:dyDescent="0.25">
      <c r="A50" s="145">
        <f t="shared" si="1"/>
        <v>2021</v>
      </c>
      <c r="B50" s="146" t="str">
        <f t="shared" si="0"/>
        <v>2021 Q2</v>
      </c>
      <c r="C50" s="136">
        <v>44287</v>
      </c>
      <c r="D50" s="137">
        <v>4761249.8139392743</v>
      </c>
      <c r="E50" s="137">
        <v>0</v>
      </c>
      <c r="F50" s="137">
        <v>4761249.8139392743</v>
      </c>
      <c r="G50" s="138">
        <v>1.038288135311733</v>
      </c>
      <c r="H50" s="137">
        <v>0</v>
      </c>
      <c r="I50" s="138">
        <v>1.038288135311733</v>
      </c>
      <c r="J50" s="138">
        <v>1.0540743318671209</v>
      </c>
      <c r="K50" s="137">
        <v>0</v>
      </c>
      <c r="L50" s="138">
        <v>1.0540743318671209</v>
      </c>
      <c r="M50" s="138">
        <v>0.89515145170378319</v>
      </c>
      <c r="N50" s="139">
        <v>0.15892288016333767</v>
      </c>
    </row>
    <row r="51" spans="1:14" ht="14.1" customHeight="1" x14ac:dyDescent="0.25">
      <c r="A51" s="145">
        <f t="shared" si="1"/>
        <v>2021</v>
      </c>
      <c r="B51" s="146" t="str">
        <f t="shared" si="0"/>
        <v>2021 Q2</v>
      </c>
      <c r="C51" s="136">
        <v>44317</v>
      </c>
      <c r="D51" s="137">
        <v>5990963.1646344624</v>
      </c>
      <c r="E51" s="137">
        <v>0</v>
      </c>
      <c r="F51" s="137">
        <v>5990963.1646344624</v>
      </c>
      <c r="G51" s="138">
        <v>1.1432335475386766</v>
      </c>
      <c r="H51" s="137">
        <v>0</v>
      </c>
      <c r="I51" s="138">
        <v>1.1432335475386766</v>
      </c>
      <c r="J51" s="138">
        <v>1.160546401158711</v>
      </c>
      <c r="K51" s="137">
        <v>0</v>
      </c>
      <c r="L51" s="138">
        <v>1.160546401158711</v>
      </c>
      <c r="M51" s="138">
        <v>1.0089364522533311</v>
      </c>
      <c r="N51" s="139">
        <v>0.15160994890537993</v>
      </c>
    </row>
    <row r="52" spans="1:14" ht="14.1" customHeight="1" x14ac:dyDescent="0.25">
      <c r="A52" s="145">
        <f t="shared" si="1"/>
        <v>2021</v>
      </c>
      <c r="B52" s="146" t="str">
        <f t="shared" si="0"/>
        <v>2021 Q2</v>
      </c>
      <c r="C52" s="136">
        <v>44348</v>
      </c>
      <c r="D52" s="137">
        <v>8166242.6086350689</v>
      </c>
      <c r="E52" s="137">
        <v>0</v>
      </c>
      <c r="F52" s="137">
        <v>8166242.6086350689</v>
      </c>
      <c r="G52" s="138">
        <v>1.1219374460235376</v>
      </c>
      <c r="H52" s="137">
        <v>0</v>
      </c>
      <c r="I52" s="138">
        <v>1.1219374460235376</v>
      </c>
      <c r="J52" s="138">
        <v>1.1419325493480361</v>
      </c>
      <c r="K52" s="137">
        <v>0</v>
      </c>
      <c r="L52" s="138">
        <v>1.1419325493480361</v>
      </c>
      <c r="M52" s="138">
        <v>1.4546417969394063</v>
      </c>
      <c r="N52" s="139">
        <v>-0.3127092475913702</v>
      </c>
    </row>
    <row r="53" spans="1:14" ht="14.1" customHeight="1" x14ac:dyDescent="0.25">
      <c r="A53" s="145">
        <f t="shared" si="1"/>
        <v>2021</v>
      </c>
      <c r="B53" s="146" t="str">
        <f t="shared" si="0"/>
        <v>2021 Q3</v>
      </c>
      <c r="C53" s="136">
        <v>44378</v>
      </c>
      <c r="D53" s="137">
        <v>10077720.599623105</v>
      </c>
      <c r="E53" s="137">
        <v>0</v>
      </c>
      <c r="F53" s="137">
        <v>10077720.599623105</v>
      </c>
      <c r="G53" s="138">
        <v>1.0833146024281919</v>
      </c>
      <c r="H53" s="137">
        <v>0</v>
      </c>
      <c r="I53" s="138">
        <v>1.0833146024281919</v>
      </c>
      <c r="J53" s="138">
        <v>1.1054838592962166</v>
      </c>
      <c r="K53" s="137">
        <v>0</v>
      </c>
      <c r="L53" s="138">
        <v>1.1054838592962166</v>
      </c>
      <c r="M53" s="138">
        <v>1.2736008631648243</v>
      </c>
      <c r="N53" s="139">
        <v>-0.16811700386860773</v>
      </c>
    </row>
    <row r="54" spans="1:14" ht="14.1" customHeight="1" x14ac:dyDescent="0.25">
      <c r="A54" s="145">
        <f t="shared" si="1"/>
        <v>2021</v>
      </c>
      <c r="B54" s="146" t="str">
        <f t="shared" si="0"/>
        <v>2021 Q3</v>
      </c>
      <c r="C54" s="136">
        <v>44409</v>
      </c>
      <c r="D54" s="137">
        <v>8518805.4160544593</v>
      </c>
      <c r="E54" s="137">
        <v>0</v>
      </c>
      <c r="F54" s="137">
        <v>8518805.4160544593</v>
      </c>
      <c r="G54" s="138">
        <v>1.064998573084333</v>
      </c>
      <c r="H54" s="137">
        <v>0</v>
      </c>
      <c r="I54" s="138">
        <v>1.064998573084333</v>
      </c>
      <c r="J54" s="138">
        <v>1.0837090604633652</v>
      </c>
      <c r="K54" s="137">
        <v>0</v>
      </c>
      <c r="L54" s="138">
        <v>1.0837090604633652</v>
      </c>
      <c r="M54" s="138">
        <v>0.97349720006983964</v>
      </c>
      <c r="N54" s="139">
        <v>0.1102118603935256</v>
      </c>
    </row>
    <row r="55" spans="1:14" ht="14.1" customHeight="1" x14ac:dyDescent="0.25">
      <c r="A55" s="145">
        <f t="shared" si="1"/>
        <v>2021</v>
      </c>
      <c r="B55" s="146" t="str">
        <f t="shared" si="0"/>
        <v>2021 Q3</v>
      </c>
      <c r="C55" s="136">
        <v>44440</v>
      </c>
      <c r="D55" s="137">
        <v>10939567.07301373</v>
      </c>
      <c r="E55" s="137">
        <v>0</v>
      </c>
      <c r="F55" s="137">
        <v>10939567.07301373</v>
      </c>
      <c r="G55" s="138">
        <v>0.94376294942223415</v>
      </c>
      <c r="H55" s="137">
        <v>0</v>
      </c>
      <c r="I55" s="138">
        <v>0.94376294942223415</v>
      </c>
      <c r="J55" s="138">
        <v>0.96134043006596315</v>
      </c>
      <c r="K55" s="137">
        <v>0</v>
      </c>
      <c r="L55" s="138">
        <v>0.96134043006596315</v>
      </c>
      <c r="M55" s="138">
        <v>0.77652080997911788</v>
      </c>
      <c r="N55" s="139">
        <v>0.18481962008684527</v>
      </c>
    </row>
    <row r="56" spans="1:14" ht="14.1" customHeight="1" x14ac:dyDescent="0.25">
      <c r="A56" s="145">
        <f t="shared" si="1"/>
        <v>2021</v>
      </c>
      <c r="B56" s="146" t="str">
        <f t="shared" si="0"/>
        <v>2021 Q4</v>
      </c>
      <c r="C56" s="136">
        <v>44470</v>
      </c>
      <c r="D56" s="137">
        <v>10408641.859501489</v>
      </c>
      <c r="E56" s="137">
        <v>0</v>
      </c>
      <c r="F56" s="137">
        <v>10408641.859501489</v>
      </c>
      <c r="G56" s="138">
        <v>1.106167534752553</v>
      </c>
      <c r="H56" s="137">
        <v>0</v>
      </c>
      <c r="I56" s="138">
        <v>1.106167534752553</v>
      </c>
      <c r="J56" s="138">
        <v>1.129057903682654</v>
      </c>
      <c r="K56" s="137">
        <v>0</v>
      </c>
      <c r="L56" s="138">
        <v>1.129057903682654</v>
      </c>
      <c r="M56" s="138">
        <v>0.95777296032200754</v>
      </c>
      <c r="N56" s="139">
        <v>0.17128494336064648</v>
      </c>
    </row>
    <row r="57" spans="1:14" ht="14.1" customHeight="1" x14ac:dyDescent="0.25">
      <c r="A57" s="145">
        <f t="shared" si="1"/>
        <v>2021</v>
      </c>
      <c r="B57" s="146" t="str">
        <f t="shared" si="0"/>
        <v>2021 Q4</v>
      </c>
      <c r="C57" s="136">
        <v>44501</v>
      </c>
      <c r="D57" s="137">
        <v>9981957.0771819428</v>
      </c>
      <c r="E57" s="137">
        <v>0</v>
      </c>
      <c r="F57" s="137">
        <v>9981957.0771819428</v>
      </c>
      <c r="G57" s="138">
        <v>1.0950758397017073</v>
      </c>
      <c r="H57" s="137">
        <v>0</v>
      </c>
      <c r="I57" s="138">
        <v>1.0950758397017073</v>
      </c>
      <c r="J57" s="138">
        <v>1.116634057777274</v>
      </c>
      <c r="K57" s="137">
        <v>0</v>
      </c>
      <c r="L57" s="138">
        <v>1.116634057777274</v>
      </c>
      <c r="M57" s="138">
        <v>0.94817546590169888</v>
      </c>
      <c r="N57" s="139">
        <v>0.1684585918755751</v>
      </c>
    </row>
    <row r="58" spans="1:14" ht="14.1" customHeight="1" x14ac:dyDescent="0.25">
      <c r="A58" s="145">
        <f t="shared" si="1"/>
        <v>2021</v>
      </c>
      <c r="B58" s="146" t="str">
        <f t="shared" si="0"/>
        <v>2021 Q4</v>
      </c>
      <c r="C58" s="140">
        <v>44531</v>
      </c>
      <c r="D58" s="141">
        <v>8738178.1687171143</v>
      </c>
      <c r="E58" s="141">
        <v>0</v>
      </c>
      <c r="F58" s="141">
        <v>8738178.1687171143</v>
      </c>
      <c r="G58" s="142">
        <v>1.1538287717319737</v>
      </c>
      <c r="H58" s="141">
        <v>0</v>
      </c>
      <c r="I58" s="142">
        <v>1.1538287717319737</v>
      </c>
      <c r="J58" s="142">
        <v>1.1761208134738779</v>
      </c>
      <c r="K58" s="141">
        <v>0</v>
      </c>
      <c r="L58" s="142">
        <v>1.1761208134738779</v>
      </c>
      <c r="M58" s="142">
        <v>1.2548064872363778</v>
      </c>
      <c r="N58" s="143">
        <v>-7.8685673762499908E-2</v>
      </c>
    </row>
    <row r="59" spans="1:14" ht="14.1" customHeight="1" x14ac:dyDescent="0.25">
      <c r="A59" s="145">
        <f t="shared" si="1"/>
        <v>2022</v>
      </c>
      <c r="B59" s="146" t="str">
        <f t="shared" si="0"/>
        <v>2022 Q1</v>
      </c>
      <c r="C59" s="136">
        <v>44562</v>
      </c>
      <c r="D59" s="137">
        <v>9898541.4741593394</v>
      </c>
      <c r="E59" s="137">
        <v>0</v>
      </c>
      <c r="F59" s="137">
        <v>9898541.4741593394</v>
      </c>
      <c r="G59" s="138">
        <v>1.1165230916793871</v>
      </c>
      <c r="H59" s="137">
        <v>0</v>
      </c>
      <c r="I59" s="138">
        <v>1.1165230916793871</v>
      </c>
      <c r="J59" s="138">
        <v>1.125029075194816</v>
      </c>
      <c r="K59" s="137">
        <v>0</v>
      </c>
      <c r="L59" s="138">
        <v>1.125029075194816</v>
      </c>
      <c r="M59" s="138">
        <v>1.0005901420914147</v>
      </c>
      <c r="N59" s="139">
        <v>0.12443893310340126</v>
      </c>
    </row>
    <row r="60" spans="1:14" ht="14.1" customHeight="1" x14ac:dyDescent="0.25">
      <c r="A60" s="145">
        <f t="shared" si="1"/>
        <v>2022</v>
      </c>
      <c r="B60" s="146" t="str">
        <f t="shared" si="0"/>
        <v>2022 Q1</v>
      </c>
      <c r="C60" s="136">
        <v>44593</v>
      </c>
      <c r="D60" s="137">
        <v>9285962.4853484053</v>
      </c>
      <c r="E60" s="137">
        <v>0</v>
      </c>
      <c r="F60" s="137">
        <v>9285962.4853484053</v>
      </c>
      <c r="G60" s="138">
        <v>1.0320844800150206</v>
      </c>
      <c r="H60" s="137">
        <v>0</v>
      </c>
      <c r="I60" s="138">
        <v>1.0320844800150206</v>
      </c>
      <c r="J60" s="138">
        <v>1.0392005819105943</v>
      </c>
      <c r="K60" s="137">
        <v>0</v>
      </c>
      <c r="L60" s="138">
        <v>1.0392005819105943</v>
      </c>
      <c r="M60" s="138">
        <v>1.0566362544836942</v>
      </c>
      <c r="N60" s="139">
        <v>-1.743567257309997E-2</v>
      </c>
    </row>
    <row r="61" spans="1:14" ht="14.1" customHeight="1" x14ac:dyDescent="0.25">
      <c r="A61" s="145">
        <f t="shared" si="1"/>
        <v>2022</v>
      </c>
      <c r="B61" s="146" t="str">
        <f t="shared" si="0"/>
        <v>2022 Q1</v>
      </c>
      <c r="C61" s="136">
        <v>44621</v>
      </c>
      <c r="D61" s="137">
        <v>9995251.8337839637</v>
      </c>
      <c r="E61" s="137">
        <v>0</v>
      </c>
      <c r="F61" s="137">
        <v>9995251.8337839637</v>
      </c>
      <c r="G61" s="138">
        <v>1.0423225242366647</v>
      </c>
      <c r="H61" s="137">
        <v>0</v>
      </c>
      <c r="I61" s="138">
        <v>1.0423225242366647</v>
      </c>
      <c r="J61" s="138">
        <v>1.0461493609320893</v>
      </c>
      <c r="K61" s="137">
        <v>0</v>
      </c>
      <c r="L61" s="138">
        <v>1.0461493609320893</v>
      </c>
      <c r="M61" s="138">
        <v>0.94701122086083311</v>
      </c>
      <c r="N61" s="139">
        <v>9.9138140071256209E-2</v>
      </c>
    </row>
    <row r="62" spans="1:14" ht="14.1" customHeight="1" x14ac:dyDescent="0.25">
      <c r="A62" s="145">
        <f t="shared" si="1"/>
        <v>2022</v>
      </c>
      <c r="B62" s="146" t="str">
        <f t="shared" si="0"/>
        <v>2022 Q2</v>
      </c>
      <c r="C62" s="136">
        <v>44652</v>
      </c>
      <c r="D62" s="137">
        <v>9576658.8937659971</v>
      </c>
      <c r="E62" s="137">
        <v>0</v>
      </c>
      <c r="F62" s="137">
        <v>9576658.8937659971</v>
      </c>
      <c r="G62" s="138">
        <v>1.1280288277897599</v>
      </c>
      <c r="H62" s="137">
        <v>0</v>
      </c>
      <c r="I62" s="138">
        <v>1.1280288277897599</v>
      </c>
      <c r="J62" s="138">
        <v>1.1345106472322197</v>
      </c>
      <c r="K62" s="137">
        <v>0</v>
      </c>
      <c r="L62" s="138">
        <v>1.1345106472322197</v>
      </c>
      <c r="M62" s="138">
        <v>1.0215821539566803</v>
      </c>
      <c r="N62" s="139">
        <v>0.11292849327553944</v>
      </c>
    </row>
    <row r="63" spans="1:14" ht="14.1" customHeight="1" x14ac:dyDescent="0.25">
      <c r="A63" s="145">
        <f t="shared" si="1"/>
        <v>2022</v>
      </c>
      <c r="B63" s="146" t="str">
        <f t="shared" si="0"/>
        <v>2022 Q2</v>
      </c>
      <c r="C63" s="136">
        <v>44682</v>
      </c>
      <c r="D63" s="137">
        <v>11276309.91377309</v>
      </c>
      <c r="E63" s="137">
        <v>0</v>
      </c>
      <c r="F63" s="137">
        <v>11276309.91377309</v>
      </c>
      <c r="G63" s="138">
        <v>1.0681440597666445</v>
      </c>
      <c r="H63" s="137">
        <v>0</v>
      </c>
      <c r="I63" s="138">
        <v>1.0681440597666445</v>
      </c>
      <c r="J63" s="138">
        <v>1.073329609957637</v>
      </c>
      <c r="K63" s="137">
        <v>0</v>
      </c>
      <c r="L63" s="138">
        <v>1.073329609957637</v>
      </c>
      <c r="M63" s="138">
        <v>1.0318298126058172</v>
      </c>
      <c r="N63" s="139">
        <v>4.1499797351819856E-2</v>
      </c>
    </row>
    <row r="64" spans="1:14" ht="14.1" customHeight="1" x14ac:dyDescent="0.25">
      <c r="A64" s="145">
        <f t="shared" si="1"/>
        <v>2022</v>
      </c>
      <c r="B64" s="146" t="str">
        <f t="shared" si="0"/>
        <v>2022 Q2</v>
      </c>
      <c r="C64" s="136">
        <v>44713</v>
      </c>
      <c r="D64" s="137">
        <v>12354858.226321792</v>
      </c>
      <c r="E64" s="137">
        <v>0</v>
      </c>
      <c r="F64" s="137">
        <v>12354858.226321792</v>
      </c>
      <c r="G64" s="138">
        <v>1.1255516796179987</v>
      </c>
      <c r="H64" s="137">
        <v>0</v>
      </c>
      <c r="I64" s="138">
        <v>1.1255516796179987</v>
      </c>
      <c r="J64" s="138">
        <v>1.1284952110164921</v>
      </c>
      <c r="K64" s="137">
        <v>0</v>
      </c>
      <c r="L64" s="138">
        <v>1.1284952110164921</v>
      </c>
      <c r="M64" s="138">
        <v>1.1293834893947456</v>
      </c>
      <c r="N64" s="139">
        <v>-8.8827837825355971E-4</v>
      </c>
    </row>
    <row r="65" spans="1:14" ht="14.1" customHeight="1" x14ac:dyDescent="0.25">
      <c r="A65" s="145">
        <f t="shared" si="1"/>
        <v>2022</v>
      </c>
      <c r="B65" s="146" t="str">
        <f t="shared" si="0"/>
        <v>2022 Q3</v>
      </c>
      <c r="C65" s="136">
        <v>44743</v>
      </c>
      <c r="D65" s="137">
        <v>14702107.89420083</v>
      </c>
      <c r="E65" s="137">
        <v>0</v>
      </c>
      <c r="F65" s="137">
        <v>14702107.89420083</v>
      </c>
      <c r="G65" s="138">
        <v>1.0899808182844866</v>
      </c>
      <c r="H65" s="137">
        <v>0</v>
      </c>
      <c r="I65" s="138">
        <v>1.0899808182844866</v>
      </c>
      <c r="J65" s="138">
        <v>1.0929993316254107</v>
      </c>
      <c r="K65" s="137">
        <v>0</v>
      </c>
      <c r="L65" s="138">
        <v>1.0929993316254107</v>
      </c>
      <c r="M65" s="138">
        <v>1.3255420297647917</v>
      </c>
      <c r="N65" s="139">
        <v>-0.232542698139381</v>
      </c>
    </row>
    <row r="66" spans="1:14" ht="14.1" customHeight="1" x14ac:dyDescent="0.25">
      <c r="A66" s="145">
        <f t="shared" si="1"/>
        <v>2022</v>
      </c>
      <c r="B66" s="146" t="str">
        <f t="shared" si="0"/>
        <v>2022 Q3</v>
      </c>
      <c r="C66" s="136">
        <v>44774</v>
      </c>
      <c r="D66" s="137">
        <v>12490081.279784946</v>
      </c>
      <c r="E66" s="137">
        <v>0</v>
      </c>
      <c r="F66" s="137">
        <v>12490081.279784946</v>
      </c>
      <c r="G66" s="138">
        <v>1.0677929580037819</v>
      </c>
      <c r="H66" s="137">
        <v>0</v>
      </c>
      <c r="I66" s="138">
        <v>1.0677929580037819</v>
      </c>
      <c r="J66" s="138">
        <v>1.0729374214123863</v>
      </c>
      <c r="K66" s="137">
        <v>0</v>
      </c>
      <c r="L66" s="138">
        <v>1.0729374214123863</v>
      </c>
      <c r="M66" s="138">
        <v>1.0015606330827436</v>
      </c>
      <c r="N66" s="139">
        <v>7.1376788329642782E-2</v>
      </c>
    </row>
    <row r="67" spans="1:14" ht="14.1" customHeight="1" x14ac:dyDescent="0.25">
      <c r="A67" s="145">
        <f t="shared" si="1"/>
        <v>2022</v>
      </c>
      <c r="B67" s="146" t="str">
        <f t="shared" si="0"/>
        <v>2022 Q3</v>
      </c>
      <c r="C67" s="136">
        <v>44805</v>
      </c>
      <c r="D67" s="137">
        <v>13226924.234300219</v>
      </c>
      <c r="E67" s="137">
        <v>0</v>
      </c>
      <c r="F67" s="137">
        <v>13226924.234300219</v>
      </c>
      <c r="G67" s="138">
        <v>0.97695551397765712</v>
      </c>
      <c r="H67" s="137">
        <v>0</v>
      </c>
      <c r="I67" s="138">
        <v>0.97695551397765712</v>
      </c>
      <c r="J67" s="138">
        <v>0.97857479921489388</v>
      </c>
      <c r="K67" s="137">
        <v>0</v>
      </c>
      <c r="L67" s="138">
        <v>0.97857479921489388</v>
      </c>
      <c r="M67" s="138">
        <v>0.91101768860507126</v>
      </c>
      <c r="N67" s="139">
        <v>6.7557110609822613E-2</v>
      </c>
    </row>
    <row r="68" spans="1:14" ht="14.1" customHeight="1" x14ac:dyDescent="0.25">
      <c r="A68" s="145">
        <f t="shared" si="1"/>
        <v>2022</v>
      </c>
      <c r="B68" s="146" t="str">
        <f t="shared" si="0"/>
        <v>2022 Q4</v>
      </c>
      <c r="C68" s="136">
        <v>44835</v>
      </c>
      <c r="D68" s="137">
        <v>13280228.39356778</v>
      </c>
      <c r="E68" s="137">
        <v>0</v>
      </c>
      <c r="F68" s="137">
        <v>13280228.39356778</v>
      </c>
      <c r="G68" s="138">
        <v>0.9688607935218061</v>
      </c>
      <c r="H68" s="137">
        <v>0</v>
      </c>
      <c r="I68" s="138">
        <v>0.96886079352180621</v>
      </c>
      <c r="J68" s="138">
        <v>0.96925094628216313</v>
      </c>
      <c r="K68" s="137">
        <v>0</v>
      </c>
      <c r="L68" s="138">
        <v>0.96925094628216313</v>
      </c>
      <c r="M68" s="138">
        <v>0.90018874789381498</v>
      </c>
      <c r="N68" s="139">
        <v>6.9062198388348151E-2</v>
      </c>
    </row>
    <row r="69" spans="1:14" ht="14.1" customHeight="1" x14ac:dyDescent="0.25">
      <c r="A69" s="145">
        <f t="shared" si="1"/>
        <v>2022</v>
      </c>
      <c r="B69" s="146" t="str">
        <f t="shared" si="0"/>
        <v>2022 Q4</v>
      </c>
      <c r="C69" s="136">
        <v>44866</v>
      </c>
      <c r="D69" s="137">
        <v>10195621.828492334</v>
      </c>
      <c r="E69" s="137">
        <v>0</v>
      </c>
      <c r="F69" s="137">
        <v>10195621.828492334</v>
      </c>
      <c r="G69" s="138">
        <v>1.0233355025984994</v>
      </c>
      <c r="H69" s="137">
        <v>0</v>
      </c>
      <c r="I69" s="138">
        <v>1.0233355025984994</v>
      </c>
      <c r="J69" s="138">
        <v>1.0245082199742142</v>
      </c>
      <c r="K69" s="137">
        <v>0</v>
      </c>
      <c r="L69" s="138">
        <v>1.0245082199742142</v>
      </c>
      <c r="M69" s="138">
        <v>1.1603823408887761</v>
      </c>
      <c r="N69" s="139">
        <v>-0.13587412091456197</v>
      </c>
    </row>
    <row r="70" spans="1:14" ht="14.1" customHeight="1" x14ac:dyDescent="0.25">
      <c r="A70" s="145">
        <f t="shared" si="1"/>
        <v>2022</v>
      </c>
      <c r="B70" s="146" t="str">
        <f t="shared" si="0"/>
        <v>2022 Q4</v>
      </c>
      <c r="C70" s="140">
        <v>44896</v>
      </c>
      <c r="D70" s="141">
        <v>8400944.6087489165</v>
      </c>
      <c r="E70" s="141">
        <v>0</v>
      </c>
      <c r="F70" s="141">
        <v>8400944.6087489165</v>
      </c>
      <c r="G70" s="142">
        <v>1.0055877993260536</v>
      </c>
      <c r="H70" s="141">
        <v>0</v>
      </c>
      <c r="I70" s="142">
        <v>1.0055877993260536</v>
      </c>
      <c r="J70" s="142">
        <v>1.0086144672669664</v>
      </c>
      <c r="K70" s="141">
        <v>0</v>
      </c>
      <c r="L70" s="142">
        <v>1.0086144672669664</v>
      </c>
      <c r="M70" s="142">
        <v>1.2323410764014939</v>
      </c>
      <c r="N70" s="143">
        <v>-0.22372660913452758</v>
      </c>
    </row>
    <row r="71" spans="1:14" ht="14.1" customHeight="1" x14ac:dyDescent="0.25">
      <c r="A71" s="145">
        <f t="shared" si="1"/>
        <v>2023</v>
      </c>
      <c r="B71" s="146" t="str">
        <f t="shared" si="0"/>
        <v>2023 Q1</v>
      </c>
      <c r="C71" s="136">
        <v>44927</v>
      </c>
      <c r="D71" s="137">
        <v>8290919.4525651261</v>
      </c>
      <c r="E71" s="137">
        <v>0</v>
      </c>
      <c r="F71" s="137">
        <v>8290919.4525651261</v>
      </c>
      <c r="G71" s="138">
        <v>1.0489786052016883</v>
      </c>
      <c r="H71" s="137">
        <v>0</v>
      </c>
      <c r="I71" s="138">
        <v>1.0489786052016883</v>
      </c>
      <c r="J71" s="138">
        <v>1.0765854795775345</v>
      </c>
      <c r="K71" s="137">
        <v>0</v>
      </c>
      <c r="L71" s="138">
        <v>1.0765854795775345</v>
      </c>
      <c r="M71" s="138">
        <v>0.99854643869864146</v>
      </c>
      <c r="N71" s="139">
        <v>7.8039040878893018E-2</v>
      </c>
    </row>
    <row r="72" spans="1:14" ht="14.1" customHeight="1" x14ac:dyDescent="0.25">
      <c r="A72" s="145">
        <f t="shared" si="1"/>
        <v>2023</v>
      </c>
      <c r="B72" s="146" t="str">
        <f t="shared" si="0"/>
        <v>2023 Q1</v>
      </c>
      <c r="C72" s="136">
        <v>44958</v>
      </c>
      <c r="D72" s="137">
        <v>8112149.9071124336</v>
      </c>
      <c r="E72" s="137">
        <v>0</v>
      </c>
      <c r="F72" s="137">
        <v>8112149.9071124336</v>
      </c>
      <c r="G72" s="138">
        <v>0.9117908357302138</v>
      </c>
      <c r="H72" s="137">
        <v>0</v>
      </c>
      <c r="I72" s="138">
        <v>0.9117908357302138</v>
      </c>
      <c r="J72" s="138">
        <v>0.93924172404134887</v>
      </c>
      <c r="K72" s="137">
        <v>0</v>
      </c>
      <c r="L72" s="138">
        <v>0.93924172404134887</v>
      </c>
      <c r="M72" s="138">
        <v>0.79128466488290583</v>
      </c>
      <c r="N72" s="139">
        <v>0.14795705915844304</v>
      </c>
    </row>
    <row r="73" spans="1:14" ht="14.1" customHeight="1" x14ac:dyDescent="0.25">
      <c r="A73" s="145">
        <f t="shared" si="1"/>
        <v>2023</v>
      </c>
      <c r="B73" s="146" t="str">
        <f t="shared" ref="B73:B94" si="2">YEAR(C73)&amp;" Q"&amp;ROUNDUP(MONTH(C73)*4/12,0)</f>
        <v>2023 Q1</v>
      </c>
      <c r="C73" s="136">
        <v>44986</v>
      </c>
      <c r="D73" s="137">
        <v>8229329.7781989863</v>
      </c>
      <c r="E73" s="137">
        <v>0</v>
      </c>
      <c r="F73" s="137">
        <v>8229329.7781989863</v>
      </c>
      <c r="G73" s="138">
        <v>1.1711734699101213</v>
      </c>
      <c r="H73" s="137">
        <v>0</v>
      </c>
      <c r="I73" s="138">
        <v>1.1711734699101213</v>
      </c>
      <c r="J73" s="138">
        <v>1.1992417877952666</v>
      </c>
      <c r="K73" s="137">
        <v>0</v>
      </c>
      <c r="L73" s="138">
        <v>1.1992417877952666</v>
      </c>
      <c r="M73" s="138">
        <v>1.3765533012552398</v>
      </c>
      <c r="N73" s="139">
        <v>-0.1773115134599732</v>
      </c>
    </row>
    <row r="74" spans="1:14" ht="14.1" customHeight="1" x14ac:dyDescent="0.25">
      <c r="A74" s="145">
        <f t="shared" ref="A74:A94" si="3">YEAR(C74)</f>
        <v>2023</v>
      </c>
      <c r="B74" s="146" t="str">
        <f t="shared" si="2"/>
        <v>2023 Q2</v>
      </c>
      <c r="C74" s="136">
        <v>45017</v>
      </c>
      <c r="D74" s="137">
        <v>7473675.8639096022</v>
      </c>
      <c r="E74" s="137">
        <v>0</v>
      </c>
      <c r="F74" s="137">
        <v>7473675.8639096022</v>
      </c>
      <c r="G74" s="138">
        <v>1.0053115788825224</v>
      </c>
      <c r="H74" s="137">
        <v>0</v>
      </c>
      <c r="I74" s="138">
        <v>1.0053115788825224</v>
      </c>
      <c r="J74" s="138">
        <v>1.0353048721800853</v>
      </c>
      <c r="K74" s="137">
        <v>0</v>
      </c>
      <c r="L74" s="138">
        <v>1.0353048721800853</v>
      </c>
      <c r="M74" s="138">
        <v>0.95674000667748926</v>
      </c>
      <c r="N74" s="139">
        <v>7.8564865502596004E-2</v>
      </c>
    </row>
    <row r="75" spans="1:14" ht="14.1" customHeight="1" x14ac:dyDescent="0.25">
      <c r="A75" s="145">
        <f t="shared" si="3"/>
        <v>2023</v>
      </c>
      <c r="B75" s="146" t="str">
        <f t="shared" si="2"/>
        <v>2023 Q2</v>
      </c>
      <c r="C75" s="136">
        <v>45047</v>
      </c>
      <c r="D75" s="137">
        <v>8025829.9815008705</v>
      </c>
      <c r="E75" s="137">
        <v>0</v>
      </c>
      <c r="F75" s="137">
        <v>8025829.9815008705</v>
      </c>
      <c r="G75" s="138">
        <v>0.95586197630271097</v>
      </c>
      <c r="H75" s="137">
        <v>0</v>
      </c>
      <c r="I75" s="138">
        <v>0.95586197630271097</v>
      </c>
      <c r="J75" s="138">
        <v>0.98595309056882308</v>
      </c>
      <c r="K75" s="137">
        <v>0</v>
      </c>
      <c r="L75" s="138">
        <v>0.98595309056882308</v>
      </c>
      <c r="M75" s="138">
        <v>0.95521603104495267</v>
      </c>
      <c r="N75" s="139">
        <v>3.0737059523870403E-2</v>
      </c>
    </row>
    <row r="76" spans="1:14" ht="14.1" customHeight="1" x14ac:dyDescent="0.25">
      <c r="A76" s="145">
        <f t="shared" si="3"/>
        <v>2023</v>
      </c>
      <c r="B76" s="146" t="str">
        <f t="shared" si="2"/>
        <v>2023 Q2</v>
      </c>
      <c r="C76" s="136">
        <v>45078</v>
      </c>
      <c r="D76" s="137">
        <v>8399985.1592088826</v>
      </c>
      <c r="E76" s="137">
        <v>0</v>
      </c>
      <c r="F76" s="137">
        <v>8399985.1592088826</v>
      </c>
      <c r="G76" s="138">
        <v>0.86472297586191593</v>
      </c>
      <c r="H76" s="137">
        <v>0</v>
      </c>
      <c r="I76" s="138">
        <v>0.86472297586191593</v>
      </c>
      <c r="J76" s="138">
        <v>0.89289498373305676</v>
      </c>
      <c r="K76" s="137">
        <v>0</v>
      </c>
      <c r="L76" s="138">
        <v>0.89289498373305676</v>
      </c>
      <c r="M76" s="138">
        <v>0.75157342000090732</v>
      </c>
      <c r="N76" s="139">
        <v>0.14132156373214944</v>
      </c>
    </row>
    <row r="77" spans="1:14" ht="14.1" customHeight="1" x14ac:dyDescent="0.25">
      <c r="A77" s="145">
        <f t="shared" si="3"/>
        <v>2023</v>
      </c>
      <c r="B77" s="146" t="str">
        <f t="shared" si="2"/>
        <v>2023 Q3</v>
      </c>
      <c r="C77" s="136">
        <v>45108</v>
      </c>
      <c r="D77" s="137">
        <v>8363665.9297510795</v>
      </c>
      <c r="E77" s="137">
        <v>0</v>
      </c>
      <c r="F77" s="137">
        <v>8363665.9297510795</v>
      </c>
      <c r="G77" s="138">
        <v>0.87498669691674613</v>
      </c>
      <c r="H77" s="137">
        <v>0</v>
      </c>
      <c r="I77" s="138">
        <v>0.87498669691674613</v>
      </c>
      <c r="J77" s="138">
        <v>0.90324843082332262</v>
      </c>
      <c r="K77" s="137">
        <v>0</v>
      </c>
      <c r="L77" s="138">
        <v>0.90324843082332262</v>
      </c>
      <c r="M77" s="138">
        <v>1.0022085881345775</v>
      </c>
      <c r="N77" s="139">
        <v>-9.8960157311254848E-2</v>
      </c>
    </row>
    <row r="78" spans="1:14" ht="14.1" customHeight="1" x14ac:dyDescent="0.25">
      <c r="A78" s="145">
        <f t="shared" si="3"/>
        <v>2023</v>
      </c>
      <c r="B78" s="146" t="str">
        <f t="shared" si="2"/>
        <v>2023 Q3</v>
      </c>
      <c r="C78" s="136">
        <v>45139</v>
      </c>
      <c r="D78" s="137">
        <v>8229687.3047980899</v>
      </c>
      <c r="E78" s="137">
        <v>0</v>
      </c>
      <c r="F78" s="137">
        <v>8229687.3047980899</v>
      </c>
      <c r="G78" s="138">
        <v>0.84856443855112218</v>
      </c>
      <c r="H78" s="137">
        <v>0</v>
      </c>
      <c r="I78" s="138">
        <v>0.84856443855112218</v>
      </c>
      <c r="J78" s="138">
        <v>0.87703244255486801</v>
      </c>
      <c r="K78" s="137">
        <v>0</v>
      </c>
      <c r="L78" s="138">
        <v>0.87703244255486801</v>
      </c>
      <c r="M78" s="138">
        <v>0.75680820756126932</v>
      </c>
      <c r="N78" s="139">
        <v>0.12022423499359869</v>
      </c>
    </row>
    <row r="79" spans="1:14" ht="14.1" customHeight="1" x14ac:dyDescent="0.25">
      <c r="A79" s="145">
        <f t="shared" si="3"/>
        <v>2023</v>
      </c>
      <c r="B79" s="146" t="str">
        <f t="shared" si="2"/>
        <v>2023 Q3</v>
      </c>
      <c r="C79" s="136">
        <v>45170</v>
      </c>
      <c r="D79" s="137">
        <v>7578820.9230087101</v>
      </c>
      <c r="E79" s="137">
        <v>0</v>
      </c>
      <c r="F79" s="137">
        <v>7578820.9230087101</v>
      </c>
      <c r="G79" s="138">
        <v>0.9698035063966608</v>
      </c>
      <c r="H79" s="137">
        <v>0</v>
      </c>
      <c r="I79" s="138">
        <v>0.9698035063966608</v>
      </c>
      <c r="J79" s="138">
        <v>0.99953863704486934</v>
      </c>
      <c r="K79" s="137">
        <v>0</v>
      </c>
      <c r="L79" s="138">
        <v>0.99953863704486934</v>
      </c>
      <c r="M79" s="138">
        <v>0.90354255289247454</v>
      </c>
      <c r="N79" s="139">
        <v>9.5996084152394801E-2</v>
      </c>
    </row>
    <row r="80" spans="1:14" ht="14.1" customHeight="1" x14ac:dyDescent="0.25">
      <c r="A80" s="145">
        <f t="shared" si="3"/>
        <v>2023</v>
      </c>
      <c r="B80" s="146" t="str">
        <f t="shared" si="2"/>
        <v>2023 Q4</v>
      </c>
      <c r="C80" s="136">
        <v>45200</v>
      </c>
      <c r="D80" s="137">
        <v>7164633.5239690589</v>
      </c>
      <c r="E80" s="137">
        <v>0</v>
      </c>
      <c r="F80" s="137">
        <v>7164633.5239690589</v>
      </c>
      <c r="G80" s="138">
        <v>1.0077630467540983</v>
      </c>
      <c r="H80" s="137">
        <v>0</v>
      </c>
      <c r="I80" s="138">
        <v>1.0077630467540983</v>
      </c>
      <c r="J80" s="138">
        <v>1.0381027712708455</v>
      </c>
      <c r="K80" s="137">
        <v>0</v>
      </c>
      <c r="L80" s="138">
        <v>1.0381027712708455</v>
      </c>
      <c r="M80" s="138">
        <v>1.0476316834280097</v>
      </c>
      <c r="N80" s="139">
        <v>-9.5289121571642266E-3</v>
      </c>
    </row>
    <row r="81" spans="1:14" ht="14.1" customHeight="1" x14ac:dyDescent="0.25">
      <c r="A81" s="145">
        <f t="shared" si="3"/>
        <v>2023</v>
      </c>
      <c r="B81" s="146" t="str">
        <f t="shared" si="2"/>
        <v>2023 Q4</v>
      </c>
      <c r="C81" s="136">
        <v>45231</v>
      </c>
      <c r="D81" s="137">
        <v>7288594.2972416785</v>
      </c>
      <c r="E81" s="137">
        <v>0</v>
      </c>
      <c r="F81" s="137">
        <v>7288594.2972416785</v>
      </c>
      <c r="G81" s="138">
        <v>0.92937104012009009</v>
      </c>
      <c r="H81" s="137">
        <v>0</v>
      </c>
      <c r="I81" s="138">
        <v>0.92937104012009009</v>
      </c>
      <c r="J81" s="138">
        <v>0.95890213579049521</v>
      </c>
      <c r="K81" s="137">
        <v>0</v>
      </c>
      <c r="L81" s="138">
        <v>0.95890213579049521</v>
      </c>
      <c r="M81" s="138">
        <v>0.98944106110142682</v>
      </c>
      <c r="N81" s="139">
        <v>-3.0538925310931608E-2</v>
      </c>
    </row>
    <row r="82" spans="1:14" ht="14.1" customHeight="1" x14ac:dyDescent="0.25">
      <c r="A82" s="145">
        <f t="shared" si="3"/>
        <v>2023</v>
      </c>
      <c r="B82" s="146" t="str">
        <f t="shared" si="2"/>
        <v>2023 Q4</v>
      </c>
      <c r="C82" s="140">
        <v>45261</v>
      </c>
      <c r="D82" s="141">
        <v>7378824.7619756032</v>
      </c>
      <c r="E82" s="141">
        <v>0</v>
      </c>
      <c r="F82" s="141">
        <v>7378824.7619756032</v>
      </c>
      <c r="G82" s="142">
        <v>0.851716159758376</v>
      </c>
      <c r="H82" s="141">
        <v>0</v>
      </c>
      <c r="I82" s="142">
        <v>0.851716159758376</v>
      </c>
      <c r="J82" s="142">
        <v>0.88094431898946157</v>
      </c>
      <c r="K82" s="141">
        <v>0</v>
      </c>
      <c r="L82" s="142">
        <v>0.88094431898946157</v>
      </c>
      <c r="M82" s="142">
        <v>0.78044375872497507</v>
      </c>
      <c r="N82" s="143">
        <v>0.1005005602644865</v>
      </c>
    </row>
    <row r="83" spans="1:14" ht="14.1" customHeight="1" x14ac:dyDescent="0.25">
      <c r="A83" s="145">
        <f t="shared" si="3"/>
        <v>2024</v>
      </c>
      <c r="B83" s="146" t="str">
        <f t="shared" si="2"/>
        <v>2024 Q1</v>
      </c>
      <c r="C83" s="136">
        <v>45292</v>
      </c>
      <c r="D83" s="137">
        <v>7479336.4148157705</v>
      </c>
      <c r="E83" s="137">
        <v>0</v>
      </c>
      <c r="F83" s="137">
        <v>7479336.4148157705</v>
      </c>
      <c r="G83" s="138">
        <v>0.90794840501051621</v>
      </c>
      <c r="H83" s="137">
        <v>0</v>
      </c>
      <c r="I83" s="138">
        <v>0.90794840501051621</v>
      </c>
      <c r="J83" s="138">
        <v>0.91588919298281513</v>
      </c>
      <c r="K83" s="137">
        <v>0</v>
      </c>
      <c r="L83" s="138">
        <v>0.91588919298281513</v>
      </c>
      <c r="M83" s="138">
        <v>0.81098857782803369</v>
      </c>
      <c r="N83" s="139">
        <v>0.10490061515478144</v>
      </c>
    </row>
    <row r="84" spans="1:14" ht="14.1" customHeight="1" x14ac:dyDescent="0.25">
      <c r="A84" s="145">
        <f t="shared" si="3"/>
        <v>2024</v>
      </c>
      <c r="B84" s="146" t="str">
        <f t="shared" si="2"/>
        <v>2024 Q1</v>
      </c>
      <c r="C84" s="136">
        <v>45323</v>
      </c>
      <c r="D84" s="137">
        <v>8737585.1741028968</v>
      </c>
      <c r="E84" s="137">
        <v>0</v>
      </c>
      <c r="F84" s="137">
        <v>8737585.1741028968</v>
      </c>
      <c r="G84" s="138">
        <v>0.91254517377236544</v>
      </c>
      <c r="H84" s="137">
        <v>0</v>
      </c>
      <c r="I84" s="138">
        <v>0.91254517377236544</v>
      </c>
      <c r="J84" s="138">
        <v>0.92173448828953397</v>
      </c>
      <c r="K84" s="137">
        <v>0</v>
      </c>
      <c r="L84" s="138">
        <v>0.92173448828953397</v>
      </c>
      <c r="M84" s="138">
        <v>0.81823527777831728</v>
      </c>
      <c r="N84" s="139">
        <v>0.10349921051121669</v>
      </c>
    </row>
    <row r="85" spans="1:14" ht="14.1" customHeight="1" x14ac:dyDescent="0.25">
      <c r="A85" s="145">
        <f t="shared" si="3"/>
        <v>2024</v>
      </c>
      <c r="B85" s="146" t="str">
        <f t="shared" si="2"/>
        <v>2024 Q1</v>
      </c>
      <c r="C85" s="136">
        <v>45352</v>
      </c>
      <c r="D85" s="137">
        <v>11044327.599237286</v>
      </c>
      <c r="E85" s="137">
        <v>0</v>
      </c>
      <c r="F85" s="137">
        <v>11044327.599237286</v>
      </c>
      <c r="G85" s="138">
        <v>0.84114254169345593</v>
      </c>
      <c r="H85" s="137">
        <v>0</v>
      </c>
      <c r="I85" s="138">
        <v>0.84114254169345593</v>
      </c>
      <c r="J85" s="138">
        <v>0.85057982540928134</v>
      </c>
      <c r="K85" s="137">
        <v>0</v>
      </c>
      <c r="L85" s="138">
        <v>0.85057982540928134</v>
      </c>
      <c r="M85" s="138">
        <v>0.74357963793339632</v>
      </c>
      <c r="N85" s="139">
        <v>0.10700018747588502</v>
      </c>
    </row>
    <row r="86" spans="1:14" ht="14.1" customHeight="1" x14ac:dyDescent="0.25">
      <c r="A86" s="145">
        <f t="shared" si="3"/>
        <v>2024</v>
      </c>
      <c r="B86" s="146" t="str">
        <f t="shared" si="2"/>
        <v>2024 Q2</v>
      </c>
      <c r="C86" s="136">
        <v>45383</v>
      </c>
      <c r="D86" s="137">
        <v>9997344.4412674848</v>
      </c>
      <c r="E86" s="137">
        <v>0</v>
      </c>
      <c r="F86" s="137">
        <v>9997344.4412674848</v>
      </c>
      <c r="G86" s="138">
        <v>0.78362881099422621</v>
      </c>
      <c r="H86" s="244">
        <v>0</v>
      </c>
      <c r="I86" s="138">
        <v>0.78362881099422621</v>
      </c>
      <c r="J86" s="138">
        <v>0.79261630913388759</v>
      </c>
      <c r="K86" s="245">
        <v>0</v>
      </c>
      <c r="L86" s="138">
        <v>0.79261630913388759</v>
      </c>
      <c r="M86" s="138">
        <v>0.65067671737330079</v>
      </c>
      <c r="N86" s="139">
        <v>0.14193959176058679</v>
      </c>
    </row>
    <row r="87" spans="1:14" ht="14.1" customHeight="1" x14ac:dyDescent="0.25">
      <c r="A87" s="145">
        <f t="shared" si="3"/>
        <v>2024</v>
      </c>
      <c r="B87" s="146" t="str">
        <f t="shared" si="2"/>
        <v>2024 Q2</v>
      </c>
      <c r="C87" s="136">
        <v>45413</v>
      </c>
      <c r="D87" s="137">
        <v>9875049.540843796</v>
      </c>
      <c r="E87" s="137">
        <v>0</v>
      </c>
      <c r="F87" s="137">
        <v>9875049.540843796</v>
      </c>
      <c r="G87" s="138">
        <v>0.96293931181257486</v>
      </c>
      <c r="H87" s="244">
        <v>0</v>
      </c>
      <c r="I87" s="138">
        <v>0.96293931181257486</v>
      </c>
      <c r="J87" s="138">
        <v>0.97299374814550499</v>
      </c>
      <c r="K87" s="245">
        <v>0</v>
      </c>
      <c r="L87" s="138">
        <v>0.97299374814550499</v>
      </c>
      <c r="M87" s="138">
        <v>0.92323156108940296</v>
      </c>
      <c r="N87" s="139">
        <v>4.9762187056102025E-2</v>
      </c>
    </row>
    <row r="88" spans="1:14" ht="14.1" customHeight="1" x14ac:dyDescent="0.25">
      <c r="A88" s="145">
        <f t="shared" si="3"/>
        <v>2024</v>
      </c>
      <c r="B88" s="146" t="str">
        <f t="shared" si="2"/>
        <v>2024 Q2</v>
      </c>
      <c r="C88" s="136">
        <v>45444</v>
      </c>
      <c r="D88" s="137">
        <v>8720527.994462505</v>
      </c>
      <c r="E88" s="137">
        <v>0</v>
      </c>
      <c r="F88" s="137">
        <v>8720527.994462505</v>
      </c>
      <c r="G88" s="138">
        <v>0.81175290292433977</v>
      </c>
      <c r="H88" s="244">
        <v>0</v>
      </c>
      <c r="I88" s="138">
        <v>0.81175290292433977</v>
      </c>
      <c r="J88" s="138">
        <v>0.82040569259419582</v>
      </c>
      <c r="K88" s="245">
        <v>0</v>
      </c>
      <c r="L88" s="138">
        <v>0.82040569259419582</v>
      </c>
      <c r="M88" s="138">
        <v>0.66748268999079552</v>
      </c>
      <c r="N88" s="139">
        <v>0.1529230026034003</v>
      </c>
    </row>
    <row r="89" spans="1:14" ht="14.1" customHeight="1" x14ac:dyDescent="0.25">
      <c r="A89" s="145">
        <f t="shared" si="3"/>
        <v>2024</v>
      </c>
      <c r="B89" s="146" t="str">
        <f t="shared" si="2"/>
        <v>2024 Q3</v>
      </c>
      <c r="C89" s="136">
        <v>45474</v>
      </c>
      <c r="D89" s="137">
        <v>7561539.4691572944</v>
      </c>
      <c r="E89" s="137">
        <v>134386.39858471043</v>
      </c>
      <c r="F89" s="137">
        <v>7695925.8677420048</v>
      </c>
      <c r="G89" s="138">
        <v>0.79541781490197194</v>
      </c>
      <c r="H89" s="244">
        <v>0.81676071660806238</v>
      </c>
      <c r="I89" s="138">
        <v>0.79579050504282312</v>
      </c>
      <c r="J89" s="138">
        <v>0.80255942433036542</v>
      </c>
      <c r="K89" s="245">
        <v>0.82576071660806249</v>
      </c>
      <c r="L89" s="138">
        <v>0.80296456572144614</v>
      </c>
      <c r="M89" s="138">
        <v>0.63873397113085095</v>
      </c>
      <c r="N89" s="139">
        <v>0.16423059459059519</v>
      </c>
    </row>
    <row r="90" spans="1:14" ht="14.1" customHeight="1" x14ac:dyDescent="0.25">
      <c r="A90" s="145">
        <f t="shared" si="3"/>
        <v>2024</v>
      </c>
      <c r="B90" s="146" t="str">
        <f t="shared" si="2"/>
        <v>2024 Q3</v>
      </c>
      <c r="C90" s="136">
        <v>45505</v>
      </c>
      <c r="D90" s="137">
        <v>5861667.0389134334</v>
      </c>
      <c r="E90" s="137">
        <v>481535.52223680355</v>
      </c>
      <c r="F90" s="137">
        <v>6343202.561150237</v>
      </c>
      <c r="G90" s="138">
        <v>0.81034295962830938</v>
      </c>
      <c r="H90" s="244">
        <v>0.81848107970841677</v>
      </c>
      <c r="I90" s="138">
        <v>0.81096075385212973</v>
      </c>
      <c r="J90" s="138">
        <v>0.81759396190649469</v>
      </c>
      <c r="K90" s="245">
        <v>0.82748107970841678</v>
      </c>
      <c r="L90" s="138">
        <v>0.81834452889348086</v>
      </c>
      <c r="M90" s="138">
        <v>0.6433474689498303</v>
      </c>
      <c r="N90" s="139">
        <v>0.17499705994365056</v>
      </c>
    </row>
    <row r="91" spans="1:14" ht="14.1" customHeight="1" x14ac:dyDescent="0.25">
      <c r="A91" s="145">
        <f t="shared" si="3"/>
        <v>2024</v>
      </c>
      <c r="B91" s="146" t="str">
        <f t="shared" si="2"/>
        <v>2024 Q3</v>
      </c>
      <c r="C91" s="136">
        <v>45536</v>
      </c>
      <c r="D91" s="137">
        <v>4522225.249312778</v>
      </c>
      <c r="E91" s="137">
        <v>710452.28418920934</v>
      </c>
      <c r="F91" s="137">
        <v>5232677.5335019873</v>
      </c>
      <c r="G91" s="138">
        <v>1.1155187508550002</v>
      </c>
      <c r="H91" s="244">
        <v>0.82633323502012879</v>
      </c>
      <c r="I91" s="138">
        <v>1.0762553892272448</v>
      </c>
      <c r="J91" s="138">
        <v>1.122923462374261</v>
      </c>
      <c r="K91" s="245">
        <v>0.83533323502012879</v>
      </c>
      <c r="L91" s="138">
        <v>1.0838766966169422</v>
      </c>
      <c r="M91" s="138">
        <v>1.058245097640423</v>
      </c>
      <c r="N91" s="139">
        <v>2.5631598976519232E-2</v>
      </c>
    </row>
    <row r="92" spans="1:14" ht="14.1" customHeight="1" x14ac:dyDescent="0.25">
      <c r="A92" s="145">
        <f t="shared" si="3"/>
        <v>2024</v>
      </c>
      <c r="B92" s="146" t="str">
        <f t="shared" si="2"/>
        <v>2024 Q4</v>
      </c>
      <c r="C92" s="136">
        <v>45566</v>
      </c>
      <c r="D92" s="137">
        <v>3613063.9840755411</v>
      </c>
      <c r="E92" s="137">
        <v>959715.60489762342</v>
      </c>
      <c r="F92" s="137">
        <v>4572779.5889731646</v>
      </c>
      <c r="G92" s="138">
        <v>0.92037959783803869</v>
      </c>
      <c r="H92" s="244">
        <v>0.82897919451959845</v>
      </c>
      <c r="I92" s="138">
        <v>0.90119686846044778</v>
      </c>
      <c r="J92" s="138">
        <v>0.92757294102988663</v>
      </c>
      <c r="K92" s="245">
        <v>0.83797919451959835</v>
      </c>
      <c r="L92" s="138">
        <v>0.9087693851282399</v>
      </c>
      <c r="M92" s="138">
        <v>0.91844063159959266</v>
      </c>
      <c r="N92" s="139">
        <v>-9.6712464713527568E-3</v>
      </c>
    </row>
    <row r="93" spans="1:14" ht="14.1" customHeight="1" x14ac:dyDescent="0.25">
      <c r="A93" s="145">
        <f t="shared" si="3"/>
        <v>2024</v>
      </c>
      <c r="B93" s="146" t="str">
        <f t="shared" si="2"/>
        <v>2024 Q4</v>
      </c>
      <c r="C93" s="136">
        <v>45597</v>
      </c>
      <c r="D93" s="137">
        <v>3415622.357430866</v>
      </c>
      <c r="E93" s="137">
        <v>1420601.9587372569</v>
      </c>
      <c r="F93" s="137">
        <v>4836224.3161681229</v>
      </c>
      <c r="G93" s="138">
        <v>0.93776535248325765</v>
      </c>
      <c r="H93" s="244">
        <v>0.83097680098260285</v>
      </c>
      <c r="I93" s="138">
        <v>0.90639707518367529</v>
      </c>
      <c r="J93" s="138">
        <v>0.94490549761250486</v>
      </c>
      <c r="K93" s="245">
        <v>0.83997680098260274</v>
      </c>
      <c r="L93" s="138">
        <v>0.9140835377084009</v>
      </c>
      <c r="M93" s="138">
        <v>0.76681311188950441</v>
      </c>
      <c r="N93" s="139">
        <v>0.14727042581889649</v>
      </c>
    </row>
    <row r="94" spans="1:14" ht="14.45" customHeight="1" x14ac:dyDescent="0.25">
      <c r="A94" s="145">
        <f t="shared" si="3"/>
        <v>2024</v>
      </c>
      <c r="B94" s="146" t="str">
        <f t="shared" si="2"/>
        <v>2024 Q4</v>
      </c>
      <c r="C94" s="140">
        <v>45627</v>
      </c>
      <c r="D94" s="141">
        <v>2919836.9324805574</v>
      </c>
      <c r="E94" s="141">
        <v>1763656.1733193225</v>
      </c>
      <c r="F94" s="141">
        <v>4683493.1057998799</v>
      </c>
      <c r="G94" s="142">
        <v>0.94777547423982655</v>
      </c>
      <c r="H94" s="246">
        <v>0.83358905558807006</v>
      </c>
      <c r="I94" s="142">
        <v>0.90477646097876152</v>
      </c>
      <c r="J94" s="142">
        <v>0.95485096735565433</v>
      </c>
      <c r="K94" s="247">
        <v>0.84258905558807007</v>
      </c>
      <c r="L94" s="142">
        <v>0.91257666284726435</v>
      </c>
      <c r="M94" s="142">
        <v>0.76977125577377548</v>
      </c>
      <c r="N94" s="143">
        <v>0.14280540707348888</v>
      </c>
    </row>
    <row r="95" spans="1:14" x14ac:dyDescent="0.25">
      <c r="A95" s="145">
        <f t="shared" ref="A95:A97" si="4">YEAR(C95)</f>
        <v>2025</v>
      </c>
      <c r="B95" s="146" t="str">
        <f t="shared" ref="B95:B97" si="5">YEAR(C95)&amp;" Q"&amp;ROUNDUP(MONTH(C95)*4/12,0)</f>
        <v>2025 Q1</v>
      </c>
      <c r="C95" s="136">
        <v>45658</v>
      </c>
      <c r="D95" s="137">
        <v>2471410.6879396252</v>
      </c>
      <c r="E95" s="137">
        <v>2248367.4893272435</v>
      </c>
      <c r="F95" s="137">
        <v>4719778.1772668688</v>
      </c>
      <c r="G95" s="138">
        <v>0.94207322328845633</v>
      </c>
      <c r="H95" s="244">
        <v>0.83566905788692014</v>
      </c>
      <c r="I95" s="138">
        <v>0.89138531863859216</v>
      </c>
      <c r="J95" s="138">
        <v>0.95166447611082994</v>
      </c>
      <c r="K95" s="245">
        <v>0.84466905788692048</v>
      </c>
      <c r="L95" s="138">
        <v>0.90069491550726011</v>
      </c>
      <c r="M95" s="138">
        <v>0.81193418735531564</v>
      </c>
      <c r="N95" s="139">
        <v>8.8760728151944468E-2</v>
      </c>
    </row>
    <row r="96" spans="1:14" x14ac:dyDescent="0.25">
      <c r="A96" s="145">
        <f t="shared" si="4"/>
        <v>2025</v>
      </c>
      <c r="B96" s="146" t="str">
        <f t="shared" si="5"/>
        <v>2025 Q1</v>
      </c>
      <c r="C96" s="136">
        <v>45689</v>
      </c>
      <c r="D96" s="137">
        <v>1771659.4145453353</v>
      </c>
      <c r="E96" s="137">
        <v>2266956.2144451202</v>
      </c>
      <c r="F96" s="137">
        <v>4038615.6289904555</v>
      </c>
      <c r="G96" s="138">
        <v>0.78616777674444149</v>
      </c>
      <c r="H96" s="244">
        <v>0.83686197300807597</v>
      </c>
      <c r="I96" s="138">
        <v>0.81462344913653639</v>
      </c>
      <c r="J96" s="138">
        <v>0.79626387681654687</v>
      </c>
      <c r="K96" s="245">
        <v>0.84586197300807597</v>
      </c>
      <c r="L96" s="138">
        <v>0.82410428618329323</v>
      </c>
      <c r="M96" s="138">
        <v>0.71058099961813204</v>
      </c>
      <c r="N96" s="139">
        <v>0.1135232865651612</v>
      </c>
    </row>
    <row r="97" spans="1:14" x14ac:dyDescent="0.25">
      <c r="A97" s="145">
        <f t="shared" si="4"/>
        <v>2025</v>
      </c>
      <c r="B97" s="146" t="str">
        <f t="shared" si="5"/>
        <v>2025 Q1</v>
      </c>
      <c r="C97" s="136">
        <v>45717</v>
      </c>
      <c r="D97" s="137">
        <v>1732714.0761873331</v>
      </c>
      <c r="E97" s="137">
        <v>3142387.5450637592</v>
      </c>
      <c r="F97" s="137">
        <v>4875101.6212510923</v>
      </c>
      <c r="G97" s="138">
        <v>0.85769806089252898</v>
      </c>
      <c r="H97" s="244">
        <v>0.83873655391274904</v>
      </c>
      <c r="I97" s="138">
        <v>0.84547587395202184</v>
      </c>
      <c r="J97" s="138">
        <v>0.8680756115516397</v>
      </c>
      <c r="K97" s="245">
        <v>0.84773655391274905</v>
      </c>
      <c r="L97" s="138">
        <v>0.85496548454953181</v>
      </c>
      <c r="M97" s="138">
        <v>0.74582493387478566</v>
      </c>
      <c r="N97" s="139">
        <v>0.10914055067474615</v>
      </c>
    </row>
    <row r="98" spans="1:14" x14ac:dyDescent="0.25">
      <c r="A98" s="145">
        <f t="shared" ref="A98:A100" si="6">YEAR(C98)</f>
        <v>2025</v>
      </c>
      <c r="B98" s="146" t="str">
        <f t="shared" ref="B98:B100" si="7">YEAR(C98)&amp;" Q"&amp;ROUNDUP(MONTH(C98)*4/12,0)</f>
        <v>2025 Q2</v>
      </c>
      <c r="C98" s="136">
        <v>45748</v>
      </c>
      <c r="D98" s="137">
        <v>1226694.6413765592</v>
      </c>
      <c r="E98" s="137">
        <v>3385812.5059010494</v>
      </c>
      <c r="F98" s="137">
        <v>4612507.1472776085</v>
      </c>
      <c r="G98" s="138">
        <v>0.82159776758384229</v>
      </c>
      <c r="H98" s="244">
        <v>0.84014248959125348</v>
      </c>
      <c r="I98" s="138">
        <v>0.8352105273447048</v>
      </c>
      <c r="J98" s="138">
        <v>0.83201927894700267</v>
      </c>
      <c r="K98" s="245">
        <v>0.84914248959125371</v>
      </c>
      <c r="L98" s="138">
        <v>0.84458857778802487</v>
      </c>
      <c r="M98" s="138">
        <v>0.78980071892379444</v>
      </c>
      <c r="N98" s="139">
        <v>5.4787858864230432E-2</v>
      </c>
    </row>
    <row r="99" spans="1:14" x14ac:dyDescent="0.25">
      <c r="A99" s="145">
        <f t="shared" si="6"/>
        <v>2025</v>
      </c>
      <c r="B99" s="146" t="str">
        <f t="shared" si="7"/>
        <v>2025 Q2</v>
      </c>
      <c r="C99" s="136">
        <v>45778</v>
      </c>
      <c r="D99" s="137">
        <v>811396.34322219016</v>
      </c>
      <c r="E99" s="137">
        <v>4022197.5361649008</v>
      </c>
      <c r="F99" s="137">
        <v>4833593.8793870909</v>
      </c>
      <c r="G99" s="138">
        <v>0.82159776758384229</v>
      </c>
      <c r="H99" s="244">
        <v>0.84014248959125337</v>
      </c>
      <c r="I99" s="138">
        <v>0.83702946023910729</v>
      </c>
      <c r="J99" s="138">
        <v>0.83201927894700267</v>
      </c>
      <c r="K99" s="245">
        <v>0.8491424895912536</v>
      </c>
      <c r="L99" s="138">
        <v>0.84626808374590146</v>
      </c>
      <c r="M99" s="138">
        <v>0.73128761384089125</v>
      </c>
      <c r="N99" s="139">
        <v>0.11498046990501021</v>
      </c>
    </row>
    <row r="100" spans="1:14" x14ac:dyDescent="0.25">
      <c r="A100" s="145">
        <f t="shared" si="6"/>
        <v>2025</v>
      </c>
      <c r="B100" s="146" t="str">
        <f t="shared" si="7"/>
        <v>2025 Q2</v>
      </c>
      <c r="C100" s="136">
        <v>45809</v>
      </c>
      <c r="D100" s="137">
        <v>301631.14749905083</v>
      </c>
      <c r="E100" s="137">
        <v>3994883.3769856794</v>
      </c>
      <c r="F100" s="137">
        <v>4296514.5244847303</v>
      </c>
      <c r="G100" s="138">
        <v>0.82159776758384229</v>
      </c>
      <c r="H100" s="244">
        <v>0.84014248959125359</v>
      </c>
      <c r="I100" s="138">
        <v>0.83884058178964604</v>
      </c>
      <c r="J100" s="138">
        <v>0.83201927894700267</v>
      </c>
      <c r="K100" s="245">
        <v>0.84914248959125382</v>
      </c>
      <c r="L100" s="138">
        <v>0.84794037712402948</v>
      </c>
      <c r="M100" s="138">
        <v>0.72639258104809301</v>
      </c>
      <c r="N100" s="139">
        <v>0.12154779607593647</v>
      </c>
    </row>
  </sheetData>
  <pageMargins left="0.7" right="0.7" top="0.75" bottom="0.75" header="0.3" footer="0.3"/>
  <pageSetup paperSize="9" scale="34" orientation="landscape" r:id="rId1"/>
  <headerFooter>
    <oddHeader>&amp;RClass Number: &amp;11 &amp;A</oddHeader>
    <oddFooter>&amp;RPage Number: &amp;11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509E-B718-497A-AC0C-190CA9BBC234}">
  <sheetPr codeName="Sheet7"/>
  <dimension ref="B2:AI41"/>
  <sheetViews>
    <sheetView showGridLines="0" zoomScale="85" zoomScaleNormal="85" workbookViewId="0"/>
  </sheetViews>
  <sheetFormatPr defaultRowHeight="15" x14ac:dyDescent="0.25"/>
  <cols>
    <col min="3" max="3" width="12.5703125" customWidth="1"/>
    <col min="4" max="4" width="12.140625" customWidth="1"/>
    <col min="5" max="5" width="11.28515625" customWidth="1"/>
    <col min="6" max="6" width="13.85546875" bestFit="1" customWidth="1"/>
    <col min="7" max="7" width="11.7109375" customWidth="1"/>
    <col min="8" max="8" width="11" customWidth="1"/>
    <col min="9" max="9" width="12" customWidth="1"/>
    <col min="10" max="10" width="12.140625" customWidth="1"/>
    <col min="11" max="11" width="12.5703125" customWidth="1"/>
    <col min="12" max="12" width="5.7109375" customWidth="1"/>
    <col min="13" max="13" width="6" customWidth="1"/>
    <col min="14" max="14" width="12.140625" customWidth="1"/>
    <col min="15" max="15" width="13.85546875" customWidth="1"/>
    <col min="16" max="16" width="16.140625" customWidth="1"/>
    <col min="17" max="17" width="13.85546875" customWidth="1"/>
    <col min="18" max="18" width="15.5703125" customWidth="1"/>
    <col min="19" max="19" width="14.5703125" customWidth="1"/>
    <col min="20" max="21" width="15.5703125" customWidth="1"/>
    <col min="22" max="22" width="14.5703125" customWidth="1"/>
    <col min="23" max="23" width="15.5703125" customWidth="1"/>
    <col min="24" max="24" width="3.28515625" customWidth="1"/>
    <col min="25" max="25" width="3.42578125" customWidth="1"/>
    <col min="27" max="27" width="12.5703125" customWidth="1"/>
    <col min="28" max="28" width="12.140625" customWidth="1"/>
    <col min="29" max="29" width="11.28515625" customWidth="1"/>
    <col min="31" max="31" width="11.7109375" customWidth="1"/>
    <col min="32" max="32" width="11" customWidth="1"/>
    <col min="33" max="33" width="12" customWidth="1"/>
    <col min="34" max="34" width="12.140625" customWidth="1"/>
    <col min="35" max="35" width="12.5703125" customWidth="1"/>
  </cols>
  <sheetData>
    <row r="2" spans="2:35" ht="18.75" x14ac:dyDescent="0.3">
      <c r="B2" s="159" t="s">
        <v>70</v>
      </c>
      <c r="C2" s="115"/>
      <c r="D2" s="115"/>
      <c r="E2" s="115"/>
      <c r="F2" s="115"/>
      <c r="G2" s="115"/>
      <c r="H2" s="115"/>
      <c r="I2" s="115"/>
      <c r="J2" s="115"/>
      <c r="K2" s="115"/>
      <c r="N2" s="175" t="s">
        <v>71</v>
      </c>
      <c r="O2" s="174"/>
      <c r="P2" s="174"/>
      <c r="Q2" s="174"/>
      <c r="R2" s="174"/>
      <c r="S2" s="174"/>
      <c r="T2" s="174"/>
      <c r="U2" s="174"/>
      <c r="V2" s="174"/>
      <c r="W2" s="174"/>
      <c r="Z2" s="182" t="s">
        <v>74</v>
      </c>
      <c r="AA2" s="183"/>
      <c r="AB2" s="183"/>
      <c r="AC2" s="183"/>
      <c r="AD2" s="183"/>
      <c r="AE2" s="183"/>
      <c r="AF2" s="183"/>
      <c r="AG2" s="183"/>
      <c r="AH2" s="183"/>
      <c r="AI2" s="183"/>
    </row>
    <row r="3" spans="2:35" ht="15.75" thickBot="1" x14ac:dyDescent="0.3"/>
    <row r="4" spans="2:35" ht="16.5" thickTop="1" thickBot="1" x14ac:dyDescent="0.3">
      <c r="F4" s="156"/>
      <c r="G4" s="157" t="s">
        <v>68</v>
      </c>
      <c r="H4" s="158"/>
      <c r="I4" s="151"/>
      <c r="J4" s="152" t="s">
        <v>69</v>
      </c>
      <c r="K4" s="153"/>
      <c r="R4" s="180" t="s">
        <v>72</v>
      </c>
      <c r="S4" s="176"/>
      <c r="T4" s="177"/>
      <c r="U4" s="181" t="s">
        <v>73</v>
      </c>
      <c r="V4" s="176"/>
      <c r="W4" s="177"/>
      <c r="AD4" s="156"/>
      <c r="AE4" s="157" t="s">
        <v>68</v>
      </c>
      <c r="AF4" s="158"/>
      <c r="AG4" s="151"/>
      <c r="AH4" s="152" t="s">
        <v>69</v>
      </c>
      <c r="AI4" s="153"/>
    </row>
    <row r="5" spans="2:35" ht="60.75" thickBot="1" x14ac:dyDescent="0.3">
      <c r="B5" s="54" t="s">
        <v>2</v>
      </c>
      <c r="C5" s="55" t="s">
        <v>3</v>
      </c>
      <c r="D5" s="56" t="s">
        <v>4</v>
      </c>
      <c r="E5" s="57" t="s">
        <v>5</v>
      </c>
      <c r="F5" s="54" t="s">
        <v>10</v>
      </c>
      <c r="G5" s="56" t="s">
        <v>11</v>
      </c>
      <c r="H5" s="58" t="s">
        <v>12</v>
      </c>
      <c r="I5" s="54" t="s">
        <v>10</v>
      </c>
      <c r="J5" s="56" t="s">
        <v>11</v>
      </c>
      <c r="K5" s="58" t="s">
        <v>12</v>
      </c>
      <c r="N5" s="185" t="s">
        <v>2</v>
      </c>
      <c r="O5" s="185" t="s">
        <v>3</v>
      </c>
      <c r="P5" s="186" t="s">
        <v>4</v>
      </c>
      <c r="Q5" s="187" t="s">
        <v>5</v>
      </c>
      <c r="R5" s="185" t="s">
        <v>10</v>
      </c>
      <c r="S5" s="186" t="s">
        <v>11</v>
      </c>
      <c r="T5" s="187" t="s">
        <v>12</v>
      </c>
      <c r="U5" s="186" t="s">
        <v>10</v>
      </c>
      <c r="V5" s="186" t="s">
        <v>11</v>
      </c>
      <c r="W5" s="187" t="s">
        <v>12</v>
      </c>
      <c r="Z5" s="54" t="s">
        <v>2</v>
      </c>
      <c r="AA5" s="55" t="s">
        <v>3</v>
      </c>
      <c r="AB5" s="56" t="s">
        <v>4</v>
      </c>
      <c r="AC5" s="57" t="s">
        <v>5</v>
      </c>
      <c r="AD5" s="54" t="s">
        <v>10</v>
      </c>
      <c r="AE5" s="56" t="s">
        <v>11</v>
      </c>
      <c r="AF5" s="58" t="s">
        <v>12</v>
      </c>
      <c r="AG5" s="54" t="s">
        <v>10</v>
      </c>
      <c r="AH5" s="56" t="s">
        <v>11</v>
      </c>
      <c r="AI5" s="58" t="s">
        <v>12</v>
      </c>
    </row>
    <row r="6" spans="2:35" x14ac:dyDescent="0.25">
      <c r="B6" s="61">
        <v>2010</v>
      </c>
      <c r="C6" s="160">
        <v>3495269.0799725251</v>
      </c>
      <c r="D6" s="161">
        <v>0</v>
      </c>
      <c r="E6" s="162">
        <v>3495269.0799725251</v>
      </c>
      <c r="F6" s="163">
        <v>0.67303174553259038</v>
      </c>
      <c r="G6" s="102" t="s">
        <v>42</v>
      </c>
      <c r="H6" s="164">
        <v>0.67303174553259038</v>
      </c>
      <c r="I6" s="163">
        <v>0.67807227305619333</v>
      </c>
      <c r="J6" s="165" t="s">
        <v>42</v>
      </c>
      <c r="K6" s="166">
        <v>0.67807227305619333</v>
      </c>
      <c r="N6" s="188">
        <f t="shared" ref="N6:N21" si="0">B6</f>
        <v>2010</v>
      </c>
      <c r="O6" s="240">
        <f>SUMIFS('Net Results by UW month'!D:D,'Net Results by UW month'!$A:$A,'Vs Internal (MICL)'!$N6)</f>
        <v>0</v>
      </c>
      <c r="P6" s="114">
        <f>SUMIFS('Net Results by UW month'!E:E,'Net Results by UW month'!$A:$A,'Vs Internal (MICL)'!$N6)</f>
        <v>0</v>
      </c>
      <c r="Q6" s="189">
        <f>SUMIFS('Net Results by UW month'!F:F,'Net Results by UW month'!$A:$A,'Vs Internal (MICL)'!$N6)</f>
        <v>0</v>
      </c>
      <c r="R6" s="178" t="str" cm="1">
        <f t="array" ref="R6">IFERROR(SUMPRODUCT('Net Results by UW month'!M$11:M$94,'Net Results by UW month'!D$11:D$94,--('Net Results by UW month'!$A$11:$A$94='Vs Internal (MICL)'!$N6))/'Vs Internal (MICL)'!O6,"")</f>
        <v/>
      </c>
      <c r="S6" s="241" t="str" cm="1">
        <f t="array" ref="S6">IFERROR(SUMPRODUCT('Net Results by UW month'!N$11:N$94,'Net Results by UW month'!E$11:E$94,--('Net Results by UW month'!$A$11:$A$94='Vs Internal (MICL)'!$N6))/'Vs Internal (MICL)'!P6,"")</f>
        <v/>
      </c>
      <c r="T6" s="179" t="str" cm="1">
        <f t="array" ref="T6">IFERROR(SUMPRODUCT('Net Results by UW month'!O$11:O$94,'Net Results by UW month'!F$11:F$94,--('Net Results by UW month'!$A$11:$A$94='Vs Internal (MICL)'!$N6))/'Vs Internal (MICL)'!Q6,"")</f>
        <v/>
      </c>
      <c r="U6" s="241" t="str" cm="1">
        <f t="array" ref="U6">IFERROR(SUMPRODUCT('Gross Results by UW month'!J$11:J$94,'Gross Results by UW month'!D$11:D$94,--('Gross Results by UW month'!$A$11:$A$94='Vs Internal (MICL)'!$N6))/'Vs Internal (MICL)'!O6,"")</f>
        <v/>
      </c>
      <c r="V6" s="241" t="str" cm="1">
        <f t="array" ref="V6">IFERROR(SUMPRODUCT('Gross Results by UW month'!K$11:K$94,'Gross Results by UW month'!E$11:E$94,--('Gross Results by UW month'!$A$11:$A$94='Vs Internal (MICL)'!$N6))/'Vs Internal (MICL)'!P6,"")</f>
        <v/>
      </c>
      <c r="W6" s="179" t="str" cm="1">
        <f t="array" ref="W6">IFERROR(SUMPRODUCT('Gross Results by UW month'!L$11:L$94,'Gross Results by UW month'!F$11:F$94,--('Gross Results by UW month'!$A$11:$A$94='Vs Internal (MICL)'!$N6))/'Vs Internal (MICL)'!Q6,"")</f>
        <v/>
      </c>
      <c r="Z6" s="61">
        <v>2010</v>
      </c>
      <c r="AA6" s="160"/>
      <c r="AB6" s="161"/>
      <c r="AC6" s="162"/>
      <c r="AD6" s="163"/>
      <c r="AE6" s="102"/>
      <c r="AF6" s="164"/>
      <c r="AG6" s="163"/>
      <c r="AH6" s="165"/>
      <c r="AI6" s="166"/>
    </row>
    <row r="7" spans="2:35" x14ac:dyDescent="0.25">
      <c r="B7" s="59">
        <v>2011</v>
      </c>
      <c r="C7" s="147">
        <v>16412129.461393438</v>
      </c>
      <c r="D7" s="167">
        <v>0</v>
      </c>
      <c r="E7" s="148">
        <v>16412129.461393438</v>
      </c>
      <c r="F7" s="118">
        <v>0.62781304121672343</v>
      </c>
      <c r="G7" s="90" t="s">
        <v>42</v>
      </c>
      <c r="H7" s="119">
        <v>0.62781304121672343</v>
      </c>
      <c r="I7" s="118">
        <v>0.63374292376054153</v>
      </c>
      <c r="J7" s="168" t="s">
        <v>42</v>
      </c>
      <c r="K7" s="169">
        <v>0.63374292376054153</v>
      </c>
      <c r="N7" s="188">
        <f t="shared" si="0"/>
        <v>2011</v>
      </c>
      <c r="O7" s="240">
        <f>SUMIFS('Net Results by UW month'!D:D,'Net Results by UW month'!$A:$A,'Vs Internal (MICL)'!$N7)</f>
        <v>0</v>
      </c>
      <c r="P7" s="114">
        <f>SUMIFS('Net Results by UW month'!E:E,'Net Results by UW month'!$A:$A,'Vs Internal (MICL)'!$N7)</f>
        <v>0</v>
      </c>
      <c r="Q7" s="189">
        <f>SUMIFS('Net Results by UW month'!F:F,'Net Results by UW month'!$A:$A,'Vs Internal (MICL)'!$N7)</f>
        <v>0</v>
      </c>
      <c r="R7" s="178" t="str" cm="1">
        <f t="array" ref="R7">IFERROR(SUMPRODUCT('Net Results by UW month'!M$11:M$94,'Net Results by UW month'!D$11:D$94,--('Net Results by UW month'!$A$11:$A$94='Vs Internal (MICL)'!$N7))/'Vs Internal (MICL)'!O7,"")</f>
        <v/>
      </c>
      <c r="S7" s="241" t="str" cm="1">
        <f t="array" ref="S7">IFERROR(SUMPRODUCT('Net Results by UW month'!N$11:N$94,'Net Results by UW month'!E$11:E$94,--('Net Results by UW month'!$A$11:$A$94='Vs Internal (MICL)'!$N7))/'Vs Internal (MICL)'!P7,"")</f>
        <v/>
      </c>
      <c r="T7" s="179" t="str" cm="1">
        <f t="array" ref="T7">IFERROR(SUMPRODUCT('Net Results by UW month'!O$11:O$94,'Net Results by UW month'!F$11:F$94,--('Net Results by UW month'!$A$11:$A$94='Vs Internal (MICL)'!$N7))/'Vs Internal (MICL)'!Q7,"")</f>
        <v/>
      </c>
      <c r="U7" s="241" t="str" cm="1">
        <f t="array" ref="U7">IFERROR(SUMPRODUCT('Gross Results by UW month'!J$11:J$94,'Gross Results by UW month'!D$11:D$94,--('Gross Results by UW month'!$A$11:$A$94='Vs Internal (MICL)'!$N7))/'Vs Internal (MICL)'!O7,"")</f>
        <v/>
      </c>
      <c r="V7" s="241" t="str" cm="1">
        <f t="array" ref="V7">IFERROR(SUMPRODUCT('Gross Results by UW month'!K$11:K$94,'Gross Results by UW month'!E$11:E$94,--('Gross Results by UW month'!$A$11:$A$94='Vs Internal (MICL)'!$N7))/'Vs Internal (MICL)'!P7,"")</f>
        <v/>
      </c>
      <c r="W7" s="179" t="str" cm="1">
        <f t="array" ref="W7">IFERROR(SUMPRODUCT('Gross Results by UW month'!L$11:L$94,'Gross Results by UW month'!F$11:F$94,--('Gross Results by UW month'!$A$11:$A$94='Vs Internal (MICL)'!$N7))/'Vs Internal (MICL)'!Q7,"")</f>
        <v/>
      </c>
      <c r="Z7" s="59">
        <v>2011</v>
      </c>
      <c r="AA7" s="147"/>
      <c r="AB7" s="167"/>
      <c r="AC7" s="148"/>
      <c r="AD7" s="118"/>
      <c r="AE7" s="90"/>
      <c r="AF7" s="119"/>
      <c r="AG7" s="118"/>
      <c r="AH7" s="168"/>
      <c r="AI7" s="169"/>
    </row>
    <row r="8" spans="2:35" x14ac:dyDescent="0.25">
      <c r="B8" s="59">
        <v>2012</v>
      </c>
      <c r="C8" s="147">
        <v>19957322.98183259</v>
      </c>
      <c r="D8" s="167">
        <v>0</v>
      </c>
      <c r="E8" s="148">
        <v>19957322.98183259</v>
      </c>
      <c r="F8" s="118">
        <v>0.6294418370357252</v>
      </c>
      <c r="G8" s="90" t="s">
        <v>42</v>
      </c>
      <c r="H8" s="119">
        <v>0.6294418370357252</v>
      </c>
      <c r="I8" s="118">
        <v>0.63601245776072779</v>
      </c>
      <c r="J8" s="168" t="s">
        <v>42</v>
      </c>
      <c r="K8" s="169">
        <v>0.63601245776072779</v>
      </c>
      <c r="N8" s="188">
        <f t="shared" si="0"/>
        <v>2012</v>
      </c>
      <c r="O8" s="240">
        <f>SUMIFS('Net Results by UW month'!D:D,'Net Results by UW month'!$A:$A,'Vs Internal (MICL)'!$N8)</f>
        <v>0</v>
      </c>
      <c r="P8" s="114">
        <f>SUMIFS('Net Results by UW month'!E:E,'Net Results by UW month'!$A:$A,'Vs Internal (MICL)'!$N8)</f>
        <v>0</v>
      </c>
      <c r="Q8" s="189">
        <f>SUMIFS('Net Results by UW month'!F:F,'Net Results by UW month'!$A:$A,'Vs Internal (MICL)'!$N8)</f>
        <v>0</v>
      </c>
      <c r="R8" s="178" t="str" cm="1">
        <f t="array" ref="R8">IFERROR(SUMPRODUCT('Net Results by UW month'!M$11:M$94,'Net Results by UW month'!D$11:D$94,--('Net Results by UW month'!$A$11:$A$94='Vs Internal (MICL)'!$N8))/'Vs Internal (MICL)'!O8,"")</f>
        <v/>
      </c>
      <c r="S8" s="241" t="str" cm="1">
        <f t="array" ref="S8">IFERROR(SUMPRODUCT('Net Results by UW month'!N$11:N$94,'Net Results by UW month'!E$11:E$94,--('Net Results by UW month'!$A$11:$A$94='Vs Internal (MICL)'!$N8))/'Vs Internal (MICL)'!P8,"")</f>
        <v/>
      </c>
      <c r="T8" s="179" t="str" cm="1">
        <f t="array" ref="T8">IFERROR(SUMPRODUCT('Net Results by UW month'!O$11:O$94,'Net Results by UW month'!F$11:F$94,--('Net Results by UW month'!$A$11:$A$94='Vs Internal (MICL)'!$N8))/'Vs Internal (MICL)'!Q8,"")</f>
        <v/>
      </c>
      <c r="U8" s="241" t="str" cm="1">
        <f t="array" ref="U8">IFERROR(SUMPRODUCT('Gross Results by UW month'!J$11:J$94,'Gross Results by UW month'!D$11:D$94,--('Gross Results by UW month'!$A$11:$A$94='Vs Internal (MICL)'!$N8))/'Vs Internal (MICL)'!O8,"")</f>
        <v/>
      </c>
      <c r="V8" s="241" t="str" cm="1">
        <f t="array" ref="V8">IFERROR(SUMPRODUCT('Gross Results by UW month'!K$11:K$94,'Gross Results by UW month'!E$11:E$94,--('Gross Results by UW month'!$A$11:$A$94='Vs Internal (MICL)'!$N8))/'Vs Internal (MICL)'!P8,"")</f>
        <v/>
      </c>
      <c r="W8" s="179" t="str" cm="1">
        <f t="array" ref="W8">IFERROR(SUMPRODUCT('Gross Results by UW month'!L$11:L$94,'Gross Results by UW month'!F$11:F$94,--('Gross Results by UW month'!$A$11:$A$94='Vs Internal (MICL)'!$N8))/'Vs Internal (MICL)'!Q8,"")</f>
        <v/>
      </c>
      <c r="Z8" s="59">
        <v>2012</v>
      </c>
      <c r="AA8" s="147"/>
      <c r="AB8" s="167"/>
      <c r="AC8" s="148"/>
      <c r="AD8" s="118"/>
      <c r="AE8" s="90"/>
      <c r="AF8" s="119"/>
      <c r="AG8" s="118"/>
      <c r="AH8" s="168"/>
      <c r="AI8" s="169"/>
    </row>
    <row r="9" spans="2:35" x14ac:dyDescent="0.25">
      <c r="B9" s="59">
        <v>2013</v>
      </c>
      <c r="C9" s="147">
        <v>24299121.098986916</v>
      </c>
      <c r="D9" s="167">
        <v>0</v>
      </c>
      <c r="E9" s="148">
        <v>24299121.098986916</v>
      </c>
      <c r="F9" s="118">
        <v>0.62500546863948836</v>
      </c>
      <c r="G9" s="90" t="s">
        <v>42</v>
      </c>
      <c r="H9" s="119">
        <v>0.62500546863948836</v>
      </c>
      <c r="I9" s="118">
        <v>0.80434611154783153</v>
      </c>
      <c r="J9" s="168" t="s">
        <v>42</v>
      </c>
      <c r="K9" s="169">
        <v>0.80434611154783153</v>
      </c>
      <c r="N9" s="188">
        <f t="shared" si="0"/>
        <v>2013</v>
      </c>
      <c r="O9" s="240">
        <f>SUMIFS('Net Results by UW month'!D:D,'Net Results by UW month'!$A:$A,'Vs Internal (MICL)'!$N9)</f>
        <v>0</v>
      </c>
      <c r="P9" s="114">
        <f>SUMIFS('Net Results by UW month'!E:E,'Net Results by UW month'!$A:$A,'Vs Internal (MICL)'!$N9)</f>
        <v>0</v>
      </c>
      <c r="Q9" s="189">
        <f>SUMIFS('Net Results by UW month'!F:F,'Net Results by UW month'!$A:$A,'Vs Internal (MICL)'!$N9)</f>
        <v>0</v>
      </c>
      <c r="R9" s="178" t="str" cm="1">
        <f t="array" ref="R9">IFERROR(SUMPRODUCT('Net Results by UW month'!M$11:M$94,'Net Results by UW month'!D$11:D$94,--('Net Results by UW month'!$A$11:$A$94='Vs Internal (MICL)'!$N9))/'Vs Internal (MICL)'!O9,"")</f>
        <v/>
      </c>
      <c r="S9" s="241" t="str" cm="1">
        <f t="array" ref="S9">IFERROR(SUMPRODUCT('Net Results by UW month'!N$11:N$94,'Net Results by UW month'!E$11:E$94,--('Net Results by UW month'!$A$11:$A$94='Vs Internal (MICL)'!$N9))/'Vs Internal (MICL)'!P9,"")</f>
        <v/>
      </c>
      <c r="T9" s="179" t="str" cm="1">
        <f t="array" ref="T9">IFERROR(SUMPRODUCT('Net Results by UW month'!O$11:O$94,'Net Results by UW month'!F$11:F$94,--('Net Results by UW month'!$A$11:$A$94='Vs Internal (MICL)'!$N9))/'Vs Internal (MICL)'!Q9,"")</f>
        <v/>
      </c>
      <c r="U9" s="241" t="str" cm="1">
        <f t="array" ref="U9">IFERROR(SUMPRODUCT('Gross Results by UW month'!J$11:J$94,'Gross Results by UW month'!D$11:D$94,--('Gross Results by UW month'!$A$11:$A$94='Vs Internal (MICL)'!$N9))/'Vs Internal (MICL)'!O9,"")</f>
        <v/>
      </c>
      <c r="V9" s="241" t="str" cm="1">
        <f t="array" ref="V9">IFERROR(SUMPRODUCT('Gross Results by UW month'!K$11:K$94,'Gross Results by UW month'!E$11:E$94,--('Gross Results by UW month'!$A$11:$A$94='Vs Internal (MICL)'!$N9))/'Vs Internal (MICL)'!P9,"")</f>
        <v/>
      </c>
      <c r="W9" s="179" t="str" cm="1">
        <f t="array" ref="W9">IFERROR(SUMPRODUCT('Gross Results by UW month'!L$11:L$94,'Gross Results by UW month'!F$11:F$94,--('Gross Results by UW month'!$A$11:$A$94='Vs Internal (MICL)'!$N9))/'Vs Internal (MICL)'!Q9,"")</f>
        <v/>
      </c>
      <c r="Z9" s="59">
        <v>2013</v>
      </c>
      <c r="AA9" s="147"/>
      <c r="AB9" s="167"/>
      <c r="AC9" s="148"/>
      <c r="AD9" s="118"/>
      <c r="AE9" s="90"/>
      <c r="AF9" s="119"/>
      <c r="AG9" s="118"/>
      <c r="AH9" s="168"/>
      <c r="AI9" s="169"/>
    </row>
    <row r="10" spans="2:35" x14ac:dyDescent="0.25">
      <c r="B10" s="59">
        <v>2014</v>
      </c>
      <c r="C10" s="147">
        <v>25339609.192134056</v>
      </c>
      <c r="D10" s="167">
        <v>0</v>
      </c>
      <c r="E10" s="148">
        <v>25339609.192134056</v>
      </c>
      <c r="F10" s="118">
        <v>0.78182135445679091</v>
      </c>
      <c r="G10" s="90" t="s">
        <v>42</v>
      </c>
      <c r="H10" s="119">
        <v>0.78182135445679091</v>
      </c>
      <c r="I10" s="118">
        <v>0.86089634471441501</v>
      </c>
      <c r="J10" s="168" t="s">
        <v>42</v>
      </c>
      <c r="K10" s="169">
        <v>0.86089634471441501</v>
      </c>
      <c r="N10" s="188">
        <f t="shared" si="0"/>
        <v>2014</v>
      </c>
      <c r="O10" s="240">
        <f>SUMIFS('Net Results by UW month'!D:D,'Net Results by UW month'!$A:$A,'Vs Internal (MICL)'!$N10)</f>
        <v>0</v>
      </c>
      <c r="P10" s="114">
        <f>SUMIFS('Net Results by UW month'!E:E,'Net Results by UW month'!$A:$A,'Vs Internal (MICL)'!$N10)</f>
        <v>0</v>
      </c>
      <c r="Q10" s="189">
        <f>SUMIFS('Net Results by UW month'!F:F,'Net Results by UW month'!$A:$A,'Vs Internal (MICL)'!$N10)</f>
        <v>0</v>
      </c>
      <c r="R10" s="178" t="str" cm="1">
        <f t="array" ref="R10">IFERROR(SUMPRODUCT('Net Results by UW month'!M$11:M$94,'Net Results by UW month'!D$11:D$94,--('Net Results by UW month'!$A$11:$A$94='Vs Internal (MICL)'!$N10))/'Vs Internal (MICL)'!O10,"")</f>
        <v/>
      </c>
      <c r="S10" s="241" t="str" cm="1">
        <f t="array" ref="S10">IFERROR(SUMPRODUCT('Net Results by UW month'!N$11:N$94,'Net Results by UW month'!E$11:E$94,--('Net Results by UW month'!$A$11:$A$94='Vs Internal (MICL)'!$N10))/'Vs Internal (MICL)'!P10,"")</f>
        <v/>
      </c>
      <c r="T10" s="179" t="str" cm="1">
        <f t="array" ref="T10">IFERROR(SUMPRODUCT('Net Results by UW month'!O$11:O$94,'Net Results by UW month'!F$11:F$94,--('Net Results by UW month'!$A$11:$A$94='Vs Internal (MICL)'!$N10))/'Vs Internal (MICL)'!Q10,"")</f>
        <v/>
      </c>
      <c r="U10" s="241" t="str" cm="1">
        <f t="array" ref="U10">IFERROR(SUMPRODUCT('Gross Results by UW month'!J$11:J$94,'Gross Results by UW month'!D$11:D$94,--('Gross Results by UW month'!$A$11:$A$94='Vs Internal (MICL)'!$N10))/'Vs Internal (MICL)'!O10,"")</f>
        <v/>
      </c>
      <c r="V10" s="241" t="str" cm="1">
        <f t="array" ref="V10">IFERROR(SUMPRODUCT('Gross Results by UW month'!K$11:K$94,'Gross Results by UW month'!E$11:E$94,--('Gross Results by UW month'!$A$11:$A$94='Vs Internal (MICL)'!$N10))/'Vs Internal (MICL)'!P10,"")</f>
        <v/>
      </c>
      <c r="W10" s="179" t="str" cm="1">
        <f t="array" ref="W10">IFERROR(SUMPRODUCT('Gross Results by UW month'!L$11:L$94,'Gross Results by UW month'!F$11:F$94,--('Gross Results by UW month'!$A$11:$A$94='Vs Internal (MICL)'!$N10))/'Vs Internal (MICL)'!Q10,"")</f>
        <v/>
      </c>
      <c r="Z10" s="59">
        <v>2014</v>
      </c>
      <c r="AA10" s="147"/>
      <c r="AB10" s="167"/>
      <c r="AC10" s="148"/>
      <c r="AD10" s="118"/>
      <c r="AE10" s="90"/>
      <c r="AF10" s="119"/>
      <c r="AG10" s="118"/>
      <c r="AH10" s="168"/>
      <c r="AI10" s="169"/>
    </row>
    <row r="11" spans="2:35" x14ac:dyDescent="0.25">
      <c r="B11" s="59">
        <v>2015</v>
      </c>
      <c r="C11" s="147">
        <v>38137417.345026158</v>
      </c>
      <c r="D11" s="167">
        <v>0</v>
      </c>
      <c r="E11" s="148">
        <v>38137417.345026158</v>
      </c>
      <c r="F11" s="118">
        <v>0.83115577710020372</v>
      </c>
      <c r="G11" s="154" t="s">
        <v>42</v>
      </c>
      <c r="H11" s="119">
        <v>0.83115577710020372</v>
      </c>
      <c r="I11" s="118">
        <v>1.6122341288540085</v>
      </c>
      <c r="J11" s="120" t="s">
        <v>42</v>
      </c>
      <c r="K11" s="169">
        <v>1.6122341288540085</v>
      </c>
      <c r="N11" s="188">
        <f t="shared" si="0"/>
        <v>2015</v>
      </c>
      <c r="O11" s="240">
        <f>SUMIFS('Net Results by UW month'!D:D,'Net Results by UW month'!$A:$A,'Vs Internal (MICL)'!$N11)</f>
        <v>0</v>
      </c>
      <c r="P11" s="114">
        <f>SUMIFS('Net Results by UW month'!E:E,'Net Results by UW month'!$A:$A,'Vs Internal (MICL)'!$N11)</f>
        <v>0</v>
      </c>
      <c r="Q11" s="189">
        <f>SUMIFS('Net Results by UW month'!F:F,'Net Results by UW month'!$A:$A,'Vs Internal (MICL)'!$N11)</f>
        <v>0</v>
      </c>
      <c r="R11" s="178" t="str" cm="1">
        <f t="array" ref="R11">IFERROR(SUMPRODUCT('Net Results by UW month'!M$11:M$94,'Net Results by UW month'!D$11:D$94,--('Net Results by UW month'!$A$11:$A$94='Vs Internal (MICL)'!$N11))/'Vs Internal (MICL)'!O11,"")</f>
        <v/>
      </c>
      <c r="S11" s="241" t="str" cm="1">
        <f t="array" ref="S11">IFERROR(SUMPRODUCT('Net Results by UW month'!N$11:N$94,'Net Results by UW month'!E$11:E$94,--('Net Results by UW month'!$A$11:$A$94='Vs Internal (MICL)'!$N11))/'Vs Internal (MICL)'!P11,"")</f>
        <v/>
      </c>
      <c r="T11" s="179" t="str" cm="1">
        <f t="array" ref="T11">IFERROR(SUMPRODUCT('Net Results by UW month'!O$11:O$94,'Net Results by UW month'!F$11:F$94,--('Net Results by UW month'!$A$11:$A$94='Vs Internal (MICL)'!$N11))/'Vs Internal (MICL)'!Q11,"")</f>
        <v/>
      </c>
      <c r="U11" s="241" t="str" cm="1">
        <f t="array" ref="U11">IFERROR(SUMPRODUCT('Gross Results by UW month'!J$11:J$94,'Gross Results by UW month'!D$11:D$94,--('Gross Results by UW month'!$A$11:$A$94='Vs Internal (MICL)'!$N11))/'Vs Internal (MICL)'!O11,"")</f>
        <v/>
      </c>
      <c r="V11" s="241" t="str" cm="1">
        <f t="array" ref="V11">IFERROR(SUMPRODUCT('Gross Results by UW month'!K$11:K$94,'Gross Results by UW month'!E$11:E$94,--('Gross Results by UW month'!$A$11:$A$94='Vs Internal (MICL)'!$N11))/'Vs Internal (MICL)'!P11,"")</f>
        <v/>
      </c>
      <c r="W11" s="179" t="str" cm="1">
        <f t="array" ref="W11">IFERROR(SUMPRODUCT('Gross Results by UW month'!L$11:L$94,'Gross Results by UW month'!F$11:F$94,--('Gross Results by UW month'!$A$11:$A$94='Vs Internal (MICL)'!$N11))/'Vs Internal (MICL)'!Q11,"")</f>
        <v/>
      </c>
      <c r="Z11" s="59">
        <v>2015</v>
      </c>
      <c r="AA11" s="147"/>
      <c r="AB11" s="167"/>
      <c r="AC11" s="148"/>
      <c r="AD11" s="118"/>
      <c r="AE11" s="154"/>
      <c r="AF11" s="119"/>
      <c r="AG11" s="118"/>
      <c r="AH11" s="120"/>
      <c r="AI11" s="169"/>
    </row>
    <row r="12" spans="2:35" x14ac:dyDescent="0.25">
      <c r="B12" s="59">
        <v>2016</v>
      </c>
      <c r="C12" s="147">
        <v>41466351.276469894</v>
      </c>
      <c r="D12" s="167">
        <v>0</v>
      </c>
      <c r="E12" s="148">
        <v>41466351.276469894</v>
      </c>
      <c r="F12" s="118">
        <v>0.79721120649355193</v>
      </c>
      <c r="G12" s="154" t="s">
        <v>42</v>
      </c>
      <c r="H12" s="119">
        <v>0.79721120649355193</v>
      </c>
      <c r="I12" s="118">
        <v>0.906269240798252</v>
      </c>
      <c r="J12" s="120" t="s">
        <v>42</v>
      </c>
      <c r="K12" s="169">
        <v>0.906269240798252</v>
      </c>
      <c r="N12" s="188">
        <f t="shared" si="0"/>
        <v>2016</v>
      </c>
      <c r="O12" s="240">
        <f>SUMIFS('Net Results by UW month'!D:D,'Net Results by UW month'!$A:$A,'Vs Internal (MICL)'!$N12)</f>
        <v>0</v>
      </c>
      <c r="P12" s="114">
        <f>SUMIFS('Net Results by UW month'!E:E,'Net Results by UW month'!$A:$A,'Vs Internal (MICL)'!$N12)</f>
        <v>0</v>
      </c>
      <c r="Q12" s="189">
        <f>SUMIFS('Net Results by UW month'!F:F,'Net Results by UW month'!$A:$A,'Vs Internal (MICL)'!$N12)</f>
        <v>0</v>
      </c>
      <c r="R12" s="178" t="str" cm="1">
        <f t="array" ref="R12">IFERROR(SUMPRODUCT('Net Results by UW month'!M$11:M$94,'Net Results by UW month'!D$11:D$94,--('Net Results by UW month'!$A$11:$A$94='Vs Internal (MICL)'!$N12))/'Vs Internal (MICL)'!O12,"")</f>
        <v/>
      </c>
      <c r="S12" s="241" t="str" cm="1">
        <f t="array" ref="S12">IFERROR(SUMPRODUCT('Net Results by UW month'!N$11:N$94,'Net Results by UW month'!E$11:E$94,--('Net Results by UW month'!$A$11:$A$94='Vs Internal (MICL)'!$N12))/'Vs Internal (MICL)'!P12,"")</f>
        <v/>
      </c>
      <c r="T12" s="179" t="str" cm="1">
        <f t="array" ref="T12">IFERROR(SUMPRODUCT('Net Results by UW month'!O$11:O$94,'Net Results by UW month'!F$11:F$94,--('Net Results by UW month'!$A$11:$A$94='Vs Internal (MICL)'!$N12))/'Vs Internal (MICL)'!Q12,"")</f>
        <v/>
      </c>
      <c r="U12" s="241" t="str" cm="1">
        <f t="array" ref="U12">IFERROR(SUMPRODUCT('Gross Results by UW month'!J$11:J$94,'Gross Results by UW month'!D$11:D$94,--('Gross Results by UW month'!$A$11:$A$94='Vs Internal (MICL)'!$N12))/'Vs Internal (MICL)'!O12,"")</f>
        <v/>
      </c>
      <c r="V12" s="241" t="str" cm="1">
        <f t="array" ref="V12">IFERROR(SUMPRODUCT('Gross Results by UW month'!K$11:K$94,'Gross Results by UW month'!E$11:E$94,--('Gross Results by UW month'!$A$11:$A$94='Vs Internal (MICL)'!$N12))/'Vs Internal (MICL)'!P12,"")</f>
        <v/>
      </c>
      <c r="W12" s="179" t="str" cm="1">
        <f t="array" ref="W12">IFERROR(SUMPRODUCT('Gross Results by UW month'!L$11:L$94,'Gross Results by UW month'!F$11:F$94,--('Gross Results by UW month'!$A$11:$A$94='Vs Internal (MICL)'!$N12))/'Vs Internal (MICL)'!Q12,"")</f>
        <v/>
      </c>
      <c r="Z12" s="59">
        <v>2016</v>
      </c>
      <c r="AA12" s="147"/>
      <c r="AB12" s="167"/>
      <c r="AC12" s="148"/>
      <c r="AD12" s="118"/>
      <c r="AE12" s="154"/>
      <c r="AF12" s="119"/>
      <c r="AG12" s="118"/>
      <c r="AH12" s="120"/>
      <c r="AI12" s="169"/>
    </row>
    <row r="13" spans="2:35" x14ac:dyDescent="0.25">
      <c r="B13" s="59">
        <v>2017</v>
      </c>
      <c r="C13" s="147">
        <v>39586166.362889618</v>
      </c>
      <c r="D13" s="167">
        <v>0</v>
      </c>
      <c r="E13" s="148">
        <v>39586166.362889618</v>
      </c>
      <c r="F13" s="118">
        <v>0.71334849076147555</v>
      </c>
      <c r="G13" s="154" t="s">
        <v>42</v>
      </c>
      <c r="H13" s="119">
        <v>0.71334849076147555</v>
      </c>
      <c r="I13" s="118">
        <v>1.1048352762696632</v>
      </c>
      <c r="J13" s="120" t="s">
        <v>42</v>
      </c>
      <c r="K13" s="169">
        <v>1.1048352762696632</v>
      </c>
      <c r="N13" s="188">
        <f t="shared" si="0"/>
        <v>2017</v>
      </c>
      <c r="O13" s="240">
        <f>SUMIFS('Net Results by UW month'!D:D,'Net Results by UW month'!$A:$A,'Vs Internal (MICL)'!$N13)</f>
        <v>0</v>
      </c>
      <c r="P13" s="114">
        <f>SUMIFS('Net Results by UW month'!E:E,'Net Results by UW month'!$A:$A,'Vs Internal (MICL)'!$N13)</f>
        <v>0</v>
      </c>
      <c r="Q13" s="189">
        <f>SUMIFS('Net Results by UW month'!F:F,'Net Results by UW month'!$A:$A,'Vs Internal (MICL)'!$N13)</f>
        <v>0</v>
      </c>
      <c r="R13" s="178" t="str" cm="1">
        <f t="array" ref="R13">IFERROR(SUMPRODUCT('Net Results by UW month'!M$11:M$94,'Net Results by UW month'!D$11:D$94,--('Net Results by UW month'!$A$11:$A$94='Vs Internal (MICL)'!$N13))/'Vs Internal (MICL)'!O13,"")</f>
        <v/>
      </c>
      <c r="S13" s="241" t="str" cm="1">
        <f t="array" ref="S13">IFERROR(SUMPRODUCT('Net Results by UW month'!N$11:N$94,'Net Results by UW month'!E$11:E$94,--('Net Results by UW month'!$A$11:$A$94='Vs Internal (MICL)'!$N13))/'Vs Internal (MICL)'!P13,"")</f>
        <v/>
      </c>
      <c r="T13" s="179" t="str" cm="1">
        <f t="array" ref="T13">IFERROR(SUMPRODUCT('Net Results by UW month'!O$11:O$94,'Net Results by UW month'!F$11:F$94,--('Net Results by UW month'!$A$11:$A$94='Vs Internal (MICL)'!$N13))/'Vs Internal (MICL)'!Q13,"")</f>
        <v/>
      </c>
      <c r="U13" s="241" t="str" cm="1">
        <f t="array" ref="U13">IFERROR(SUMPRODUCT('Gross Results by UW month'!J$11:J$94,'Gross Results by UW month'!D$11:D$94,--('Gross Results by UW month'!$A$11:$A$94='Vs Internal (MICL)'!$N13))/'Vs Internal (MICL)'!O13,"")</f>
        <v/>
      </c>
      <c r="V13" s="241" t="str" cm="1">
        <f t="array" ref="V13">IFERROR(SUMPRODUCT('Gross Results by UW month'!K$11:K$94,'Gross Results by UW month'!E$11:E$94,--('Gross Results by UW month'!$A$11:$A$94='Vs Internal (MICL)'!$N13))/'Vs Internal (MICL)'!P13,"")</f>
        <v/>
      </c>
      <c r="W13" s="179" t="str" cm="1">
        <f t="array" ref="W13">IFERROR(SUMPRODUCT('Gross Results by UW month'!L$11:L$94,'Gross Results by UW month'!F$11:F$94,--('Gross Results by UW month'!$A$11:$A$94='Vs Internal (MICL)'!$N13))/'Vs Internal (MICL)'!Q13,"")</f>
        <v/>
      </c>
      <c r="Z13" s="59">
        <v>2017</v>
      </c>
      <c r="AA13" s="147"/>
      <c r="AB13" s="167"/>
      <c r="AC13" s="148"/>
      <c r="AD13" s="118"/>
      <c r="AE13" s="154"/>
      <c r="AF13" s="119"/>
      <c r="AG13" s="118"/>
      <c r="AH13" s="120"/>
      <c r="AI13" s="169"/>
    </row>
    <row r="14" spans="2:35" x14ac:dyDescent="0.25">
      <c r="B14" s="59">
        <v>2018</v>
      </c>
      <c r="C14" s="149">
        <v>42609782.822142787</v>
      </c>
      <c r="D14" s="114">
        <v>0</v>
      </c>
      <c r="E14" s="150">
        <v>42609782.822142787</v>
      </c>
      <c r="F14" s="121">
        <v>0.69919484932538611</v>
      </c>
      <c r="G14" s="155" t="s">
        <v>42</v>
      </c>
      <c r="H14" s="123">
        <v>0.69919485750744514</v>
      </c>
      <c r="I14" s="121">
        <v>0.6991948618108591</v>
      </c>
      <c r="J14" s="122" t="s">
        <v>42</v>
      </c>
      <c r="K14" s="124">
        <v>0.69919486999291824</v>
      </c>
      <c r="N14" s="188">
        <f t="shared" si="0"/>
        <v>2018</v>
      </c>
      <c r="O14" s="240">
        <f>SUMIFS('Net Results by UW month'!D:D,'Net Results by UW month'!$A:$A,'Vs Internal (MICL)'!$N14)</f>
        <v>42609782.822142787</v>
      </c>
      <c r="P14" s="114">
        <f>SUMIFS('Net Results by UW month'!E:E,'Net Results by UW month'!$A:$A,'Vs Internal (MICL)'!$N14)</f>
        <v>0</v>
      </c>
      <c r="Q14" s="189">
        <f>SUMIFS('Net Results by UW month'!F:F,'Net Results by UW month'!$A:$A,'Vs Internal (MICL)'!$N14)</f>
        <v>42609782.822142787</v>
      </c>
      <c r="R14" s="222" cm="1">
        <f t="array" ref="R14">IFERROR(SUMPRODUCT('Net Results by UW month'!M$11:M$1000,'Net Results by UW month'!D$11:D$1000,--('Net Results by UW month'!$A$11:$A$1000='Vs Internal (MICL)'!$N14))/'Vs Internal (MICL)'!O14,"")</f>
        <v>0.69793303771064552</v>
      </c>
      <c r="S14" s="238" t="str" cm="1">
        <f t="array" ref="S14">IFERROR(SUMPRODUCT('Net Results by UW month'!N$11:N$1000,'Net Results by UW month'!E$11:E$1000,--('Net Results by UW month'!$A$11:$A$1000='Vs Internal (MICL)'!$N14))/'Vs Internal (MICL)'!P14,"")</f>
        <v/>
      </c>
      <c r="T14" s="223" cm="1">
        <f t="array" ref="T14">IFERROR(SUMPRODUCT('Net Results by UW month'!O$11:O$1000,'Net Results by UW month'!F$11:F$1000,--('Net Results by UW month'!$A$11:$A$1000='Vs Internal (MICL)'!$N14))/'Vs Internal (MICL)'!Q14,"")</f>
        <v>0.69793303771064552</v>
      </c>
      <c r="U14" s="238" cm="1">
        <f t="array" ref="U14">IFERROR(SUMPRODUCT('Gross Results by UW month'!J$11:J$1000,'Gross Results by UW month'!D$11:D$1000,--('Gross Results by UW month'!$A$11:$A$1000='Vs Internal (MICL)'!$N14))/'Vs Internal (MICL)'!O14,"")</f>
        <v>0.69793303771064552</v>
      </c>
      <c r="V14" s="238" t="str" cm="1">
        <f t="array" ref="V14">IFERROR(SUMPRODUCT('Gross Results by UW month'!K$11:K$1000,'Gross Results by UW month'!E$11:E$1000,--('Gross Results by UW month'!$A$11:$A$1000='Vs Internal (MICL)'!$N14))/'Vs Internal (MICL)'!P14,"")</f>
        <v/>
      </c>
      <c r="W14" s="223" cm="1">
        <f t="array" ref="W14">IFERROR(SUMPRODUCT('Gross Results by UW month'!L$11:L$1000,'Gross Results by UW month'!F$11:F$1000,--('Gross Results by UW month'!$A$11:$A$1000='Vs Internal (MICL)'!$N14))/'Vs Internal (MICL)'!Q14,"")</f>
        <v>0.69793303771064552</v>
      </c>
      <c r="Z14" s="59">
        <v>2018</v>
      </c>
      <c r="AA14" s="149">
        <f t="shared" ref="AA14:AI20" si="1">C14-O14</f>
        <v>0</v>
      </c>
      <c r="AB14" s="114">
        <f t="shared" si="1"/>
        <v>0</v>
      </c>
      <c r="AC14" s="150">
        <f t="shared" si="1"/>
        <v>0</v>
      </c>
      <c r="AD14" s="121">
        <f t="shared" si="1"/>
        <v>1.2618116147405933E-3</v>
      </c>
      <c r="AE14" s="155"/>
      <c r="AF14" s="123">
        <f t="shared" si="1"/>
        <v>1.2618197967996236E-3</v>
      </c>
      <c r="AG14" s="121">
        <f t="shared" si="1"/>
        <v>1.2618241002135822E-3</v>
      </c>
      <c r="AH14" s="122"/>
      <c r="AI14" s="124">
        <f t="shared" si="1"/>
        <v>1.2618322822727235E-3</v>
      </c>
    </row>
    <row r="15" spans="2:35" x14ac:dyDescent="0.25">
      <c r="B15" s="59">
        <v>2019</v>
      </c>
      <c r="C15" s="149">
        <v>48762179.302500531</v>
      </c>
      <c r="D15" s="114">
        <v>0</v>
      </c>
      <c r="E15" s="150">
        <v>48762179.302500531</v>
      </c>
      <c r="F15" s="121">
        <v>0.71495461566423324</v>
      </c>
      <c r="G15" s="155" t="s">
        <v>42</v>
      </c>
      <c r="H15" s="123">
        <v>0.71495459061092614</v>
      </c>
      <c r="I15" s="121">
        <v>0.99023344790407009</v>
      </c>
      <c r="J15" s="122" t="s">
        <v>42</v>
      </c>
      <c r="K15" s="124">
        <v>0.99023339384195641</v>
      </c>
      <c r="N15" s="188">
        <f t="shared" si="0"/>
        <v>2019</v>
      </c>
      <c r="O15" s="240">
        <f>SUMIFS('Net Results by UW month'!D:D,'Net Results by UW month'!$A:$A,'Vs Internal (MICL)'!$N15)</f>
        <v>48762179.302500531</v>
      </c>
      <c r="P15" s="114">
        <f>SUMIFS('Net Results by UW month'!E:E,'Net Results by UW month'!$A:$A,'Vs Internal (MICL)'!$N15)</f>
        <v>0</v>
      </c>
      <c r="Q15" s="189">
        <f>SUMIFS('Net Results by UW month'!F:F,'Net Results by UW month'!$A:$A,'Vs Internal (MICL)'!$N15)</f>
        <v>48762179.302500531</v>
      </c>
      <c r="R15" s="222" cm="1">
        <f t="array" ref="R15">IFERROR(SUMPRODUCT('Net Results by UW month'!M$11:M$1000,'Net Results by UW month'!D$11:D$1000,--('Net Results by UW month'!$A$11:$A$1000='Vs Internal (MICL)'!$N15))/'Vs Internal (MICL)'!O15,"")</f>
        <v>0.73553694666100566</v>
      </c>
      <c r="S15" s="238" t="str" cm="1">
        <f t="array" ref="S15">IFERROR(SUMPRODUCT('Net Results by UW month'!N$11:N$1000,'Net Results by UW month'!E$11:E$1000,--('Net Results by UW month'!$A$11:$A$1000='Vs Internal (MICL)'!$N15))/'Vs Internal (MICL)'!P15,"")</f>
        <v/>
      </c>
      <c r="T15" s="223" cm="1">
        <f t="array" ref="T15">IFERROR(SUMPRODUCT('Net Results by UW month'!O$11:O$1000,'Net Results by UW month'!F$11:F$1000,--('Net Results by UW month'!$A$11:$A$1000='Vs Internal (MICL)'!$N15))/'Vs Internal (MICL)'!Q15,"")</f>
        <v>0.73553694666100566</v>
      </c>
      <c r="U15" s="238" cm="1">
        <f t="array" ref="U15">IFERROR(SUMPRODUCT('Gross Results by UW month'!J$11:J$1000,'Gross Results by UW month'!D$11:D$1000,--('Gross Results by UW month'!$A$11:$A$1000='Vs Internal (MICL)'!$N15))/'Vs Internal (MICL)'!O15,"")</f>
        <v>0.95453078501824551</v>
      </c>
      <c r="V15" s="238" t="str" cm="1">
        <f t="array" ref="V15">IFERROR(SUMPRODUCT('Gross Results by UW month'!K$11:K$1000,'Gross Results by UW month'!E$11:E$1000,--('Gross Results by UW month'!$A$11:$A$1000='Vs Internal (MICL)'!$N15))/'Vs Internal (MICL)'!P15,"")</f>
        <v/>
      </c>
      <c r="W15" s="223" cm="1">
        <f t="array" ref="W15">IFERROR(SUMPRODUCT('Gross Results by UW month'!L$11:L$1000,'Gross Results by UW month'!F$11:F$1000,--('Gross Results by UW month'!$A$11:$A$1000='Vs Internal (MICL)'!$N15))/'Vs Internal (MICL)'!Q15,"")</f>
        <v>0.95453078501824551</v>
      </c>
      <c r="Z15" s="59">
        <v>2019</v>
      </c>
      <c r="AA15" s="149">
        <f t="shared" si="1"/>
        <v>0</v>
      </c>
      <c r="AB15" s="114">
        <f t="shared" si="1"/>
        <v>0</v>
      </c>
      <c r="AC15" s="150">
        <f t="shared" si="1"/>
        <v>0</v>
      </c>
      <c r="AD15" s="121">
        <f t="shared" si="1"/>
        <v>-2.0582330996772424E-2</v>
      </c>
      <c r="AE15" s="155"/>
      <c r="AF15" s="123">
        <f t="shared" si="1"/>
        <v>-2.058235605007952E-2</v>
      </c>
      <c r="AG15" s="121">
        <f t="shared" si="1"/>
        <v>3.5702662885824576E-2</v>
      </c>
      <c r="AH15" s="122"/>
      <c r="AI15" s="124">
        <f t="shared" si="1"/>
        <v>3.5702608823710902E-2</v>
      </c>
    </row>
    <row r="16" spans="2:35" x14ac:dyDescent="0.25">
      <c r="B16" s="59">
        <v>2020</v>
      </c>
      <c r="C16" s="149">
        <v>70526849.944934607</v>
      </c>
      <c r="D16" s="114">
        <v>0</v>
      </c>
      <c r="E16" s="150">
        <v>70526849.944934607</v>
      </c>
      <c r="F16" s="121">
        <v>0.61307618417695475</v>
      </c>
      <c r="G16" s="155" t="s">
        <v>42</v>
      </c>
      <c r="H16" s="123">
        <v>0.61307616377292629</v>
      </c>
      <c r="I16" s="121">
        <v>0.65406579268438914</v>
      </c>
      <c r="J16" s="122" t="s">
        <v>42</v>
      </c>
      <c r="K16" s="124">
        <v>0.65406577191647131</v>
      </c>
      <c r="N16" s="188">
        <f t="shared" si="0"/>
        <v>2020</v>
      </c>
      <c r="O16" s="240">
        <f>SUMIFS('Net Results by UW month'!D:D,'Net Results by UW month'!$A:$A,'Vs Internal (MICL)'!$N16)</f>
        <v>70526849.944934607</v>
      </c>
      <c r="P16" s="114">
        <f>SUMIFS('Net Results by UW month'!E:E,'Net Results by UW month'!$A:$A,'Vs Internal (MICL)'!$N16)</f>
        <v>0</v>
      </c>
      <c r="Q16" s="189">
        <f>SUMIFS('Net Results by UW month'!F:F,'Net Results by UW month'!$A:$A,'Vs Internal (MICL)'!$N16)</f>
        <v>70526849.944934607</v>
      </c>
      <c r="R16" s="222" cm="1">
        <f t="array" ref="R16">IFERROR(SUMPRODUCT('Net Results by UW month'!M$11:M$1000,'Net Results by UW month'!D$11:D$1000,--('Net Results by UW month'!$A$11:$A$1000='Vs Internal (MICL)'!$N16))/'Vs Internal (MICL)'!O16,"")</f>
        <v>0.60531472760601535</v>
      </c>
      <c r="S16" s="238" t="str" cm="1">
        <f t="array" ref="S16">IFERROR(SUMPRODUCT('Net Results by UW month'!N$11:N$1000,'Net Results by UW month'!E$11:E$1000,--('Net Results by UW month'!$A$11:$A$1000='Vs Internal (MICL)'!$N16))/'Vs Internal (MICL)'!P16,"")</f>
        <v/>
      </c>
      <c r="T16" s="223" cm="1">
        <f t="array" ref="T16">IFERROR(SUMPRODUCT('Net Results by UW month'!O$11:O$1000,'Net Results by UW month'!F$11:F$1000,--('Net Results by UW month'!$A$11:$A$1000='Vs Internal (MICL)'!$N16))/'Vs Internal (MICL)'!Q16,"")</f>
        <v>0.60531472760601535</v>
      </c>
      <c r="U16" s="238" cm="1">
        <f t="array" ref="U16">IFERROR(SUMPRODUCT('Gross Results by UW month'!J$11:J$1000,'Gross Results by UW month'!D$11:D$1000,--('Gross Results by UW month'!$A$11:$A$1000='Vs Internal (MICL)'!$N16))/'Vs Internal (MICL)'!O16,"")</f>
        <v>0.67911321769763844</v>
      </c>
      <c r="V16" s="238" t="str" cm="1">
        <f t="array" ref="V16">IFERROR(SUMPRODUCT('Gross Results by UW month'!K$11:K$1000,'Gross Results by UW month'!E$11:E$1000,--('Gross Results by UW month'!$A$11:$A$1000='Vs Internal (MICL)'!$N16))/'Vs Internal (MICL)'!P16,"")</f>
        <v/>
      </c>
      <c r="W16" s="223" cm="1">
        <f t="array" ref="W16">IFERROR(SUMPRODUCT('Gross Results by UW month'!L$11:L$1000,'Gross Results by UW month'!F$11:F$1000,--('Gross Results by UW month'!$A$11:$A$1000='Vs Internal (MICL)'!$N16))/'Vs Internal (MICL)'!Q16,"")</f>
        <v>0.67911321769763844</v>
      </c>
      <c r="Z16" s="59">
        <v>2020</v>
      </c>
      <c r="AA16" s="149">
        <f t="shared" si="1"/>
        <v>0</v>
      </c>
      <c r="AB16" s="114">
        <f t="shared" si="1"/>
        <v>0</v>
      </c>
      <c r="AC16" s="150">
        <f t="shared" si="1"/>
        <v>0</v>
      </c>
      <c r="AD16" s="121">
        <f t="shared" si="1"/>
        <v>7.7614565709394068E-3</v>
      </c>
      <c r="AE16" s="155"/>
      <c r="AF16" s="123">
        <f t="shared" si="1"/>
        <v>7.76143616691094E-3</v>
      </c>
      <c r="AG16" s="121">
        <f t="shared" si="1"/>
        <v>-2.5047425013249303E-2</v>
      </c>
      <c r="AH16" s="122"/>
      <c r="AI16" s="124">
        <f t="shared" si="1"/>
        <v>-2.5047445781167132E-2</v>
      </c>
    </row>
    <row r="17" spans="2:35" x14ac:dyDescent="0.25">
      <c r="B17" s="59">
        <v>2021</v>
      </c>
      <c r="C17" s="149">
        <v>88860697.167754754</v>
      </c>
      <c r="D17" s="114">
        <v>0</v>
      </c>
      <c r="E17" s="150">
        <v>88860697.167754754</v>
      </c>
      <c r="F17" s="121">
        <v>0.93406637401951853</v>
      </c>
      <c r="G17" s="155" t="s">
        <v>42</v>
      </c>
      <c r="H17" s="123">
        <v>0.93406683669673918</v>
      </c>
      <c r="I17" s="121">
        <v>1.0514933718657791</v>
      </c>
      <c r="J17" s="122" t="s">
        <v>42</v>
      </c>
      <c r="K17" s="124">
        <v>1.0514938202468402</v>
      </c>
      <c r="N17" s="188">
        <f t="shared" si="0"/>
        <v>2021</v>
      </c>
      <c r="O17" s="240">
        <f>SUMIFS('Net Results by UW month'!D:D,'Net Results by UW month'!$A:$A,'Vs Internal (MICL)'!$N17)</f>
        <v>88860697.16775474</v>
      </c>
      <c r="P17" s="114">
        <f>SUMIFS('Net Results by UW month'!E:E,'Net Results by UW month'!$A:$A,'Vs Internal (MICL)'!$N17)</f>
        <v>0</v>
      </c>
      <c r="Q17" s="189">
        <f>SUMIFS('Net Results by UW month'!F:F,'Net Results by UW month'!$A:$A,'Vs Internal (MICL)'!$N17)</f>
        <v>88860697.16775474</v>
      </c>
      <c r="R17" s="222" cm="1">
        <f t="array" ref="R17">IFERROR(SUMPRODUCT('Net Results by UW month'!M$11:M$1000,'Net Results by UW month'!D$11:D$1000,--('Net Results by UW month'!$A$11:$A$1000='Vs Internal (MICL)'!$N17))/'Vs Internal (MICL)'!O17,"")</f>
        <v>0.94538602382488401</v>
      </c>
      <c r="S17" s="238" t="str" cm="1">
        <f t="array" ref="S17">IFERROR(SUMPRODUCT('Net Results by UW month'!N$11:N$1000,'Net Results by UW month'!E$11:E$1000,--('Net Results by UW month'!$A$11:$A$1000='Vs Internal (MICL)'!$N17))/'Vs Internal (MICL)'!P17,"")</f>
        <v/>
      </c>
      <c r="T17" s="223" cm="1">
        <f t="array" ref="T17">IFERROR(SUMPRODUCT('Net Results by UW month'!O$11:O$1000,'Net Results by UW month'!F$11:F$1000,--('Net Results by UW month'!$A$11:$A$1000='Vs Internal (MICL)'!$N17))/'Vs Internal (MICL)'!Q17,"")</f>
        <v>0.94538602382488401</v>
      </c>
      <c r="U17" s="238" cm="1">
        <f t="array" ref="U17">IFERROR(SUMPRODUCT('Gross Results by UW month'!J$11:J$1000,'Gross Results by UW month'!D$11:D$1000,--('Gross Results by UW month'!$A$11:$A$1000='Vs Internal (MICL)'!$N17))/'Vs Internal (MICL)'!O17,"")</f>
        <v>1.0700912702707304</v>
      </c>
      <c r="V17" s="238" t="str" cm="1">
        <f t="array" ref="V17">IFERROR(SUMPRODUCT('Gross Results by UW month'!K$11:K$1000,'Gross Results by UW month'!E$11:E$1000,--('Gross Results by UW month'!$A$11:$A$1000='Vs Internal (MICL)'!$N17))/'Vs Internal (MICL)'!P17,"")</f>
        <v/>
      </c>
      <c r="W17" s="223" cm="1">
        <f t="array" ref="W17">IFERROR(SUMPRODUCT('Gross Results by UW month'!L$11:L$1000,'Gross Results by UW month'!F$11:F$1000,--('Gross Results by UW month'!$A$11:$A$1000='Vs Internal (MICL)'!$N17))/'Vs Internal (MICL)'!Q17,"")</f>
        <v>1.0700912702707304</v>
      </c>
      <c r="Z17" s="59">
        <v>2021</v>
      </c>
      <c r="AA17" s="149">
        <f t="shared" si="1"/>
        <v>0</v>
      </c>
      <c r="AB17" s="114">
        <f t="shared" si="1"/>
        <v>0</v>
      </c>
      <c r="AC17" s="150">
        <f t="shared" si="1"/>
        <v>0</v>
      </c>
      <c r="AD17" s="121">
        <f t="shared" si="1"/>
        <v>-1.1319649805365484E-2</v>
      </c>
      <c r="AE17" s="155"/>
      <c r="AF17" s="123">
        <f t="shared" si="1"/>
        <v>-1.1319187128144836E-2</v>
      </c>
      <c r="AG17" s="121">
        <f t="shared" si="1"/>
        <v>-1.8597898404951296E-2</v>
      </c>
      <c r="AH17" s="122"/>
      <c r="AI17" s="124">
        <f t="shared" si="1"/>
        <v>-1.8597450023890127E-2</v>
      </c>
    </row>
    <row r="18" spans="2:35" x14ac:dyDescent="0.25">
      <c r="B18" s="59">
        <v>2022</v>
      </c>
      <c r="C18" s="149">
        <v>134683491.06624761</v>
      </c>
      <c r="D18" s="114">
        <v>0</v>
      </c>
      <c r="E18" s="150">
        <v>134683491.06624761</v>
      </c>
      <c r="F18" s="121">
        <v>0.98890836892559675</v>
      </c>
      <c r="G18" s="122" t="s">
        <v>42</v>
      </c>
      <c r="H18" s="123">
        <v>0.98893621131487808</v>
      </c>
      <c r="I18" s="121">
        <v>1.0608446051094915</v>
      </c>
      <c r="J18" s="122" t="s">
        <v>42</v>
      </c>
      <c r="K18" s="124">
        <v>1.0608751724715411</v>
      </c>
      <c r="N18" s="188">
        <f t="shared" si="0"/>
        <v>2022</v>
      </c>
      <c r="O18" s="240">
        <f>SUMIFS('Net Results by UW month'!D:D,'Net Results by UW month'!$A:$A,'Vs Internal (MICL)'!$N18)</f>
        <v>134683491.06624761</v>
      </c>
      <c r="P18" s="114">
        <f>SUMIFS('Net Results by UW month'!E:E,'Net Results by UW month'!$A:$A,'Vs Internal (MICL)'!$N18)</f>
        <v>0</v>
      </c>
      <c r="Q18" s="189">
        <f>SUMIFS('Net Results by UW month'!F:F,'Net Results by UW month'!$A:$A,'Vs Internal (MICL)'!$N18)</f>
        <v>134683491.06624761</v>
      </c>
      <c r="R18" s="222" cm="1">
        <f t="array" ref="R18">IFERROR(SUMPRODUCT('Net Results by UW month'!M$11:M$1000,'Net Results by UW month'!D$11:D$1000,--('Net Results by UW month'!$A$11:$A$1000='Vs Internal (MICL)'!$N18))/'Vs Internal (MICL)'!O18,"")</f>
        <v>1.0017332533345344</v>
      </c>
      <c r="S18" s="238" t="str" cm="1">
        <f t="array" ref="S18">IFERROR(SUMPRODUCT('Net Results by UW month'!N$11:N$1000,'Net Results by UW month'!E$11:E$1000,--('Net Results by UW month'!$A$11:$A$1000='Vs Internal (MICL)'!$N18))/'Vs Internal (MICL)'!P18,"")</f>
        <v/>
      </c>
      <c r="T18" s="223" cm="1">
        <f t="array" ref="T18">IFERROR(SUMPRODUCT('Net Results by UW month'!O$11:O$1000,'Net Results by UW month'!F$11:F$1000,--('Net Results by UW month'!$A$11:$A$1000='Vs Internal (MICL)'!$N18))/'Vs Internal (MICL)'!Q18,"")</f>
        <v>1.0017332533345344</v>
      </c>
      <c r="U18" s="238" cm="1">
        <f t="array" ref="U18">IFERROR(SUMPRODUCT('Gross Results by UW month'!J$11:J$1000,'Gross Results by UW month'!D$11:D$1000,--('Gross Results by UW month'!$A$11:$A$1000='Vs Internal (MICL)'!$N18))/'Vs Internal (MICL)'!O18,"")</f>
        <v>1.0569800197659271</v>
      </c>
      <c r="V18" s="238" t="str" cm="1">
        <f t="array" ref="V18">IFERROR(SUMPRODUCT('Gross Results by UW month'!K$11:K$1000,'Gross Results by UW month'!E$11:E$1000,--('Gross Results by UW month'!$A$11:$A$1000='Vs Internal (MICL)'!$N18))/'Vs Internal (MICL)'!P18,"")</f>
        <v/>
      </c>
      <c r="W18" s="223" cm="1">
        <f t="array" ref="W18">IFERROR(SUMPRODUCT('Gross Results by UW month'!L$11:L$1000,'Gross Results by UW month'!F$11:F$1000,--('Gross Results by UW month'!$A$11:$A$1000='Vs Internal (MICL)'!$N18))/'Vs Internal (MICL)'!Q18,"")</f>
        <v>1.0569800197659271</v>
      </c>
      <c r="Z18" s="59">
        <v>2022</v>
      </c>
      <c r="AA18" s="149">
        <f t="shared" si="1"/>
        <v>0</v>
      </c>
      <c r="AB18" s="114">
        <f t="shared" si="1"/>
        <v>0</v>
      </c>
      <c r="AC18" s="150">
        <f t="shared" si="1"/>
        <v>0</v>
      </c>
      <c r="AD18" s="121">
        <f t="shared" si="1"/>
        <v>-1.2824884408937698E-2</v>
      </c>
      <c r="AE18" s="122"/>
      <c r="AF18" s="123">
        <f t="shared" si="1"/>
        <v>-1.2797042019656368E-2</v>
      </c>
      <c r="AG18" s="121">
        <f t="shared" si="1"/>
        <v>3.8645853435643751E-3</v>
      </c>
      <c r="AH18" s="122"/>
      <c r="AI18" s="124">
        <f t="shared" si="1"/>
        <v>3.8951527056139135E-3</v>
      </c>
    </row>
    <row r="19" spans="2:35" x14ac:dyDescent="0.25">
      <c r="B19" s="59">
        <v>2023</v>
      </c>
      <c r="C19" s="149">
        <v>94536116.883240104</v>
      </c>
      <c r="D19" s="114">
        <v>0</v>
      </c>
      <c r="E19" s="150">
        <v>94536116.883240104</v>
      </c>
      <c r="F19" s="122">
        <v>0.81933831643220678</v>
      </c>
      <c r="G19" s="122" t="s">
        <v>42</v>
      </c>
      <c r="H19" s="123">
        <v>0.81967684820169373</v>
      </c>
      <c r="I19" s="121">
        <v>0.98041172726682324</v>
      </c>
      <c r="J19" s="122" t="s">
        <v>42</v>
      </c>
      <c r="K19" s="124">
        <v>0.98082032018463872</v>
      </c>
      <c r="N19" s="188">
        <f t="shared" si="0"/>
        <v>2023</v>
      </c>
      <c r="O19" s="240">
        <f>SUMIFS('Net Results by UW month'!D:D,'Net Results by UW month'!$A:$A,'Vs Internal (MICL)'!$N19)</f>
        <v>94536116.883240104</v>
      </c>
      <c r="P19" s="114">
        <f>SUMIFS('Net Results by UW month'!E:E,'Net Results by UW month'!$A:$A,'Vs Internal (MICL)'!$N19)</f>
        <v>0</v>
      </c>
      <c r="Q19" s="189">
        <f>SUMIFS('Net Results by UW month'!F:F,'Net Results by UW month'!$A:$A,'Vs Internal (MICL)'!$N19)</f>
        <v>94536116.883240104</v>
      </c>
      <c r="R19" s="222" cm="1">
        <f t="array" ref="R19">IFERROR(SUMPRODUCT('Net Results by UW month'!M$11:M$1000,'Net Results by UW month'!D$11:D$1000,--('Net Results by UW month'!$A$11:$A$1000='Vs Internal (MICL)'!$N19))/'Vs Internal (MICL)'!O19,"")</f>
        <v>0.80644616026437732</v>
      </c>
      <c r="S19" s="238" t="str" cm="1">
        <f t="array" ref="S19">IFERROR(SUMPRODUCT('Net Results by UW month'!N$11:N$1000,'Net Results by UW month'!E$11:E$1000,--('Net Results by UW month'!$A$11:$A$1000='Vs Internal (MICL)'!$N19))/'Vs Internal (MICL)'!P19,"")</f>
        <v/>
      </c>
      <c r="T19" s="223" cm="1">
        <f t="array" ref="T19">IFERROR(SUMPRODUCT('Net Results by UW month'!O$11:O$1000,'Net Results by UW month'!F$11:F$1000,--('Net Results by UW month'!$A$11:$A$1000='Vs Internal (MICL)'!$N19))/'Vs Internal (MICL)'!Q19,"")</f>
        <v>0.80644616026437732</v>
      </c>
      <c r="U19" s="238" cm="1">
        <f t="array" ref="U19">IFERROR(SUMPRODUCT('Gross Results by UW month'!J$11:J$1000,'Gross Results by UW month'!D$11:D$1000,--('Gross Results by UW month'!$A$11:$A$1000='Vs Internal (MICL)'!$N19))/'Vs Internal (MICL)'!O19,"")</f>
        <v>0.98205368940977666</v>
      </c>
      <c r="V19" s="238" t="str" cm="1">
        <f t="array" ref="V19">IFERROR(SUMPRODUCT('Gross Results by UW month'!K$11:K$1000,'Gross Results by UW month'!E$11:E$1000,--('Gross Results by UW month'!$A$11:$A$1000='Vs Internal (MICL)'!$N19))/'Vs Internal (MICL)'!P19,"")</f>
        <v/>
      </c>
      <c r="W19" s="223" cm="1">
        <f t="array" ref="W19">IFERROR(SUMPRODUCT('Gross Results by UW month'!L$11:L$1000,'Gross Results by UW month'!F$11:F$1000,--('Gross Results by UW month'!$A$11:$A$1000='Vs Internal (MICL)'!$N19))/'Vs Internal (MICL)'!Q19,"")</f>
        <v>0.98205368940977666</v>
      </c>
      <c r="Z19" s="59">
        <v>2023</v>
      </c>
      <c r="AA19" s="149">
        <f t="shared" si="1"/>
        <v>0</v>
      </c>
      <c r="AB19" s="114">
        <f t="shared" si="1"/>
        <v>0</v>
      </c>
      <c r="AC19" s="150">
        <f t="shared" si="1"/>
        <v>0</v>
      </c>
      <c r="AD19" s="122">
        <f t="shared" si="1"/>
        <v>1.2892156167829461E-2</v>
      </c>
      <c r="AE19" s="122"/>
      <c r="AF19" s="123">
        <f t="shared" si="1"/>
        <v>1.323068793731641E-2</v>
      </c>
      <c r="AG19" s="121">
        <f t="shared" si="1"/>
        <v>-1.6419621429534237E-3</v>
      </c>
      <c r="AH19" s="122"/>
      <c r="AI19" s="124">
        <f t="shared" si="1"/>
        <v>-1.233369225137948E-3</v>
      </c>
    </row>
    <row r="20" spans="2:35" x14ac:dyDescent="0.25">
      <c r="B20" s="59">
        <v>2024</v>
      </c>
      <c r="C20" s="149">
        <v>83748126.196100205</v>
      </c>
      <c r="D20" s="114">
        <v>5470347.9419649253</v>
      </c>
      <c r="E20" s="150">
        <v>89218474.13806513</v>
      </c>
      <c r="F20" s="122">
        <v>0.70881767816275765</v>
      </c>
      <c r="G20" s="122">
        <v>0.62589740576300534</v>
      </c>
      <c r="H20" s="123">
        <v>0.70353943288204157</v>
      </c>
      <c r="I20" s="121">
        <v>0.84905783555694991</v>
      </c>
      <c r="J20" s="122">
        <v>0.72089740576300543</v>
      </c>
      <c r="K20" s="124">
        <v>0.84095161222519221</v>
      </c>
      <c r="N20" s="188">
        <f t="shared" si="0"/>
        <v>2024</v>
      </c>
      <c r="O20" s="240">
        <f>SUMIFS('Net Results by UW month'!D:D,'Net Results by UW month'!$A:$A,'Vs Internal (MICL)'!$N20)</f>
        <v>83748126.196100205</v>
      </c>
      <c r="P20" s="114">
        <f>SUMIFS('Net Results by UW month'!E:E,'Net Results by UW month'!$A:$A,'Vs Internal (MICL)'!$N20)</f>
        <v>5470347.9419649262</v>
      </c>
      <c r="Q20" s="189">
        <f>SUMIFS('Net Results by UW month'!F:F,'Net Results by UW month'!$A:$A,'Vs Internal (MICL)'!$N20)</f>
        <v>89218474.138065144</v>
      </c>
      <c r="R20" s="222" cm="1">
        <f t="array" ref="R20">IFERROR(SUMPRODUCT('Net Results by UW month'!M$11:M$1000,'Net Results by UW month'!D$11:D$1000,--('Net Results by UW month'!$A$11:$A$1000='Vs Internal (MICL)'!$N20))/'Vs Internal (MICL)'!O20,"")</f>
        <v>0.70727266824454427</v>
      </c>
      <c r="S20" s="238" cm="1">
        <f t="array" ref="S20">IFERROR(SUMPRODUCT('Net Results by UW month'!N$11:N$1000,'Net Results by UW month'!E$11:E$1000,--('Net Results by UW month'!$A$11:$A$1000='Vs Internal (MICL)'!$N20))/'Vs Internal (MICL)'!P20,"")</f>
        <v>0.69841627333066458</v>
      </c>
      <c r="T20" s="223" cm="1">
        <f t="array" ref="T20">IFERROR(SUMPRODUCT('Net Results by UW month'!O$11:O$1000,'Net Results by UW month'!F$11:F$1000,--('Net Results by UW month'!$A$11:$A$1000='Vs Internal (MICL)'!$N20))/'Vs Internal (MICL)'!Q20,"")</f>
        <v>0.70672964660963711</v>
      </c>
      <c r="U20" s="238" cm="1">
        <f t="array" ref="U20">IFERROR(SUMPRODUCT('Gross Results by UW month'!J$11:J$1000,'Gross Results by UW month'!D$11:D$1000,--('Gross Results by UW month'!$A$11:$A$1000='Vs Internal (MICL)'!$N20))/'Vs Internal (MICL)'!O20,"")</f>
        <v>0.88707466255453116</v>
      </c>
      <c r="V20" s="238" cm="1">
        <f t="array" ref="V20">IFERROR(SUMPRODUCT('Gross Results by UW month'!K$11:K$1000,'Gross Results by UW month'!E$11:E$1000,--('Gross Results by UW month'!$A$11:$A$1000='Vs Internal (MICL)'!$N20))/'Vs Internal (MICL)'!P20,"")</f>
        <v>0.83841627333066449</v>
      </c>
      <c r="W20" s="223" cm="1">
        <f t="array" ref="W20">IFERROR(SUMPRODUCT('Gross Results by UW month'!L$11:L$1000,'Gross Results by UW month'!F$11:F$1000,--('Gross Results by UW month'!$A$11:$A$1000='Vs Internal (MICL)'!$N20))/'Vs Internal (MICL)'!Q20,"")</f>
        <v>0.88409121857701811</v>
      </c>
      <c r="Z20" s="59">
        <v>2024</v>
      </c>
      <c r="AA20" s="149">
        <f t="shared" si="1"/>
        <v>0</v>
      </c>
      <c r="AB20" s="114">
        <f t="shared" si="1"/>
        <v>0</v>
      </c>
      <c r="AC20" s="150">
        <f t="shared" si="1"/>
        <v>0</v>
      </c>
      <c r="AD20" s="122">
        <f t="shared" si="1"/>
        <v>1.5450099182133803E-3</v>
      </c>
      <c r="AE20" s="122">
        <f t="shared" si="1"/>
        <v>-7.251886756765924E-2</v>
      </c>
      <c r="AF20" s="123">
        <f t="shared" si="1"/>
        <v>-3.1902137275955367E-3</v>
      </c>
      <c r="AG20" s="121">
        <f t="shared" si="1"/>
        <v>-3.8016826997581243E-2</v>
      </c>
      <c r="AH20" s="122">
        <f t="shared" si="1"/>
        <v>-0.11751886756765906</v>
      </c>
      <c r="AI20" s="124">
        <f t="shared" si="1"/>
        <v>-4.3139606351825899E-2</v>
      </c>
    </row>
    <row r="21" spans="2:35" ht="15.75" thickBot="1" x14ac:dyDescent="0.3">
      <c r="B21" s="62">
        <v>2025</v>
      </c>
      <c r="C21" s="170">
        <v>8315506.3107700925</v>
      </c>
      <c r="D21" s="171">
        <v>19060604.667887751</v>
      </c>
      <c r="E21" s="172">
        <v>27376110.978657842</v>
      </c>
      <c r="F21" s="126">
        <v>0.84112307980084111</v>
      </c>
      <c r="G21" s="126">
        <v>0.6596502282162765</v>
      </c>
      <c r="H21" s="173">
        <v>0.71225147478331075</v>
      </c>
      <c r="I21" s="125">
        <v>1.0281136166701805</v>
      </c>
      <c r="J21" s="126">
        <v>0.75465022821627636</v>
      </c>
      <c r="K21" s="127">
        <v>0.83519364269987362</v>
      </c>
      <c r="N21" s="190">
        <f t="shared" si="0"/>
        <v>2025</v>
      </c>
      <c r="O21" s="242">
        <f>SUMIFS('Net Results by UW month'!D:D,'Net Results by UW month'!$A:$A,'Vs Internal (MICL)'!$N21)</f>
        <v>8315506.3107700925</v>
      </c>
      <c r="P21" s="191">
        <f>SUMIFS('Net Results by UW month'!E:E,'Net Results by UW month'!$A:$A,'Vs Internal (MICL)'!$N21)</f>
        <v>19060604.667887751</v>
      </c>
      <c r="Q21" s="192">
        <f>SUMIFS('Net Results by UW month'!F:F,'Net Results by UW month'!$A:$A,'Vs Internal (MICL)'!$N21)</f>
        <v>27376110.978657849</v>
      </c>
      <c r="R21" s="224" cm="1">
        <f t="array" ref="R21">IFERROR(SUMPRODUCT('Net Results by UW month'!M$11:M$1000,'Net Results by UW month'!D$11:D$1000,--('Net Results by UW month'!$A$11:$A$1000='Vs Internal (MICL)'!$N21))/'Vs Internal (MICL)'!O21,"")</f>
        <v>0.75028057607521681</v>
      </c>
      <c r="S21" s="225" cm="1">
        <f t="array" ref="S21">IFERROR(SUMPRODUCT('Net Results by UW month'!N$11:N$1000,'Net Results by UW month'!E$11:E$1000,--('Net Results by UW month'!$A$11:$A$1000='Vs Internal (MICL)'!$N21))/'Vs Internal (MICL)'!P21,"")</f>
        <v>0.70799285656482691</v>
      </c>
      <c r="T21" s="226" cm="1">
        <f t="array" ref="T21">IFERROR(SUMPRODUCT('Net Results by UW month'!O$11:O$1000,'Net Results by UW month'!F$11:F$1000,--('Net Results by UW month'!$A$11:$A$1000='Vs Internal (MICL)'!$N21))/'Vs Internal (MICL)'!Q21,"")</f>
        <v>0.72083777083080336</v>
      </c>
      <c r="U21" s="225" cm="1">
        <f t="array" ref="U21">IFERROR(SUMPRODUCT('Gross Results by UW month'!J$11:J$1000,'Gross Results by UW month'!D$11:D$1000,--('Gross Results by UW month'!$A$11:$A$1000='Vs Internal (MICL)'!$N21))/'Vs Internal (MICL)'!O21,"")</f>
        <v>0.86747368523901058</v>
      </c>
      <c r="V21" s="225" cm="1">
        <f t="array" ref="V21">IFERROR(SUMPRODUCT('Gross Results by UW month'!K$11:K$1000,'Gross Results by UW month'!E$11:E$1000,--('Gross Results by UW month'!$A$11:$A$1000='Vs Internal (MICL)'!$N21))/'Vs Internal (MICL)'!P21,"")</f>
        <v>0.84799285656482692</v>
      </c>
      <c r="W21" s="226" cm="1">
        <f t="array" ref="W21">IFERROR(SUMPRODUCT('Gross Results by UW month'!L$11:L$1000,'Gross Results by UW month'!F$11:F$1000,--('Gross Results by UW month'!$A$11:$A$1000='Vs Internal (MICL)'!$N21))/'Vs Internal (MICL)'!Q21,"")</f>
        <v>0.85391016724147828</v>
      </c>
      <c r="Z21" s="62">
        <v>2025</v>
      </c>
      <c r="AA21" s="149">
        <f t="shared" ref="AA21" si="2">C21-O21</f>
        <v>0</v>
      </c>
      <c r="AB21" s="114">
        <f t="shared" ref="AB21" si="3">D21-P21</f>
        <v>0</v>
      </c>
      <c r="AC21" s="150">
        <f t="shared" ref="AC21" si="4">E21-Q21</f>
        <v>0</v>
      </c>
      <c r="AD21" s="122">
        <f t="shared" ref="AD21" si="5">F21-R21</f>
        <v>9.0842503725624302E-2</v>
      </c>
      <c r="AE21" s="122">
        <f t="shared" ref="AE21" si="6">G21-S21</f>
        <v>-4.8342628348550409E-2</v>
      </c>
      <c r="AF21" s="123">
        <f t="shared" ref="AF21" si="7">H21-T21</f>
        <v>-8.5862960474926142E-3</v>
      </c>
      <c r="AG21" s="121">
        <f t="shared" ref="AG21" si="8">I21-U21</f>
        <v>0.16063993143116995</v>
      </c>
      <c r="AH21" s="122">
        <f t="shared" ref="AH21" si="9">J21-V21</f>
        <v>-9.334262834855056E-2</v>
      </c>
      <c r="AI21" s="124">
        <f t="shared" ref="AI21" si="10">K21-W21</f>
        <v>-1.8716524541604662E-2</v>
      </c>
    </row>
    <row r="23" spans="2:35" x14ac:dyDescent="0.25">
      <c r="C23" s="239">
        <f t="shared" ref="C23:E23" si="11">SUM(C14:C21)</f>
        <v>572042749.69369066</v>
      </c>
      <c r="D23" s="239">
        <f t="shared" si="11"/>
        <v>24530952.609852675</v>
      </c>
      <c r="E23" s="239">
        <f t="shared" si="11"/>
        <v>596573702.30354333</v>
      </c>
      <c r="F23" s="114">
        <f t="shared" ref="F23:H23" si="12">SUMPRODUCT(F14:F21,C14:C21)</f>
        <v>467898618.0445776</v>
      </c>
      <c r="G23" s="114">
        <f t="shared" si="12"/>
        <v>15997208.80460922</v>
      </c>
      <c r="H23" s="114">
        <f t="shared" si="12"/>
        <v>483845283.71252143</v>
      </c>
      <c r="I23" s="114">
        <f t="shared" ref="I23:K23" si="13">SUMPRODUCT(I14:I21,C14:C21)</f>
        <v>532862976.82134098</v>
      </c>
      <c r="J23" s="114">
        <f t="shared" si="13"/>
        <v>18327649.302545227</v>
      </c>
      <c r="K23" s="114">
        <f t="shared" si="13"/>
        <v>551142242.10969591</v>
      </c>
      <c r="O23" s="239">
        <f t="shared" ref="O23:Q23" si="14">SUM(O14:O21)</f>
        <v>572042749.69369066</v>
      </c>
      <c r="P23" s="239">
        <f t="shared" si="14"/>
        <v>24530952.609852679</v>
      </c>
      <c r="Q23" s="239">
        <f t="shared" si="14"/>
        <v>596573702.30354333</v>
      </c>
      <c r="R23" s="114">
        <f t="shared" ref="R23:T23" si="15">SUMPRODUCT(R14:R21,O14:O21)</f>
        <v>468930705.4544425</v>
      </c>
      <c r="S23" s="114">
        <f t="shared" si="15"/>
        <v>17315351.970119938</v>
      </c>
      <c r="T23" s="114">
        <f t="shared" si="15"/>
        <v>486246057.42456245</v>
      </c>
      <c r="U23" s="114">
        <f t="shared" ref="U23:W23" si="16">SUMPRODUCT(U14:U21,O14:O21)</f>
        <v>535970173.86565185</v>
      </c>
      <c r="V23" s="114">
        <f t="shared" si="16"/>
        <v>20749685.335499313</v>
      </c>
      <c r="W23" s="114">
        <f t="shared" si="16"/>
        <v>556719859.20115113</v>
      </c>
    </row>
    <row r="25" spans="2:35" x14ac:dyDescent="0.25">
      <c r="B25" s="184" t="s">
        <v>75</v>
      </c>
      <c r="C25" s="239">
        <f t="shared" ref="C25:F25" si="17">C23-O23</f>
        <v>0</v>
      </c>
      <c r="D25" s="239">
        <f t="shared" si="17"/>
        <v>0</v>
      </c>
      <c r="E25" s="239">
        <f t="shared" si="17"/>
        <v>0</v>
      </c>
      <c r="F25" s="114">
        <f t="shared" si="17"/>
        <v>-1032087.4098649025</v>
      </c>
      <c r="G25" s="114">
        <f t="shared" ref="G25:K25" si="18">G23-S23</f>
        <v>-1318143.1655107178</v>
      </c>
      <c r="H25" s="114">
        <f t="shared" si="18"/>
        <v>-2400773.7120410204</v>
      </c>
      <c r="I25" s="114">
        <f t="shared" si="18"/>
        <v>-3107197.0443108678</v>
      </c>
      <c r="J25" s="114">
        <f t="shared" si="18"/>
        <v>-2422036.0329540856</v>
      </c>
      <c r="K25" s="114">
        <f t="shared" si="18"/>
        <v>-5577617.0914552212</v>
      </c>
    </row>
    <row r="27" spans="2:35" x14ac:dyDescent="0.25">
      <c r="F27" s="114">
        <f>SUMPRODUCT(F14:F20,C14:C20)</f>
        <v>460904253.76635933</v>
      </c>
      <c r="I27" s="114"/>
      <c r="R27" s="114">
        <f>SUMPRODUCT(R14:R20,O14:O20)</f>
        <v>462691742.58924079</v>
      </c>
    </row>
    <row r="29" spans="2:35" x14ac:dyDescent="0.25">
      <c r="F29" s="239">
        <f>F27-R27</f>
        <v>-1787488.8228814602</v>
      </c>
    </row>
    <row r="33" spans="14:23" x14ac:dyDescent="0.25">
      <c r="N33" s="116" t="s">
        <v>84</v>
      </c>
      <c r="O33" s="116"/>
      <c r="P33" s="116"/>
      <c r="Q33" s="116"/>
      <c r="R33" s="116"/>
      <c r="S33" s="116"/>
      <c r="T33" s="116"/>
      <c r="U33" s="218">
        <f>SUM(O14:Q20)-SUM('30 Jun 2025 - Gross'!C14:E20)</f>
        <v>0</v>
      </c>
      <c r="V33" s="116"/>
      <c r="W33" s="116"/>
    </row>
    <row r="34" spans="14:23" x14ac:dyDescent="0.25">
      <c r="N34" s="219">
        <f t="shared" ref="N34:N41" si="19">N14</f>
        <v>2018</v>
      </c>
      <c r="O34" s="220">
        <f>O14-'30 Jun 2025 - Net'!C14</f>
        <v>0</v>
      </c>
      <c r="P34" s="220">
        <f>P14-'30 Jun 2025 - Net'!D14</f>
        <v>0</v>
      </c>
      <c r="Q34" s="220">
        <f>Q14-'30 Jun 2025 - Net'!E14</f>
        <v>0</v>
      </c>
      <c r="R34" s="221">
        <f>R14-'30 Jun 2025 - Net'!J14</f>
        <v>0</v>
      </c>
      <c r="S34" s="221"/>
      <c r="T34" s="221">
        <f>T14-'30 Jun 2025 - Net'!L14</f>
        <v>0</v>
      </c>
      <c r="U34" s="221">
        <f>U14-'30 Jun 2025 - Gross'!J14</f>
        <v>0</v>
      </c>
      <c r="V34" s="221"/>
      <c r="W34" s="221">
        <f>W14-'30 Jun 2025 - Gross'!L14</f>
        <v>0</v>
      </c>
    </row>
    <row r="35" spans="14:23" x14ac:dyDescent="0.25">
      <c r="N35" s="219">
        <f t="shared" si="19"/>
        <v>2019</v>
      </c>
      <c r="O35" s="220">
        <f>O15-'30 Jun 2025 - Net'!C15</f>
        <v>0</v>
      </c>
      <c r="P35" s="220">
        <f>P15-'30 Jun 2025 - Net'!D15</f>
        <v>0</v>
      </c>
      <c r="Q35" s="220">
        <f>Q15-'30 Jun 2025 - Net'!E15</f>
        <v>0</v>
      </c>
      <c r="R35" s="221">
        <f>R15-'30 Jun 2025 - Net'!J15</f>
        <v>0</v>
      </c>
      <c r="S35" s="221"/>
      <c r="T35" s="221">
        <f>T15-'30 Jun 2025 - Net'!L15</f>
        <v>0</v>
      </c>
      <c r="U35" s="221">
        <f>U15-'30 Jun 2025 - Gross'!J15</f>
        <v>0</v>
      </c>
      <c r="V35" s="221"/>
      <c r="W35" s="221">
        <f>W15-'30 Jun 2025 - Gross'!L15</f>
        <v>0</v>
      </c>
    </row>
    <row r="36" spans="14:23" x14ac:dyDescent="0.25">
      <c r="N36" s="219">
        <f t="shared" si="19"/>
        <v>2020</v>
      </c>
      <c r="O36" s="220">
        <f>O16-'30 Jun 2025 - Net'!C16</f>
        <v>0</v>
      </c>
      <c r="P36" s="220">
        <f>P16-'30 Jun 2025 - Net'!D16</f>
        <v>0</v>
      </c>
      <c r="Q36" s="220">
        <f>Q16-'30 Jun 2025 - Net'!E16</f>
        <v>0</v>
      </c>
      <c r="R36" s="221">
        <f>R16-'30 Jun 2025 - Net'!J16</f>
        <v>0</v>
      </c>
      <c r="S36" s="221"/>
      <c r="T36" s="221">
        <f>T16-'30 Jun 2025 - Net'!L16</f>
        <v>0</v>
      </c>
      <c r="U36" s="221">
        <f>U16-'30 Jun 2025 - Gross'!J16</f>
        <v>0</v>
      </c>
      <c r="V36" s="221"/>
      <c r="W36" s="221">
        <f>W16-'30 Jun 2025 - Gross'!L16</f>
        <v>0</v>
      </c>
    </row>
    <row r="37" spans="14:23" x14ac:dyDescent="0.25">
      <c r="N37" s="219">
        <f t="shared" si="19"/>
        <v>2021</v>
      </c>
      <c r="O37" s="220">
        <f>O17-'30 Jun 2025 - Net'!C17</f>
        <v>0</v>
      </c>
      <c r="P37" s="220">
        <f>P17-'30 Jun 2025 - Net'!D17</f>
        <v>0</v>
      </c>
      <c r="Q37" s="220">
        <f>Q17-'30 Jun 2025 - Net'!E17</f>
        <v>0</v>
      </c>
      <c r="R37" s="221">
        <f>R17-'30 Jun 2025 - Net'!J17</f>
        <v>0</v>
      </c>
      <c r="S37" s="221"/>
      <c r="T37" s="221">
        <f>T17-'30 Jun 2025 - Net'!L17</f>
        <v>0</v>
      </c>
      <c r="U37" s="221">
        <f>U17-'30 Jun 2025 - Gross'!J17</f>
        <v>0</v>
      </c>
      <c r="V37" s="221"/>
      <c r="W37" s="221">
        <f>W17-'30 Jun 2025 - Gross'!L17</f>
        <v>0</v>
      </c>
    </row>
    <row r="38" spans="14:23" x14ac:dyDescent="0.25">
      <c r="N38" s="219">
        <f t="shared" si="19"/>
        <v>2022</v>
      </c>
      <c r="O38" s="220">
        <f>O18-'30 Jun 2025 - Net'!C18</f>
        <v>0</v>
      </c>
      <c r="P38" s="220">
        <f>P18-'30 Jun 2025 - Net'!D18</f>
        <v>0</v>
      </c>
      <c r="Q38" s="220">
        <f>Q18-'30 Jun 2025 - Net'!E18</f>
        <v>0</v>
      </c>
      <c r="R38" s="221">
        <f>R18-'30 Jun 2025 - Net'!J18</f>
        <v>0</v>
      </c>
      <c r="S38" s="221"/>
      <c r="T38" s="221">
        <f>T18-'30 Jun 2025 - Net'!L18</f>
        <v>0</v>
      </c>
      <c r="U38" s="221">
        <f>U18-'30 Jun 2025 - Gross'!J18</f>
        <v>0</v>
      </c>
      <c r="V38" s="221"/>
      <c r="W38" s="221">
        <f>W18-'30 Jun 2025 - Gross'!L18</f>
        <v>0</v>
      </c>
    </row>
    <row r="39" spans="14:23" x14ac:dyDescent="0.25">
      <c r="N39" s="219">
        <f t="shared" si="19"/>
        <v>2023</v>
      </c>
      <c r="O39" s="220">
        <f>O19-'30 Jun 2025 - Net'!C19</f>
        <v>0</v>
      </c>
      <c r="P39" s="220">
        <f>P19-'30 Jun 2025 - Net'!D19</f>
        <v>0</v>
      </c>
      <c r="Q39" s="220">
        <f>Q19-'30 Jun 2025 - Net'!E19</f>
        <v>0</v>
      </c>
      <c r="R39" s="221">
        <f>R19-'30 Jun 2025 - Net'!J19</f>
        <v>0</v>
      </c>
      <c r="S39" s="221"/>
      <c r="T39" s="221">
        <f>T19-'30 Jun 2025 - Net'!L19</f>
        <v>0</v>
      </c>
      <c r="U39" s="221">
        <f>U19-'30 Jun 2025 - Gross'!J19</f>
        <v>0</v>
      </c>
      <c r="V39" s="221"/>
      <c r="W39" s="221">
        <f>W19-'30 Jun 2025 - Gross'!L19</f>
        <v>0</v>
      </c>
    </row>
    <row r="40" spans="14:23" x14ac:dyDescent="0.25">
      <c r="N40" s="219">
        <f t="shared" si="19"/>
        <v>2024</v>
      </c>
      <c r="O40" s="220">
        <f>O20-'30 Jun 2025 - Net'!C20</f>
        <v>0</v>
      </c>
      <c r="P40" s="220">
        <f>P20-'30 Jun 2025 - Net'!D20</f>
        <v>0</v>
      </c>
      <c r="Q40" s="220">
        <f>Q20-'30 Jun 2025 - Net'!E20</f>
        <v>0</v>
      </c>
      <c r="R40" s="221">
        <f>R20-'30 Jun 2025 - Net'!J20</f>
        <v>0</v>
      </c>
      <c r="S40" s="221">
        <f>S20-'30 Jun 2025 - Net'!K20</f>
        <v>0</v>
      </c>
      <c r="T40" s="221">
        <f>T20-'30 Jun 2025 - Net'!L20</f>
        <v>0</v>
      </c>
      <c r="U40" s="221">
        <f>U20-'30 Jun 2025 - Gross'!J20</f>
        <v>0</v>
      </c>
      <c r="V40" s="221">
        <f>V20-'30 Jun 2025 - Gross'!K20</f>
        <v>0</v>
      </c>
      <c r="W40" s="221">
        <f>W20-'30 Jun 2025 - Gross'!L20</f>
        <v>0</v>
      </c>
    </row>
    <row r="41" spans="14:23" x14ac:dyDescent="0.25">
      <c r="N41" s="219">
        <f t="shared" si="19"/>
        <v>2025</v>
      </c>
      <c r="O41" s="220">
        <f>O21-'30 Jun 2025 - Net'!C21</f>
        <v>0</v>
      </c>
      <c r="P41" s="220">
        <f>P21-'30 Jun 2025 - Net'!D21</f>
        <v>0</v>
      </c>
      <c r="Q41" s="220">
        <f>Q21-'30 Jun 2025 - Net'!E21</f>
        <v>0</v>
      </c>
      <c r="R41" s="221">
        <f>R21-'30 Jun 2025 - Net'!J21</f>
        <v>0</v>
      </c>
      <c r="S41" s="221">
        <f>S21-'30 Jun 2025 - Net'!K21</f>
        <v>0</v>
      </c>
      <c r="T41" s="221">
        <f>T21-'30 Jun 2025 - Net'!L21</f>
        <v>0</v>
      </c>
      <c r="U41" s="221">
        <f>U21-'30 Jun 2025 - Gross'!J21</f>
        <v>0</v>
      </c>
      <c r="V41" s="221">
        <f>V21-'30 Jun 2025 - Gross'!K21</f>
        <v>0</v>
      </c>
      <c r="W41" s="221">
        <f>W21-'30 Jun 2025 - Gross'!L21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848388D7E0546B8D16053C2E98134" ma:contentTypeVersion="19" ma:contentTypeDescription="Create a new document." ma:contentTypeScope="" ma:versionID="df13f22a88c185d69f74dc2373ed95e1">
  <xsd:schema xmlns:xsd="http://www.w3.org/2001/XMLSchema" xmlns:xs="http://www.w3.org/2001/XMLSchema" xmlns:p="http://schemas.microsoft.com/office/2006/metadata/properties" xmlns:ns2="2f97e5e4-d8e7-4cc8-8dec-f58ca386fb81" xmlns:ns3="50dfef8f-dbd7-4be2-972d-332b0c37f241" targetNamespace="http://schemas.microsoft.com/office/2006/metadata/properties" ma:root="true" ma:fieldsID="c6b1a5994f02e8fa9780521ee70f676f" ns2:_="" ns3:_="">
    <xsd:import namespace="2f97e5e4-d8e7-4cc8-8dec-f58ca386fb81"/>
    <xsd:import namespace="50dfef8f-dbd7-4be2-972d-332b0c37f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test" minOccurs="0"/>
                <xsd:element ref="ns2:V" minOccurs="0"/>
                <xsd:element ref="ns2:V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7e5e4-d8e7-4cc8-8dec-f58ca386f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1f17f00-897e-488a-aacb-e2bc48d3fb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" ma:index="23" nillable="true" ma:displayName="test" ma:format="DateTime" ma:internalName="test">
      <xsd:simpleType>
        <xsd:restriction base="dms:DateTime"/>
      </xsd:simpleType>
    </xsd:element>
    <xsd:element name="V" ma:index="24" nillable="true" ma:displayName="V" ma:format="Dropdown" ma:internalName="V" ma:percentage="FALSE">
      <xsd:simpleType>
        <xsd:restriction base="dms:Number"/>
      </xsd:simpleType>
    </xsd:element>
    <xsd:element name="V0" ma:index="25" nillable="true" ma:displayName="V " ma:format="Dropdown" ma:internalName="V0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f8f-dbd7-4be2-972d-332b0c37f24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f9e4f3-a159-4b08-999c-11f0a4da850f}" ma:internalName="TaxCatchAll" ma:showField="CatchAllData" ma:web="50dfef8f-dbd7-4be2-972d-332b0c37f2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 xmlns="2f97e5e4-d8e7-4cc8-8dec-f58ca386fb81" xsi:nil="true"/>
    <test xmlns="2f97e5e4-d8e7-4cc8-8dec-f58ca386fb81" xsi:nil="true"/>
    <lcf76f155ced4ddcb4097134ff3c332f xmlns="2f97e5e4-d8e7-4cc8-8dec-f58ca386fb81">
      <Terms xmlns="http://schemas.microsoft.com/office/infopath/2007/PartnerControls"/>
    </lcf76f155ced4ddcb4097134ff3c332f>
    <TaxCatchAll xmlns="50dfef8f-dbd7-4be2-972d-332b0c37f241" xsi:nil="true"/>
    <V0 xmlns="2f97e5e4-d8e7-4cc8-8dec-f58ca386fb81" xsi:nil="true"/>
  </documentManagement>
</p:properties>
</file>

<file path=customXml/itemProps1.xml><?xml version="1.0" encoding="utf-8"?>
<ds:datastoreItem xmlns:ds="http://schemas.openxmlformats.org/officeDocument/2006/customXml" ds:itemID="{74629642-6AEA-47A4-994E-C284420D1F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74C3ED-84F0-4374-9A64-62F9F2985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7e5e4-d8e7-4cc8-8dec-f58ca386fb81"/>
    <ds:schemaRef ds:uri="50dfef8f-dbd7-4be2-972d-332b0c37f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F0BC70-2AA1-4E2F-B884-E3EC41C84029}">
  <ds:schemaRefs>
    <ds:schemaRef ds:uri="http://schemas.microsoft.com/office/2006/metadata/properties"/>
    <ds:schemaRef ds:uri="http://schemas.microsoft.com/office/infopath/2007/PartnerControls"/>
    <ds:schemaRef ds:uri="2f97e5e4-d8e7-4cc8-8dec-f58ca386fb81"/>
    <ds:schemaRef ds:uri="50dfef8f-dbd7-4be2-972d-332b0c37f2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Booking Tabs ==&gt;&gt;&gt;</vt:lpstr>
      <vt:lpstr>30 Jun 2025 - Net</vt:lpstr>
      <vt:lpstr>30 Jun 2025 - Gross</vt:lpstr>
      <vt:lpstr>WTW Results &gt;</vt:lpstr>
      <vt:lpstr>Net Results by UW month</vt:lpstr>
      <vt:lpstr>Gross Results by UW month</vt:lpstr>
      <vt:lpstr>Vs Internal (MICL)</vt:lpstr>
      <vt:lpstr>'Gross Results by UW month'!Print_Area</vt:lpstr>
      <vt:lpstr>'Net Results by UW month'!Print_Area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Moffatt</dc:creator>
  <cp:lastModifiedBy>Joseph Moffatt</cp:lastModifiedBy>
  <dcterms:created xsi:type="dcterms:W3CDTF">2023-12-07T17:02:37Z</dcterms:created>
  <dcterms:modified xsi:type="dcterms:W3CDTF">2025-07-28T09:34:14Z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0x010100EBB848388D7E0546B8D16053C2E98134</vt:lpwstr>
  </property>
  <property fmtid="{D5CDD505-2E9C-101B-9397-08002B2CF9AE}" pid="3" name="MediaServiceImageTags">
    <vt:lpwstr/>
  </property>
</Properties>
</file>