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13" firstSheet="1" activeTab="1"/>
  </bookViews>
  <sheets>
    <sheet name="2 - Колмогоров" sheetId="1" r:id="rId1"/>
    <sheet name="5 - Корр. анализ" sheetId="10" r:id="rId2"/>
    <sheet name="8 - Тренд в матожидании" sheetId="12" r:id="rId3"/>
  </sheets>
  <calcPr calcId="152511"/>
</workbook>
</file>

<file path=xl/calcChain.xml><?xml version="1.0" encoding="utf-8"?>
<calcChain xmlns="http://schemas.openxmlformats.org/spreadsheetml/2006/main">
  <c r="G24" i="12" l="1"/>
  <c r="G7" i="12"/>
  <c r="G6" i="12"/>
  <c r="G4" i="12"/>
  <c r="D51" i="12"/>
  <c r="D50" i="12"/>
  <c r="I50" i="12" s="1"/>
  <c r="D49" i="12"/>
  <c r="D48" i="12"/>
  <c r="D47" i="12"/>
  <c r="D46" i="12"/>
  <c r="I46" i="12" s="1"/>
  <c r="D45" i="12"/>
  <c r="D44" i="12"/>
  <c r="D43" i="12"/>
  <c r="D42" i="12"/>
  <c r="I42" i="12" s="1"/>
  <c r="D41" i="12"/>
  <c r="D40" i="12"/>
  <c r="D39" i="12"/>
  <c r="D38" i="12"/>
  <c r="I38" i="12" s="1"/>
  <c r="D37" i="12"/>
  <c r="D36" i="12"/>
  <c r="I35" i="12" s="1"/>
  <c r="D35" i="12"/>
  <c r="D34" i="12"/>
  <c r="I34" i="12" s="1"/>
  <c r="D33" i="12"/>
  <c r="D32" i="12"/>
  <c r="I31" i="12" s="1"/>
  <c r="D31" i="12"/>
  <c r="D30" i="12"/>
  <c r="I30" i="12" s="1"/>
  <c r="D29" i="12"/>
  <c r="D28" i="12"/>
  <c r="I27" i="12" s="1"/>
  <c r="D27" i="12"/>
  <c r="D26" i="12"/>
  <c r="I26" i="12" s="1"/>
  <c r="D25" i="12"/>
  <c r="D24" i="12"/>
  <c r="D23" i="12"/>
  <c r="D22" i="12"/>
  <c r="I22" i="12" s="1"/>
  <c r="D21" i="12"/>
  <c r="D20" i="12"/>
  <c r="I19" i="12" s="1"/>
  <c r="D19" i="12"/>
  <c r="D18" i="12"/>
  <c r="I18" i="12" s="1"/>
  <c r="D17" i="12"/>
  <c r="D16" i="12"/>
  <c r="D15" i="12"/>
  <c r="D14" i="12"/>
  <c r="I14" i="12" s="1"/>
  <c r="D13" i="12"/>
  <c r="D12" i="12"/>
  <c r="I11" i="12" s="1"/>
  <c r="D11" i="12"/>
  <c r="D10" i="12"/>
  <c r="I10" i="12" s="1"/>
  <c r="D9" i="12"/>
  <c r="D8" i="12"/>
  <c r="D7" i="12"/>
  <c r="D6" i="12"/>
  <c r="I6" i="12" s="1"/>
  <c r="D5" i="12"/>
  <c r="D4" i="12"/>
  <c r="I3" i="12" s="1"/>
  <c r="D3" i="12"/>
  <c r="D2" i="12"/>
  <c r="I2" i="12" s="1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C16" i="12" s="1"/>
  <c r="C17" i="12" s="1"/>
  <c r="C18" i="12" s="1"/>
  <c r="C19" i="12" s="1"/>
  <c r="C20" i="12" s="1"/>
  <c r="C21" i="12" s="1"/>
  <c r="C22" i="12" s="1"/>
  <c r="C23" i="12" s="1"/>
  <c r="C24" i="12" s="1"/>
  <c r="C25" i="12" s="1"/>
  <c r="C26" i="12" s="1"/>
  <c r="C27" i="12" s="1"/>
  <c r="C28" i="12" s="1"/>
  <c r="C29" i="12" s="1"/>
  <c r="C30" i="12" s="1"/>
  <c r="C31" i="12" s="1"/>
  <c r="C32" i="12" s="1"/>
  <c r="C33" i="12" s="1"/>
  <c r="C34" i="12" s="1"/>
  <c r="C35" i="12" s="1"/>
  <c r="C36" i="12" s="1"/>
  <c r="C37" i="12" s="1"/>
  <c r="C38" i="12" s="1"/>
  <c r="C39" i="12" s="1"/>
  <c r="C40" i="12" s="1"/>
  <c r="C41" i="12" s="1"/>
  <c r="C42" i="12" s="1"/>
  <c r="C43" i="12" s="1"/>
  <c r="C44" i="12" s="1"/>
  <c r="C45" i="12" s="1"/>
  <c r="C46" i="12" s="1"/>
  <c r="C47" i="12" s="1"/>
  <c r="C48" i="12" s="1"/>
  <c r="C49" i="12" s="1"/>
  <c r="C50" i="12" s="1"/>
  <c r="C51" i="12" s="1"/>
  <c r="C4" i="12"/>
  <c r="C3" i="12"/>
  <c r="C2" i="12"/>
  <c r="I8" i="12" l="1"/>
  <c r="I16" i="12"/>
  <c r="I24" i="12"/>
  <c r="I40" i="12"/>
  <c r="I43" i="12"/>
  <c r="I47" i="12"/>
  <c r="I5" i="12"/>
  <c r="I9" i="12"/>
  <c r="I13" i="12"/>
  <c r="I17" i="12"/>
  <c r="I21" i="12"/>
  <c r="I25" i="12"/>
  <c r="I29" i="12"/>
  <c r="I33" i="12"/>
  <c r="I37" i="12"/>
  <c r="I41" i="12"/>
  <c r="I45" i="12"/>
  <c r="I49" i="12"/>
  <c r="I7" i="12"/>
  <c r="I15" i="12"/>
  <c r="I23" i="12"/>
  <c r="I39" i="12"/>
  <c r="I4" i="12"/>
  <c r="I12" i="12"/>
  <c r="I20" i="12"/>
  <c r="I28" i="12"/>
  <c r="I32" i="12"/>
  <c r="I36" i="12"/>
  <c r="I44" i="12"/>
  <c r="I48" i="12"/>
  <c r="Q3" i="1"/>
  <c r="E21" i="1"/>
  <c r="E4" i="1"/>
  <c r="M7" i="1"/>
  <c r="J2" i="1"/>
  <c r="K2" i="1"/>
  <c r="I2" i="1"/>
  <c r="G2" i="1"/>
  <c r="G5" i="12" l="1"/>
  <c r="G8" i="12" s="1"/>
  <c r="G9" i="12" s="1"/>
  <c r="G22" i="12" s="1"/>
  <c r="I2" i="10"/>
  <c r="E17" i="10"/>
  <c r="E23" i="10"/>
  <c r="E22" i="10"/>
  <c r="E21" i="10"/>
  <c r="E20" i="10"/>
  <c r="E29" i="10"/>
  <c r="E28" i="10"/>
  <c r="E27" i="10"/>
  <c r="E26" i="10"/>
  <c r="T51" i="10"/>
  <c r="T50" i="10"/>
  <c r="T49" i="10"/>
  <c r="T48" i="10"/>
  <c r="T47" i="10"/>
  <c r="T46" i="10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T6" i="10"/>
  <c r="T5" i="10"/>
  <c r="T4" i="10"/>
  <c r="T3" i="10"/>
  <c r="T2" i="10"/>
  <c r="S2" i="10"/>
  <c r="S51" i="10"/>
  <c r="S50" i="10"/>
  <c r="S49" i="10"/>
  <c r="S48" i="10"/>
  <c r="S47" i="10"/>
  <c r="S46" i="10"/>
  <c r="S45" i="10"/>
  <c r="S44" i="10"/>
  <c r="S43" i="10"/>
  <c r="S42" i="10"/>
  <c r="S41" i="10"/>
  <c r="S40" i="10"/>
  <c r="S39" i="10"/>
  <c r="S38" i="10"/>
  <c r="S37" i="10"/>
  <c r="S36" i="10"/>
  <c r="S35" i="10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S3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7" i="10"/>
  <c r="R6" i="10"/>
  <c r="R5" i="10"/>
  <c r="R4" i="10"/>
  <c r="R3" i="10"/>
  <c r="R2" i="10"/>
  <c r="L2" i="10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3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P3" i="10"/>
  <c r="P2" i="10"/>
  <c r="M43" i="10"/>
  <c r="M39" i="10"/>
  <c r="M27" i="10"/>
  <c r="M23" i="10"/>
  <c r="M11" i="10"/>
  <c r="M7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K2" i="10"/>
  <c r="K51" i="10"/>
  <c r="M51" i="10" s="1"/>
  <c r="K50" i="10"/>
  <c r="K49" i="10"/>
  <c r="M49" i="10" s="1"/>
  <c r="K48" i="10"/>
  <c r="M48" i="10" s="1"/>
  <c r="K47" i="10"/>
  <c r="M47" i="10" s="1"/>
  <c r="K46" i="10"/>
  <c r="K45" i="10"/>
  <c r="M45" i="10" s="1"/>
  <c r="K44" i="10"/>
  <c r="M44" i="10" s="1"/>
  <c r="K43" i="10"/>
  <c r="K42" i="10"/>
  <c r="K41" i="10"/>
  <c r="M41" i="10" s="1"/>
  <c r="K40" i="10"/>
  <c r="M40" i="10" s="1"/>
  <c r="K39" i="10"/>
  <c r="K38" i="10"/>
  <c r="K37" i="10"/>
  <c r="M37" i="10" s="1"/>
  <c r="K36" i="10"/>
  <c r="M36" i="10" s="1"/>
  <c r="K35" i="10"/>
  <c r="M35" i="10" s="1"/>
  <c r="K34" i="10"/>
  <c r="K33" i="10"/>
  <c r="M33" i="10" s="1"/>
  <c r="K32" i="10"/>
  <c r="M32" i="10" s="1"/>
  <c r="K31" i="10"/>
  <c r="M31" i="10" s="1"/>
  <c r="K30" i="10"/>
  <c r="K29" i="10"/>
  <c r="M29" i="10" s="1"/>
  <c r="K28" i="10"/>
  <c r="M28" i="10" s="1"/>
  <c r="K27" i="10"/>
  <c r="K26" i="10"/>
  <c r="K25" i="10"/>
  <c r="M25" i="10" s="1"/>
  <c r="K24" i="10"/>
  <c r="M24" i="10" s="1"/>
  <c r="K23" i="10"/>
  <c r="K22" i="10"/>
  <c r="K21" i="10"/>
  <c r="M21" i="10" s="1"/>
  <c r="K20" i="10"/>
  <c r="M20" i="10" s="1"/>
  <c r="K19" i="10"/>
  <c r="M19" i="10" s="1"/>
  <c r="K18" i="10"/>
  <c r="K17" i="10"/>
  <c r="M17" i="10" s="1"/>
  <c r="K16" i="10"/>
  <c r="M16" i="10" s="1"/>
  <c r="K15" i="10"/>
  <c r="M15" i="10" s="1"/>
  <c r="K14" i="10"/>
  <c r="K13" i="10"/>
  <c r="M13" i="10" s="1"/>
  <c r="K12" i="10"/>
  <c r="M12" i="10" s="1"/>
  <c r="K11" i="10"/>
  <c r="K10" i="10"/>
  <c r="K9" i="10"/>
  <c r="M9" i="10" s="1"/>
  <c r="K8" i="10"/>
  <c r="M8" i="10" s="1"/>
  <c r="K7" i="10"/>
  <c r="K6" i="10"/>
  <c r="K5" i="10"/>
  <c r="M5" i="10" s="1"/>
  <c r="K4" i="10"/>
  <c r="M4" i="10" s="1"/>
  <c r="K3" i="10"/>
  <c r="M3" i="10" s="1"/>
  <c r="E16" i="10"/>
  <c r="E14" i="10"/>
  <c r="E7" i="10"/>
  <c r="E3" i="10"/>
  <c r="E4" i="10"/>
  <c r="E8" i="10"/>
  <c r="H37" i="10" s="1"/>
  <c r="E2" i="1"/>
  <c r="Q2" i="1"/>
  <c r="M10" i="1"/>
  <c r="O10" i="1" s="1"/>
  <c r="E24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E25" i="1" s="1"/>
  <c r="E26" i="1" s="1"/>
  <c r="E27" i="1" s="1"/>
  <c r="O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N2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61" i="1"/>
  <c r="E5" i="1"/>
  <c r="E6" i="1"/>
  <c r="O6" i="1"/>
  <c r="O5" i="1"/>
  <c r="O4" i="1"/>
  <c r="O3" i="1"/>
  <c r="N6" i="1"/>
  <c r="N5" i="1"/>
  <c r="N4" i="1"/>
  <c r="N3" i="1"/>
  <c r="O7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N61" i="1"/>
  <c r="N57" i="1"/>
  <c r="N53" i="1"/>
  <c r="N49" i="1"/>
  <c r="N45" i="1"/>
  <c r="N41" i="1"/>
  <c r="N37" i="1"/>
  <c r="N33" i="1"/>
  <c r="N29" i="1"/>
  <c r="N25" i="1"/>
  <c r="N21" i="1"/>
  <c r="N17" i="1"/>
  <c r="N13" i="1"/>
  <c r="N9" i="1"/>
  <c r="N7" i="1"/>
  <c r="M61" i="1"/>
  <c r="O61" i="1" s="1"/>
  <c r="M60" i="1"/>
  <c r="N60" i="1" s="1"/>
  <c r="M59" i="1"/>
  <c r="N59" i="1" s="1"/>
  <c r="M58" i="1"/>
  <c r="O58" i="1" s="1"/>
  <c r="M57" i="1"/>
  <c r="O57" i="1" s="1"/>
  <c r="M56" i="1"/>
  <c r="N56" i="1" s="1"/>
  <c r="M55" i="1"/>
  <c r="N55" i="1" s="1"/>
  <c r="M54" i="1"/>
  <c r="O54" i="1" s="1"/>
  <c r="M53" i="1"/>
  <c r="O53" i="1" s="1"/>
  <c r="M52" i="1"/>
  <c r="N52" i="1" s="1"/>
  <c r="M51" i="1"/>
  <c r="N51" i="1" s="1"/>
  <c r="M50" i="1"/>
  <c r="O50" i="1" s="1"/>
  <c r="M49" i="1"/>
  <c r="O49" i="1" s="1"/>
  <c r="M48" i="1"/>
  <c r="N48" i="1" s="1"/>
  <c r="M47" i="1"/>
  <c r="N47" i="1" s="1"/>
  <c r="M46" i="1"/>
  <c r="O46" i="1" s="1"/>
  <c r="M45" i="1"/>
  <c r="O45" i="1" s="1"/>
  <c r="M44" i="1"/>
  <c r="N44" i="1" s="1"/>
  <c r="M43" i="1"/>
  <c r="N43" i="1" s="1"/>
  <c r="M42" i="1"/>
  <c r="O42" i="1" s="1"/>
  <c r="M41" i="1"/>
  <c r="O41" i="1" s="1"/>
  <c r="M40" i="1"/>
  <c r="N40" i="1" s="1"/>
  <c r="M39" i="1"/>
  <c r="N39" i="1" s="1"/>
  <c r="M38" i="1"/>
  <c r="O38" i="1" s="1"/>
  <c r="M37" i="1"/>
  <c r="O37" i="1" s="1"/>
  <c r="M36" i="1"/>
  <c r="N36" i="1" s="1"/>
  <c r="M35" i="1"/>
  <c r="N35" i="1" s="1"/>
  <c r="M34" i="1"/>
  <c r="O34" i="1" s="1"/>
  <c r="M33" i="1"/>
  <c r="O33" i="1" s="1"/>
  <c r="M32" i="1"/>
  <c r="N32" i="1" s="1"/>
  <c r="M31" i="1"/>
  <c r="N31" i="1" s="1"/>
  <c r="M30" i="1"/>
  <c r="O30" i="1" s="1"/>
  <c r="M29" i="1"/>
  <c r="O29" i="1" s="1"/>
  <c r="M28" i="1"/>
  <c r="N28" i="1" s="1"/>
  <c r="M27" i="1"/>
  <c r="N27" i="1" s="1"/>
  <c r="M26" i="1"/>
  <c r="O26" i="1" s="1"/>
  <c r="M25" i="1"/>
  <c r="O25" i="1" s="1"/>
  <c r="M24" i="1"/>
  <c r="N24" i="1" s="1"/>
  <c r="M23" i="1"/>
  <c r="N23" i="1" s="1"/>
  <c r="M22" i="1"/>
  <c r="O22" i="1" s="1"/>
  <c r="M21" i="1"/>
  <c r="O21" i="1" s="1"/>
  <c r="M20" i="1"/>
  <c r="N20" i="1" s="1"/>
  <c r="M19" i="1"/>
  <c r="N19" i="1" s="1"/>
  <c r="M18" i="1"/>
  <c r="O18" i="1" s="1"/>
  <c r="M17" i="1"/>
  <c r="O17" i="1" s="1"/>
  <c r="M16" i="1"/>
  <c r="N16" i="1" s="1"/>
  <c r="M15" i="1"/>
  <c r="N15" i="1" s="1"/>
  <c r="M14" i="1"/>
  <c r="O14" i="1" s="1"/>
  <c r="M13" i="1"/>
  <c r="O13" i="1" s="1"/>
  <c r="M12" i="1"/>
  <c r="N12" i="1" s="1"/>
  <c r="M11" i="1"/>
  <c r="N11" i="1" s="1"/>
  <c r="M9" i="1"/>
  <c r="O9" i="1" s="1"/>
  <c r="M8" i="1"/>
  <c r="N8" i="1" s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3" i="1"/>
  <c r="I46" i="1" s="1"/>
  <c r="K46" i="1" s="1"/>
  <c r="M6" i="10" l="1"/>
  <c r="M10" i="10"/>
  <c r="M14" i="10"/>
  <c r="M18" i="10"/>
  <c r="M22" i="10"/>
  <c r="M26" i="10"/>
  <c r="M30" i="10"/>
  <c r="M34" i="10"/>
  <c r="M38" i="10"/>
  <c r="M42" i="10"/>
  <c r="M46" i="10"/>
  <c r="M50" i="10"/>
  <c r="M2" i="10"/>
  <c r="H41" i="10"/>
  <c r="H9" i="10"/>
  <c r="G34" i="10"/>
  <c r="H25" i="10"/>
  <c r="H45" i="10"/>
  <c r="G50" i="10"/>
  <c r="H13" i="10"/>
  <c r="H29" i="10"/>
  <c r="H48" i="10"/>
  <c r="H17" i="10"/>
  <c r="H33" i="10"/>
  <c r="H49" i="10"/>
  <c r="H5" i="10"/>
  <c r="H21" i="10"/>
  <c r="G7" i="10"/>
  <c r="G19" i="10"/>
  <c r="G31" i="10"/>
  <c r="G43" i="10"/>
  <c r="G51" i="10"/>
  <c r="G4" i="10"/>
  <c r="G8" i="10"/>
  <c r="G12" i="10"/>
  <c r="G16" i="10"/>
  <c r="G20" i="10"/>
  <c r="G24" i="10"/>
  <c r="G28" i="10"/>
  <c r="G32" i="10"/>
  <c r="G36" i="10"/>
  <c r="G40" i="10"/>
  <c r="G44" i="10"/>
  <c r="G48" i="10"/>
  <c r="H2" i="10"/>
  <c r="H6" i="10"/>
  <c r="H10" i="10"/>
  <c r="H14" i="10"/>
  <c r="H18" i="10"/>
  <c r="H22" i="10"/>
  <c r="H26" i="10"/>
  <c r="H30" i="10"/>
  <c r="H34" i="10"/>
  <c r="H38" i="10"/>
  <c r="H42" i="10"/>
  <c r="H46" i="10"/>
  <c r="H50" i="10"/>
  <c r="G3" i="10"/>
  <c r="G15" i="10"/>
  <c r="G23" i="10"/>
  <c r="G35" i="10"/>
  <c r="G47" i="10"/>
  <c r="G5" i="10"/>
  <c r="G9" i="10"/>
  <c r="G13" i="10"/>
  <c r="G17" i="10"/>
  <c r="G21" i="10"/>
  <c r="G25" i="10"/>
  <c r="G29" i="10"/>
  <c r="I29" i="10" s="1"/>
  <c r="G33" i="10"/>
  <c r="G37" i="10"/>
  <c r="I37" i="10" s="1"/>
  <c r="G41" i="10"/>
  <c r="G45" i="10"/>
  <c r="G49" i="10"/>
  <c r="H3" i="10"/>
  <c r="H7" i="10"/>
  <c r="H11" i="10"/>
  <c r="H15" i="10"/>
  <c r="H19" i="10"/>
  <c r="H23" i="10"/>
  <c r="H27" i="10"/>
  <c r="H31" i="10"/>
  <c r="H35" i="10"/>
  <c r="H39" i="10"/>
  <c r="H43" i="10"/>
  <c r="H47" i="10"/>
  <c r="H51" i="10"/>
  <c r="G11" i="10"/>
  <c r="G27" i="10"/>
  <c r="I27" i="10" s="1"/>
  <c r="G39" i="10"/>
  <c r="G2" i="10"/>
  <c r="G6" i="10"/>
  <c r="G10" i="10"/>
  <c r="G14" i="10"/>
  <c r="G18" i="10"/>
  <c r="G22" i="10"/>
  <c r="G26" i="10"/>
  <c r="G30" i="10"/>
  <c r="G38" i="10"/>
  <c r="G42" i="10"/>
  <c r="G46" i="10"/>
  <c r="H4" i="10"/>
  <c r="H8" i="10"/>
  <c r="H12" i="10"/>
  <c r="H16" i="10"/>
  <c r="H20" i="10"/>
  <c r="H24" i="10"/>
  <c r="H28" i="10"/>
  <c r="H32" i="10"/>
  <c r="H36" i="10"/>
  <c r="H40" i="10"/>
  <c r="H44" i="10"/>
  <c r="N10" i="1"/>
  <c r="E18" i="1" s="1"/>
  <c r="N14" i="1"/>
  <c r="N18" i="1"/>
  <c r="N22" i="1"/>
  <c r="N26" i="1"/>
  <c r="N30" i="1"/>
  <c r="N34" i="1"/>
  <c r="N38" i="1"/>
  <c r="N42" i="1"/>
  <c r="N46" i="1"/>
  <c r="N50" i="1"/>
  <c r="N54" i="1"/>
  <c r="N58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I22" i="1"/>
  <c r="K22" i="1" s="1"/>
  <c r="I38" i="1"/>
  <c r="K38" i="1" s="1"/>
  <c r="I61" i="1"/>
  <c r="I7" i="1"/>
  <c r="K7" i="1" s="1"/>
  <c r="I15" i="1"/>
  <c r="J15" i="1" s="1"/>
  <c r="I23" i="1"/>
  <c r="K23" i="1" s="1"/>
  <c r="I31" i="1"/>
  <c r="K31" i="1" s="1"/>
  <c r="I39" i="1"/>
  <c r="K39" i="1" s="1"/>
  <c r="I47" i="1"/>
  <c r="K47" i="1" s="1"/>
  <c r="I55" i="1"/>
  <c r="K55" i="1" s="1"/>
  <c r="I6" i="1"/>
  <c r="K6" i="1" s="1"/>
  <c r="I30" i="1"/>
  <c r="K30" i="1" s="1"/>
  <c r="I54" i="1"/>
  <c r="J54" i="1" s="1"/>
  <c r="I10" i="1"/>
  <c r="J10" i="1" s="1"/>
  <c r="I18" i="1"/>
  <c r="K18" i="1" s="1"/>
  <c r="I26" i="1"/>
  <c r="J26" i="1" s="1"/>
  <c r="I34" i="1"/>
  <c r="K34" i="1" s="1"/>
  <c r="I42" i="1"/>
  <c r="J42" i="1" s="1"/>
  <c r="I50" i="1"/>
  <c r="K50" i="1" s="1"/>
  <c r="I58" i="1"/>
  <c r="K58" i="1" s="1"/>
  <c r="I14" i="1"/>
  <c r="K14" i="1" s="1"/>
  <c r="I3" i="1"/>
  <c r="K3" i="1" s="1"/>
  <c r="I11" i="1"/>
  <c r="K11" i="1" s="1"/>
  <c r="I19" i="1"/>
  <c r="K19" i="1" s="1"/>
  <c r="I27" i="1"/>
  <c r="K27" i="1" s="1"/>
  <c r="I35" i="1"/>
  <c r="K35" i="1" s="1"/>
  <c r="I43" i="1"/>
  <c r="J43" i="1" s="1"/>
  <c r="I51" i="1"/>
  <c r="K51" i="1" s="1"/>
  <c r="I59" i="1"/>
  <c r="K59" i="1" s="1"/>
  <c r="J30" i="1"/>
  <c r="J46" i="1"/>
  <c r="J59" i="1"/>
  <c r="J38" i="1"/>
  <c r="J50" i="1"/>
  <c r="J11" i="1"/>
  <c r="J23" i="1"/>
  <c r="J31" i="1"/>
  <c r="I4" i="1"/>
  <c r="K4" i="1" s="1"/>
  <c r="I8" i="1"/>
  <c r="K8" i="1" s="1"/>
  <c r="I12" i="1"/>
  <c r="K12" i="1" s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I44" i="1"/>
  <c r="K44" i="1" s="1"/>
  <c r="I48" i="1"/>
  <c r="K48" i="1" s="1"/>
  <c r="I52" i="1"/>
  <c r="K52" i="1" s="1"/>
  <c r="I56" i="1"/>
  <c r="K56" i="1" s="1"/>
  <c r="I60" i="1"/>
  <c r="K60" i="1" s="1"/>
  <c r="J34" i="1"/>
  <c r="J7" i="1"/>
  <c r="J27" i="1"/>
  <c r="J55" i="1"/>
  <c r="I5" i="1"/>
  <c r="K5" i="1" s="1"/>
  <c r="I9" i="1"/>
  <c r="K9" i="1" s="1"/>
  <c r="I13" i="1"/>
  <c r="K13" i="1" s="1"/>
  <c r="I17" i="1"/>
  <c r="K17" i="1" s="1"/>
  <c r="I21" i="1"/>
  <c r="K21" i="1" s="1"/>
  <c r="I25" i="1"/>
  <c r="K25" i="1" s="1"/>
  <c r="I29" i="1"/>
  <c r="K29" i="1" s="1"/>
  <c r="I33" i="1"/>
  <c r="K33" i="1" s="1"/>
  <c r="I37" i="1"/>
  <c r="K37" i="1" s="1"/>
  <c r="I41" i="1"/>
  <c r="K41" i="1" s="1"/>
  <c r="I45" i="1"/>
  <c r="K45" i="1" s="1"/>
  <c r="I49" i="1"/>
  <c r="K49" i="1" s="1"/>
  <c r="I53" i="1"/>
  <c r="K53" i="1" s="1"/>
  <c r="I57" i="1"/>
  <c r="K57" i="1" s="1"/>
  <c r="I13" i="10" l="1"/>
  <c r="I34" i="10"/>
  <c r="I41" i="10"/>
  <c r="I42" i="10"/>
  <c r="I9" i="10"/>
  <c r="I11" i="10"/>
  <c r="I25" i="10"/>
  <c r="I50" i="10"/>
  <c r="I49" i="10"/>
  <c r="I33" i="10"/>
  <c r="I45" i="10"/>
  <c r="I22" i="10"/>
  <c r="I6" i="10"/>
  <c r="I48" i="10"/>
  <c r="I32" i="10"/>
  <c r="I16" i="10"/>
  <c r="I51" i="10"/>
  <c r="I38" i="10"/>
  <c r="I18" i="10"/>
  <c r="I21" i="10"/>
  <c r="I5" i="10"/>
  <c r="I15" i="10"/>
  <c r="I43" i="10"/>
  <c r="I14" i="10"/>
  <c r="I17" i="10"/>
  <c r="I39" i="10"/>
  <c r="I47" i="10"/>
  <c r="I3" i="10"/>
  <c r="I40" i="10"/>
  <c r="I24" i="10"/>
  <c r="I8" i="10"/>
  <c r="I31" i="10"/>
  <c r="I46" i="10"/>
  <c r="I26" i="10"/>
  <c r="I10" i="10"/>
  <c r="I35" i="10"/>
  <c r="I36" i="10"/>
  <c r="I20" i="10"/>
  <c r="I4" i="10"/>
  <c r="I19" i="10"/>
  <c r="I23" i="10"/>
  <c r="I7" i="10"/>
  <c r="I44" i="10"/>
  <c r="I28" i="10"/>
  <c r="I12" i="10"/>
  <c r="I30" i="10"/>
  <c r="E19" i="1"/>
  <c r="E20" i="1" s="1"/>
  <c r="J57" i="1"/>
  <c r="J19" i="1"/>
  <c r="J39" i="1"/>
  <c r="J22" i="1"/>
  <c r="K15" i="1"/>
  <c r="K54" i="1"/>
  <c r="J18" i="1"/>
  <c r="K26" i="1"/>
  <c r="J21" i="1"/>
  <c r="J61" i="1"/>
  <c r="K61" i="1"/>
  <c r="J47" i="1"/>
  <c r="J58" i="1"/>
  <c r="K43" i="1"/>
  <c r="K10" i="1"/>
  <c r="J35" i="1"/>
  <c r="J53" i="1"/>
  <c r="J9" i="1"/>
  <c r="J6" i="1"/>
  <c r="J37" i="1"/>
  <c r="J5" i="1"/>
  <c r="J51" i="1"/>
  <c r="J3" i="1"/>
  <c r="K42" i="1"/>
  <c r="J14" i="1"/>
  <c r="J25" i="1"/>
  <c r="J41" i="1"/>
  <c r="J20" i="1"/>
  <c r="J48" i="1"/>
  <c r="J32" i="1"/>
  <c r="J16" i="1"/>
  <c r="J49" i="1"/>
  <c r="J33" i="1"/>
  <c r="J17" i="1"/>
  <c r="J60" i="1"/>
  <c r="J44" i="1"/>
  <c r="J28" i="1"/>
  <c r="J12" i="1"/>
  <c r="J52" i="1"/>
  <c r="J36" i="1"/>
  <c r="J4" i="1"/>
  <c r="J45" i="1"/>
  <c r="J29" i="1"/>
  <c r="J13" i="1"/>
  <c r="J56" i="1"/>
  <c r="J40" i="1"/>
  <c r="J24" i="1"/>
  <c r="J8" i="1"/>
  <c r="E12" i="10" l="1"/>
  <c r="E13" i="10" s="1"/>
  <c r="E13" i="1"/>
  <c r="E12" i="1"/>
  <c r="E14" i="1" l="1"/>
  <c r="E15" i="1" s="1"/>
</calcChain>
</file>

<file path=xl/sharedStrings.xml><?xml version="1.0" encoding="utf-8"?>
<sst xmlns="http://schemas.openxmlformats.org/spreadsheetml/2006/main" count="85" uniqueCount="67">
  <si>
    <t>Выборка</t>
  </si>
  <si>
    <t>Мат. ожидание</t>
  </si>
  <si>
    <t>Cр. кв. откл.</t>
  </si>
  <si>
    <t>Крит. значение</t>
  </si>
  <si>
    <t>Gn(x)</t>
  </si>
  <si>
    <t>Сорт. выборка</t>
  </si>
  <si>
    <t>Экспон.</t>
  </si>
  <si>
    <t>Норм.</t>
  </si>
  <si>
    <t>Равн.</t>
  </si>
  <si>
    <t>D-</t>
  </si>
  <si>
    <t>D+</t>
  </si>
  <si>
    <t>Уровень значимости</t>
  </si>
  <si>
    <t>Нормальное распределение</t>
  </si>
  <si>
    <t>D- max</t>
  </si>
  <si>
    <t>D+ max</t>
  </si>
  <si>
    <t>D max</t>
  </si>
  <si>
    <t>Эмп. Знач</t>
  </si>
  <si>
    <t>Экспонециальное распределение</t>
  </si>
  <si>
    <t>Равномерное распределение</t>
  </si>
  <si>
    <t>Лямбда</t>
  </si>
  <si>
    <t>Минимум</t>
  </si>
  <si>
    <t>Максимум</t>
  </si>
  <si>
    <t>Степени свободы</t>
  </si>
  <si>
    <t>X (12)</t>
  </si>
  <si>
    <t>Y (13)</t>
  </si>
  <si>
    <t>t кр</t>
  </si>
  <si>
    <t>Мат. ожид X</t>
  </si>
  <si>
    <t>Мат. ожид Y</t>
  </si>
  <si>
    <t>Ст. откл X</t>
  </si>
  <si>
    <t>Ст. откл Y</t>
  </si>
  <si>
    <t>z_xi</t>
  </si>
  <si>
    <t>z_yi</t>
  </si>
  <si>
    <t>z_xi * z_yi</t>
  </si>
  <si>
    <t>Сумма произв.</t>
  </si>
  <si>
    <t>Коэф. корр. Пирсона (ручками)</t>
  </si>
  <si>
    <t>Коэф. корр. Пирсона (эксель)</t>
  </si>
  <si>
    <t>Ранги X</t>
  </si>
  <si>
    <t xml:space="preserve">Статистика </t>
  </si>
  <si>
    <t>Ранги Y</t>
  </si>
  <si>
    <t>d2</t>
  </si>
  <si>
    <t>Сумма d2</t>
  </si>
  <si>
    <t>Коэф. корр. Спирмена</t>
  </si>
  <si>
    <t>t эмп</t>
  </si>
  <si>
    <t>Сорт. X</t>
  </si>
  <si>
    <t>Соотв. Y</t>
  </si>
  <si>
    <t>P</t>
  </si>
  <si>
    <t>Q</t>
  </si>
  <si>
    <t>Характеристики X</t>
  </si>
  <si>
    <t>Характеристики Y</t>
  </si>
  <si>
    <t>Пирсон</t>
  </si>
  <si>
    <t>Спирмен</t>
  </si>
  <si>
    <t>Сумма оценок</t>
  </si>
  <si>
    <t>Кэндалл</t>
  </si>
  <si>
    <t>Вар. ряд</t>
  </si>
  <si>
    <t>Ранг элемента</t>
  </si>
  <si>
    <t>Ранг элемента в вар. ряду</t>
  </si>
  <si>
    <t>(n+1)/2</t>
  </si>
  <si>
    <t>n</t>
  </si>
  <si>
    <t>R слагаемые</t>
  </si>
  <si>
    <t xml:space="preserve">R </t>
  </si>
  <si>
    <t>D[R]</t>
  </si>
  <si>
    <t>sqrt(D[R])</t>
  </si>
  <si>
    <t>R*</t>
  </si>
  <si>
    <t>R**</t>
  </si>
  <si>
    <t>Норм. расп с E=0 и D[R]</t>
  </si>
  <si>
    <t>alpha</t>
  </si>
  <si>
    <t>квантиль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</si>
</sst>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" xfId="0" applyBorder="1"/>
    <xf numFmtId="0" fontId="0" fillId="0" borderId="32" xfId="0" applyBorder="1"/>
    <xf numFmtId="0" fontId="0" fillId="0" borderId="6" xfId="0" applyFill="1" applyBorder="1"/>
    <xf numFmtId="0" fontId="0" fillId="0" borderId="3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4" xfId="0" applyBorder="1"/>
    <xf numFmtId="0" fontId="0" fillId="0" borderId="6" xfId="0" applyBorder="1"/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5</xdr:col>
      <xdr:colOff>1219370</xdr:colOff>
      <xdr:row>13</xdr:row>
      <xdr:rowOff>57238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1914525"/>
          <a:ext cx="1219370" cy="62873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13</xdr:row>
      <xdr:rowOff>66675</xdr:rowOff>
    </xdr:from>
    <xdr:to>
      <xdr:col>6</xdr:col>
      <xdr:colOff>276484</xdr:colOff>
      <xdr:row>18</xdr:row>
      <xdr:rowOff>57282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8650" y="2552700"/>
          <a:ext cx="1857634" cy="943107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3</xdr:row>
      <xdr:rowOff>104775</xdr:rowOff>
    </xdr:from>
    <xdr:to>
      <xdr:col>17</xdr:col>
      <xdr:colOff>86352</xdr:colOff>
      <xdr:row>18</xdr:row>
      <xdr:rowOff>114700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685800"/>
          <a:ext cx="4496427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workbookViewId="0">
      <selection activeCell="D23" sqref="D23:E23"/>
    </sheetView>
  </sheetViews>
  <sheetFormatPr defaultRowHeight="15" x14ac:dyDescent="0.25"/>
  <cols>
    <col min="1" max="1" width="9" bestFit="1" customWidth="1"/>
    <col min="2" max="2" width="14.28515625" bestFit="1" customWidth="1"/>
    <col min="3" max="3" width="3.28515625" customWidth="1"/>
    <col min="4" max="4" width="21" bestFit="1" customWidth="1"/>
    <col min="5" max="5" width="11.5703125" customWidth="1"/>
    <col min="6" max="6" width="5.42578125" customWidth="1"/>
    <col min="7" max="8" width="5.85546875" customWidth="1"/>
    <col min="9" max="9" width="7.42578125" customWidth="1"/>
    <col min="12" max="12" width="5.28515625" customWidth="1"/>
    <col min="13" max="14" width="12" bestFit="1" customWidth="1"/>
    <col min="15" max="15" width="12.7109375" bestFit="1" customWidth="1"/>
  </cols>
  <sheetData>
    <row r="1" spans="1:19" ht="15.75" thickBot="1" x14ac:dyDescent="0.3">
      <c r="A1" s="9" t="s">
        <v>0</v>
      </c>
      <c r="B1" s="32" t="s">
        <v>5</v>
      </c>
      <c r="G1" s="32" t="s">
        <v>4</v>
      </c>
      <c r="I1" s="1" t="s">
        <v>7</v>
      </c>
      <c r="J1" s="33" t="s">
        <v>9</v>
      </c>
      <c r="K1" s="2" t="s">
        <v>10</v>
      </c>
      <c r="M1" s="25" t="s">
        <v>6</v>
      </c>
      <c r="N1" s="12" t="s">
        <v>9</v>
      </c>
      <c r="O1" s="26" t="s">
        <v>10</v>
      </c>
      <c r="Q1" s="25" t="s">
        <v>8</v>
      </c>
      <c r="R1" s="12" t="s">
        <v>9</v>
      </c>
      <c r="S1" s="26" t="s">
        <v>10</v>
      </c>
    </row>
    <row r="2" spans="1:19" x14ac:dyDescent="0.25">
      <c r="A2" s="3">
        <v>3.72</v>
      </c>
      <c r="B2" s="27">
        <v>-6.6</v>
      </c>
      <c r="D2" s="1" t="s">
        <v>1</v>
      </c>
      <c r="E2" s="2">
        <f>AVERAGE(A2:A100)</f>
        <v>5.0201666666666673</v>
      </c>
      <c r="G2" s="31">
        <f>(ROW(B1)-1)/60</f>
        <v>0</v>
      </c>
      <c r="I2" s="14">
        <f>_xlfn.NORM.DIST(B2, $E$2, $E$3, 1)</f>
        <v>1.9044475719875528E-4</v>
      </c>
      <c r="J2" s="15">
        <f>G3-I2</f>
        <v>1.647622190946791E-2</v>
      </c>
      <c r="K2" s="16">
        <f>I2-G2</f>
        <v>1.9044475719875528E-4</v>
      </c>
      <c r="M2" s="22">
        <v>0</v>
      </c>
      <c r="N2" s="23">
        <f t="shared" ref="N2:N7" si="0">G3-M2</f>
        <v>1.6666666666666666E-2</v>
      </c>
      <c r="O2" s="24">
        <f>M2-G2</f>
        <v>0</v>
      </c>
      <c r="Q2" s="22">
        <f>(B2-$E$5)/($E$6-$B$2)</f>
        <v>0</v>
      </c>
      <c r="R2" s="23">
        <f>G3-Q2</f>
        <v>1.6666666666666666E-2</v>
      </c>
      <c r="S2" s="24">
        <f>Q2-G2</f>
        <v>0</v>
      </c>
    </row>
    <row r="3" spans="1:19" x14ac:dyDescent="0.25">
      <c r="A3" s="3">
        <v>2.93</v>
      </c>
      <c r="B3" s="27">
        <v>-5.24</v>
      </c>
      <c r="D3" s="3" t="s">
        <v>2</v>
      </c>
      <c r="E3" s="5">
        <f>SQRT(VAR(A2:A100))</f>
        <v>3.2705384886360402</v>
      </c>
      <c r="G3" s="29">
        <f t="shared" ref="G3:G61" si="1">(ROW(B2)-1)/60</f>
        <v>1.6666666666666666E-2</v>
      </c>
      <c r="I3" s="17">
        <f t="shared" ref="I3:I33" si="2">_xlfn.NORM.DIST(B3, $E$2, $E$3, 1)</f>
        <v>8.5299692170096378E-4</v>
      </c>
      <c r="J3" s="13">
        <f t="shared" ref="J3:J33" si="3">G4-I3</f>
        <v>3.2480336411632366E-2</v>
      </c>
      <c r="K3" s="18">
        <f t="shared" ref="K3:K33" si="4">I3-G3</f>
        <v>-1.5813669744965703E-2</v>
      </c>
      <c r="M3" s="17">
        <v>0</v>
      </c>
      <c r="N3" s="13">
        <f t="shared" si="0"/>
        <v>3.3333333333333333E-2</v>
      </c>
      <c r="O3" s="18">
        <f t="shared" ref="O3:O6" si="5">M3-G3</f>
        <v>-1.6666666666666666E-2</v>
      </c>
      <c r="Q3" s="17">
        <f>(B3-$E$5)/($E$6-$B$2)</f>
        <v>8.3847102342786653E-2</v>
      </c>
      <c r="R3" s="13">
        <f t="shared" ref="R3:R61" si="6">G4-Q3</f>
        <v>-5.051376900945332E-2</v>
      </c>
      <c r="S3" s="18">
        <f t="shared" ref="S3:S60" si="7">Q3-G3</f>
        <v>6.718043567611999E-2</v>
      </c>
    </row>
    <row r="4" spans="1:19" x14ac:dyDescent="0.25">
      <c r="A4" s="3">
        <v>5.99</v>
      </c>
      <c r="B4" s="27">
        <v>-2.64</v>
      </c>
      <c r="D4" s="37" t="s">
        <v>19</v>
      </c>
      <c r="E4" s="38">
        <f>1/(COUNT($B$2:$B$100))</f>
        <v>1.6666666666666666E-2</v>
      </c>
      <c r="G4" s="29">
        <f t="shared" si="1"/>
        <v>3.3333333333333333E-2</v>
      </c>
      <c r="I4" s="17">
        <f t="shared" si="2"/>
        <v>9.5859151316156771E-3</v>
      </c>
      <c r="J4" s="13">
        <f t="shared" si="3"/>
        <v>4.0414084868384326E-2</v>
      </c>
      <c r="K4" s="18">
        <f t="shared" si="4"/>
        <v>-2.3747418201717656E-2</v>
      </c>
      <c r="M4" s="17">
        <v>0</v>
      </c>
      <c r="N4" s="13">
        <f t="shared" si="0"/>
        <v>0.05</v>
      </c>
      <c r="O4" s="18">
        <f t="shared" si="5"/>
        <v>-3.3333333333333333E-2</v>
      </c>
      <c r="Q4" s="17">
        <f t="shared" ref="Q4:Q60" si="8">(B4-$E$5)/($E$6-$B$2)</f>
        <v>0.2441430332922318</v>
      </c>
      <c r="R4" s="13">
        <f t="shared" si="6"/>
        <v>-0.19414303329223181</v>
      </c>
      <c r="S4" s="18">
        <f t="shared" si="7"/>
        <v>0.21080969995889848</v>
      </c>
    </row>
    <row r="5" spans="1:19" x14ac:dyDescent="0.25">
      <c r="A5" s="3">
        <v>7.45</v>
      </c>
      <c r="B5" s="27">
        <v>-0.56000000000000005</v>
      </c>
      <c r="D5" s="35" t="s">
        <v>20</v>
      </c>
      <c r="E5" s="36">
        <f>MIN(A2:A100)</f>
        <v>-6.6</v>
      </c>
      <c r="G5" s="29">
        <f t="shared" si="1"/>
        <v>0.05</v>
      </c>
      <c r="I5" s="17">
        <f t="shared" si="2"/>
        <v>4.3986167116933129E-2</v>
      </c>
      <c r="J5" s="13">
        <f t="shared" si="3"/>
        <v>2.2680499549733536E-2</v>
      </c>
      <c r="K5" s="18">
        <f t="shared" si="4"/>
        <v>-6.0138328830668733E-3</v>
      </c>
      <c r="M5" s="17">
        <v>0</v>
      </c>
      <c r="N5" s="13">
        <f t="shared" si="0"/>
        <v>6.6666666666666666E-2</v>
      </c>
      <c r="O5" s="18">
        <f t="shared" si="5"/>
        <v>-0.05</v>
      </c>
      <c r="Q5" s="17">
        <f t="shared" si="8"/>
        <v>0.3723797780517879</v>
      </c>
      <c r="R5" s="13">
        <f t="shared" si="6"/>
        <v>-0.30571311138512125</v>
      </c>
      <c r="S5" s="18">
        <f t="shared" si="7"/>
        <v>0.32237977805178791</v>
      </c>
    </row>
    <row r="6" spans="1:19" ht="15.75" thickBot="1" x14ac:dyDescent="0.3">
      <c r="A6" s="3">
        <v>-2.64</v>
      </c>
      <c r="B6" s="27">
        <v>-0.06</v>
      </c>
      <c r="D6" s="34" t="s">
        <v>21</v>
      </c>
      <c r="E6" s="8">
        <f>MAX(A2:A100)</f>
        <v>9.6199999999999992</v>
      </c>
      <c r="G6" s="29">
        <f t="shared" si="1"/>
        <v>6.6666666666666666E-2</v>
      </c>
      <c r="I6" s="17">
        <f t="shared" si="2"/>
        <v>6.0174307915706778E-2</v>
      </c>
      <c r="J6" s="13">
        <f t="shared" si="3"/>
        <v>2.3159025417626551E-2</v>
      </c>
      <c r="K6" s="18">
        <f t="shared" si="4"/>
        <v>-6.4923587509598882E-3</v>
      </c>
      <c r="M6" s="17">
        <v>0</v>
      </c>
      <c r="N6" s="13">
        <f t="shared" si="0"/>
        <v>8.3333333333333329E-2</v>
      </c>
      <c r="O6" s="18">
        <f t="shared" si="5"/>
        <v>-6.6666666666666666E-2</v>
      </c>
      <c r="Q6" s="17">
        <f t="shared" si="8"/>
        <v>0.40320591861898891</v>
      </c>
      <c r="R6" s="13">
        <f t="shared" si="6"/>
        <v>-0.3198725852856556</v>
      </c>
      <c r="S6" s="18">
        <f t="shared" si="7"/>
        <v>0.33653925195232226</v>
      </c>
    </row>
    <row r="7" spans="1:19" ht="15.75" thickBot="1" x14ac:dyDescent="0.3">
      <c r="A7" s="3">
        <v>-0.06</v>
      </c>
      <c r="B7" s="27">
        <v>1.05</v>
      </c>
      <c r="G7" s="29">
        <f t="shared" si="1"/>
        <v>8.3333333333333329E-2</v>
      </c>
      <c r="I7" s="17">
        <f t="shared" si="2"/>
        <v>0.11238945358355032</v>
      </c>
      <c r="J7" s="13">
        <f t="shared" si="3"/>
        <v>-1.2389453583550314E-2</v>
      </c>
      <c r="K7" s="18">
        <f t="shared" si="4"/>
        <v>2.9056120250216991E-2</v>
      </c>
      <c r="M7" s="17">
        <f>1-EXP(-$E$4*B7)</f>
        <v>1.7347764334926796E-2</v>
      </c>
      <c r="N7" s="13">
        <f t="shared" si="0"/>
        <v>8.2652235665073209E-2</v>
      </c>
      <c r="O7" s="18">
        <f>M7-G7</f>
        <v>-6.5985568998406532E-2</v>
      </c>
      <c r="Q7" s="17">
        <f t="shared" si="8"/>
        <v>0.4716399506781751</v>
      </c>
      <c r="R7" s="13">
        <f t="shared" si="6"/>
        <v>-0.37163995067817512</v>
      </c>
      <c r="S7" s="18">
        <f t="shared" si="7"/>
        <v>0.38830661734484179</v>
      </c>
    </row>
    <row r="8" spans="1:19" x14ac:dyDescent="0.25">
      <c r="A8" s="3">
        <v>7.82</v>
      </c>
      <c r="B8" s="27">
        <v>1.18</v>
      </c>
      <c r="D8" s="1" t="s">
        <v>11</v>
      </c>
      <c r="E8" s="2">
        <v>0.1</v>
      </c>
      <c r="G8" s="29">
        <f t="shared" si="1"/>
        <v>0.1</v>
      </c>
      <c r="I8" s="17">
        <f t="shared" si="2"/>
        <v>0.12016356237165161</v>
      </c>
      <c r="J8" s="13">
        <f t="shared" si="3"/>
        <v>-3.4968957049849453E-3</v>
      </c>
      <c r="K8" s="18">
        <f t="shared" si="4"/>
        <v>2.0163562371651608E-2</v>
      </c>
      <c r="M8" s="17">
        <f>1-EXP(-$E$4*B8)</f>
        <v>1.9474539340609498E-2</v>
      </c>
      <c r="N8" s="13">
        <f t="shared" ref="N8:N61" si="9">G9-M8</f>
        <v>9.7192127326057171E-2</v>
      </c>
      <c r="O8" s="18">
        <f t="shared" ref="O8:O61" si="10">M8-G8</f>
        <v>-8.0525460659390508E-2</v>
      </c>
      <c r="Q8" s="17">
        <f t="shared" si="8"/>
        <v>0.47965474722564733</v>
      </c>
      <c r="R8" s="13">
        <f t="shared" si="6"/>
        <v>-0.36298808055898069</v>
      </c>
      <c r="S8" s="18">
        <f t="shared" si="7"/>
        <v>0.37965474722564729</v>
      </c>
    </row>
    <row r="9" spans="1:19" ht="15.75" thickBot="1" x14ac:dyDescent="0.3">
      <c r="A9" s="3">
        <v>3.38</v>
      </c>
      <c r="B9" s="27">
        <v>1.64</v>
      </c>
      <c r="D9" s="6" t="s">
        <v>3</v>
      </c>
      <c r="E9" s="8">
        <v>1.224</v>
      </c>
      <c r="G9" s="29">
        <f t="shared" si="1"/>
        <v>0.11666666666666667</v>
      </c>
      <c r="I9" s="17">
        <f t="shared" si="2"/>
        <v>0.15068032741156451</v>
      </c>
      <c r="J9" s="13">
        <f t="shared" si="3"/>
        <v>-1.7346994078231176E-2</v>
      </c>
      <c r="K9" s="18">
        <f t="shared" si="4"/>
        <v>3.4013660744897839E-2</v>
      </c>
      <c r="M9" s="17">
        <f t="shared" ref="M9:M61" si="11">1-EXP(-$E$4*B9)</f>
        <v>2.6963158153221367E-2</v>
      </c>
      <c r="N9" s="13">
        <f t="shared" si="9"/>
        <v>0.10637017518011196</v>
      </c>
      <c r="O9" s="18">
        <f t="shared" si="10"/>
        <v>-8.9703508513445301E-2</v>
      </c>
      <c r="Q9" s="17">
        <f t="shared" si="8"/>
        <v>0.50801479654747228</v>
      </c>
      <c r="R9" s="13">
        <f t="shared" si="6"/>
        <v>-0.37468146321413898</v>
      </c>
      <c r="S9" s="18">
        <f t="shared" si="7"/>
        <v>0.39134812988080558</v>
      </c>
    </row>
    <row r="10" spans="1:19" ht="15.75" thickBot="1" x14ac:dyDescent="0.3">
      <c r="A10" s="3">
        <v>6.53</v>
      </c>
      <c r="B10" s="27">
        <v>1.66</v>
      </c>
      <c r="G10" s="29">
        <f t="shared" si="1"/>
        <v>0.13333333333333333</v>
      </c>
      <c r="I10" s="17">
        <f t="shared" si="2"/>
        <v>0.15211496590604751</v>
      </c>
      <c r="J10" s="13">
        <f t="shared" si="3"/>
        <v>-2.1149659060475112E-3</v>
      </c>
      <c r="K10" s="18">
        <f t="shared" si="4"/>
        <v>1.8781632572714174E-2</v>
      </c>
      <c r="M10" s="17">
        <f>1-EXP(-$E$4*B10)</f>
        <v>2.7287449715573842E-2</v>
      </c>
      <c r="N10" s="13">
        <f t="shared" si="9"/>
        <v>0.12271255028442615</v>
      </c>
      <c r="O10" s="18">
        <f t="shared" si="10"/>
        <v>-0.10604588361775949</v>
      </c>
      <c r="Q10" s="17">
        <f t="shared" si="8"/>
        <v>0.50924784217016028</v>
      </c>
      <c r="R10" s="13">
        <f t="shared" si="6"/>
        <v>-0.35924784217016026</v>
      </c>
      <c r="S10" s="18">
        <f t="shared" si="7"/>
        <v>0.37591450883682698</v>
      </c>
    </row>
    <row r="11" spans="1:19" ht="15.75" thickBot="1" x14ac:dyDescent="0.3">
      <c r="A11" s="3">
        <v>5.15</v>
      </c>
      <c r="B11" s="27">
        <v>2.93</v>
      </c>
      <c r="D11" s="43" t="s">
        <v>12</v>
      </c>
      <c r="E11" s="44"/>
      <c r="G11" s="29">
        <f t="shared" si="1"/>
        <v>0.15</v>
      </c>
      <c r="I11" s="17">
        <f t="shared" si="2"/>
        <v>0.26138236909281443</v>
      </c>
      <c r="J11" s="13">
        <f t="shared" si="3"/>
        <v>-9.4715702426147769E-2</v>
      </c>
      <c r="K11" s="18">
        <f t="shared" si="4"/>
        <v>0.11138236909281443</v>
      </c>
      <c r="M11" s="17">
        <f t="shared" si="11"/>
        <v>4.7660160221072778E-2</v>
      </c>
      <c r="N11" s="13">
        <f t="shared" si="9"/>
        <v>0.11900650644559388</v>
      </c>
      <c r="O11" s="18">
        <f t="shared" si="10"/>
        <v>-0.10233983977892722</v>
      </c>
      <c r="Q11" s="17">
        <f t="shared" si="8"/>
        <v>0.58754623921085081</v>
      </c>
      <c r="R11" s="13">
        <f t="shared" si="6"/>
        <v>-0.42087957254418418</v>
      </c>
      <c r="S11" s="18">
        <f t="shared" si="7"/>
        <v>0.43754623921085078</v>
      </c>
    </row>
    <row r="12" spans="1:19" x14ac:dyDescent="0.25">
      <c r="A12" s="3">
        <v>1.64</v>
      </c>
      <c r="B12" s="27">
        <v>3.08</v>
      </c>
      <c r="D12" s="3" t="s">
        <v>13</v>
      </c>
      <c r="E12" s="5">
        <f>MAX(J2:J100)</f>
        <v>9.5018897894877052E-2</v>
      </c>
      <c r="G12" s="29">
        <f t="shared" si="1"/>
        <v>0.16666666666666666</v>
      </c>
      <c r="I12" s="17">
        <f t="shared" si="2"/>
        <v>0.27651514134156763</v>
      </c>
      <c r="J12" s="13">
        <f t="shared" si="3"/>
        <v>-9.3181808008234307E-2</v>
      </c>
      <c r="K12" s="18">
        <f t="shared" si="4"/>
        <v>0.10984847467490097</v>
      </c>
      <c r="M12" s="17">
        <f t="shared" si="11"/>
        <v>5.0038036237023187E-2</v>
      </c>
      <c r="N12" s="13">
        <f t="shared" si="9"/>
        <v>0.13329529709631013</v>
      </c>
      <c r="O12" s="18">
        <f t="shared" si="10"/>
        <v>-0.11662863042964347</v>
      </c>
      <c r="Q12" s="17">
        <f t="shared" si="8"/>
        <v>0.59679408138101109</v>
      </c>
      <c r="R12" s="13">
        <f t="shared" si="6"/>
        <v>-0.41346074804767774</v>
      </c>
      <c r="S12" s="18">
        <f t="shared" si="7"/>
        <v>0.43012741471434446</v>
      </c>
    </row>
    <row r="13" spans="1:19" x14ac:dyDescent="0.25">
      <c r="A13" s="3">
        <v>-0.56000000000000005</v>
      </c>
      <c r="B13" s="27">
        <v>3.29</v>
      </c>
      <c r="D13" s="3" t="s">
        <v>14</v>
      </c>
      <c r="E13" s="5">
        <f>MAX(K2:K100)</f>
        <v>0.11708234654085831</v>
      </c>
      <c r="G13" s="29">
        <f t="shared" si="1"/>
        <v>0.18333333333333332</v>
      </c>
      <c r="I13" s="17">
        <f t="shared" si="2"/>
        <v>0.29839723074954316</v>
      </c>
      <c r="J13" s="13">
        <f t="shared" si="3"/>
        <v>-9.8397230749543152E-2</v>
      </c>
      <c r="K13" s="18">
        <f t="shared" si="4"/>
        <v>0.11506389741620984</v>
      </c>
      <c r="M13" s="17">
        <f t="shared" si="11"/>
        <v>5.3357091375499821E-2</v>
      </c>
      <c r="N13" s="13">
        <f t="shared" si="9"/>
        <v>0.14664290862450019</v>
      </c>
      <c r="O13" s="18">
        <f t="shared" si="10"/>
        <v>-0.1299762419578335</v>
      </c>
      <c r="Q13" s="17">
        <f t="shared" si="8"/>
        <v>0.60974106041923559</v>
      </c>
      <c r="R13" s="13">
        <f t="shared" si="6"/>
        <v>-0.40974106041923558</v>
      </c>
      <c r="S13" s="18">
        <f t="shared" si="7"/>
        <v>0.42640772708590224</v>
      </c>
    </row>
    <row r="14" spans="1:19" x14ac:dyDescent="0.25">
      <c r="A14" s="3">
        <v>3.29</v>
      </c>
      <c r="B14" s="27">
        <v>3.38</v>
      </c>
      <c r="D14" s="3" t="s">
        <v>15</v>
      </c>
      <c r="E14" s="5">
        <f>MAX(E12:E13)</f>
        <v>0.11708234654085831</v>
      </c>
      <c r="G14" s="29">
        <f t="shared" si="1"/>
        <v>0.2</v>
      </c>
      <c r="I14" s="17">
        <f t="shared" si="2"/>
        <v>0.30801054090957825</v>
      </c>
      <c r="J14" s="13">
        <f t="shared" si="3"/>
        <v>-9.1343874242911571E-2</v>
      </c>
      <c r="K14" s="18">
        <f t="shared" si="4"/>
        <v>0.10801054090957823</v>
      </c>
      <c r="M14" s="17">
        <f t="shared" si="11"/>
        <v>5.4775991297451365E-2</v>
      </c>
      <c r="N14" s="13">
        <f t="shared" si="9"/>
        <v>0.16189067536921531</v>
      </c>
      <c r="O14" s="18">
        <f t="shared" si="10"/>
        <v>-0.14522400870254865</v>
      </c>
      <c r="Q14" s="17">
        <f t="shared" si="8"/>
        <v>0.61528976572133176</v>
      </c>
      <c r="R14" s="13">
        <f t="shared" si="6"/>
        <v>-0.39862309905466509</v>
      </c>
      <c r="S14" s="18">
        <f t="shared" si="7"/>
        <v>0.41528976572133175</v>
      </c>
    </row>
    <row r="15" spans="1:19" ht="15.75" thickBot="1" x14ac:dyDescent="0.3">
      <c r="A15" s="3">
        <v>1.18</v>
      </c>
      <c r="B15" s="27">
        <v>3.47</v>
      </c>
      <c r="D15" s="6" t="s">
        <v>16</v>
      </c>
      <c r="E15" s="8">
        <f>SQRT(COUNT($B$2:$B$100))*E14</f>
        <v>0.90691595657525959</v>
      </c>
      <c r="G15" s="29">
        <f t="shared" si="1"/>
        <v>0.21666666666666667</v>
      </c>
      <c r="I15" s="17">
        <f t="shared" si="2"/>
        <v>0.31775742985425004</v>
      </c>
      <c r="J15" s="13">
        <f t="shared" si="3"/>
        <v>-8.4424096520916703E-2</v>
      </c>
      <c r="K15" s="18">
        <f t="shared" si="4"/>
        <v>0.10109076318758337</v>
      </c>
      <c r="M15" s="17">
        <f t="shared" si="11"/>
        <v>5.6192764464984557E-2</v>
      </c>
      <c r="N15" s="13">
        <f t="shared" si="9"/>
        <v>0.17714056886834878</v>
      </c>
      <c r="O15" s="18">
        <f t="shared" si="10"/>
        <v>-0.16047390220168212</v>
      </c>
      <c r="Q15" s="17">
        <f t="shared" si="8"/>
        <v>0.62083847102342793</v>
      </c>
      <c r="R15" s="13">
        <f t="shared" si="6"/>
        <v>-0.38750513769009459</v>
      </c>
      <c r="S15" s="18">
        <f t="shared" si="7"/>
        <v>0.40417180435676126</v>
      </c>
    </row>
    <row r="16" spans="1:19" ht="15.75" thickBot="1" x14ac:dyDescent="0.3">
      <c r="A16" s="3">
        <v>9.14</v>
      </c>
      <c r="B16" s="27">
        <v>3.72</v>
      </c>
      <c r="G16" s="29">
        <f t="shared" si="1"/>
        <v>0.23333333333333334</v>
      </c>
      <c r="I16" s="17">
        <f t="shared" si="2"/>
        <v>0.34548500903518803</v>
      </c>
      <c r="J16" s="13">
        <f t="shared" si="3"/>
        <v>-9.5485009035188029E-2</v>
      </c>
      <c r="K16" s="18">
        <f t="shared" si="4"/>
        <v>0.11215167570185469</v>
      </c>
      <c r="M16" s="17">
        <f t="shared" si="11"/>
        <v>6.011711320891111E-2</v>
      </c>
      <c r="N16" s="13">
        <f t="shared" si="9"/>
        <v>0.18988288679108889</v>
      </c>
      <c r="O16" s="18">
        <f t="shared" si="10"/>
        <v>-0.17321622012442223</v>
      </c>
      <c r="Q16" s="17">
        <f t="shared" si="8"/>
        <v>0.63625154130702843</v>
      </c>
      <c r="R16" s="13">
        <f t="shared" si="6"/>
        <v>-0.38625154130702843</v>
      </c>
      <c r="S16" s="18">
        <f t="shared" si="7"/>
        <v>0.4029182079736951</v>
      </c>
    </row>
    <row r="17" spans="1:19" ht="15.75" thickBot="1" x14ac:dyDescent="0.3">
      <c r="A17" s="3">
        <v>1.66</v>
      </c>
      <c r="B17" s="27">
        <v>3.73</v>
      </c>
      <c r="D17" s="41" t="s">
        <v>17</v>
      </c>
      <c r="E17" s="42"/>
      <c r="G17" s="29">
        <f t="shared" si="1"/>
        <v>0.25</v>
      </c>
      <c r="I17" s="17">
        <f t="shared" si="2"/>
        <v>0.34661282110831726</v>
      </c>
      <c r="J17" s="13">
        <f t="shared" si="3"/>
        <v>-7.9946154441650596E-2</v>
      </c>
      <c r="K17" s="18">
        <f t="shared" si="4"/>
        <v>9.6612821108317259E-2</v>
      </c>
      <c r="M17" s="17">
        <f t="shared" si="11"/>
        <v>6.0273747303505765E-2</v>
      </c>
      <c r="N17" s="13">
        <f t="shared" si="9"/>
        <v>0.2063929193631609</v>
      </c>
      <c r="O17" s="18">
        <f t="shared" si="10"/>
        <v>-0.18972625269649424</v>
      </c>
      <c r="Q17" s="17">
        <f t="shared" si="8"/>
        <v>0.63686806411837238</v>
      </c>
      <c r="R17" s="13">
        <f t="shared" si="6"/>
        <v>-0.37020139745170572</v>
      </c>
      <c r="S17" s="18">
        <f t="shared" si="7"/>
        <v>0.38686806411837238</v>
      </c>
    </row>
    <row r="18" spans="1:19" x14ac:dyDescent="0.25">
      <c r="A18" s="3">
        <v>7.25</v>
      </c>
      <c r="B18" s="27">
        <v>3.8</v>
      </c>
      <c r="D18" s="3" t="s">
        <v>13</v>
      </c>
      <c r="E18" s="5">
        <f>MAX(N7:N61)</f>
        <v>0.85185978837261789</v>
      </c>
      <c r="G18" s="29">
        <f t="shared" si="1"/>
        <v>0.26666666666666666</v>
      </c>
      <c r="I18" s="17">
        <f t="shared" si="2"/>
        <v>0.35454511539904143</v>
      </c>
      <c r="J18" s="13">
        <f t="shared" si="3"/>
        <v>-7.1211782065708107E-2</v>
      </c>
      <c r="K18" s="18">
        <f t="shared" si="4"/>
        <v>8.787844873237477E-2</v>
      </c>
      <c r="M18" s="17">
        <f t="shared" si="11"/>
        <v>6.1369455311032328E-2</v>
      </c>
      <c r="N18" s="13">
        <f t="shared" si="9"/>
        <v>0.221963878022301</v>
      </c>
      <c r="O18" s="18">
        <f t="shared" si="10"/>
        <v>-0.20529721135563433</v>
      </c>
      <c r="Q18" s="17">
        <f t="shared" si="8"/>
        <v>0.64118372379778044</v>
      </c>
      <c r="R18" s="13">
        <f t="shared" si="6"/>
        <v>-0.35785039046444711</v>
      </c>
      <c r="S18" s="18">
        <f t="shared" si="7"/>
        <v>0.37451705713111377</v>
      </c>
    </row>
    <row r="19" spans="1:19" x14ac:dyDescent="0.25">
      <c r="A19" s="3">
        <v>5.71</v>
      </c>
      <c r="B19" s="27">
        <v>3.82</v>
      </c>
      <c r="D19" s="3" t="s">
        <v>14</v>
      </c>
      <c r="E19" s="5">
        <f>MAX(O7:O61)</f>
        <v>-6.5985568998406532E-2</v>
      </c>
      <c r="G19" s="29">
        <f t="shared" si="1"/>
        <v>0.28333333333333333</v>
      </c>
      <c r="I19" s="17">
        <f t="shared" si="2"/>
        <v>0.35682330278488561</v>
      </c>
      <c r="J19" s="13">
        <f t="shared" si="3"/>
        <v>-5.6823302784885621E-2</v>
      </c>
      <c r="K19" s="18">
        <f t="shared" si="4"/>
        <v>7.3489969451552284E-2</v>
      </c>
      <c r="M19" s="17">
        <f t="shared" si="11"/>
        <v>6.1682280018914071E-2</v>
      </c>
      <c r="N19" s="13">
        <f t="shared" si="9"/>
        <v>0.23831771998108592</v>
      </c>
      <c r="O19" s="18">
        <f t="shared" si="10"/>
        <v>-0.22165105331441926</v>
      </c>
      <c r="Q19" s="17">
        <f t="shared" si="8"/>
        <v>0.64241676942046855</v>
      </c>
      <c r="R19" s="13">
        <f t="shared" si="6"/>
        <v>-0.34241676942046856</v>
      </c>
      <c r="S19" s="18">
        <f t="shared" si="7"/>
        <v>0.35908343608713522</v>
      </c>
    </row>
    <row r="20" spans="1:19" x14ac:dyDescent="0.25">
      <c r="A20" s="3">
        <v>-5.24</v>
      </c>
      <c r="B20" s="27">
        <v>3.84</v>
      </c>
      <c r="D20" s="3" t="s">
        <v>15</v>
      </c>
      <c r="E20" s="5">
        <f>MAX(E18:E19)</f>
        <v>0.85185978837261789</v>
      </c>
      <c r="G20" s="29">
        <f t="shared" si="1"/>
        <v>0.3</v>
      </c>
      <c r="I20" s="17">
        <f t="shared" si="2"/>
        <v>0.35910660826753871</v>
      </c>
      <c r="J20" s="13">
        <f t="shared" si="3"/>
        <v>-4.2439941600872055E-2</v>
      </c>
      <c r="K20" s="18">
        <f t="shared" si="4"/>
        <v>5.9106608267538718E-2</v>
      </c>
      <c r="M20" s="17">
        <f t="shared" si="11"/>
        <v>6.1995000469270534E-2</v>
      </c>
      <c r="N20" s="13">
        <f t="shared" si="9"/>
        <v>0.25467166619739612</v>
      </c>
      <c r="O20" s="18">
        <f t="shared" si="10"/>
        <v>-0.23800499953072946</v>
      </c>
      <c r="Q20" s="17">
        <f t="shared" si="8"/>
        <v>0.64364981504315666</v>
      </c>
      <c r="R20" s="13">
        <f t="shared" si="6"/>
        <v>-0.32698314837649001</v>
      </c>
      <c r="S20" s="18">
        <f t="shared" si="7"/>
        <v>0.34364981504315667</v>
      </c>
    </row>
    <row r="21" spans="1:19" ht="15.75" thickBot="1" x14ac:dyDescent="0.3">
      <c r="A21" s="3">
        <v>6.73</v>
      </c>
      <c r="B21" s="27">
        <v>3.96</v>
      </c>
      <c r="D21" s="6" t="s">
        <v>16</v>
      </c>
      <c r="E21" s="8">
        <f>SQRT(COUNT($B$2:$B$100))*E20</f>
        <v>6.5984775473418473</v>
      </c>
      <c r="G21" s="29">
        <f t="shared" si="1"/>
        <v>0.31666666666666665</v>
      </c>
      <c r="I21" s="17">
        <f t="shared" si="2"/>
        <v>0.37290973536611649</v>
      </c>
      <c r="J21" s="13">
        <f t="shared" si="3"/>
        <v>-3.9576402032783176E-2</v>
      </c>
      <c r="K21" s="18">
        <f t="shared" si="4"/>
        <v>5.6243068699449839E-2</v>
      </c>
      <c r="M21" s="17">
        <f t="shared" si="11"/>
        <v>6.3869135708381153E-2</v>
      </c>
      <c r="N21" s="13">
        <f t="shared" si="9"/>
        <v>0.26946419762495216</v>
      </c>
      <c r="O21" s="18">
        <f t="shared" si="10"/>
        <v>-0.2527975309582855</v>
      </c>
      <c r="Q21" s="17">
        <f t="shared" si="8"/>
        <v>0.65104808877928477</v>
      </c>
      <c r="R21" s="13">
        <f t="shared" si="6"/>
        <v>-0.31771475544595146</v>
      </c>
      <c r="S21" s="18">
        <f t="shared" si="7"/>
        <v>0.33438142211261812</v>
      </c>
    </row>
    <row r="22" spans="1:19" ht="15.75" thickBot="1" x14ac:dyDescent="0.3">
      <c r="A22" s="3">
        <v>6</v>
      </c>
      <c r="B22" s="27">
        <v>4.04</v>
      </c>
      <c r="G22" s="29">
        <f t="shared" si="1"/>
        <v>0.33333333333333331</v>
      </c>
      <c r="I22" s="17">
        <f t="shared" si="2"/>
        <v>0.38220459919107991</v>
      </c>
      <c r="J22" s="13">
        <f t="shared" si="3"/>
        <v>-3.220459919107993E-2</v>
      </c>
      <c r="K22" s="18">
        <f t="shared" si="4"/>
        <v>4.8871265857746593E-2</v>
      </c>
      <c r="M22" s="17">
        <f t="shared" si="11"/>
        <v>6.5116478447485693E-2</v>
      </c>
      <c r="N22" s="13">
        <f t="shared" si="9"/>
        <v>0.28488352155251428</v>
      </c>
      <c r="O22" s="18">
        <f t="shared" si="10"/>
        <v>-0.26821685488584762</v>
      </c>
      <c r="Q22" s="17">
        <f t="shared" si="8"/>
        <v>0.65598027127003711</v>
      </c>
      <c r="R22" s="13">
        <f t="shared" si="6"/>
        <v>-0.30598027127003713</v>
      </c>
      <c r="S22" s="18">
        <f t="shared" si="7"/>
        <v>0.32264693793670379</v>
      </c>
    </row>
    <row r="23" spans="1:19" ht="15.75" thickBot="1" x14ac:dyDescent="0.3">
      <c r="A23" s="3">
        <v>3.47</v>
      </c>
      <c r="B23" s="27">
        <v>4.75</v>
      </c>
      <c r="D23" s="41" t="s">
        <v>18</v>
      </c>
      <c r="E23" s="42"/>
      <c r="G23" s="29">
        <f t="shared" si="1"/>
        <v>0.35</v>
      </c>
      <c r="I23" s="17">
        <f t="shared" si="2"/>
        <v>0.46708234654085828</v>
      </c>
      <c r="J23" s="13">
        <f t="shared" si="3"/>
        <v>-0.10041567987419164</v>
      </c>
      <c r="K23" s="18">
        <f t="shared" si="4"/>
        <v>0.11708234654085831</v>
      </c>
      <c r="M23" s="17">
        <f t="shared" si="11"/>
        <v>7.6114069375812443E-2</v>
      </c>
      <c r="N23" s="13">
        <f t="shared" si="9"/>
        <v>0.2905525972908542</v>
      </c>
      <c r="O23" s="18">
        <f t="shared" si="10"/>
        <v>-0.27388593062418753</v>
      </c>
      <c r="Q23" s="17">
        <f t="shared" si="8"/>
        <v>0.6997533908754624</v>
      </c>
      <c r="R23" s="13">
        <f t="shared" si="6"/>
        <v>-0.33308672420879576</v>
      </c>
      <c r="S23" s="18">
        <f t="shared" si="7"/>
        <v>0.34975339087546242</v>
      </c>
    </row>
    <row r="24" spans="1:19" x14ac:dyDescent="0.25">
      <c r="A24" s="3">
        <v>7.28</v>
      </c>
      <c r="B24" s="27">
        <v>4.7699999999999996</v>
      </c>
      <c r="D24" s="3" t="s">
        <v>13</v>
      </c>
      <c r="E24" s="5">
        <f>MAX(R2:R100)</f>
        <v>1.9667077681874146E-2</v>
      </c>
      <c r="G24" s="29">
        <f t="shared" si="1"/>
        <v>0.36666666666666664</v>
      </c>
      <c r="I24" s="17">
        <f t="shared" si="2"/>
        <v>0.46951424827428001</v>
      </c>
      <c r="J24" s="13">
        <f t="shared" si="3"/>
        <v>-8.6180914940946651E-2</v>
      </c>
      <c r="K24" s="18">
        <f t="shared" si="4"/>
        <v>0.10284758160761337</v>
      </c>
      <c r="M24" s="17">
        <f t="shared" si="11"/>
        <v>7.6421980031393555E-2</v>
      </c>
      <c r="N24" s="13">
        <f t="shared" si="9"/>
        <v>0.3069113533019398</v>
      </c>
      <c r="O24" s="18">
        <f t="shared" si="10"/>
        <v>-0.29024468663527309</v>
      </c>
      <c r="Q24" s="17">
        <f t="shared" si="8"/>
        <v>0.7009864364981504</v>
      </c>
      <c r="R24" s="13">
        <f t="shared" si="6"/>
        <v>-0.31765310316481704</v>
      </c>
      <c r="S24" s="18">
        <f t="shared" si="7"/>
        <v>0.33431976983148376</v>
      </c>
    </row>
    <row r="25" spans="1:19" x14ac:dyDescent="0.25">
      <c r="A25" s="3">
        <v>3.82</v>
      </c>
      <c r="B25" s="27">
        <v>4.82</v>
      </c>
      <c r="D25" s="3" t="s">
        <v>14</v>
      </c>
      <c r="E25" s="5">
        <f>MAX(S2:S100)</f>
        <v>0.43754623921085078</v>
      </c>
      <c r="G25" s="29">
        <f t="shared" si="1"/>
        <v>0.38333333333333336</v>
      </c>
      <c r="I25" s="17">
        <f t="shared" si="2"/>
        <v>0.47559878251016335</v>
      </c>
      <c r="J25" s="13">
        <f t="shared" si="3"/>
        <v>-7.5598782510163332E-2</v>
      </c>
      <c r="K25" s="18">
        <f t="shared" si="4"/>
        <v>9.2265449176829994E-2</v>
      </c>
      <c r="M25" s="17">
        <f t="shared" si="11"/>
        <v>7.7191307783616048E-2</v>
      </c>
      <c r="N25" s="13">
        <f t="shared" si="9"/>
        <v>0.32280869221638397</v>
      </c>
      <c r="O25" s="18">
        <f t="shared" si="10"/>
        <v>-0.30614202554971731</v>
      </c>
      <c r="Q25" s="17">
        <f t="shared" si="8"/>
        <v>0.70406905055487057</v>
      </c>
      <c r="R25" s="13">
        <f t="shared" si="6"/>
        <v>-0.30406905055487055</v>
      </c>
      <c r="S25" s="18">
        <f t="shared" si="7"/>
        <v>0.32073571722153721</v>
      </c>
    </row>
    <row r="26" spans="1:19" x14ac:dyDescent="0.25">
      <c r="A26" s="3">
        <v>5.25</v>
      </c>
      <c r="B26" s="27">
        <v>5.15</v>
      </c>
      <c r="D26" s="3" t="s">
        <v>15</v>
      </c>
      <c r="E26" s="5">
        <f>MAX(E24:E25)</f>
        <v>0.43754623921085078</v>
      </c>
      <c r="G26" s="29">
        <f t="shared" si="1"/>
        <v>0.4</v>
      </c>
      <c r="I26" s="17">
        <f t="shared" si="2"/>
        <v>0.51583299052511378</v>
      </c>
      <c r="J26" s="13">
        <f t="shared" si="3"/>
        <v>-9.9166323858447092E-2</v>
      </c>
      <c r="K26" s="18">
        <f t="shared" si="4"/>
        <v>0.11583299052511375</v>
      </c>
      <c r="M26" s="17">
        <f t="shared" si="11"/>
        <v>8.2252823662906649E-2</v>
      </c>
      <c r="N26" s="13">
        <f t="shared" si="9"/>
        <v>0.33441384300376004</v>
      </c>
      <c r="O26" s="18">
        <f t="shared" si="10"/>
        <v>-0.31774717633709337</v>
      </c>
      <c r="Q26" s="17">
        <f t="shared" si="8"/>
        <v>0.72441430332922319</v>
      </c>
      <c r="R26" s="13">
        <f t="shared" si="6"/>
        <v>-0.3077476366625565</v>
      </c>
      <c r="S26" s="18">
        <f t="shared" si="7"/>
        <v>0.32441430332922316</v>
      </c>
    </row>
    <row r="27" spans="1:19" ht="15.75" thickBot="1" x14ac:dyDescent="0.3">
      <c r="A27" s="3">
        <v>4.7699999999999996</v>
      </c>
      <c r="B27" s="27">
        <v>5.24</v>
      </c>
      <c r="D27" s="6" t="s">
        <v>16</v>
      </c>
      <c r="E27" s="8">
        <f>SQRT(COUNT($B$2:$B$100))*E26</f>
        <v>3.3892185953186238</v>
      </c>
      <c r="G27" s="29">
        <f t="shared" si="1"/>
        <v>0.41666666666666669</v>
      </c>
      <c r="I27" s="17">
        <f t="shared" si="2"/>
        <v>0.52679522570293413</v>
      </c>
      <c r="J27" s="13">
        <f t="shared" si="3"/>
        <v>-9.3461892369600785E-2</v>
      </c>
      <c r="K27" s="18">
        <f t="shared" si="4"/>
        <v>0.11012855903626745</v>
      </c>
      <c r="M27" s="17">
        <f t="shared" si="11"/>
        <v>8.3628412477878111E-2</v>
      </c>
      <c r="N27" s="13">
        <f t="shared" si="9"/>
        <v>0.34970492085545524</v>
      </c>
      <c r="O27" s="18">
        <f t="shared" si="10"/>
        <v>-0.33303825418878857</v>
      </c>
      <c r="Q27" s="17">
        <f t="shared" si="8"/>
        <v>0.72996300863131935</v>
      </c>
      <c r="R27" s="13">
        <f t="shared" si="6"/>
        <v>-0.29662967529798601</v>
      </c>
      <c r="S27" s="18">
        <f t="shared" si="7"/>
        <v>0.31329634196465267</v>
      </c>
    </row>
    <row r="28" spans="1:19" x14ac:dyDescent="0.25">
      <c r="A28" s="3">
        <v>3.96</v>
      </c>
      <c r="B28" s="27">
        <v>5.25</v>
      </c>
      <c r="G28" s="29">
        <f t="shared" si="1"/>
        <v>0.43333333333333335</v>
      </c>
      <c r="I28" s="17">
        <f t="shared" si="2"/>
        <v>0.52801215240563537</v>
      </c>
      <c r="J28" s="13">
        <f t="shared" si="3"/>
        <v>-7.801215240563536E-2</v>
      </c>
      <c r="K28" s="18">
        <f t="shared" si="4"/>
        <v>9.4678819072302023E-2</v>
      </c>
      <c r="M28" s="17">
        <f t="shared" si="11"/>
        <v>8.3781128349122325E-2</v>
      </c>
      <c r="N28" s="13">
        <f t="shared" si="9"/>
        <v>0.36621887165087769</v>
      </c>
      <c r="O28" s="18">
        <f t="shared" si="10"/>
        <v>-0.34955220498421102</v>
      </c>
      <c r="Q28" s="17">
        <f t="shared" si="8"/>
        <v>0.73057953144266341</v>
      </c>
      <c r="R28" s="13">
        <f t="shared" si="6"/>
        <v>-0.2805795314426634</v>
      </c>
      <c r="S28" s="18">
        <f t="shared" si="7"/>
        <v>0.29724619810933006</v>
      </c>
    </row>
    <row r="29" spans="1:19" x14ac:dyDescent="0.25">
      <c r="A29" s="3">
        <v>9.6199999999999992</v>
      </c>
      <c r="B29" s="27">
        <v>5.45</v>
      </c>
      <c r="G29" s="29">
        <f t="shared" si="1"/>
        <v>0.45</v>
      </c>
      <c r="I29" s="17">
        <f t="shared" si="2"/>
        <v>0.55228078359420241</v>
      </c>
      <c r="J29" s="13">
        <f t="shared" si="3"/>
        <v>-8.5614116927535733E-2</v>
      </c>
      <c r="K29" s="18">
        <f t="shared" si="4"/>
        <v>0.1022807835942024</v>
      </c>
      <c r="M29" s="17">
        <f t="shared" si="11"/>
        <v>8.6830106800744877E-2</v>
      </c>
      <c r="N29" s="13">
        <f t="shared" si="9"/>
        <v>0.3798365598659218</v>
      </c>
      <c r="O29" s="18">
        <f t="shared" si="10"/>
        <v>-0.36316989319925513</v>
      </c>
      <c r="Q29" s="17">
        <f t="shared" si="8"/>
        <v>0.74290998766954386</v>
      </c>
      <c r="R29" s="13">
        <f t="shared" si="6"/>
        <v>-0.27624332100287718</v>
      </c>
      <c r="S29" s="18">
        <f t="shared" si="7"/>
        <v>0.29290998766954385</v>
      </c>
    </row>
    <row r="30" spans="1:19" x14ac:dyDescent="0.25">
      <c r="A30" s="3">
        <v>5.94</v>
      </c>
      <c r="B30" s="27">
        <v>5.48</v>
      </c>
      <c r="G30" s="29">
        <f t="shared" si="1"/>
        <v>0.46666666666666667</v>
      </c>
      <c r="I30" s="17">
        <f t="shared" si="2"/>
        <v>0.55590649708205964</v>
      </c>
      <c r="J30" s="13">
        <f t="shared" si="3"/>
        <v>-7.2573163748726299E-2</v>
      </c>
      <c r="K30" s="18">
        <f t="shared" si="4"/>
        <v>8.9239830415392962E-2</v>
      </c>
      <c r="M30" s="17">
        <f t="shared" si="11"/>
        <v>8.7286577620129924E-2</v>
      </c>
      <c r="N30" s="13">
        <f t="shared" si="9"/>
        <v>0.39604675571320341</v>
      </c>
      <c r="O30" s="18">
        <f t="shared" si="10"/>
        <v>-0.37938008904653675</v>
      </c>
      <c r="Q30" s="17">
        <f t="shared" si="8"/>
        <v>0.74475955610357591</v>
      </c>
      <c r="R30" s="13">
        <f t="shared" si="6"/>
        <v>-0.26142622277024258</v>
      </c>
      <c r="S30" s="18">
        <f t="shared" si="7"/>
        <v>0.27809288943690924</v>
      </c>
    </row>
    <row r="31" spans="1:19" x14ac:dyDescent="0.25">
      <c r="A31" s="3">
        <v>5.53</v>
      </c>
      <c r="B31" s="27">
        <v>5.53</v>
      </c>
      <c r="G31" s="29">
        <f t="shared" si="1"/>
        <v>0.48333333333333334</v>
      </c>
      <c r="I31" s="17">
        <f t="shared" si="2"/>
        <v>0.56193882117106297</v>
      </c>
      <c r="J31" s="13">
        <f t="shared" si="3"/>
        <v>-6.1938821171062974E-2</v>
      </c>
      <c r="K31" s="18">
        <f t="shared" si="4"/>
        <v>7.8605487837729637E-2</v>
      </c>
      <c r="M31" s="17">
        <f t="shared" si="11"/>
        <v>8.804685531241041E-2</v>
      </c>
      <c r="N31" s="13">
        <f t="shared" si="9"/>
        <v>0.41195314468758959</v>
      </c>
      <c r="O31" s="18">
        <f t="shared" si="10"/>
        <v>-0.39528647802092293</v>
      </c>
      <c r="Q31" s="17">
        <f t="shared" si="8"/>
        <v>0.74784217016029597</v>
      </c>
      <c r="R31" s="13">
        <f t="shared" si="6"/>
        <v>-0.24784217016029597</v>
      </c>
      <c r="S31" s="18">
        <f t="shared" si="7"/>
        <v>0.26450883682696263</v>
      </c>
    </row>
    <row r="32" spans="1:19" x14ac:dyDescent="0.25">
      <c r="A32" s="3">
        <v>1.05</v>
      </c>
      <c r="B32" s="27">
        <v>5.71</v>
      </c>
      <c r="G32" s="29">
        <f t="shared" si="1"/>
        <v>0.5</v>
      </c>
      <c r="I32" s="17">
        <f t="shared" si="2"/>
        <v>0.5835265059368796</v>
      </c>
      <c r="J32" s="13">
        <f t="shared" si="3"/>
        <v>-6.6859839270212884E-2</v>
      </c>
      <c r="K32" s="18">
        <f t="shared" si="4"/>
        <v>8.3526505936879603E-2</v>
      </c>
      <c r="M32" s="17">
        <f t="shared" si="11"/>
        <v>9.0778615058035306E-2</v>
      </c>
      <c r="N32" s="13">
        <f t="shared" si="9"/>
        <v>0.42588805160863141</v>
      </c>
      <c r="O32" s="18">
        <f t="shared" si="10"/>
        <v>-0.40922138494196469</v>
      </c>
      <c r="Q32" s="17">
        <f t="shared" si="8"/>
        <v>0.75893958076448831</v>
      </c>
      <c r="R32" s="13">
        <f t="shared" si="6"/>
        <v>-0.24227291409782159</v>
      </c>
      <c r="S32" s="18">
        <f t="shared" si="7"/>
        <v>0.25893958076448831</v>
      </c>
    </row>
    <row r="33" spans="1:19" x14ac:dyDescent="0.25">
      <c r="A33" s="3">
        <v>5.48</v>
      </c>
      <c r="B33" s="27">
        <v>5.94</v>
      </c>
      <c r="G33" s="29">
        <f t="shared" si="1"/>
        <v>0.51666666666666672</v>
      </c>
      <c r="I33" s="17">
        <f t="shared" si="2"/>
        <v>0.61074001284415846</v>
      </c>
      <c r="J33" s="13">
        <f t="shared" si="3"/>
        <v>-7.7406679510825138E-2</v>
      </c>
      <c r="K33" s="18">
        <f t="shared" si="4"/>
        <v>9.4073346177491746E-2</v>
      </c>
      <c r="M33" s="17">
        <f t="shared" si="11"/>
        <v>9.4257291976451496E-2</v>
      </c>
      <c r="N33" s="13">
        <f t="shared" si="9"/>
        <v>0.43907604135688183</v>
      </c>
      <c r="O33" s="18">
        <f t="shared" si="10"/>
        <v>-0.42240937469021522</v>
      </c>
      <c r="Q33" s="17">
        <f t="shared" si="8"/>
        <v>0.7731196054254007</v>
      </c>
      <c r="R33" s="13">
        <f t="shared" si="6"/>
        <v>-0.23978627209206738</v>
      </c>
      <c r="S33" s="18">
        <f t="shared" si="7"/>
        <v>0.25645293875873398</v>
      </c>
    </row>
    <row r="34" spans="1:19" x14ac:dyDescent="0.25">
      <c r="A34" s="3">
        <v>4.75</v>
      </c>
      <c r="B34" s="27">
        <v>5.99</v>
      </c>
      <c r="G34" s="29">
        <f t="shared" si="1"/>
        <v>0.53333333333333333</v>
      </c>
      <c r="I34" s="17">
        <f t="shared" ref="I34:I61" si="12">_xlfn.NORM.DIST(B34, $E$2, $E$3, 1)</f>
        <v>0.61658971954835462</v>
      </c>
      <c r="J34" s="13">
        <f t="shared" ref="J34:J61" si="13">G35-I34</f>
        <v>-6.6589719548354576E-2</v>
      </c>
      <c r="K34" s="18">
        <f t="shared" ref="K34:K61" si="14">I34-G34</f>
        <v>8.3256386215021294E-2</v>
      </c>
      <c r="M34" s="17">
        <f t="shared" si="11"/>
        <v>9.501176315981652E-2</v>
      </c>
      <c r="N34" s="13">
        <f t="shared" si="9"/>
        <v>0.45498823684018352</v>
      </c>
      <c r="O34" s="18">
        <f t="shared" si="10"/>
        <v>-0.43832157017351681</v>
      </c>
      <c r="Q34" s="17">
        <f t="shared" si="8"/>
        <v>0.77620221948212087</v>
      </c>
      <c r="R34" s="13">
        <f t="shared" si="6"/>
        <v>-0.22620221948212083</v>
      </c>
      <c r="S34" s="18">
        <f t="shared" si="7"/>
        <v>0.24286888614878754</v>
      </c>
    </row>
    <row r="35" spans="1:19" x14ac:dyDescent="0.25">
      <c r="A35" s="3">
        <v>6.65</v>
      </c>
      <c r="B35" s="27">
        <v>6</v>
      </c>
      <c r="G35" s="29">
        <f t="shared" si="1"/>
        <v>0.55000000000000004</v>
      </c>
      <c r="I35" s="17">
        <f t="shared" si="12"/>
        <v>0.61775652561754812</v>
      </c>
      <c r="J35" s="13">
        <f t="shared" si="13"/>
        <v>-5.1089858950881473E-2</v>
      </c>
      <c r="K35" s="18">
        <f t="shared" si="14"/>
        <v>6.775652561754808E-2</v>
      </c>
      <c r="M35" s="17">
        <f t="shared" si="11"/>
        <v>9.5162581964040482E-2</v>
      </c>
      <c r="N35" s="13">
        <f t="shared" si="9"/>
        <v>0.47150408470262617</v>
      </c>
      <c r="O35" s="18">
        <f t="shared" si="10"/>
        <v>-0.45483741803595956</v>
      </c>
      <c r="Q35" s="17">
        <f t="shared" si="8"/>
        <v>0.77681874229346493</v>
      </c>
      <c r="R35" s="13">
        <f t="shared" si="6"/>
        <v>-0.21015207562679827</v>
      </c>
      <c r="S35" s="18">
        <f t="shared" si="7"/>
        <v>0.22681874229346488</v>
      </c>
    </row>
    <row r="36" spans="1:19" x14ac:dyDescent="0.25">
      <c r="A36" s="3">
        <v>7.57</v>
      </c>
      <c r="B36" s="27">
        <v>6.18</v>
      </c>
      <c r="G36" s="29">
        <f t="shared" si="1"/>
        <v>0.56666666666666665</v>
      </c>
      <c r="I36" s="17">
        <f t="shared" si="12"/>
        <v>0.63856686076238756</v>
      </c>
      <c r="J36" s="13">
        <f t="shared" si="13"/>
        <v>-5.5233527429054186E-2</v>
      </c>
      <c r="K36" s="18">
        <f t="shared" si="14"/>
        <v>7.1900194095720904E-2</v>
      </c>
      <c r="M36" s="17">
        <f t="shared" si="11"/>
        <v>9.7873026518483508E-2</v>
      </c>
      <c r="N36" s="13">
        <f t="shared" si="9"/>
        <v>0.48546030681484986</v>
      </c>
      <c r="O36" s="18">
        <f t="shared" si="10"/>
        <v>-0.46879364014818314</v>
      </c>
      <c r="Q36" s="17">
        <f t="shared" si="8"/>
        <v>0.78791615289765726</v>
      </c>
      <c r="R36" s="13">
        <f t="shared" si="6"/>
        <v>-0.20458281956432389</v>
      </c>
      <c r="S36" s="18">
        <f t="shared" si="7"/>
        <v>0.22124948623099061</v>
      </c>
    </row>
    <row r="37" spans="1:19" x14ac:dyDescent="0.25">
      <c r="A37" s="3">
        <v>7.54</v>
      </c>
      <c r="B37" s="27">
        <v>6.38</v>
      </c>
      <c r="G37" s="29">
        <f t="shared" si="1"/>
        <v>0.58333333333333337</v>
      </c>
      <c r="I37" s="17">
        <f t="shared" si="12"/>
        <v>0.66121549152726389</v>
      </c>
      <c r="J37" s="13">
        <f t="shared" si="13"/>
        <v>-6.121549152726391E-2</v>
      </c>
      <c r="K37" s="18">
        <f t="shared" si="14"/>
        <v>7.7882158193930517E-2</v>
      </c>
      <c r="M37" s="17">
        <f t="shared" si="11"/>
        <v>0.10087511017761674</v>
      </c>
      <c r="N37" s="13">
        <f t="shared" si="9"/>
        <v>0.49912488982238323</v>
      </c>
      <c r="O37" s="18">
        <f t="shared" si="10"/>
        <v>-0.48245822315571663</v>
      </c>
      <c r="Q37" s="17">
        <f t="shared" si="8"/>
        <v>0.80024660912453771</v>
      </c>
      <c r="R37" s="13">
        <f t="shared" si="6"/>
        <v>-0.20024660912453773</v>
      </c>
      <c r="S37" s="18">
        <f t="shared" si="7"/>
        <v>0.21691327579120434</v>
      </c>
    </row>
    <row r="38" spans="1:19" x14ac:dyDescent="0.25">
      <c r="A38" s="3">
        <v>4.04</v>
      </c>
      <c r="B38" s="27">
        <v>6.45</v>
      </c>
      <c r="G38" s="29">
        <f t="shared" si="1"/>
        <v>0.6</v>
      </c>
      <c r="I38" s="17">
        <f t="shared" si="12"/>
        <v>0.66901173503005973</v>
      </c>
      <c r="J38" s="13">
        <f t="shared" si="13"/>
        <v>-5.2345068363393032E-2</v>
      </c>
      <c r="K38" s="18">
        <f t="shared" si="14"/>
        <v>6.9011735030059751E-2</v>
      </c>
      <c r="M38" s="17">
        <f t="shared" si="11"/>
        <v>0.10192347754919739</v>
      </c>
      <c r="N38" s="13">
        <f t="shared" si="9"/>
        <v>0.5147431891174693</v>
      </c>
      <c r="O38" s="18">
        <f t="shared" si="10"/>
        <v>-0.49807652245080258</v>
      </c>
      <c r="Q38" s="17">
        <f t="shared" si="8"/>
        <v>0.80456226880394588</v>
      </c>
      <c r="R38" s="13">
        <f t="shared" si="6"/>
        <v>-0.18789560213727918</v>
      </c>
      <c r="S38" s="18">
        <f t="shared" si="7"/>
        <v>0.2045622688039459</v>
      </c>
    </row>
    <row r="39" spans="1:19" x14ac:dyDescent="0.25">
      <c r="A39" s="3">
        <v>6.18</v>
      </c>
      <c r="B39" s="27">
        <v>6.53</v>
      </c>
      <c r="G39" s="29">
        <f t="shared" si="1"/>
        <v>0.6166666666666667</v>
      </c>
      <c r="I39" s="17">
        <f t="shared" si="12"/>
        <v>0.67783265395136305</v>
      </c>
      <c r="J39" s="13">
        <f t="shared" si="13"/>
        <v>-4.4499320618029747E-2</v>
      </c>
      <c r="K39" s="18">
        <f t="shared" si="14"/>
        <v>6.1165987284696355E-2</v>
      </c>
      <c r="M39" s="17">
        <f t="shared" si="11"/>
        <v>0.10312011497690043</v>
      </c>
      <c r="N39" s="13">
        <f t="shared" si="9"/>
        <v>0.53021321835643287</v>
      </c>
      <c r="O39" s="18">
        <f t="shared" si="10"/>
        <v>-0.51354655168976626</v>
      </c>
      <c r="Q39" s="17">
        <f t="shared" si="8"/>
        <v>0.80949445129469788</v>
      </c>
      <c r="R39" s="13">
        <f t="shared" si="6"/>
        <v>-0.17616111796136458</v>
      </c>
      <c r="S39" s="18">
        <f t="shared" si="7"/>
        <v>0.19282778462803118</v>
      </c>
    </row>
    <row r="40" spans="1:19" x14ac:dyDescent="0.25">
      <c r="A40" s="3">
        <v>8.84</v>
      </c>
      <c r="B40" s="27">
        <v>6.65</v>
      </c>
      <c r="G40" s="29">
        <f t="shared" si="1"/>
        <v>0.6333333333333333</v>
      </c>
      <c r="I40" s="17">
        <f t="shared" si="12"/>
        <v>0.69087705604337746</v>
      </c>
      <c r="J40" s="13">
        <f t="shared" si="13"/>
        <v>-4.0877056043377435E-2</v>
      </c>
      <c r="K40" s="18">
        <f t="shared" si="14"/>
        <v>5.7543722710044154E-2</v>
      </c>
      <c r="M40" s="17">
        <f t="shared" si="11"/>
        <v>0.10491208218241876</v>
      </c>
      <c r="N40" s="13">
        <f t="shared" si="9"/>
        <v>0.54508791781758126</v>
      </c>
      <c r="O40" s="18">
        <f t="shared" si="10"/>
        <v>-0.52842125115091454</v>
      </c>
      <c r="Q40" s="17">
        <f t="shared" si="8"/>
        <v>0.81689272503082622</v>
      </c>
      <c r="R40" s="13">
        <f t="shared" si="6"/>
        <v>-0.16689272503082619</v>
      </c>
      <c r="S40" s="18">
        <f t="shared" si="7"/>
        <v>0.18355939169749291</v>
      </c>
    </row>
    <row r="41" spans="1:19" x14ac:dyDescent="0.25">
      <c r="A41" s="3">
        <v>3.84</v>
      </c>
      <c r="B41" s="27">
        <v>6.73</v>
      </c>
      <c r="G41" s="29">
        <f t="shared" si="1"/>
        <v>0.65</v>
      </c>
      <c r="I41" s="17">
        <f t="shared" si="12"/>
        <v>0.69944283453487788</v>
      </c>
      <c r="J41" s="13">
        <f t="shared" si="13"/>
        <v>-3.2776167868211248E-2</v>
      </c>
      <c r="K41" s="18">
        <f t="shared" si="14"/>
        <v>4.9442834534877855E-2</v>
      </c>
      <c r="M41" s="17">
        <f t="shared" si="11"/>
        <v>0.10610473745930127</v>
      </c>
      <c r="N41" s="13">
        <f t="shared" si="9"/>
        <v>0.56056192920736536</v>
      </c>
      <c r="O41" s="18">
        <f t="shared" si="10"/>
        <v>-0.54389526254069875</v>
      </c>
      <c r="Q41" s="17">
        <f t="shared" si="8"/>
        <v>0.82182490752157833</v>
      </c>
      <c r="R41" s="13">
        <f t="shared" si="6"/>
        <v>-0.1551582408549117</v>
      </c>
      <c r="S41" s="18">
        <f t="shared" si="7"/>
        <v>0.17182490752157831</v>
      </c>
    </row>
    <row r="42" spans="1:19" x14ac:dyDescent="0.25">
      <c r="A42" s="3">
        <v>4.82</v>
      </c>
      <c r="B42" s="27">
        <v>6.79</v>
      </c>
      <c r="G42" s="29">
        <f t="shared" si="1"/>
        <v>0.66666666666666663</v>
      </c>
      <c r="I42" s="17">
        <f t="shared" si="12"/>
        <v>0.70579594466962292</v>
      </c>
      <c r="J42" s="13">
        <f t="shared" si="13"/>
        <v>-2.2462611336289573E-2</v>
      </c>
      <c r="K42" s="18">
        <f t="shared" si="14"/>
        <v>3.9129278002956291E-2</v>
      </c>
      <c r="M42" s="17">
        <f t="shared" si="11"/>
        <v>0.10699818592315602</v>
      </c>
      <c r="N42" s="13">
        <f t="shared" si="9"/>
        <v>0.57633514741017733</v>
      </c>
      <c r="O42" s="18">
        <f t="shared" si="10"/>
        <v>-0.55966848074351061</v>
      </c>
      <c r="Q42" s="17">
        <f t="shared" si="8"/>
        <v>0.82552404438964255</v>
      </c>
      <c r="R42" s="13">
        <f t="shared" si="6"/>
        <v>-0.1421907110563092</v>
      </c>
      <c r="S42" s="18">
        <f t="shared" si="7"/>
        <v>0.15885737772297592</v>
      </c>
    </row>
    <row r="43" spans="1:19" x14ac:dyDescent="0.25">
      <c r="A43" s="3">
        <v>3.8</v>
      </c>
      <c r="B43" s="27">
        <v>7.25</v>
      </c>
      <c r="G43" s="29">
        <f t="shared" si="1"/>
        <v>0.68333333333333335</v>
      </c>
      <c r="I43" s="17">
        <f t="shared" si="12"/>
        <v>0.75231537273652083</v>
      </c>
      <c r="J43" s="13">
        <f t="shared" si="13"/>
        <v>-5.2315372736520871E-2</v>
      </c>
      <c r="K43" s="18">
        <f t="shared" si="14"/>
        <v>6.8982039403187478E-2</v>
      </c>
      <c r="M43" s="17">
        <f t="shared" si="11"/>
        <v>0.11381835577381472</v>
      </c>
      <c r="N43" s="13">
        <f t="shared" si="9"/>
        <v>0.58618164422618524</v>
      </c>
      <c r="O43" s="18">
        <f t="shared" si="10"/>
        <v>-0.56951497755951863</v>
      </c>
      <c r="Q43" s="17">
        <f t="shared" si="8"/>
        <v>0.85388409371146734</v>
      </c>
      <c r="R43" s="13">
        <f t="shared" si="6"/>
        <v>-0.15388409371146738</v>
      </c>
      <c r="S43" s="18">
        <f t="shared" si="7"/>
        <v>0.17055076037813399</v>
      </c>
    </row>
    <row r="44" spans="1:19" x14ac:dyDescent="0.25">
      <c r="A44" s="3">
        <v>7.86</v>
      </c>
      <c r="B44" s="27">
        <v>7.28</v>
      </c>
      <c r="G44" s="29">
        <f t="shared" si="1"/>
        <v>0.7</v>
      </c>
      <c r="I44" s="17">
        <f t="shared" si="12"/>
        <v>0.75520678009573383</v>
      </c>
      <c r="J44" s="13">
        <f t="shared" si="13"/>
        <v>-3.8540113429067158E-2</v>
      </c>
      <c r="K44" s="18">
        <f t="shared" si="14"/>
        <v>5.5206780095733876E-2</v>
      </c>
      <c r="M44" s="17">
        <f t="shared" si="11"/>
        <v>0.11426133584168208</v>
      </c>
      <c r="N44" s="13">
        <f t="shared" si="9"/>
        <v>0.6024053308249846</v>
      </c>
      <c r="O44" s="18">
        <f t="shared" si="10"/>
        <v>-0.58573866415831788</v>
      </c>
      <c r="Q44" s="17">
        <f t="shared" si="8"/>
        <v>0.8557336621454994</v>
      </c>
      <c r="R44" s="13">
        <f t="shared" si="6"/>
        <v>-0.13906699547883272</v>
      </c>
      <c r="S44" s="18">
        <f t="shared" si="7"/>
        <v>0.15573366214549944</v>
      </c>
    </row>
    <row r="45" spans="1:19" x14ac:dyDescent="0.25">
      <c r="A45" s="3">
        <v>7.92</v>
      </c>
      <c r="B45" s="27">
        <v>7.41</v>
      </c>
      <c r="G45" s="29">
        <f t="shared" si="1"/>
        <v>0.71666666666666667</v>
      </c>
      <c r="I45" s="17">
        <f t="shared" si="12"/>
        <v>0.76752354252945021</v>
      </c>
      <c r="J45" s="13">
        <f t="shared" si="13"/>
        <v>-3.4190209196116927E-2</v>
      </c>
      <c r="K45" s="18">
        <f t="shared" si="14"/>
        <v>5.0856875862783535E-2</v>
      </c>
      <c r="M45" s="17">
        <f t="shared" si="11"/>
        <v>0.11617835875592153</v>
      </c>
      <c r="N45" s="13">
        <f t="shared" si="9"/>
        <v>0.61715497457741175</v>
      </c>
      <c r="O45" s="18">
        <f t="shared" si="10"/>
        <v>-0.60048830791074514</v>
      </c>
      <c r="Q45" s="17">
        <f t="shared" si="8"/>
        <v>0.86374845869297168</v>
      </c>
      <c r="R45" s="13">
        <f t="shared" si="6"/>
        <v>-0.1304151253596384</v>
      </c>
      <c r="S45" s="18">
        <f t="shared" si="7"/>
        <v>0.147081792026305</v>
      </c>
    </row>
    <row r="46" spans="1:19" x14ac:dyDescent="0.25">
      <c r="A46" s="3">
        <v>7.92</v>
      </c>
      <c r="B46" s="27">
        <v>7.45</v>
      </c>
      <c r="G46" s="29">
        <f t="shared" si="1"/>
        <v>0.73333333333333328</v>
      </c>
      <c r="I46" s="17">
        <f t="shared" si="12"/>
        <v>0.77124279852443534</v>
      </c>
      <c r="J46" s="13">
        <f t="shared" si="13"/>
        <v>-2.1242798524435336E-2</v>
      </c>
      <c r="K46" s="18">
        <f t="shared" si="14"/>
        <v>3.7909465191102054E-2</v>
      </c>
      <c r="M46" s="17">
        <f t="shared" si="11"/>
        <v>0.11676737682224669</v>
      </c>
      <c r="N46" s="13">
        <f t="shared" si="9"/>
        <v>0.63323262317775331</v>
      </c>
      <c r="O46" s="18">
        <f t="shared" si="10"/>
        <v>-0.61656595651108659</v>
      </c>
      <c r="Q46" s="17">
        <f t="shared" si="8"/>
        <v>0.86621454993834779</v>
      </c>
      <c r="R46" s="13">
        <f t="shared" si="6"/>
        <v>-0.11621454993834779</v>
      </c>
      <c r="S46" s="18">
        <f t="shared" si="7"/>
        <v>0.13288121660501451</v>
      </c>
    </row>
    <row r="47" spans="1:19" x14ac:dyDescent="0.25">
      <c r="A47" s="3">
        <v>8.06</v>
      </c>
      <c r="B47" s="27">
        <v>7.54</v>
      </c>
      <c r="G47" s="29">
        <f t="shared" si="1"/>
        <v>0.75</v>
      </c>
      <c r="I47" s="17">
        <f t="shared" si="12"/>
        <v>0.77948775485130684</v>
      </c>
      <c r="J47" s="13">
        <f t="shared" si="13"/>
        <v>-1.2821088184640117E-2</v>
      </c>
      <c r="K47" s="18">
        <f t="shared" si="14"/>
        <v>2.9487754851306835E-2</v>
      </c>
      <c r="M47" s="17">
        <f t="shared" si="11"/>
        <v>0.11809123261694432</v>
      </c>
      <c r="N47" s="13">
        <f t="shared" si="9"/>
        <v>0.6485754340497224</v>
      </c>
      <c r="O47" s="18">
        <f t="shared" si="10"/>
        <v>-0.63190876738305568</v>
      </c>
      <c r="Q47" s="17">
        <f t="shared" si="8"/>
        <v>0.87176325524044396</v>
      </c>
      <c r="R47" s="13">
        <f t="shared" si="6"/>
        <v>-0.10509658857377724</v>
      </c>
      <c r="S47" s="18">
        <f t="shared" si="7"/>
        <v>0.12176325524044396</v>
      </c>
    </row>
    <row r="48" spans="1:19" x14ac:dyDescent="0.25">
      <c r="A48" s="3">
        <v>7.66</v>
      </c>
      <c r="B48" s="27">
        <v>7.57</v>
      </c>
      <c r="G48" s="29">
        <f t="shared" si="1"/>
        <v>0.76666666666666672</v>
      </c>
      <c r="I48" s="17">
        <f t="shared" si="12"/>
        <v>0.78219776116154827</v>
      </c>
      <c r="J48" s="13">
        <f t="shared" si="13"/>
        <v>1.1355721717850598E-3</v>
      </c>
      <c r="K48" s="18">
        <f t="shared" si="14"/>
        <v>1.5531094494881548E-2</v>
      </c>
      <c r="M48" s="17">
        <f t="shared" si="11"/>
        <v>0.11853207678041078</v>
      </c>
      <c r="N48" s="13">
        <f t="shared" si="9"/>
        <v>0.66480125655292255</v>
      </c>
      <c r="O48" s="18">
        <f t="shared" si="10"/>
        <v>-0.64813458988625594</v>
      </c>
      <c r="Q48" s="17">
        <f t="shared" si="8"/>
        <v>0.87361282367447601</v>
      </c>
      <c r="R48" s="13">
        <f t="shared" si="6"/>
        <v>-9.0279490341142687E-2</v>
      </c>
      <c r="S48" s="18">
        <f t="shared" si="7"/>
        <v>0.10694615700780929</v>
      </c>
    </row>
    <row r="49" spans="1:19" x14ac:dyDescent="0.25">
      <c r="A49" s="3">
        <v>3.08</v>
      </c>
      <c r="B49" s="27">
        <v>7.66</v>
      </c>
      <c r="G49" s="29">
        <f t="shared" si="1"/>
        <v>0.78333333333333333</v>
      </c>
      <c r="I49" s="17">
        <f t="shared" si="12"/>
        <v>0.79021156798390768</v>
      </c>
      <c r="J49" s="13">
        <f t="shared" si="13"/>
        <v>9.7884320160923632E-3</v>
      </c>
      <c r="K49" s="18">
        <f t="shared" si="14"/>
        <v>6.8782346505743552E-3</v>
      </c>
      <c r="M49" s="17">
        <f t="shared" si="11"/>
        <v>0.11985328750946633</v>
      </c>
      <c r="N49" s="13">
        <f t="shared" si="9"/>
        <v>0.68014671249053371</v>
      </c>
      <c r="O49" s="18">
        <f t="shared" si="10"/>
        <v>-0.66348004582386699</v>
      </c>
      <c r="Q49" s="17">
        <f t="shared" si="8"/>
        <v>0.87916152897657218</v>
      </c>
      <c r="R49" s="13">
        <f t="shared" si="6"/>
        <v>-7.9161528976572137E-2</v>
      </c>
      <c r="S49" s="18">
        <f t="shared" si="7"/>
        <v>9.5828195643238856E-2</v>
      </c>
    </row>
    <row r="50" spans="1:19" x14ac:dyDescent="0.25">
      <c r="A50" s="3">
        <v>7.86</v>
      </c>
      <c r="B50" s="27">
        <v>7.82</v>
      </c>
      <c r="G50" s="29">
        <f t="shared" si="1"/>
        <v>0.8</v>
      </c>
      <c r="I50" s="17">
        <f t="shared" si="12"/>
        <v>0.80402245212137335</v>
      </c>
      <c r="J50" s="13">
        <f t="shared" si="13"/>
        <v>1.2644214545293297E-2</v>
      </c>
      <c r="K50" s="18">
        <f t="shared" si="14"/>
        <v>4.02245212137331E-3</v>
      </c>
      <c r="M50" s="17">
        <f t="shared" si="11"/>
        <v>0.12219721877875256</v>
      </c>
      <c r="N50" s="13">
        <f t="shared" si="9"/>
        <v>0.69446944788791409</v>
      </c>
      <c r="O50" s="18">
        <f t="shared" si="10"/>
        <v>-0.67780278122124749</v>
      </c>
      <c r="Q50" s="17">
        <f t="shared" si="8"/>
        <v>0.88902589395807652</v>
      </c>
      <c r="R50" s="13">
        <f t="shared" si="6"/>
        <v>-7.2359227291409867E-2</v>
      </c>
      <c r="S50" s="18">
        <f t="shared" si="7"/>
        <v>8.9025893958076474E-2</v>
      </c>
    </row>
    <row r="51" spans="1:19" x14ac:dyDescent="0.25">
      <c r="A51" s="3">
        <v>8.49</v>
      </c>
      <c r="B51" s="27">
        <v>7.86</v>
      </c>
      <c r="G51" s="29">
        <f t="shared" si="1"/>
        <v>0.81666666666666665</v>
      </c>
      <c r="I51" s="17">
        <f t="shared" si="12"/>
        <v>0.80738701089598852</v>
      </c>
      <c r="J51" s="13">
        <f t="shared" si="13"/>
        <v>2.5946322437344849E-2</v>
      </c>
      <c r="K51" s="18">
        <f t="shared" si="14"/>
        <v>-9.2796557706781302E-3</v>
      </c>
      <c r="M51" s="17">
        <f t="shared" si="11"/>
        <v>0.12278222560895646</v>
      </c>
      <c r="N51" s="13">
        <f t="shared" si="9"/>
        <v>0.71055110772437691</v>
      </c>
      <c r="O51" s="18">
        <f t="shared" si="10"/>
        <v>-0.69388444105771019</v>
      </c>
      <c r="Q51" s="17">
        <f t="shared" si="8"/>
        <v>0.89149198520345263</v>
      </c>
      <c r="R51" s="13">
        <f t="shared" si="6"/>
        <v>-5.815865187011926E-2</v>
      </c>
      <c r="S51" s="18">
        <f t="shared" si="7"/>
        <v>7.4825318536785979E-2</v>
      </c>
    </row>
    <row r="52" spans="1:19" x14ac:dyDescent="0.25">
      <c r="A52" s="3">
        <v>5.24</v>
      </c>
      <c r="B52" s="27">
        <v>7.86</v>
      </c>
      <c r="G52" s="29">
        <f t="shared" si="1"/>
        <v>0.83333333333333337</v>
      </c>
      <c r="I52" s="17">
        <f t="shared" si="12"/>
        <v>0.80738701089598852</v>
      </c>
      <c r="J52" s="13">
        <f t="shared" si="13"/>
        <v>4.2612989104011456E-2</v>
      </c>
      <c r="K52" s="18">
        <f t="shared" si="14"/>
        <v>-2.5946322437344849E-2</v>
      </c>
      <c r="M52" s="17">
        <f t="shared" si="11"/>
        <v>0.12278222560895646</v>
      </c>
      <c r="N52" s="13">
        <f t="shared" si="9"/>
        <v>0.72721777439104351</v>
      </c>
      <c r="O52" s="18">
        <f t="shared" si="10"/>
        <v>-0.71055110772437691</v>
      </c>
      <c r="Q52" s="17">
        <f t="shared" si="8"/>
        <v>0.89149198520345263</v>
      </c>
      <c r="R52" s="13">
        <f t="shared" si="6"/>
        <v>-4.1491985203452653E-2</v>
      </c>
      <c r="S52" s="18">
        <f t="shared" si="7"/>
        <v>5.815865187011926E-2</v>
      </c>
    </row>
    <row r="53" spans="1:19" x14ac:dyDescent="0.25">
      <c r="A53" s="3">
        <v>5.45</v>
      </c>
      <c r="B53" s="27">
        <v>7.92</v>
      </c>
      <c r="G53" s="29">
        <f t="shared" si="1"/>
        <v>0.85</v>
      </c>
      <c r="I53" s="17">
        <f t="shared" si="12"/>
        <v>0.81236717206511799</v>
      </c>
      <c r="J53" s="13">
        <f t="shared" si="13"/>
        <v>5.4299494601548703E-2</v>
      </c>
      <c r="K53" s="18">
        <f t="shared" si="14"/>
        <v>-3.7632827934881985E-2</v>
      </c>
      <c r="M53" s="17">
        <f t="shared" si="11"/>
        <v>0.12365900492062676</v>
      </c>
      <c r="N53" s="13">
        <f t="shared" si="9"/>
        <v>0.74300766174603994</v>
      </c>
      <c r="O53" s="18">
        <f t="shared" si="10"/>
        <v>-0.72634099507937322</v>
      </c>
      <c r="Q53" s="17">
        <f t="shared" si="8"/>
        <v>0.89519112207151663</v>
      </c>
      <c r="R53" s="13">
        <f t="shared" si="6"/>
        <v>-2.8524455404849935E-2</v>
      </c>
      <c r="S53" s="18">
        <f t="shared" si="7"/>
        <v>4.5191122071516654E-2</v>
      </c>
    </row>
    <row r="54" spans="1:19" x14ac:dyDescent="0.25">
      <c r="A54" s="3">
        <v>6.38</v>
      </c>
      <c r="B54" s="27">
        <v>7.92</v>
      </c>
      <c r="G54" s="29">
        <f t="shared" si="1"/>
        <v>0.8666666666666667</v>
      </c>
      <c r="I54" s="17">
        <f t="shared" si="12"/>
        <v>0.81236717206511799</v>
      </c>
      <c r="J54" s="13">
        <f t="shared" si="13"/>
        <v>7.0966161268215311E-2</v>
      </c>
      <c r="K54" s="18">
        <f t="shared" si="14"/>
        <v>-5.4299494601548703E-2</v>
      </c>
      <c r="M54" s="17">
        <f t="shared" si="11"/>
        <v>0.12365900492062676</v>
      </c>
      <c r="N54" s="13">
        <f t="shared" si="9"/>
        <v>0.75967432841270655</v>
      </c>
      <c r="O54" s="18">
        <f t="shared" si="10"/>
        <v>-0.74300766174603994</v>
      </c>
      <c r="Q54" s="17">
        <f t="shared" si="8"/>
        <v>0.89519112207151663</v>
      </c>
      <c r="R54" s="13">
        <f t="shared" si="6"/>
        <v>-1.1857788738183328E-2</v>
      </c>
      <c r="S54" s="18">
        <f t="shared" si="7"/>
        <v>2.8524455404849935E-2</v>
      </c>
    </row>
    <row r="55" spans="1:19" x14ac:dyDescent="0.25">
      <c r="A55" s="3">
        <v>7.41</v>
      </c>
      <c r="B55" s="27">
        <v>7.99</v>
      </c>
      <c r="G55" s="29">
        <f t="shared" si="1"/>
        <v>0.8833333333333333</v>
      </c>
      <c r="I55" s="17">
        <f t="shared" si="12"/>
        <v>0.81807578198514275</v>
      </c>
      <c r="J55" s="13">
        <f t="shared" si="13"/>
        <v>8.1924218014857275E-2</v>
      </c>
      <c r="K55" s="18">
        <f t="shared" si="14"/>
        <v>-6.5257551348190557E-2</v>
      </c>
      <c r="M55" s="17">
        <f t="shared" si="11"/>
        <v>0.12468080658135172</v>
      </c>
      <c r="N55" s="13">
        <f t="shared" si="9"/>
        <v>0.7753191934186483</v>
      </c>
      <c r="O55" s="18">
        <f t="shared" si="10"/>
        <v>-0.75865252675198158</v>
      </c>
      <c r="Q55" s="17">
        <f t="shared" si="8"/>
        <v>0.8995067817509248</v>
      </c>
      <c r="R55" s="13">
        <f t="shared" si="6"/>
        <v>4.9321824907522238E-4</v>
      </c>
      <c r="S55" s="18">
        <f t="shared" si="7"/>
        <v>1.6173448417591496E-2</v>
      </c>
    </row>
    <row r="56" spans="1:19" x14ac:dyDescent="0.25">
      <c r="A56" s="3">
        <v>7.99</v>
      </c>
      <c r="B56" s="27">
        <v>8.06</v>
      </c>
      <c r="G56" s="29">
        <f t="shared" si="1"/>
        <v>0.9</v>
      </c>
      <c r="I56" s="17">
        <f t="shared" si="12"/>
        <v>0.82367451863560714</v>
      </c>
      <c r="J56" s="13">
        <f t="shared" si="13"/>
        <v>9.2992148031059485E-2</v>
      </c>
      <c r="K56" s="18">
        <f t="shared" si="14"/>
        <v>-7.6325481364392878E-2</v>
      </c>
      <c r="M56" s="17">
        <f t="shared" si="11"/>
        <v>0.1257014168352617</v>
      </c>
      <c r="N56" s="13">
        <f t="shared" si="9"/>
        <v>0.79096524983140493</v>
      </c>
      <c r="O56" s="18">
        <f t="shared" si="10"/>
        <v>-0.77429858316473832</v>
      </c>
      <c r="Q56" s="17">
        <f t="shared" si="8"/>
        <v>0.90382244143033297</v>
      </c>
      <c r="R56" s="13">
        <f t="shared" si="6"/>
        <v>1.2844225236333662E-2</v>
      </c>
      <c r="S56" s="18">
        <f t="shared" si="7"/>
        <v>3.8224414303329457E-3</v>
      </c>
    </row>
    <row r="57" spans="1:19" x14ac:dyDescent="0.25">
      <c r="A57" s="3">
        <v>8.25</v>
      </c>
      <c r="B57" s="27">
        <v>8.25</v>
      </c>
      <c r="G57" s="29">
        <f t="shared" si="1"/>
        <v>0.91666666666666663</v>
      </c>
      <c r="I57" s="17">
        <f t="shared" si="12"/>
        <v>0.8383144354384563</v>
      </c>
      <c r="J57" s="13">
        <f t="shared" si="13"/>
        <v>9.5018897894877052E-2</v>
      </c>
      <c r="K57" s="18">
        <f t="shared" si="14"/>
        <v>-7.8352231228210334E-2</v>
      </c>
      <c r="M57" s="17">
        <f t="shared" si="11"/>
        <v>0.12846565000284216</v>
      </c>
      <c r="N57" s="13">
        <f t="shared" si="9"/>
        <v>0.80486768333049119</v>
      </c>
      <c r="O57" s="18">
        <f t="shared" si="10"/>
        <v>-0.78820101666382447</v>
      </c>
      <c r="Q57" s="17">
        <f t="shared" si="8"/>
        <v>0.91553637484586936</v>
      </c>
      <c r="R57" s="13">
        <f t="shared" si="6"/>
        <v>1.7796958487463987E-2</v>
      </c>
      <c r="S57" s="18">
        <f t="shared" si="7"/>
        <v>-1.130291820797269E-3</v>
      </c>
    </row>
    <row r="58" spans="1:19" x14ac:dyDescent="0.25">
      <c r="A58" s="3">
        <v>6.79</v>
      </c>
      <c r="B58" s="27">
        <v>8.49</v>
      </c>
      <c r="G58" s="29">
        <f t="shared" si="1"/>
        <v>0.93333333333333335</v>
      </c>
      <c r="I58" s="17">
        <f t="shared" si="12"/>
        <v>0.85564059741037768</v>
      </c>
      <c r="J58" s="13">
        <f t="shared" si="13"/>
        <v>9.4359402589622277E-2</v>
      </c>
      <c r="K58" s="18">
        <f t="shared" si="14"/>
        <v>-7.7692735922955669E-2</v>
      </c>
      <c r="M58" s="17">
        <f t="shared" si="11"/>
        <v>0.13194482441510824</v>
      </c>
      <c r="N58" s="13">
        <f t="shared" si="9"/>
        <v>0.81805517558489171</v>
      </c>
      <c r="O58" s="18">
        <f t="shared" si="10"/>
        <v>-0.80138850891822511</v>
      </c>
      <c r="Q58" s="17">
        <f t="shared" si="8"/>
        <v>0.93033292231812581</v>
      </c>
      <c r="R58" s="13">
        <f t="shared" si="6"/>
        <v>1.9667077681874146E-2</v>
      </c>
      <c r="S58" s="18">
        <f t="shared" si="7"/>
        <v>-3.0004110152075381E-3</v>
      </c>
    </row>
    <row r="59" spans="1:19" x14ac:dyDescent="0.25">
      <c r="A59" s="3">
        <v>6.45</v>
      </c>
      <c r="B59" s="27">
        <v>8.84</v>
      </c>
      <c r="G59" s="29">
        <f t="shared" si="1"/>
        <v>0.95</v>
      </c>
      <c r="I59" s="17">
        <f t="shared" si="12"/>
        <v>0.87858702057284699</v>
      </c>
      <c r="J59" s="13">
        <f t="shared" si="13"/>
        <v>8.8079646093819686E-2</v>
      </c>
      <c r="K59" s="18">
        <f t="shared" si="14"/>
        <v>-7.1412979427152967E-2</v>
      </c>
      <c r="M59" s="17">
        <f t="shared" si="11"/>
        <v>0.13699373928737135</v>
      </c>
      <c r="N59" s="13">
        <f t="shared" si="9"/>
        <v>0.82967292737929532</v>
      </c>
      <c r="O59" s="18">
        <f t="shared" si="10"/>
        <v>-0.8130062607126286</v>
      </c>
      <c r="Q59" s="17">
        <f t="shared" si="8"/>
        <v>0.95191122071516654</v>
      </c>
      <c r="R59" s="13">
        <f t="shared" si="6"/>
        <v>1.4755445951500135E-2</v>
      </c>
      <c r="S59" s="18">
        <f t="shared" si="7"/>
        <v>1.9112207151665839E-3</v>
      </c>
    </row>
    <row r="60" spans="1:19" x14ac:dyDescent="0.25">
      <c r="A60" s="3">
        <v>3.73</v>
      </c>
      <c r="B60" s="27">
        <v>9.14</v>
      </c>
      <c r="G60" s="29">
        <f t="shared" si="1"/>
        <v>0.96666666666666667</v>
      </c>
      <c r="I60" s="17">
        <f t="shared" si="12"/>
        <v>0.89610766626128513</v>
      </c>
      <c r="J60" s="13">
        <f t="shared" si="13"/>
        <v>8.7225667072048152E-2</v>
      </c>
      <c r="K60" s="18">
        <f t="shared" si="14"/>
        <v>-7.0559000405381544E-2</v>
      </c>
      <c r="M60" s="17">
        <f t="shared" si="11"/>
        <v>0.14129800096952105</v>
      </c>
      <c r="N60" s="13">
        <f t="shared" si="9"/>
        <v>0.84203533236381223</v>
      </c>
      <c r="O60" s="18">
        <f t="shared" si="10"/>
        <v>-0.82536866569714562</v>
      </c>
      <c r="Q60" s="17">
        <f t="shared" si="8"/>
        <v>0.9704069050554871</v>
      </c>
      <c r="R60" s="13">
        <f t="shared" si="6"/>
        <v>1.292642827784618E-2</v>
      </c>
      <c r="S60" s="18">
        <f t="shared" si="7"/>
        <v>3.7402383888204271E-3</v>
      </c>
    </row>
    <row r="61" spans="1:19" ht="15.75" thickBot="1" x14ac:dyDescent="0.3">
      <c r="A61" s="6">
        <v>-6.6</v>
      </c>
      <c r="B61" s="28">
        <v>9.6199999999999992</v>
      </c>
      <c r="G61" s="30">
        <f t="shared" si="1"/>
        <v>0.98333333333333328</v>
      </c>
      <c r="I61" s="19">
        <f t="shared" si="12"/>
        <v>0.9202040247391734</v>
      </c>
      <c r="J61" s="20">
        <f t="shared" si="13"/>
        <v>7.9795975260826602E-2</v>
      </c>
      <c r="K61" s="21">
        <f t="shared" si="14"/>
        <v>-6.3129308594159883E-2</v>
      </c>
      <c r="M61" s="19">
        <f t="shared" si="11"/>
        <v>0.14814021162738211</v>
      </c>
      <c r="N61" s="20">
        <f t="shared" si="9"/>
        <v>0.85185978837261789</v>
      </c>
      <c r="O61" s="21">
        <f t="shared" si="10"/>
        <v>-0.83519312170595117</v>
      </c>
      <c r="Q61" s="19">
        <f>(B61-$E$5)/($E$6-$B$2)</f>
        <v>1</v>
      </c>
      <c r="R61" s="20">
        <f t="shared" si="6"/>
        <v>0</v>
      </c>
      <c r="S61" s="21">
        <f>Q61-G61</f>
        <v>1.6666666666666718E-2</v>
      </c>
    </row>
    <row r="62" spans="1:19" x14ac:dyDescent="0.25">
      <c r="G62">
        <v>1</v>
      </c>
    </row>
  </sheetData>
  <mergeCells count="3">
    <mergeCell ref="D17:E17"/>
    <mergeCell ref="D23:E23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E32" sqref="E32:E33"/>
    </sheetView>
  </sheetViews>
  <sheetFormatPr defaultRowHeight="15" x14ac:dyDescent="0.25"/>
  <cols>
    <col min="4" max="4" width="30" bestFit="1" customWidth="1"/>
    <col min="5" max="5" width="12.42578125" customWidth="1"/>
    <col min="9" max="9" width="9.7109375" bestFit="1" customWidth="1"/>
  </cols>
  <sheetData>
    <row r="1" spans="1:20" ht="15.75" thickBot="1" x14ac:dyDescent="0.3">
      <c r="A1" s="9" t="s">
        <v>23</v>
      </c>
      <c r="B1" s="11" t="s">
        <v>24</v>
      </c>
      <c r="G1" s="9" t="s">
        <v>30</v>
      </c>
      <c r="H1" s="10" t="s">
        <v>31</v>
      </c>
      <c r="I1" s="11" t="s">
        <v>32</v>
      </c>
      <c r="K1" s="9" t="s">
        <v>36</v>
      </c>
      <c r="L1" s="10" t="s">
        <v>38</v>
      </c>
      <c r="M1" s="11" t="s">
        <v>39</v>
      </c>
      <c r="O1" s="9" t="s">
        <v>43</v>
      </c>
      <c r="P1" s="10" t="s">
        <v>44</v>
      </c>
      <c r="Q1" s="10" t="s">
        <v>36</v>
      </c>
      <c r="R1" s="10" t="s">
        <v>38</v>
      </c>
      <c r="S1" s="10" t="s">
        <v>45</v>
      </c>
      <c r="T1" s="11" t="s">
        <v>46</v>
      </c>
    </row>
    <row r="2" spans="1:20" ht="15.75" thickBot="1" x14ac:dyDescent="0.3">
      <c r="A2" s="3">
        <v>0.75129999999999997</v>
      </c>
      <c r="B2" s="5">
        <v>2.3841999999999999</v>
      </c>
      <c r="D2" s="46" t="s">
        <v>47</v>
      </c>
      <c r="E2" s="45"/>
      <c r="G2" s="3">
        <f t="shared" ref="G2:G33" si="0">(A2 - $E$3)/$E$4</f>
        <v>-1.0652481262640527</v>
      </c>
      <c r="H2" s="4">
        <f t="shared" ref="H2:H33" si="1">(B2 - $E$7)/$E$8</f>
        <v>1.6512743721159502</v>
      </c>
      <c r="I2" s="5">
        <f>G2*H2</f>
        <v>-1.7590169308443662</v>
      </c>
      <c r="K2" s="3">
        <f>_xlfn.RANK.AVG(A2, A$2:A$51,1)</f>
        <v>8</v>
      </c>
      <c r="L2" s="4">
        <f>_xlfn.RANK.AVG(B2, B$2:B$51,1)</f>
        <v>47</v>
      </c>
      <c r="M2" s="5">
        <f>POWER(K2-L2, 2)</f>
        <v>1521</v>
      </c>
      <c r="O2" s="3">
        <v>0.51539999999999997</v>
      </c>
      <c r="P2" s="4">
        <f>VLOOKUP(O2, $A$2:$B$51, 2, 0)</f>
        <v>0.3175</v>
      </c>
      <c r="Q2" s="4">
        <v>1</v>
      </c>
      <c r="R2" s="4">
        <f>_xlfn.RANK.AVG(P2, B$2:B$51, 1)</f>
        <v>16</v>
      </c>
      <c r="S2" s="4">
        <f>COUNTIF($R2:$R$51, "&gt;"&amp;$R2)</f>
        <v>34</v>
      </c>
      <c r="T2" s="5">
        <f>COUNTIF($R2:$R$51, "&lt;"&amp;$R2)</f>
        <v>15</v>
      </c>
    </row>
    <row r="3" spans="1:20" x14ac:dyDescent="0.25">
      <c r="A3" s="3">
        <v>1.1005</v>
      </c>
      <c r="B3" s="5">
        <v>1.3268</v>
      </c>
      <c r="D3" s="1" t="s">
        <v>26</v>
      </c>
      <c r="E3" s="2">
        <f>AVERAGE(A2:A101)</f>
        <v>0.98713799999999974</v>
      </c>
      <c r="G3" s="3">
        <f t="shared" si="0"/>
        <v>0.51204071476838331</v>
      </c>
      <c r="H3" s="4">
        <f t="shared" si="1"/>
        <v>0.37278946515421696</v>
      </c>
      <c r="I3" s="5">
        <f t="shared" ref="I3:I51" si="2">G3*H3</f>
        <v>0.19088338419568857</v>
      </c>
      <c r="K3" s="3">
        <f t="shared" ref="K3:K51" si="3">_xlfn.RANK.AVG(A3, $A$2:$A$51,1)</f>
        <v>33</v>
      </c>
      <c r="L3" s="4">
        <f t="shared" ref="L3:L51" si="4">_xlfn.RANK.AVG(B3, B$2:B$51,1)</f>
        <v>34</v>
      </c>
      <c r="M3" s="5">
        <f t="shared" ref="M3:M51" si="5">POWER(K3-L3, 2)</f>
        <v>1</v>
      </c>
      <c r="O3" s="3">
        <v>0.61539999999999995</v>
      </c>
      <c r="P3" s="4">
        <f t="shared" ref="P3:P51" si="6">VLOOKUP(O3, $A$2:$B$51, 2, 0)</f>
        <v>6.4899999999999999E-2</v>
      </c>
      <c r="Q3" s="4">
        <f>Q2+1</f>
        <v>2</v>
      </c>
      <c r="R3" s="4">
        <f t="shared" ref="R3:R51" si="7">_xlfn.RANK.AVG(P3, B$2:B$51, 1)</f>
        <v>2</v>
      </c>
      <c r="S3" s="4">
        <f>COUNTIF($R3:$R$51, "&gt;"&amp;R3)</f>
        <v>47</v>
      </c>
      <c r="T3" s="5">
        <f>COUNTIF($R3:$R$51, "&lt;"&amp;$R3)</f>
        <v>1</v>
      </c>
    </row>
    <row r="4" spans="1:20" ht="15.75" thickBot="1" x14ac:dyDescent="0.3">
      <c r="A4" s="3">
        <v>0.8669</v>
      </c>
      <c r="B4" s="5">
        <v>1.7732000000000001</v>
      </c>
      <c r="D4" s="6" t="s">
        <v>28</v>
      </c>
      <c r="E4" s="8">
        <f>SQRT(VAR(A2:A101))</f>
        <v>0.22139255088587734</v>
      </c>
      <c r="G4" s="3">
        <f t="shared" si="0"/>
        <v>-0.54309867029798853</v>
      </c>
      <c r="H4" s="4">
        <f t="shared" si="1"/>
        <v>0.91252434549062511</v>
      </c>
      <c r="I4" s="5">
        <f t="shared" si="2"/>
        <v>-0.49559075865050078</v>
      </c>
      <c r="K4" s="3">
        <f t="shared" si="3"/>
        <v>18</v>
      </c>
      <c r="L4" s="4">
        <f t="shared" si="4"/>
        <v>42</v>
      </c>
      <c r="M4" s="5">
        <f t="shared" si="5"/>
        <v>576</v>
      </c>
      <c r="O4" s="3">
        <v>0.68479999999999996</v>
      </c>
      <c r="P4" s="4">
        <f t="shared" si="6"/>
        <v>1.2877000000000001</v>
      </c>
      <c r="Q4" s="4">
        <f t="shared" ref="Q4:Q51" si="8">Q3+1</f>
        <v>3</v>
      </c>
      <c r="R4" s="4">
        <f t="shared" si="7"/>
        <v>33</v>
      </c>
      <c r="S4" s="4">
        <f>COUNTIF($R4:$R$51, "&gt;"&amp;R4)</f>
        <v>17</v>
      </c>
      <c r="T4" s="5">
        <f>COUNTIF($R4:$R$51, "&lt;"&amp;$R4)</f>
        <v>30</v>
      </c>
    </row>
    <row r="5" spans="1:20" ht="15.75" thickBot="1" x14ac:dyDescent="0.3">
      <c r="A5" s="3">
        <v>1.2625999999999999</v>
      </c>
      <c r="B5" s="5">
        <v>0.30919999999999997</v>
      </c>
      <c r="G5" s="3">
        <f t="shared" si="0"/>
        <v>1.2442243377104156</v>
      </c>
      <c r="H5" s="4">
        <f t="shared" si="1"/>
        <v>-0.85757391797824012</v>
      </c>
      <c r="I5" s="5">
        <f t="shared" si="2"/>
        <v>-1.067014340134202</v>
      </c>
      <c r="K5" s="3">
        <f t="shared" si="3"/>
        <v>46</v>
      </c>
      <c r="L5" s="4">
        <f t="shared" si="4"/>
        <v>15</v>
      </c>
      <c r="M5" s="5">
        <f t="shared" si="5"/>
        <v>961</v>
      </c>
      <c r="O5" s="3">
        <v>0.70430000000000004</v>
      </c>
      <c r="P5" s="4">
        <f t="shared" si="6"/>
        <v>0.55089999999999995</v>
      </c>
      <c r="Q5" s="4">
        <f t="shared" si="8"/>
        <v>4</v>
      </c>
      <c r="R5" s="4">
        <f t="shared" si="7"/>
        <v>20</v>
      </c>
      <c r="S5" s="4">
        <f>COUNTIF($R5:$R$51, "&gt;"&amp;R5)</f>
        <v>29</v>
      </c>
      <c r="T5" s="5">
        <f>COUNTIF($R5:$R$51, "&lt;"&amp;$R5)</f>
        <v>17</v>
      </c>
    </row>
    <row r="6" spans="1:20" ht="15.75" thickBot="1" x14ac:dyDescent="0.3">
      <c r="A6" s="3">
        <v>1.2293000000000001</v>
      </c>
      <c r="B6" s="5">
        <v>2.1766000000000001</v>
      </c>
      <c r="D6" s="46" t="s">
        <v>48</v>
      </c>
      <c r="E6" s="45"/>
      <c r="G6" s="3">
        <f t="shared" si="0"/>
        <v>1.0938127729727869</v>
      </c>
      <c r="H6" s="4">
        <f t="shared" si="1"/>
        <v>1.4002686347552016</v>
      </c>
      <c r="I6" s="5">
        <f t="shared" si="2"/>
        <v>1.5316317182884056</v>
      </c>
      <c r="K6" s="3">
        <f t="shared" si="3"/>
        <v>42</v>
      </c>
      <c r="L6" s="4">
        <f t="shared" si="4"/>
        <v>45</v>
      </c>
      <c r="M6" s="5">
        <f t="shared" si="5"/>
        <v>9</v>
      </c>
      <c r="O6" s="3">
        <v>0.71409999999999996</v>
      </c>
      <c r="P6" s="4">
        <f t="shared" si="6"/>
        <v>0.28749999999999998</v>
      </c>
      <c r="Q6" s="4">
        <f t="shared" si="8"/>
        <v>5</v>
      </c>
      <c r="R6" s="4">
        <f t="shared" si="7"/>
        <v>14</v>
      </c>
      <c r="S6" s="4">
        <f>COUNTIF($R6:$R$51, "&gt;"&amp;R6)</f>
        <v>33</v>
      </c>
      <c r="T6" s="5">
        <f>COUNTIF($R6:$R$51, "&lt;"&amp;$R6)</f>
        <v>12</v>
      </c>
    </row>
    <row r="7" spans="1:20" x14ac:dyDescent="0.25">
      <c r="A7" s="3">
        <v>0.9133</v>
      </c>
      <c r="B7" s="5">
        <v>0.61109999999999998</v>
      </c>
      <c r="D7" s="1" t="s">
        <v>27</v>
      </c>
      <c r="E7" s="2">
        <f>AVERAGE(B2:B101)</f>
        <v>1.0184760000000004</v>
      </c>
      <c r="G7" s="3">
        <f t="shared" si="0"/>
        <v>-0.33351618970261332</v>
      </c>
      <c r="H7" s="4">
        <f t="shared" si="1"/>
        <v>-0.49255160531345155</v>
      </c>
      <c r="I7" s="5">
        <f t="shared" si="2"/>
        <v>0.16427393463604784</v>
      </c>
      <c r="K7" s="3">
        <f t="shared" si="3"/>
        <v>22</v>
      </c>
      <c r="L7" s="4">
        <f t="shared" si="4"/>
        <v>21</v>
      </c>
      <c r="M7" s="5">
        <f t="shared" si="5"/>
        <v>1</v>
      </c>
      <c r="O7" s="3">
        <v>0.72489999999999999</v>
      </c>
      <c r="P7" s="4">
        <f t="shared" si="6"/>
        <v>2.1236000000000002</v>
      </c>
      <c r="Q7" s="4">
        <f t="shared" si="8"/>
        <v>6</v>
      </c>
      <c r="R7" s="4">
        <f t="shared" si="7"/>
        <v>44</v>
      </c>
      <c r="S7" s="4">
        <f>COUNTIF($R7:$R$51, "&gt;"&amp;R7)</f>
        <v>6</v>
      </c>
      <c r="T7" s="5">
        <f>COUNTIF($R7:$R$51, "&lt;"&amp;$R7)</f>
        <v>38</v>
      </c>
    </row>
    <row r="8" spans="1:20" ht="15.75" thickBot="1" x14ac:dyDescent="0.3">
      <c r="A8" s="3">
        <v>0.84419999999999995</v>
      </c>
      <c r="B8" s="5">
        <v>0.1106</v>
      </c>
      <c r="D8" s="6" t="s">
        <v>29</v>
      </c>
      <c r="E8" s="8">
        <f>SQRT(VAR(B2:B101))</f>
        <v>0.82707272822865574</v>
      </c>
      <c r="G8" s="3">
        <f t="shared" si="0"/>
        <v>-0.64563147869270887</v>
      </c>
      <c r="H8" s="4">
        <f t="shared" si="1"/>
        <v>-1.0976979037193031</v>
      </c>
      <c r="I8" s="5">
        <f t="shared" si="2"/>
        <v>0.7087083207361804</v>
      </c>
      <c r="K8" s="3">
        <f t="shared" si="3"/>
        <v>17</v>
      </c>
      <c r="L8" s="4">
        <f t="shared" si="4"/>
        <v>3</v>
      </c>
      <c r="M8" s="5">
        <f t="shared" si="5"/>
        <v>196</v>
      </c>
      <c r="O8" s="3">
        <v>0.7369</v>
      </c>
      <c r="P8" s="4">
        <f t="shared" si="6"/>
        <v>1.3516999999999999</v>
      </c>
      <c r="Q8" s="4">
        <f t="shared" si="8"/>
        <v>7</v>
      </c>
      <c r="R8" s="4">
        <f t="shared" si="7"/>
        <v>37</v>
      </c>
      <c r="S8" s="4">
        <f>COUNTIF($R8:$R$51, "&gt;"&amp;R8)</f>
        <v>12</v>
      </c>
      <c r="T8" s="5">
        <f>COUNTIF($R8:$R$51, "&lt;"&amp;$R8)</f>
        <v>31</v>
      </c>
    </row>
    <row r="9" spans="1:20" x14ac:dyDescent="0.25">
      <c r="A9" s="3">
        <v>0.94220000000000004</v>
      </c>
      <c r="B9" s="5">
        <v>1.3458000000000001</v>
      </c>
      <c r="G9" s="3">
        <f t="shared" si="0"/>
        <v>-0.20297882571109713</v>
      </c>
      <c r="H9" s="4">
        <f t="shared" si="1"/>
        <v>0.39576205190688679</v>
      </c>
      <c r="I9" s="5">
        <f t="shared" si="2"/>
        <v>-8.0331316557074151E-2</v>
      </c>
      <c r="K9" s="3">
        <f t="shared" si="3"/>
        <v>26</v>
      </c>
      <c r="L9" s="4">
        <f t="shared" si="4"/>
        <v>36</v>
      </c>
      <c r="M9" s="5">
        <f t="shared" si="5"/>
        <v>100</v>
      </c>
      <c r="O9" s="3">
        <v>0.75129999999999997</v>
      </c>
      <c r="P9" s="4">
        <f t="shared" si="6"/>
        <v>2.3841999999999999</v>
      </c>
      <c r="Q9" s="4">
        <f t="shared" si="8"/>
        <v>8</v>
      </c>
      <c r="R9" s="4">
        <f t="shared" si="7"/>
        <v>47</v>
      </c>
      <c r="S9" s="4">
        <f>COUNTIF($R9:$R$51, "&gt;"&amp;R9)</f>
        <v>3</v>
      </c>
      <c r="T9" s="5">
        <f>COUNTIF($R9:$R$51, "&lt;"&amp;$R9)</f>
        <v>39</v>
      </c>
    </row>
    <row r="10" spans="1:20" ht="15.75" thickBot="1" x14ac:dyDescent="0.3">
      <c r="A10" s="3">
        <v>0.89470000000000005</v>
      </c>
      <c r="B10" s="5">
        <v>0.20580000000000001</v>
      </c>
      <c r="G10" s="3">
        <f t="shared" si="0"/>
        <v>-0.41752985649300056</v>
      </c>
      <c r="H10" s="4">
        <f t="shared" si="1"/>
        <v>-0.9825931532532951</v>
      </c>
      <c r="I10" s="5">
        <f t="shared" si="2"/>
        <v>0.41026197826885319</v>
      </c>
      <c r="K10" s="3">
        <f t="shared" si="3"/>
        <v>21</v>
      </c>
      <c r="L10" s="4">
        <f t="shared" si="4"/>
        <v>9</v>
      </c>
      <c r="M10" s="5">
        <f t="shared" si="5"/>
        <v>144</v>
      </c>
      <c r="O10" s="3">
        <v>0.77239999999999998</v>
      </c>
      <c r="P10" s="4">
        <f t="shared" si="6"/>
        <v>1.5126999999999999</v>
      </c>
      <c r="Q10" s="4">
        <f t="shared" si="8"/>
        <v>9</v>
      </c>
      <c r="R10" s="4">
        <f t="shared" si="7"/>
        <v>39</v>
      </c>
      <c r="S10" s="4">
        <f>COUNTIF($R10:$R$51, "&gt;"&amp;R10)</f>
        <v>9</v>
      </c>
      <c r="T10" s="5">
        <f>COUNTIF($R10:$R$51, "&lt;"&amp;$R10)</f>
        <v>32</v>
      </c>
    </row>
    <row r="11" spans="1:20" ht="15.75" thickBot="1" x14ac:dyDescent="0.3">
      <c r="A11" s="3">
        <v>0.61539999999999995</v>
      </c>
      <c r="B11" s="5">
        <v>6.4899999999999999E-2</v>
      </c>
      <c r="D11" s="46" t="s">
        <v>49</v>
      </c>
      <c r="E11" s="45"/>
      <c r="G11" s="3">
        <f t="shared" si="0"/>
        <v>-1.6790899174905936</v>
      </c>
      <c r="H11" s="4">
        <f t="shared" si="1"/>
        <v>-1.1529530202770404</v>
      </c>
      <c r="I11" s="5">
        <f t="shared" si="2"/>
        <v>1.9359117916875064</v>
      </c>
      <c r="K11" s="3">
        <f t="shared" si="3"/>
        <v>2</v>
      </c>
      <c r="L11" s="4">
        <f t="shared" si="4"/>
        <v>2</v>
      </c>
      <c r="M11" s="5">
        <f t="shared" si="5"/>
        <v>0</v>
      </c>
      <c r="O11" s="3">
        <v>0.80420000000000003</v>
      </c>
      <c r="P11" s="4">
        <f t="shared" si="6"/>
        <v>2.802</v>
      </c>
      <c r="Q11" s="4">
        <f t="shared" si="8"/>
        <v>10</v>
      </c>
      <c r="R11" s="4">
        <f t="shared" si="7"/>
        <v>48</v>
      </c>
      <c r="S11" s="4">
        <f>COUNTIF($R11:$R$51, "&gt;"&amp;R11)</f>
        <v>2</v>
      </c>
      <c r="T11" s="5">
        <f>COUNTIF($R11:$R$51, "&lt;"&amp;$R11)</f>
        <v>38</v>
      </c>
    </row>
    <row r="12" spans="1:20" x14ac:dyDescent="0.25">
      <c r="A12" s="3">
        <v>1.1842999999999999</v>
      </c>
      <c r="B12" s="5">
        <v>0.2016</v>
      </c>
      <c r="D12" s="1" t="s">
        <v>33</v>
      </c>
      <c r="E12" s="2">
        <f>SUM(I2:I51)</f>
        <v>-7.6581148137188428</v>
      </c>
      <c r="G12" s="3">
        <f t="shared" si="0"/>
        <v>0.8905539017057198</v>
      </c>
      <c r="H12" s="4">
        <f t="shared" si="1"/>
        <v>-0.98767130400914838</v>
      </c>
      <c r="I12" s="5">
        <f t="shared" si="2"/>
        <v>-0.87957453338812319</v>
      </c>
      <c r="K12" s="3">
        <f t="shared" si="3"/>
        <v>37</v>
      </c>
      <c r="L12" s="4">
        <f t="shared" si="4"/>
        <v>7</v>
      </c>
      <c r="M12" s="5">
        <f t="shared" si="5"/>
        <v>900</v>
      </c>
      <c r="O12" s="3">
        <v>0.8044</v>
      </c>
      <c r="P12" s="4">
        <f t="shared" si="6"/>
        <v>0.14710000000000001</v>
      </c>
      <c r="Q12" s="4">
        <f t="shared" si="8"/>
        <v>11</v>
      </c>
      <c r="R12" s="4">
        <f t="shared" si="7"/>
        <v>4</v>
      </c>
      <c r="S12" s="4">
        <f>COUNTIF($R12:$R$51, "&gt;"&amp;R12)</f>
        <v>37</v>
      </c>
      <c r="T12" s="5">
        <f>COUNTIF($R12:$R$51, "&lt;"&amp;$R12)</f>
        <v>2</v>
      </c>
    </row>
    <row r="13" spans="1:20" x14ac:dyDescent="0.25">
      <c r="A13" s="3">
        <v>1.0884</v>
      </c>
      <c r="B13" s="5">
        <v>0.81969999999999998</v>
      </c>
      <c r="D13" s="3" t="s">
        <v>34</v>
      </c>
      <c r="E13" s="5">
        <f>E12/49</f>
        <v>-0.15628805742283353</v>
      </c>
      <c r="G13" s="3">
        <f t="shared" si="0"/>
        <v>0.45738666271657208</v>
      </c>
      <c r="H13" s="4">
        <f t="shared" si="1"/>
        <v>-0.24033678443940423</v>
      </c>
      <c r="I13" s="5">
        <f t="shared" si="2"/>
        <v>-0.10992683976277128</v>
      </c>
      <c r="K13" s="3">
        <f t="shared" si="3"/>
        <v>32</v>
      </c>
      <c r="L13" s="4">
        <f t="shared" si="4"/>
        <v>24</v>
      </c>
      <c r="M13" s="5">
        <f t="shared" si="5"/>
        <v>64</v>
      </c>
      <c r="O13" s="3">
        <v>0.80589999999999995</v>
      </c>
      <c r="P13" s="4">
        <f t="shared" si="6"/>
        <v>1.2271000000000001</v>
      </c>
      <c r="Q13" s="4">
        <f t="shared" si="8"/>
        <v>12</v>
      </c>
      <c r="R13" s="4">
        <f t="shared" si="7"/>
        <v>31</v>
      </c>
      <c r="S13" s="4">
        <f>COUNTIF($R13:$R$51, "&gt;"&amp;R13)</f>
        <v>13</v>
      </c>
      <c r="T13" s="5">
        <f>COUNTIF($R13:$R$51, "&lt;"&amp;$R13)</f>
        <v>25</v>
      </c>
    </row>
    <row r="14" spans="1:20" x14ac:dyDescent="0.25">
      <c r="A14" s="3">
        <v>0.83989999999999998</v>
      </c>
      <c r="B14" s="5">
        <v>3.1608000000000001</v>
      </c>
      <c r="D14" s="3" t="s">
        <v>35</v>
      </c>
      <c r="E14" s="5">
        <f>CORREL(A2:A51,B2:B51)</f>
        <v>-0.15628805742283464</v>
      </c>
      <c r="G14" s="3">
        <f t="shared" si="0"/>
        <v>-0.66505399305822843</v>
      </c>
      <c r="H14" s="4">
        <f t="shared" si="1"/>
        <v>2.5902486285434914</v>
      </c>
      <c r="I14" s="5">
        <f t="shared" si="2"/>
        <v>-1.7226551934264489</v>
      </c>
      <c r="K14" s="3">
        <f t="shared" si="3"/>
        <v>15</v>
      </c>
      <c r="L14" s="4">
        <f t="shared" si="4"/>
        <v>50</v>
      </c>
      <c r="M14" s="5">
        <f t="shared" si="5"/>
        <v>1225</v>
      </c>
      <c r="O14" s="3">
        <v>0.82579999999999998</v>
      </c>
      <c r="P14" s="4">
        <f t="shared" si="6"/>
        <v>0.2039</v>
      </c>
      <c r="Q14" s="4">
        <f t="shared" si="8"/>
        <v>13</v>
      </c>
      <c r="R14" s="4">
        <f t="shared" si="7"/>
        <v>8</v>
      </c>
      <c r="S14" s="4">
        <f>COUNTIF($R14:$R$51, "&gt;"&amp;R14)</f>
        <v>32</v>
      </c>
      <c r="T14" s="5">
        <f>COUNTIF($R14:$R$51, "&lt;"&amp;$R14)</f>
        <v>5</v>
      </c>
    </row>
    <row r="15" spans="1:20" x14ac:dyDescent="0.25">
      <c r="A15" s="3">
        <v>0.8044</v>
      </c>
      <c r="B15" s="5">
        <v>0.14710000000000001</v>
      </c>
      <c r="D15" s="3"/>
      <c r="E15" s="5"/>
      <c r="G15" s="3">
        <f t="shared" si="0"/>
        <v>-0.82540265816891412</v>
      </c>
      <c r="H15" s="4">
        <f t="shared" si="1"/>
        <v>-1.0535663554839114</v>
      </c>
      <c r="I15" s="5">
        <f t="shared" si="2"/>
        <v>0.86961647037375556</v>
      </c>
      <c r="K15" s="3">
        <f t="shared" si="3"/>
        <v>11</v>
      </c>
      <c r="L15" s="4">
        <f t="shared" si="4"/>
        <v>4</v>
      </c>
      <c r="M15" s="5">
        <f t="shared" si="5"/>
        <v>49</v>
      </c>
      <c r="O15" s="3">
        <v>0.8306</v>
      </c>
      <c r="P15" s="4">
        <f t="shared" si="6"/>
        <v>1.2016</v>
      </c>
      <c r="Q15" s="4">
        <f t="shared" si="8"/>
        <v>14</v>
      </c>
      <c r="R15" s="4">
        <f t="shared" si="7"/>
        <v>30</v>
      </c>
      <c r="S15" s="4">
        <f>COUNTIF($R15:$R$51, "&gt;"&amp;R15)</f>
        <v>13</v>
      </c>
      <c r="T15" s="5">
        <f>COUNTIF($R15:$R$51, "&lt;"&amp;$R15)</f>
        <v>23</v>
      </c>
    </row>
    <row r="16" spans="1:20" x14ac:dyDescent="0.25">
      <c r="A16" s="3">
        <v>1.1081000000000001</v>
      </c>
      <c r="B16" s="5">
        <v>2.2242999999999999</v>
      </c>
      <c r="D16" s="3" t="s">
        <v>22</v>
      </c>
      <c r="E16" s="5">
        <f>50-2</f>
        <v>48</v>
      </c>
      <c r="G16" s="3">
        <f t="shared" si="0"/>
        <v>0.54636887969348802</v>
      </c>
      <c r="H16" s="4">
        <f t="shared" si="1"/>
        <v>1.4579419183395355</v>
      </c>
      <c r="I16" s="5">
        <f t="shared" si="2"/>
        <v>0.79657409258134682</v>
      </c>
      <c r="K16" s="3">
        <f t="shared" si="3"/>
        <v>34</v>
      </c>
      <c r="L16" s="4">
        <f t="shared" si="4"/>
        <v>46</v>
      </c>
      <c r="M16" s="5">
        <f t="shared" si="5"/>
        <v>144</v>
      </c>
      <c r="O16" s="3">
        <v>0.83989999999999998</v>
      </c>
      <c r="P16" s="4">
        <f t="shared" si="6"/>
        <v>3.1608000000000001</v>
      </c>
      <c r="Q16" s="4">
        <f t="shared" si="8"/>
        <v>15</v>
      </c>
      <c r="R16" s="4">
        <f t="shared" si="7"/>
        <v>50</v>
      </c>
      <c r="S16" s="4">
        <f>COUNTIF($R16:$R$51, "&gt;"&amp;R16)</f>
        <v>0</v>
      </c>
      <c r="T16" s="5">
        <f>COUNTIF($R16:$R$51, "&lt;"&amp;$R16)</f>
        <v>35</v>
      </c>
    </row>
    <row r="17" spans="1:20" ht="15.75" thickBot="1" x14ac:dyDescent="0.3">
      <c r="A17" s="3">
        <v>0.997</v>
      </c>
      <c r="B17" s="5">
        <v>0.88200000000000001</v>
      </c>
      <c r="D17" s="6" t="s">
        <v>37</v>
      </c>
      <c r="E17" s="8">
        <f>(ABS(E13)*SQRT(E16))/SQRT(1-E13*E13)</f>
        <v>1.0962668799356512</v>
      </c>
      <c r="G17" s="3">
        <f t="shared" si="0"/>
        <v>4.4545310854130271E-2</v>
      </c>
      <c r="H17" s="4">
        <f t="shared" si="1"/>
        <v>-0.16501088156091356</v>
      </c>
      <c r="I17" s="5">
        <f t="shared" si="2"/>
        <v>-7.3504610134449673E-3</v>
      </c>
      <c r="K17" s="3">
        <f t="shared" si="3"/>
        <v>28</v>
      </c>
      <c r="L17" s="4">
        <f t="shared" si="4"/>
        <v>26</v>
      </c>
      <c r="M17" s="5">
        <f t="shared" si="5"/>
        <v>4</v>
      </c>
      <c r="O17" s="3">
        <v>0.84199999999999997</v>
      </c>
      <c r="P17" s="4">
        <f t="shared" si="6"/>
        <v>0.69989999999999997</v>
      </c>
      <c r="Q17" s="4">
        <f t="shared" si="8"/>
        <v>16</v>
      </c>
      <c r="R17" s="4">
        <f t="shared" si="7"/>
        <v>22</v>
      </c>
      <c r="S17" s="4">
        <f>COUNTIF($R17:$R$51, "&gt;"&amp;R17)</f>
        <v>19</v>
      </c>
      <c r="T17" s="5">
        <f>COUNTIF($R17:$R$51, "&lt;"&amp;$R17)</f>
        <v>15</v>
      </c>
    </row>
    <row r="18" spans="1:20" ht="15.75" thickBot="1" x14ac:dyDescent="0.3">
      <c r="A18" s="3">
        <v>0.80420000000000003</v>
      </c>
      <c r="B18" s="5">
        <v>2.802</v>
      </c>
      <c r="G18" s="3">
        <f t="shared" si="0"/>
        <v>-0.82630603093010102</v>
      </c>
      <c r="H18" s="4">
        <f t="shared" si="1"/>
        <v>2.1564294639720241</v>
      </c>
      <c r="I18" s="5">
        <f t="shared" si="2"/>
        <v>-1.7818706713554484</v>
      </c>
      <c r="K18" s="3">
        <f t="shared" si="3"/>
        <v>10</v>
      </c>
      <c r="L18" s="4">
        <f t="shared" si="4"/>
        <v>48</v>
      </c>
      <c r="M18" s="5">
        <f t="shared" si="5"/>
        <v>1444</v>
      </c>
      <c r="O18" s="3">
        <v>0.84419999999999995</v>
      </c>
      <c r="P18" s="4">
        <f t="shared" si="6"/>
        <v>0.1106</v>
      </c>
      <c r="Q18" s="4">
        <f t="shared" si="8"/>
        <v>17</v>
      </c>
      <c r="R18" s="4">
        <f t="shared" si="7"/>
        <v>3</v>
      </c>
      <c r="S18" s="4">
        <f>COUNTIF($R18:$R$51, "&gt;"&amp;R18)</f>
        <v>32</v>
      </c>
      <c r="T18" s="5">
        <f>COUNTIF($R18:$R$51, "&lt;"&amp;$R18)</f>
        <v>1</v>
      </c>
    </row>
    <row r="19" spans="1:20" ht="15.75" thickBot="1" x14ac:dyDescent="0.3">
      <c r="A19" s="3">
        <v>0.84199999999999997</v>
      </c>
      <c r="B19" s="5">
        <v>0.69989999999999997</v>
      </c>
      <c r="D19" s="46" t="s">
        <v>50</v>
      </c>
      <c r="E19" s="45"/>
      <c r="G19" s="3">
        <f t="shared" si="0"/>
        <v>-0.65556857906576538</v>
      </c>
      <c r="H19" s="4">
        <f t="shared" si="1"/>
        <v>-0.38518498933255318</v>
      </c>
      <c r="I19" s="5">
        <f t="shared" si="2"/>
        <v>0.25251517613420388</v>
      </c>
      <c r="K19" s="3">
        <f t="shared" si="3"/>
        <v>16</v>
      </c>
      <c r="L19" s="4">
        <f t="shared" si="4"/>
        <v>22</v>
      </c>
      <c r="M19" s="5">
        <f t="shared" si="5"/>
        <v>36</v>
      </c>
      <c r="O19" s="3">
        <v>0.8669</v>
      </c>
      <c r="P19" s="4">
        <f t="shared" si="6"/>
        <v>1.7732000000000001</v>
      </c>
      <c r="Q19" s="4">
        <f t="shared" si="8"/>
        <v>18</v>
      </c>
      <c r="R19" s="4">
        <f t="shared" si="7"/>
        <v>42</v>
      </c>
      <c r="S19" s="4">
        <f>COUNTIF($R19:$R$51, "&gt;"&amp;R19)</f>
        <v>4</v>
      </c>
      <c r="T19" s="5">
        <f>COUNTIF($R19:$R$51, "&lt;"&amp;$R19)</f>
        <v>28</v>
      </c>
    </row>
    <row r="20" spans="1:20" x14ac:dyDescent="0.25">
      <c r="A20" s="3">
        <v>0.82579999999999998</v>
      </c>
      <c r="B20" s="5">
        <v>0.2039</v>
      </c>
      <c r="D20" s="1" t="s">
        <v>40</v>
      </c>
      <c r="E20" s="2">
        <f>SUM(M2:M51)</f>
        <v>24154</v>
      </c>
      <c r="G20" s="3">
        <f t="shared" si="0"/>
        <v>-0.72874177272190932</v>
      </c>
      <c r="H20" s="4">
        <f t="shared" si="1"/>
        <v>-0.98489041192856208</v>
      </c>
      <c r="I20" s="5">
        <f t="shared" si="2"/>
        <v>0.71773078472563179</v>
      </c>
      <c r="K20" s="3">
        <f t="shared" si="3"/>
        <v>13</v>
      </c>
      <c r="L20" s="4">
        <f t="shared" si="4"/>
        <v>8</v>
      </c>
      <c r="M20" s="5">
        <f t="shared" si="5"/>
        <v>25</v>
      </c>
      <c r="O20" s="3">
        <v>0.873</v>
      </c>
      <c r="P20" s="4">
        <f t="shared" si="6"/>
        <v>1.9979</v>
      </c>
      <c r="Q20" s="4">
        <f t="shared" si="8"/>
        <v>19</v>
      </c>
      <c r="R20" s="4">
        <f t="shared" si="7"/>
        <v>43</v>
      </c>
      <c r="S20" s="4">
        <f>COUNTIF($R20:$R$51, "&gt;"&amp;R20)</f>
        <v>3</v>
      </c>
      <c r="T20" s="5">
        <f>COUNTIF($R20:$R$51, "&lt;"&amp;$R20)</f>
        <v>28</v>
      </c>
    </row>
    <row r="21" spans="1:20" x14ac:dyDescent="0.25">
      <c r="A21" s="3">
        <v>0.77239999999999998</v>
      </c>
      <c r="B21" s="5">
        <v>1.5126999999999999</v>
      </c>
      <c r="D21" s="3" t="s">
        <v>41</v>
      </c>
      <c r="E21" s="5">
        <f>1-6*E20/(50*(50*50-1))</f>
        <v>-0.15985594237695078</v>
      </c>
      <c r="G21" s="3">
        <f t="shared" si="0"/>
        <v>-0.96994229995882819</v>
      </c>
      <c r="H21" s="4">
        <f t="shared" si="1"/>
        <v>0.5975580902763904</v>
      </c>
      <c r="I21" s="5">
        <f t="shared" si="2"/>
        <v>-0.57959686844168723</v>
      </c>
      <c r="K21" s="3">
        <f t="shared" si="3"/>
        <v>9</v>
      </c>
      <c r="L21" s="4">
        <f t="shared" si="4"/>
        <v>39</v>
      </c>
      <c r="M21" s="5">
        <f t="shared" si="5"/>
        <v>900</v>
      </c>
      <c r="O21" s="3">
        <v>0.89459999999999995</v>
      </c>
      <c r="P21" s="4">
        <f t="shared" si="6"/>
        <v>1.0760000000000001</v>
      </c>
      <c r="Q21" s="4">
        <f t="shared" si="8"/>
        <v>20</v>
      </c>
      <c r="R21" s="4">
        <f t="shared" si="7"/>
        <v>28</v>
      </c>
      <c r="S21" s="4">
        <f>COUNTIF($R21:$R$51, "&gt;"&amp;R21)</f>
        <v>11</v>
      </c>
      <c r="T21" s="5">
        <f>COUNTIF($R21:$R$51, "&lt;"&amp;$R21)</f>
        <v>19</v>
      </c>
    </row>
    <row r="22" spans="1:20" x14ac:dyDescent="0.25">
      <c r="A22" s="3">
        <v>0.71409999999999996</v>
      </c>
      <c r="B22" s="5">
        <v>0.28749999999999998</v>
      </c>
      <c r="D22" s="3" t="s">
        <v>42</v>
      </c>
      <c r="E22" s="5">
        <f>E21*SQRT((50-2)/(1-E21*E21))</f>
        <v>-1.1219422368120122</v>
      </c>
      <c r="G22" s="3">
        <f t="shared" si="0"/>
        <v>-1.2332754598448277</v>
      </c>
      <c r="H22" s="4">
        <f t="shared" si="1"/>
        <v>-0.8838110302168154</v>
      </c>
      <c r="I22" s="5">
        <f t="shared" si="2"/>
        <v>1.089982454706574</v>
      </c>
      <c r="K22" s="3">
        <f t="shared" si="3"/>
        <v>5</v>
      </c>
      <c r="L22" s="4">
        <f t="shared" si="4"/>
        <v>14</v>
      </c>
      <c r="M22" s="5">
        <f t="shared" si="5"/>
        <v>81</v>
      </c>
      <c r="O22" s="3">
        <v>0.89470000000000005</v>
      </c>
      <c r="P22" s="4">
        <f t="shared" si="6"/>
        <v>0.20580000000000001</v>
      </c>
      <c r="Q22" s="4">
        <f t="shared" si="8"/>
        <v>21</v>
      </c>
      <c r="R22" s="4">
        <f t="shared" si="7"/>
        <v>9</v>
      </c>
      <c r="S22" s="4">
        <f>COUNTIF($R22:$R$51, "&gt;"&amp;R22)</f>
        <v>25</v>
      </c>
      <c r="T22" s="5">
        <f>COUNTIF($R22:$R$51, "&lt;"&amp;$R22)</f>
        <v>4</v>
      </c>
    </row>
    <row r="23" spans="1:20" ht="15.75" thickBot="1" x14ac:dyDescent="0.3">
      <c r="A23" s="3">
        <v>1.2020999999999999</v>
      </c>
      <c r="B23" s="5">
        <v>0.23980000000000001</v>
      </c>
      <c r="D23" s="6" t="s">
        <v>25</v>
      </c>
      <c r="E23" s="8">
        <f>_xlfn.T.INV.2T(0.1, 48)</f>
        <v>1.6772241961243386</v>
      </c>
      <c r="G23" s="3">
        <f t="shared" si="0"/>
        <v>0.97095407745135953</v>
      </c>
      <c r="H23" s="4">
        <f t="shared" si="1"/>
        <v>-0.94148431380114928</v>
      </c>
      <c r="I23" s="5">
        <f t="shared" si="2"/>
        <v>-0.91413803334172117</v>
      </c>
      <c r="K23" s="3">
        <f t="shared" si="3"/>
        <v>41</v>
      </c>
      <c r="L23" s="4">
        <f t="shared" si="4"/>
        <v>11</v>
      </c>
      <c r="M23" s="5">
        <f t="shared" si="5"/>
        <v>900</v>
      </c>
      <c r="O23" s="3">
        <v>0.9133</v>
      </c>
      <c r="P23" s="4">
        <f t="shared" si="6"/>
        <v>0.61109999999999998</v>
      </c>
      <c r="Q23" s="4">
        <f t="shared" si="8"/>
        <v>22</v>
      </c>
      <c r="R23" s="4">
        <f t="shared" si="7"/>
        <v>21</v>
      </c>
      <c r="S23" s="4">
        <f>COUNTIF($R23:$R$51, "&gt;"&amp;R23)</f>
        <v>16</v>
      </c>
      <c r="T23" s="5">
        <f>COUNTIF($R23:$R$51, "&lt;"&amp;$R23)</f>
        <v>12</v>
      </c>
    </row>
    <row r="24" spans="1:20" ht="15.75" thickBot="1" x14ac:dyDescent="0.3">
      <c r="A24" s="3">
        <v>1.1194999999999999</v>
      </c>
      <c r="B24" s="5">
        <v>1.238</v>
      </c>
      <c r="G24" s="3">
        <f t="shared" si="0"/>
        <v>0.59786112708114425</v>
      </c>
      <c r="H24" s="4">
        <f t="shared" si="1"/>
        <v>0.2654228491733186</v>
      </c>
      <c r="I24" s="5">
        <f t="shared" si="2"/>
        <v>0.15868600375984881</v>
      </c>
      <c r="K24" s="3">
        <f t="shared" si="3"/>
        <v>35</v>
      </c>
      <c r="L24" s="4">
        <f t="shared" si="4"/>
        <v>32</v>
      </c>
      <c r="M24" s="5">
        <f t="shared" si="5"/>
        <v>9</v>
      </c>
      <c r="O24" s="3">
        <v>0.91679999999999995</v>
      </c>
      <c r="P24" s="4">
        <f t="shared" si="6"/>
        <v>0.38629999999999998</v>
      </c>
      <c r="Q24" s="4">
        <f t="shared" si="8"/>
        <v>23</v>
      </c>
      <c r="R24" s="4">
        <f t="shared" si="7"/>
        <v>17</v>
      </c>
      <c r="S24" s="4">
        <f>COUNTIF($R24:$R$51, "&gt;"&amp;R24)</f>
        <v>18</v>
      </c>
      <c r="T24" s="5">
        <f>COUNTIF($R24:$R$51, "&lt;"&amp;$R24)</f>
        <v>9</v>
      </c>
    </row>
    <row r="25" spans="1:20" ht="15.75" thickBot="1" x14ac:dyDescent="0.3">
      <c r="A25" s="3">
        <v>1.4260999999999999</v>
      </c>
      <c r="B25" s="5">
        <v>0.2843</v>
      </c>
      <c r="D25" s="46" t="s">
        <v>52</v>
      </c>
      <c r="E25" s="45"/>
      <c r="G25" s="3">
        <f t="shared" si="0"/>
        <v>1.9827315699807568</v>
      </c>
      <c r="H25" s="4">
        <f t="shared" si="1"/>
        <v>-0.88768009745937027</v>
      </c>
      <c r="I25" s="5">
        <f t="shared" si="2"/>
        <v>-1.7600313532762883</v>
      </c>
      <c r="K25" s="3">
        <f t="shared" si="3"/>
        <v>49</v>
      </c>
      <c r="L25" s="4">
        <f t="shared" si="4"/>
        <v>13</v>
      </c>
      <c r="M25" s="5">
        <f t="shared" si="5"/>
        <v>1296</v>
      </c>
      <c r="O25" s="3">
        <v>0.92800000000000005</v>
      </c>
      <c r="P25" s="4">
        <f t="shared" si="6"/>
        <v>0.71499999999999997</v>
      </c>
      <c r="Q25" s="4">
        <f t="shared" si="8"/>
        <v>24</v>
      </c>
      <c r="R25" s="4">
        <f t="shared" si="7"/>
        <v>23</v>
      </c>
      <c r="S25" s="4">
        <f>COUNTIF($R25:$R$51, "&gt;"&amp;R25)</f>
        <v>15</v>
      </c>
      <c r="T25" s="5">
        <f>COUNTIF($R25:$R$51, "&lt;"&amp;$R25)</f>
        <v>11</v>
      </c>
    </row>
    <row r="26" spans="1:20" x14ac:dyDescent="0.25">
      <c r="A26" s="3">
        <v>1.0370999999999999</v>
      </c>
      <c r="B26" s="5">
        <v>1.3653999999999999</v>
      </c>
      <c r="D26" s="1" t="s">
        <v>51</v>
      </c>
      <c r="E26" s="2">
        <f>SUM(S2:S51) - SUM(T2:T51)</f>
        <v>-135</v>
      </c>
      <c r="G26" s="3">
        <f t="shared" si="0"/>
        <v>0.22567154947211576</v>
      </c>
      <c r="H26" s="4">
        <f t="shared" si="1"/>
        <v>0.41946008876753532</v>
      </c>
      <c r="I26" s="5">
        <f t="shared" si="2"/>
        <v>9.4660208173880919E-2</v>
      </c>
      <c r="K26" s="3">
        <f t="shared" si="3"/>
        <v>31</v>
      </c>
      <c r="L26" s="4">
        <f t="shared" si="4"/>
        <v>38</v>
      </c>
      <c r="M26" s="5">
        <f t="shared" si="5"/>
        <v>49</v>
      </c>
      <c r="O26" s="3">
        <v>0.92810000000000004</v>
      </c>
      <c r="P26" s="4">
        <f t="shared" si="6"/>
        <v>1.1588000000000001</v>
      </c>
      <c r="Q26" s="4">
        <f t="shared" si="8"/>
        <v>25</v>
      </c>
      <c r="R26" s="4">
        <f t="shared" si="7"/>
        <v>29</v>
      </c>
      <c r="S26" s="4">
        <f>COUNTIF($R26:$R$51, "&gt;"&amp;R26)</f>
        <v>10</v>
      </c>
      <c r="T26" s="5">
        <f>COUNTIF($R26:$R$51, "&lt;"&amp;$R26)</f>
        <v>15</v>
      </c>
    </row>
    <row r="27" spans="1:20" x14ac:dyDescent="0.25">
      <c r="A27" s="3">
        <v>0.70430000000000004</v>
      </c>
      <c r="B27" s="5">
        <v>0.55089999999999995</v>
      </c>
      <c r="D27" s="3" t="s">
        <v>41</v>
      </c>
      <c r="E27" s="5">
        <f>E26/(1/2*50*49)</f>
        <v>-0.11020408163265306</v>
      </c>
      <c r="G27" s="3">
        <f t="shared" si="0"/>
        <v>-1.2775407251429884</v>
      </c>
      <c r="H27" s="4">
        <f t="shared" si="1"/>
        <v>-0.56533843281401552</v>
      </c>
      <c r="I27" s="5">
        <f t="shared" si="2"/>
        <v>0.72224287140841803</v>
      </c>
      <c r="K27" s="3">
        <f t="shared" si="3"/>
        <v>4</v>
      </c>
      <c r="L27" s="4">
        <f t="shared" si="4"/>
        <v>20</v>
      </c>
      <c r="M27" s="5">
        <f t="shared" si="5"/>
        <v>256</v>
      </c>
      <c r="O27" s="3">
        <v>0.94220000000000004</v>
      </c>
      <c r="P27" s="4">
        <f t="shared" si="6"/>
        <v>1.3458000000000001</v>
      </c>
      <c r="Q27" s="4">
        <f t="shared" si="8"/>
        <v>26</v>
      </c>
      <c r="R27" s="4">
        <f t="shared" si="7"/>
        <v>36</v>
      </c>
      <c r="S27" s="4">
        <f>COUNTIF($R27:$R$51, "&gt;"&amp;R27)</f>
        <v>6</v>
      </c>
      <c r="T27" s="5">
        <f>COUNTIF($R27:$R$51, "&lt;"&amp;$R27)</f>
        <v>18</v>
      </c>
    </row>
    <row r="28" spans="1:20" x14ac:dyDescent="0.25">
      <c r="A28" s="3">
        <v>0.92800000000000005</v>
      </c>
      <c r="B28" s="5">
        <v>0.71499999999999997</v>
      </c>
      <c r="D28" s="3" t="s">
        <v>42</v>
      </c>
      <c r="E28" s="5">
        <f>SQRT(2*(2*50+5)/(9*50*(50-1)))</f>
        <v>9.7590007294853329E-2</v>
      </c>
      <c r="G28" s="3">
        <f t="shared" si="0"/>
        <v>-0.26711829175537138</v>
      </c>
      <c r="H28" s="4">
        <f t="shared" si="1"/>
        <v>-0.36692782828174725</v>
      </c>
      <c r="I28" s="5">
        <f t="shared" si="2"/>
        <v>9.801313468812857E-2</v>
      </c>
      <c r="K28" s="3">
        <f t="shared" si="3"/>
        <v>24</v>
      </c>
      <c r="L28" s="4">
        <f t="shared" si="4"/>
        <v>23</v>
      </c>
      <c r="M28" s="5">
        <f t="shared" si="5"/>
        <v>1</v>
      </c>
      <c r="O28" s="3">
        <v>0.97770000000000001</v>
      </c>
      <c r="P28" s="4">
        <f t="shared" si="6"/>
        <v>1.7571000000000001</v>
      </c>
      <c r="Q28" s="4">
        <f t="shared" si="8"/>
        <v>27</v>
      </c>
      <c r="R28" s="4">
        <f t="shared" si="7"/>
        <v>41</v>
      </c>
      <c r="S28" s="4">
        <f>COUNTIF($R28:$R$51, "&gt;"&amp;R28)</f>
        <v>3</v>
      </c>
      <c r="T28" s="5">
        <f>COUNTIF($R28:$R$51, "&lt;"&amp;$R28)</f>
        <v>20</v>
      </c>
    </row>
    <row r="29" spans="1:20" ht="15.75" thickBot="1" x14ac:dyDescent="0.3">
      <c r="A29" s="3">
        <v>1.0296000000000001</v>
      </c>
      <c r="B29" s="5">
        <v>1.343</v>
      </c>
      <c r="D29" s="6" t="s">
        <v>25</v>
      </c>
      <c r="E29" s="8">
        <f>_xlfn.NORM.INV(1-0.1/2, 0, E28)</f>
        <v>0.16052127745316006</v>
      </c>
      <c r="G29" s="3">
        <f t="shared" si="0"/>
        <v>0.19179507092760539</v>
      </c>
      <c r="H29" s="4">
        <f t="shared" si="1"/>
        <v>0.39237661806965107</v>
      </c>
      <c r="I29" s="5">
        <f t="shared" si="2"/>
        <v>7.5255901293002664E-2</v>
      </c>
      <c r="K29" s="3">
        <f t="shared" si="3"/>
        <v>29</v>
      </c>
      <c r="L29" s="4">
        <f t="shared" si="4"/>
        <v>35</v>
      </c>
      <c r="M29" s="5">
        <f t="shared" si="5"/>
        <v>36</v>
      </c>
      <c r="O29" s="3">
        <v>0.997</v>
      </c>
      <c r="P29" s="4">
        <f t="shared" si="6"/>
        <v>0.88200000000000001</v>
      </c>
      <c r="Q29" s="4">
        <f t="shared" si="8"/>
        <v>28</v>
      </c>
      <c r="R29" s="4">
        <f t="shared" si="7"/>
        <v>26</v>
      </c>
      <c r="S29" s="4">
        <f>COUNTIF($R29:$R$51, "&gt;"&amp;R29)</f>
        <v>9</v>
      </c>
      <c r="T29" s="5">
        <f>COUNTIF($R29:$R$51, "&lt;"&amp;$R29)</f>
        <v>13</v>
      </c>
    </row>
    <row r="30" spans="1:20" x14ac:dyDescent="0.25">
      <c r="A30" s="3">
        <v>0.873</v>
      </c>
      <c r="B30" s="5">
        <v>1.9979</v>
      </c>
      <c r="G30" s="3">
        <f t="shared" si="0"/>
        <v>-0.51554580108178616</v>
      </c>
      <c r="H30" s="4">
        <f t="shared" si="1"/>
        <v>1.1842054109287765</v>
      </c>
      <c r="I30" s="5">
        <f t="shared" si="2"/>
        <v>-0.6105121272226619</v>
      </c>
      <c r="K30" s="3">
        <f t="shared" si="3"/>
        <v>19</v>
      </c>
      <c r="L30" s="4">
        <f t="shared" si="4"/>
        <v>43</v>
      </c>
      <c r="M30" s="5">
        <f t="shared" si="5"/>
        <v>576</v>
      </c>
      <c r="O30" s="3">
        <v>1.0296000000000001</v>
      </c>
      <c r="P30" s="4">
        <f t="shared" si="6"/>
        <v>1.343</v>
      </c>
      <c r="Q30" s="4">
        <f t="shared" si="8"/>
        <v>29</v>
      </c>
      <c r="R30" s="4">
        <f t="shared" si="7"/>
        <v>35</v>
      </c>
      <c r="S30" s="4">
        <f>COUNTIF($R30:$R$51, "&gt;"&amp;R30)</f>
        <v>5</v>
      </c>
      <c r="T30" s="5">
        <f>COUNTIF($R30:$R$51, "&lt;"&amp;$R30)</f>
        <v>16</v>
      </c>
    </row>
    <row r="31" spans="1:20" x14ac:dyDescent="0.25">
      <c r="A31" s="3">
        <v>0.80589999999999995</v>
      </c>
      <c r="B31" s="5">
        <v>1.2271000000000001</v>
      </c>
      <c r="G31" s="3">
        <f t="shared" si="0"/>
        <v>-0.81862736246001211</v>
      </c>
      <c r="H31" s="4">
        <f t="shared" si="1"/>
        <v>0.2522438388783661</v>
      </c>
      <c r="I31" s="5">
        <f t="shared" si="2"/>
        <v>-0.20649370851778509</v>
      </c>
      <c r="K31" s="3">
        <f t="shared" si="3"/>
        <v>12</v>
      </c>
      <c r="L31" s="4">
        <f t="shared" si="4"/>
        <v>31</v>
      </c>
      <c r="M31" s="5">
        <f t="shared" si="5"/>
        <v>361</v>
      </c>
      <c r="O31" s="3">
        <v>1.0316000000000001</v>
      </c>
      <c r="P31" s="4">
        <f t="shared" si="6"/>
        <v>4.4999999999999998E-2</v>
      </c>
      <c r="Q31" s="4">
        <f t="shared" si="8"/>
        <v>30</v>
      </c>
      <c r="R31" s="4">
        <f t="shared" si="7"/>
        <v>1</v>
      </c>
      <c r="S31" s="4">
        <f>COUNTIF($R31:$R$51, "&gt;"&amp;R31)</f>
        <v>20</v>
      </c>
      <c r="T31" s="5">
        <f>COUNTIF($R31:$R$51, "&lt;"&amp;$R31)</f>
        <v>0</v>
      </c>
    </row>
    <row r="32" spans="1:20" x14ac:dyDescent="0.25">
      <c r="A32" s="3">
        <v>1.2634000000000001</v>
      </c>
      <c r="B32" s="5">
        <v>0.41720000000000002</v>
      </c>
      <c r="G32" s="3">
        <f t="shared" si="0"/>
        <v>1.2478378287551639</v>
      </c>
      <c r="H32" s="4">
        <f t="shared" si="1"/>
        <v>-0.72699289854201221</v>
      </c>
      <c r="I32" s="5">
        <f t="shared" si="2"/>
        <v>-0.90716924003708765</v>
      </c>
      <c r="K32" s="3">
        <f t="shared" si="3"/>
        <v>47</v>
      </c>
      <c r="L32" s="4">
        <f t="shared" si="4"/>
        <v>18</v>
      </c>
      <c r="M32" s="5">
        <f t="shared" si="5"/>
        <v>841</v>
      </c>
      <c r="O32" s="3">
        <v>1.0370999999999999</v>
      </c>
      <c r="P32" s="4">
        <f t="shared" si="6"/>
        <v>1.3653999999999999</v>
      </c>
      <c r="Q32" s="4">
        <f t="shared" si="8"/>
        <v>31</v>
      </c>
      <c r="R32" s="4">
        <f t="shared" si="7"/>
        <v>38</v>
      </c>
      <c r="S32" s="4">
        <f>COUNTIF($R32:$R$51, "&gt;"&amp;R32)</f>
        <v>4</v>
      </c>
      <c r="T32" s="5">
        <f>COUNTIF($R32:$R$51, "&lt;"&amp;$R32)</f>
        <v>15</v>
      </c>
    </row>
    <row r="33" spans="1:20" x14ac:dyDescent="0.25">
      <c r="A33" s="3">
        <v>0.7369</v>
      </c>
      <c r="B33" s="5">
        <v>1.3516999999999999</v>
      </c>
      <c r="G33" s="3">
        <f t="shared" si="0"/>
        <v>-1.1302909650695139</v>
      </c>
      <c r="H33" s="4">
        <f t="shared" si="1"/>
        <v>0.40289564463534711</v>
      </c>
      <c r="I33" s="5">
        <f t="shared" si="2"/>
        <v>-0.45538930699719038</v>
      </c>
      <c r="K33" s="3">
        <f t="shared" si="3"/>
        <v>7</v>
      </c>
      <c r="L33" s="4">
        <f t="shared" si="4"/>
        <v>37</v>
      </c>
      <c r="M33" s="5">
        <f t="shared" si="5"/>
        <v>900</v>
      </c>
      <c r="O33" s="3">
        <v>1.0884</v>
      </c>
      <c r="P33" s="4">
        <f t="shared" si="6"/>
        <v>0.81969999999999998</v>
      </c>
      <c r="Q33" s="4">
        <f t="shared" si="8"/>
        <v>32</v>
      </c>
      <c r="R33" s="4">
        <f t="shared" si="7"/>
        <v>24</v>
      </c>
      <c r="S33" s="4">
        <f>COUNTIF($R33:$R$51, "&gt;"&amp;R33)</f>
        <v>8</v>
      </c>
      <c r="T33" s="5">
        <f>COUNTIF($R33:$R$51, "&lt;"&amp;$R33)</f>
        <v>10</v>
      </c>
    </row>
    <row r="34" spans="1:20" x14ac:dyDescent="0.25">
      <c r="A34" s="3">
        <v>1.1920999999999999</v>
      </c>
      <c r="B34" s="5">
        <v>0.90390000000000004</v>
      </c>
      <c r="G34" s="3">
        <f t="shared" ref="G34:G51" si="9">(A34 - $E$3)/$E$4</f>
        <v>0.92578543939201141</v>
      </c>
      <c r="H34" s="4">
        <f t="shared" ref="H34:H51" si="10">(B34 - $E$7)/$E$8</f>
        <v>-0.13853195261967846</v>
      </c>
      <c r="I34" s="5">
        <f t="shared" si="2"/>
        <v>-0.12825086462584234</v>
      </c>
      <c r="K34" s="3">
        <f t="shared" si="3"/>
        <v>40</v>
      </c>
      <c r="L34" s="4">
        <f t="shared" si="4"/>
        <v>27</v>
      </c>
      <c r="M34" s="5">
        <f t="shared" si="5"/>
        <v>169</v>
      </c>
      <c r="O34" s="3">
        <v>1.1005</v>
      </c>
      <c r="P34" s="4">
        <f t="shared" si="6"/>
        <v>1.3268</v>
      </c>
      <c r="Q34" s="4">
        <f t="shared" si="8"/>
        <v>33</v>
      </c>
      <c r="R34" s="4">
        <f t="shared" si="7"/>
        <v>34</v>
      </c>
      <c r="S34" s="4">
        <f>COUNTIF($R34:$R$51, "&gt;"&amp;R34)</f>
        <v>4</v>
      </c>
      <c r="T34" s="5">
        <f>COUNTIF($R34:$R$51, "&lt;"&amp;$R34)</f>
        <v>13</v>
      </c>
    </row>
    <row r="35" spans="1:20" x14ac:dyDescent="0.25">
      <c r="A35" s="3">
        <v>0.89459999999999995</v>
      </c>
      <c r="B35" s="5">
        <v>1.0760000000000001</v>
      </c>
      <c r="G35" s="3">
        <f t="shared" si="9"/>
        <v>-0.41798154287359446</v>
      </c>
      <c r="H35" s="4">
        <f t="shared" si="10"/>
        <v>6.955132001897707E-2</v>
      </c>
      <c r="I35" s="5">
        <f t="shared" si="2"/>
        <v>-2.9071168050427153E-2</v>
      </c>
      <c r="K35" s="3">
        <f t="shared" si="3"/>
        <v>20</v>
      </c>
      <c r="L35" s="4">
        <f t="shared" si="4"/>
        <v>28</v>
      </c>
      <c r="M35" s="5">
        <f t="shared" si="5"/>
        <v>64</v>
      </c>
      <c r="O35" s="3">
        <v>1.1081000000000001</v>
      </c>
      <c r="P35" s="4">
        <f t="shared" si="6"/>
        <v>2.2242999999999999</v>
      </c>
      <c r="Q35" s="4">
        <f t="shared" si="8"/>
        <v>34</v>
      </c>
      <c r="R35" s="4">
        <f t="shared" si="7"/>
        <v>46</v>
      </c>
      <c r="S35" s="4">
        <f>COUNTIF($R35:$R$51, "&gt;"&amp;R35)</f>
        <v>1</v>
      </c>
      <c r="T35" s="5">
        <f>COUNTIF($R35:$R$51, "&lt;"&amp;$R35)</f>
        <v>15</v>
      </c>
    </row>
    <row r="36" spans="1:20" x14ac:dyDescent="0.25">
      <c r="A36" s="3">
        <v>1.2532000000000001</v>
      </c>
      <c r="B36" s="5">
        <v>0.14799999999999999</v>
      </c>
      <c r="G36" s="3">
        <f t="shared" si="9"/>
        <v>1.2017658179346291</v>
      </c>
      <c r="H36" s="4">
        <f t="shared" si="10"/>
        <v>-1.0524781803219427</v>
      </c>
      <c r="I36" s="5">
        <f t="shared" si="2"/>
        <v>-1.2648323012329497</v>
      </c>
      <c r="K36" s="3">
        <f t="shared" si="3"/>
        <v>45</v>
      </c>
      <c r="L36" s="4">
        <f t="shared" si="4"/>
        <v>5</v>
      </c>
      <c r="M36" s="5">
        <f t="shared" si="5"/>
        <v>1600</v>
      </c>
      <c r="O36" s="3">
        <v>1.1194999999999999</v>
      </c>
      <c r="P36" s="4">
        <f t="shared" si="6"/>
        <v>1.238</v>
      </c>
      <c r="Q36" s="4">
        <f t="shared" si="8"/>
        <v>35</v>
      </c>
      <c r="R36" s="4">
        <f t="shared" si="7"/>
        <v>32</v>
      </c>
      <c r="S36" s="4">
        <f>COUNTIF($R36:$R$51, "&gt;"&amp;R36)</f>
        <v>3</v>
      </c>
      <c r="T36" s="5">
        <f>COUNTIF($R36:$R$51, "&lt;"&amp;$R36)</f>
        <v>12</v>
      </c>
    </row>
    <row r="37" spans="1:20" x14ac:dyDescent="0.25">
      <c r="A37" s="3">
        <v>0.97770000000000001</v>
      </c>
      <c r="B37" s="5">
        <v>1.7571000000000001</v>
      </c>
      <c r="G37" s="3">
        <f t="shared" si="9"/>
        <v>-4.2630160600411492E-2</v>
      </c>
      <c r="H37" s="4">
        <f t="shared" si="10"/>
        <v>0.89305810092652083</v>
      </c>
      <c r="I37" s="5">
        <f t="shared" si="2"/>
        <v>-3.8071210267996078E-2</v>
      </c>
      <c r="K37" s="3">
        <f t="shared" si="3"/>
        <v>27</v>
      </c>
      <c r="L37" s="4">
        <f t="shared" si="4"/>
        <v>41</v>
      </c>
      <c r="M37" s="5">
        <f t="shared" si="5"/>
        <v>196</v>
      </c>
      <c r="O37" s="3">
        <v>1.177</v>
      </c>
      <c r="P37" s="4">
        <f t="shared" si="6"/>
        <v>0.28270000000000001</v>
      </c>
      <c r="Q37" s="4">
        <f t="shared" si="8"/>
        <v>36</v>
      </c>
      <c r="R37" s="4">
        <f t="shared" si="7"/>
        <v>12</v>
      </c>
      <c r="S37" s="4">
        <f>COUNTIF($R37:$R$51, "&gt;"&amp;R37)</f>
        <v>9</v>
      </c>
      <c r="T37" s="5">
        <f>COUNTIF($R37:$R$51, "&lt;"&amp;$R37)</f>
        <v>5</v>
      </c>
    </row>
    <row r="38" spans="1:20" x14ac:dyDescent="0.25">
      <c r="A38" s="3">
        <v>1.4289000000000001</v>
      </c>
      <c r="B38" s="5">
        <v>0.21210000000000001</v>
      </c>
      <c r="G38" s="3">
        <f t="shared" si="9"/>
        <v>1.9953787886373751</v>
      </c>
      <c r="H38" s="4">
        <f t="shared" si="10"/>
        <v>-0.9749759271195152</v>
      </c>
      <c r="I38" s="5">
        <f t="shared" si="2"/>
        <v>-1.9454462844063398</v>
      </c>
      <c r="K38" s="3">
        <f t="shared" si="3"/>
        <v>50</v>
      </c>
      <c r="L38" s="4">
        <f t="shared" si="4"/>
        <v>10</v>
      </c>
      <c r="M38" s="5">
        <f t="shared" si="5"/>
        <v>1600</v>
      </c>
      <c r="O38" s="3">
        <v>1.1842999999999999</v>
      </c>
      <c r="P38" s="4">
        <f t="shared" si="6"/>
        <v>0.2016</v>
      </c>
      <c r="Q38" s="4">
        <f t="shared" si="8"/>
        <v>37</v>
      </c>
      <c r="R38" s="4">
        <f t="shared" si="7"/>
        <v>7</v>
      </c>
      <c r="S38" s="4">
        <f>COUNTIF($R38:$R$51, "&gt;"&amp;R38)</f>
        <v>11</v>
      </c>
      <c r="T38" s="5">
        <f>COUNTIF($R38:$R$51, "&lt;"&amp;$R38)</f>
        <v>2</v>
      </c>
    </row>
    <row r="39" spans="1:20" x14ac:dyDescent="0.25">
      <c r="A39" s="3">
        <v>0.68479999999999996</v>
      </c>
      <c r="B39" s="5">
        <v>1.2877000000000001</v>
      </c>
      <c r="G39" s="3">
        <f t="shared" si="9"/>
        <v>-1.3656195693587176</v>
      </c>
      <c r="H39" s="4">
        <f t="shared" si="10"/>
        <v>0.32551429978424939</v>
      </c>
      <c r="I39" s="5">
        <f t="shared" si="2"/>
        <v>-0.44452869789147115</v>
      </c>
      <c r="K39" s="3">
        <f t="shared" si="3"/>
        <v>3</v>
      </c>
      <c r="L39" s="4">
        <f t="shared" si="4"/>
        <v>33</v>
      </c>
      <c r="M39" s="5">
        <f t="shared" si="5"/>
        <v>900</v>
      </c>
      <c r="O39" s="3">
        <v>1.1856</v>
      </c>
      <c r="P39" s="4">
        <f t="shared" si="6"/>
        <v>1.5437000000000001</v>
      </c>
      <c r="Q39" s="4">
        <f t="shared" si="8"/>
        <v>38</v>
      </c>
      <c r="R39" s="4">
        <f t="shared" si="7"/>
        <v>40</v>
      </c>
      <c r="S39" s="4">
        <f>COUNTIF($R39:$R$51, "&gt;"&amp;R39)</f>
        <v>2</v>
      </c>
      <c r="T39" s="5">
        <f>COUNTIF($R39:$R$51, "&lt;"&amp;$R39)</f>
        <v>10</v>
      </c>
    </row>
    <row r="40" spans="1:20" x14ac:dyDescent="0.25">
      <c r="A40" s="3">
        <v>1.4043000000000001</v>
      </c>
      <c r="B40" s="5">
        <v>0.15</v>
      </c>
      <c r="G40" s="3">
        <f t="shared" si="9"/>
        <v>1.8842639390113789</v>
      </c>
      <c r="H40" s="4">
        <f t="shared" si="10"/>
        <v>-1.0500600132953459</v>
      </c>
      <c r="I40" s="5">
        <f t="shared" si="2"/>
        <v>-1.9785902168502294</v>
      </c>
      <c r="K40" s="3">
        <f t="shared" si="3"/>
        <v>48</v>
      </c>
      <c r="L40" s="4">
        <f t="shared" si="4"/>
        <v>6</v>
      </c>
      <c r="M40" s="5">
        <f t="shared" si="5"/>
        <v>1764</v>
      </c>
      <c r="O40" s="3">
        <v>1.1873</v>
      </c>
      <c r="P40" s="4">
        <f t="shared" si="6"/>
        <v>0.83950000000000002</v>
      </c>
      <c r="Q40" s="4">
        <f t="shared" si="8"/>
        <v>39</v>
      </c>
      <c r="R40" s="4">
        <f t="shared" si="7"/>
        <v>25</v>
      </c>
      <c r="S40" s="4">
        <f>COUNTIF($R40:$R$51, "&gt;"&amp;R40)</f>
        <v>3</v>
      </c>
      <c r="T40" s="5">
        <f>COUNTIF($R40:$R$51, "&lt;"&amp;$R40)</f>
        <v>8</v>
      </c>
    </row>
    <row r="41" spans="1:20" x14ac:dyDescent="0.25">
      <c r="A41" s="3">
        <v>1.1873</v>
      </c>
      <c r="B41" s="5">
        <v>0.83950000000000002</v>
      </c>
      <c r="G41" s="3">
        <f t="shared" si="9"/>
        <v>0.9041044931235247</v>
      </c>
      <c r="H41" s="4">
        <f t="shared" si="10"/>
        <v>-0.21639693087609577</v>
      </c>
      <c r="I41" s="5">
        <f t="shared" si="2"/>
        <v>-0.19564543750321897</v>
      </c>
      <c r="K41" s="3">
        <f t="shared" si="3"/>
        <v>39</v>
      </c>
      <c r="L41" s="4">
        <f t="shared" si="4"/>
        <v>25</v>
      </c>
      <c r="M41" s="5">
        <f t="shared" si="5"/>
        <v>196</v>
      </c>
      <c r="O41" s="3">
        <v>1.1920999999999999</v>
      </c>
      <c r="P41" s="4">
        <f t="shared" si="6"/>
        <v>0.90390000000000004</v>
      </c>
      <c r="Q41" s="4">
        <f t="shared" si="8"/>
        <v>40</v>
      </c>
      <c r="R41" s="4">
        <f t="shared" si="7"/>
        <v>27</v>
      </c>
      <c r="S41" s="4">
        <f>COUNTIF($R41:$R$51, "&gt;"&amp;R41)</f>
        <v>2</v>
      </c>
      <c r="T41" s="5">
        <f>COUNTIF($R41:$R$51, "&lt;"&amp;$R41)</f>
        <v>8</v>
      </c>
    </row>
    <row r="42" spans="1:20" x14ac:dyDescent="0.25">
      <c r="A42" s="3">
        <v>0.92810000000000004</v>
      </c>
      <c r="B42" s="5">
        <v>1.1588000000000001</v>
      </c>
      <c r="G42" s="3">
        <f t="shared" si="9"/>
        <v>-0.26666660537477799</v>
      </c>
      <c r="H42" s="4">
        <f t="shared" si="10"/>
        <v>0.16966343492008498</v>
      </c>
      <c r="I42" s="5">
        <f t="shared" si="2"/>
        <v>-4.5243572246363627E-2</v>
      </c>
      <c r="K42" s="3">
        <f t="shared" si="3"/>
        <v>25</v>
      </c>
      <c r="L42" s="4">
        <f t="shared" si="4"/>
        <v>29</v>
      </c>
      <c r="M42" s="5">
        <f t="shared" si="5"/>
        <v>16</v>
      </c>
      <c r="O42" s="3">
        <v>1.2020999999999999</v>
      </c>
      <c r="P42" s="4">
        <f t="shared" si="6"/>
        <v>0.23980000000000001</v>
      </c>
      <c r="Q42" s="4">
        <f t="shared" si="8"/>
        <v>41</v>
      </c>
      <c r="R42" s="4">
        <f t="shared" si="7"/>
        <v>11</v>
      </c>
      <c r="S42" s="4">
        <f>COUNTIF($R42:$R$51, "&gt;"&amp;R42)</f>
        <v>6</v>
      </c>
      <c r="T42" s="5">
        <f>COUNTIF($R42:$R$51, "&lt;"&amp;$R42)</f>
        <v>3</v>
      </c>
    </row>
    <row r="43" spans="1:20" x14ac:dyDescent="0.25">
      <c r="A43" s="3">
        <v>1.2447999999999999</v>
      </c>
      <c r="B43" s="5">
        <v>3.0150000000000001</v>
      </c>
      <c r="G43" s="3">
        <f t="shared" si="9"/>
        <v>1.1638241619647758</v>
      </c>
      <c r="H43" s="4">
        <f t="shared" si="10"/>
        <v>2.4139642523045843</v>
      </c>
      <c r="I43" s="5">
        <f t="shared" si="2"/>
        <v>2.8094299229513093</v>
      </c>
      <c r="K43" s="3">
        <f t="shared" si="3"/>
        <v>43</v>
      </c>
      <c r="L43" s="4">
        <f t="shared" si="4"/>
        <v>49</v>
      </c>
      <c r="M43" s="5">
        <f t="shared" si="5"/>
        <v>36</v>
      </c>
      <c r="O43" s="3">
        <v>1.2293000000000001</v>
      </c>
      <c r="P43" s="4">
        <f t="shared" si="6"/>
        <v>2.1766000000000001</v>
      </c>
      <c r="Q43" s="4">
        <f t="shared" si="8"/>
        <v>42</v>
      </c>
      <c r="R43" s="4">
        <f t="shared" si="7"/>
        <v>45</v>
      </c>
      <c r="S43" s="4">
        <f>COUNTIF($R43:$R$51, "&gt;"&amp;R43)</f>
        <v>1</v>
      </c>
      <c r="T43" s="5">
        <f>COUNTIF($R43:$R$51, "&lt;"&amp;$R43)</f>
        <v>7</v>
      </c>
    </row>
    <row r="44" spans="1:20" x14ac:dyDescent="0.25">
      <c r="A44" s="3">
        <v>1.0316000000000001</v>
      </c>
      <c r="B44" s="5">
        <v>4.4999999999999998E-2</v>
      </c>
      <c r="G44" s="3">
        <f t="shared" si="9"/>
        <v>0.20082879853947502</v>
      </c>
      <c r="H44" s="4">
        <f t="shared" si="10"/>
        <v>-1.1770137821916786</v>
      </c>
      <c r="I44" s="5">
        <f t="shared" si="2"/>
        <v>-0.23637826374195817</v>
      </c>
      <c r="K44" s="3">
        <f t="shared" si="3"/>
        <v>30</v>
      </c>
      <c r="L44" s="4">
        <f t="shared" si="4"/>
        <v>1</v>
      </c>
      <c r="M44" s="5">
        <f t="shared" si="5"/>
        <v>841</v>
      </c>
      <c r="O44" s="3">
        <v>1.2447999999999999</v>
      </c>
      <c r="P44" s="4">
        <f t="shared" si="6"/>
        <v>3.0150000000000001</v>
      </c>
      <c r="Q44" s="4">
        <f t="shared" si="8"/>
        <v>43</v>
      </c>
      <c r="R44" s="4">
        <f t="shared" si="7"/>
        <v>49</v>
      </c>
      <c r="S44" s="4">
        <f>COUNTIF($R44:$R$51, "&gt;"&amp;R44)</f>
        <v>0</v>
      </c>
      <c r="T44" s="5">
        <f>COUNTIF($R44:$R$51, "&lt;"&amp;$R44)</f>
        <v>7</v>
      </c>
    </row>
    <row r="45" spans="1:20" x14ac:dyDescent="0.25">
      <c r="A45" s="3">
        <v>1.2523</v>
      </c>
      <c r="B45" s="5">
        <v>0.49530000000000002</v>
      </c>
      <c r="G45" s="3">
        <f t="shared" si="9"/>
        <v>1.1977006405092872</v>
      </c>
      <c r="H45" s="4">
        <f t="shared" si="10"/>
        <v>-0.63256347615340669</v>
      </c>
      <c r="I45" s="5">
        <f t="shared" si="2"/>
        <v>-0.75762168055171641</v>
      </c>
      <c r="K45" s="3">
        <f t="shared" si="3"/>
        <v>44</v>
      </c>
      <c r="L45" s="4">
        <f t="shared" si="4"/>
        <v>19</v>
      </c>
      <c r="M45" s="5">
        <f t="shared" si="5"/>
        <v>625</v>
      </c>
      <c r="O45" s="3">
        <v>1.2523</v>
      </c>
      <c r="P45" s="4">
        <f t="shared" si="6"/>
        <v>0.49530000000000002</v>
      </c>
      <c r="Q45" s="4">
        <f t="shared" si="8"/>
        <v>44</v>
      </c>
      <c r="R45" s="4">
        <f t="shared" si="7"/>
        <v>19</v>
      </c>
      <c r="S45" s="4">
        <f>COUNTIF($R45:$R$51, "&gt;"&amp;R45)</f>
        <v>0</v>
      </c>
      <c r="T45" s="5">
        <f>COUNTIF($R45:$R$51, "&lt;"&amp;$R45)</f>
        <v>6</v>
      </c>
    </row>
    <row r="46" spans="1:20" x14ac:dyDescent="0.25">
      <c r="A46" s="3">
        <v>0.51539999999999997</v>
      </c>
      <c r="B46" s="5">
        <v>0.3175</v>
      </c>
      <c r="G46" s="3">
        <f t="shared" si="9"/>
        <v>-2.1307762980840743</v>
      </c>
      <c r="H46" s="4">
        <f t="shared" si="10"/>
        <v>-0.84753852481786318</v>
      </c>
      <c r="I46" s="5">
        <f t="shared" si="2"/>
        <v>1.8059150003950439</v>
      </c>
      <c r="K46" s="3">
        <f t="shared" si="3"/>
        <v>1</v>
      </c>
      <c r="L46" s="4">
        <f t="shared" si="4"/>
        <v>16</v>
      </c>
      <c r="M46" s="5">
        <f t="shared" si="5"/>
        <v>225</v>
      </c>
      <c r="O46" s="3">
        <v>1.2532000000000001</v>
      </c>
      <c r="P46" s="4">
        <f t="shared" si="6"/>
        <v>0.14799999999999999</v>
      </c>
      <c r="Q46" s="4">
        <f t="shared" si="8"/>
        <v>45</v>
      </c>
      <c r="R46" s="4">
        <f t="shared" si="7"/>
        <v>5</v>
      </c>
      <c r="S46" s="4">
        <f>COUNTIF($R46:$R$51, "&gt;"&amp;R46)</f>
        <v>5</v>
      </c>
      <c r="T46" s="5">
        <f>COUNTIF($R46:$R$51, "&lt;"&amp;$R46)</f>
        <v>0</v>
      </c>
    </row>
    <row r="47" spans="1:20" x14ac:dyDescent="0.25">
      <c r="A47" s="3">
        <v>1.177</v>
      </c>
      <c r="B47" s="5">
        <v>0.28270000000000001</v>
      </c>
      <c r="G47" s="3">
        <f t="shared" si="9"/>
        <v>0.85758079592239633</v>
      </c>
      <c r="H47" s="4">
        <f t="shared" si="10"/>
        <v>-0.88961463108064776</v>
      </c>
      <c r="I47" s="5">
        <f t="shared" si="2"/>
        <v>-0.76291642338635091</v>
      </c>
      <c r="K47" s="3">
        <f t="shared" si="3"/>
        <v>36</v>
      </c>
      <c r="L47" s="4">
        <f t="shared" si="4"/>
        <v>12</v>
      </c>
      <c r="M47" s="5">
        <f t="shared" si="5"/>
        <v>576</v>
      </c>
      <c r="O47" s="3">
        <v>1.2625999999999999</v>
      </c>
      <c r="P47" s="4">
        <f t="shared" si="6"/>
        <v>0.30919999999999997</v>
      </c>
      <c r="Q47" s="4">
        <f t="shared" si="8"/>
        <v>46</v>
      </c>
      <c r="R47" s="4">
        <f t="shared" si="7"/>
        <v>15</v>
      </c>
      <c r="S47" s="4">
        <f>COUNTIF($R47:$R$51, "&gt;"&amp;R47)</f>
        <v>1</v>
      </c>
      <c r="T47" s="5">
        <f>COUNTIF($R47:$R$51, "&lt;"&amp;$R47)</f>
        <v>3</v>
      </c>
    </row>
    <row r="48" spans="1:20" x14ac:dyDescent="0.25">
      <c r="A48" s="3">
        <v>0.8306</v>
      </c>
      <c r="B48" s="5">
        <v>1.2016</v>
      </c>
      <c r="G48" s="3">
        <f t="shared" si="9"/>
        <v>-0.70706082645342205</v>
      </c>
      <c r="H48" s="4">
        <f t="shared" si="10"/>
        <v>0.22141220928925667</v>
      </c>
      <c r="I48" s="5">
        <f t="shared" si="2"/>
        <v>-0.15655189968693989</v>
      </c>
      <c r="K48" s="3">
        <f t="shared" si="3"/>
        <v>14</v>
      </c>
      <c r="L48" s="4">
        <f t="shared" si="4"/>
        <v>30</v>
      </c>
      <c r="M48" s="5">
        <f t="shared" si="5"/>
        <v>256</v>
      </c>
      <c r="O48" s="3">
        <v>1.2634000000000001</v>
      </c>
      <c r="P48" s="4">
        <f t="shared" si="6"/>
        <v>0.41720000000000002</v>
      </c>
      <c r="Q48" s="4">
        <f t="shared" si="8"/>
        <v>47</v>
      </c>
      <c r="R48" s="4">
        <f t="shared" si="7"/>
        <v>18</v>
      </c>
      <c r="S48" s="4">
        <f>COUNTIF($R48:$R$51, "&gt;"&amp;R48)</f>
        <v>0</v>
      </c>
      <c r="T48" s="5">
        <f>COUNTIF($R48:$R$51, "&lt;"&amp;$R48)</f>
        <v>3</v>
      </c>
    </row>
    <row r="49" spans="1:20" x14ac:dyDescent="0.25">
      <c r="A49" s="3">
        <v>0.72489999999999999</v>
      </c>
      <c r="B49" s="5">
        <v>2.1236000000000002</v>
      </c>
      <c r="G49" s="3">
        <f t="shared" si="9"/>
        <v>-1.1844933307407315</v>
      </c>
      <c r="H49" s="4">
        <f t="shared" si="10"/>
        <v>1.3361872085503863</v>
      </c>
      <c r="I49" s="5">
        <f t="shared" si="2"/>
        <v>-1.5827048371490076</v>
      </c>
      <c r="K49" s="3">
        <f t="shared" si="3"/>
        <v>6</v>
      </c>
      <c r="L49" s="4">
        <f t="shared" si="4"/>
        <v>44</v>
      </c>
      <c r="M49" s="5">
        <f t="shared" si="5"/>
        <v>1444</v>
      </c>
      <c r="O49" s="3">
        <v>1.4043000000000001</v>
      </c>
      <c r="P49" s="4">
        <f t="shared" si="6"/>
        <v>0.15</v>
      </c>
      <c r="Q49" s="4">
        <f t="shared" si="8"/>
        <v>48</v>
      </c>
      <c r="R49" s="4">
        <f t="shared" si="7"/>
        <v>6</v>
      </c>
      <c r="S49" s="4">
        <f>COUNTIF($R49:$R$51, "&gt;"&amp;R49)</f>
        <v>2</v>
      </c>
      <c r="T49" s="5">
        <f>COUNTIF($R49:$R$51, "&lt;"&amp;$R49)</f>
        <v>0</v>
      </c>
    </row>
    <row r="50" spans="1:20" x14ac:dyDescent="0.25">
      <c r="A50" s="3">
        <v>1.1856</v>
      </c>
      <c r="B50" s="5">
        <v>1.5437000000000001</v>
      </c>
      <c r="G50" s="3">
        <f t="shared" si="9"/>
        <v>0.89642582465343534</v>
      </c>
      <c r="H50" s="4">
        <f t="shared" si="10"/>
        <v>0.63503967918864113</v>
      </c>
      <c r="I50" s="5">
        <f t="shared" si="2"/>
        <v>0.56926596810433061</v>
      </c>
      <c r="K50" s="3">
        <f t="shared" si="3"/>
        <v>38</v>
      </c>
      <c r="L50" s="4">
        <f t="shared" si="4"/>
        <v>40</v>
      </c>
      <c r="M50" s="5">
        <f t="shared" si="5"/>
        <v>4</v>
      </c>
      <c r="O50" s="3">
        <v>1.4260999999999999</v>
      </c>
      <c r="P50" s="4">
        <f t="shared" si="6"/>
        <v>0.2843</v>
      </c>
      <c r="Q50" s="4">
        <f t="shared" si="8"/>
        <v>49</v>
      </c>
      <c r="R50" s="4">
        <f t="shared" si="7"/>
        <v>13</v>
      </c>
      <c r="S50" s="4">
        <f>COUNTIF($R50:$R$51, "&gt;"&amp;R50)</f>
        <v>0</v>
      </c>
      <c r="T50" s="5">
        <f>COUNTIF($R50:$R$51, "&lt;"&amp;$R50)</f>
        <v>1</v>
      </c>
    </row>
    <row r="51" spans="1:20" ht="15.75" thickBot="1" x14ac:dyDescent="0.3">
      <c r="A51" s="6">
        <v>0.91679999999999995</v>
      </c>
      <c r="B51" s="8">
        <v>0.38629999999999998</v>
      </c>
      <c r="G51" s="6">
        <f t="shared" si="9"/>
        <v>-0.31770716638184171</v>
      </c>
      <c r="H51" s="7">
        <f t="shared" si="10"/>
        <v>-0.764353579102933</v>
      </c>
      <c r="I51" s="8">
        <f t="shared" si="2"/>
        <v>0.24284060973061175</v>
      </c>
      <c r="K51" s="6">
        <f t="shared" si="3"/>
        <v>23</v>
      </c>
      <c r="L51" s="7">
        <f t="shared" si="4"/>
        <v>17</v>
      </c>
      <c r="M51" s="8">
        <f t="shared" si="5"/>
        <v>36</v>
      </c>
      <c r="O51" s="6">
        <v>1.4289000000000001</v>
      </c>
      <c r="P51" s="7">
        <f t="shared" si="6"/>
        <v>0.21210000000000001</v>
      </c>
      <c r="Q51" s="7">
        <f t="shared" si="8"/>
        <v>50</v>
      </c>
      <c r="R51" s="7">
        <f t="shared" si="7"/>
        <v>10</v>
      </c>
      <c r="S51" s="7">
        <f>COUNTIF($R51:$R$51, "&gt;"&amp;R51)</f>
        <v>0</v>
      </c>
      <c r="T51" s="8">
        <f>COUNTIF($R51:$R$51, "&lt;"&amp;$R51)</f>
        <v>0</v>
      </c>
    </row>
  </sheetData>
  <mergeCells count="5">
    <mergeCell ref="D25:E25"/>
    <mergeCell ref="D2:E2"/>
    <mergeCell ref="D6:E6"/>
    <mergeCell ref="D11:E11"/>
    <mergeCell ref="D19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H34" sqref="H34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25" bestFit="1" customWidth="1"/>
    <col min="4" max="4" width="14.42578125" bestFit="1" customWidth="1"/>
    <col min="6" max="6" width="24.140625" customWidth="1"/>
    <col min="9" max="9" width="12.42578125" bestFit="1" customWidth="1"/>
  </cols>
  <sheetData>
    <row r="1" spans="1:9" ht="15.75" thickBot="1" x14ac:dyDescent="0.3">
      <c r="A1" s="9" t="s">
        <v>0</v>
      </c>
      <c r="B1" s="32" t="s">
        <v>53</v>
      </c>
      <c r="C1" t="s">
        <v>55</v>
      </c>
      <c r="D1" t="s">
        <v>54</v>
      </c>
      <c r="I1" t="s">
        <v>58</v>
      </c>
    </row>
    <row r="2" spans="1:9" x14ac:dyDescent="0.25">
      <c r="A2" s="39">
        <v>3.72</v>
      </c>
      <c r="B2" s="39">
        <v>-5.24</v>
      </c>
      <c r="C2">
        <f>1</f>
        <v>1</v>
      </c>
      <c r="D2">
        <f>VLOOKUP(A2, $B$2:$C$61, 2)</f>
        <v>14</v>
      </c>
      <c r="I2">
        <f>(D2-$G$4)*(D3-$G$4)</f>
        <v>354.75</v>
      </c>
    </row>
    <row r="3" spans="1:9" x14ac:dyDescent="0.25">
      <c r="A3" s="39">
        <v>2.93</v>
      </c>
      <c r="B3" s="39">
        <v>-2.64</v>
      </c>
      <c r="C3">
        <f>C2+1</f>
        <v>2</v>
      </c>
      <c r="D3">
        <f>VLOOKUP(A3, $B$2:$C$61, 2)</f>
        <v>9</v>
      </c>
      <c r="F3" s="47" t="s">
        <v>57</v>
      </c>
      <c r="G3">
        <v>60</v>
      </c>
      <c r="I3">
        <f>(D3-$G$4)*(D4-$G$4)</f>
        <v>32.25</v>
      </c>
    </row>
    <row r="4" spans="1:9" x14ac:dyDescent="0.25">
      <c r="A4" s="39">
        <v>5.99</v>
      </c>
      <c r="B4" s="39">
        <v>-0.56000000000000005</v>
      </c>
      <c r="C4">
        <f t="shared" ref="C4:C61" si="0">C3+1</f>
        <v>3</v>
      </c>
      <c r="D4">
        <f>VLOOKUP(A4, $B$2:$C$61, 2)</f>
        <v>29</v>
      </c>
      <c r="F4" s="47" t="s">
        <v>56</v>
      </c>
      <c r="G4">
        <f>(G3+1)/2</f>
        <v>30.5</v>
      </c>
      <c r="I4">
        <f t="shared" ref="I4:I61" si="1">(D4-$G$4)*(D5-$G$4)</f>
        <v>-9.75</v>
      </c>
    </row>
    <row r="5" spans="1:9" x14ac:dyDescent="0.25">
      <c r="A5" s="39">
        <v>7.45</v>
      </c>
      <c r="B5" s="39">
        <v>-0.06</v>
      </c>
      <c r="C5">
        <f t="shared" si="0"/>
        <v>4</v>
      </c>
      <c r="D5">
        <f>VLOOKUP(A5, $B$2:$C$61, 2)</f>
        <v>37</v>
      </c>
      <c r="F5" s="47" t="s">
        <v>59</v>
      </c>
      <c r="G5">
        <f>SUM(I2:I100)</f>
        <v>1733.75</v>
      </c>
      <c r="I5">
        <f t="shared" si="1"/>
        <v>-185.25</v>
      </c>
    </row>
    <row r="6" spans="1:9" x14ac:dyDescent="0.25">
      <c r="A6" s="39">
        <v>-2.64</v>
      </c>
      <c r="B6" s="39">
        <v>1.05</v>
      </c>
      <c r="C6">
        <f t="shared" si="0"/>
        <v>5</v>
      </c>
      <c r="D6">
        <f t="shared" ref="D6:D61" si="2">VLOOKUP(A6, $B$2:$C$61, 2)</f>
        <v>2</v>
      </c>
      <c r="F6" s="47" t="s">
        <v>60</v>
      </c>
      <c r="G6">
        <f>G3*G3*(G3+1)*(G3-3)*(G3*5 + 6)/720</f>
        <v>5319810</v>
      </c>
      <c r="I6">
        <f t="shared" si="1"/>
        <v>755.25</v>
      </c>
    </row>
    <row r="7" spans="1:9" x14ac:dyDescent="0.25">
      <c r="A7" s="39">
        <v>-0.06</v>
      </c>
      <c r="B7" s="39">
        <v>1.18</v>
      </c>
      <c r="C7">
        <f t="shared" si="0"/>
        <v>6</v>
      </c>
      <c r="D7">
        <f t="shared" si="2"/>
        <v>4</v>
      </c>
      <c r="F7" s="47" t="s">
        <v>61</v>
      </c>
      <c r="G7">
        <f>SQRT(G6)</f>
        <v>2306.4713308428527</v>
      </c>
      <c r="I7">
        <f t="shared" si="1"/>
        <v>-278.25</v>
      </c>
    </row>
    <row r="8" spans="1:9" x14ac:dyDescent="0.25">
      <c r="A8" s="39">
        <v>7.82</v>
      </c>
      <c r="B8" s="39">
        <v>1.64</v>
      </c>
      <c r="C8">
        <f t="shared" si="0"/>
        <v>7</v>
      </c>
      <c r="D8">
        <f t="shared" si="2"/>
        <v>41</v>
      </c>
      <c r="F8" s="47" t="s">
        <v>62</v>
      </c>
      <c r="G8">
        <f>G5/G7</f>
        <v>0.75168937797567881</v>
      </c>
      <c r="I8">
        <f t="shared" si="1"/>
        <v>-194.25</v>
      </c>
    </row>
    <row r="9" spans="1:9" x14ac:dyDescent="0.25">
      <c r="A9" s="39">
        <v>3.38</v>
      </c>
      <c r="B9" s="39">
        <v>1.66</v>
      </c>
      <c r="C9">
        <f t="shared" si="0"/>
        <v>8</v>
      </c>
      <c r="D9">
        <f t="shared" si="2"/>
        <v>12</v>
      </c>
      <c r="F9" s="47" t="s">
        <v>63</v>
      </c>
      <c r="G9">
        <f>G8+POWER(1.1216*G3, -0.523)</f>
        <v>0.86234197765449228</v>
      </c>
      <c r="I9">
        <f t="shared" si="1"/>
        <v>-27.75</v>
      </c>
    </row>
    <row r="10" spans="1:9" x14ac:dyDescent="0.25">
      <c r="A10" s="39">
        <v>6.53</v>
      </c>
      <c r="B10" s="39">
        <v>2.93</v>
      </c>
      <c r="C10">
        <f t="shared" si="0"/>
        <v>9</v>
      </c>
      <c r="D10">
        <f t="shared" si="2"/>
        <v>32</v>
      </c>
      <c r="I10">
        <f t="shared" si="1"/>
        <v>-11.25</v>
      </c>
    </row>
    <row r="11" spans="1:9" x14ac:dyDescent="0.25">
      <c r="A11" s="39">
        <v>5.15</v>
      </c>
      <c r="B11" s="39">
        <v>3.08</v>
      </c>
      <c r="C11">
        <f t="shared" si="0"/>
        <v>10</v>
      </c>
      <c r="D11">
        <f t="shared" si="2"/>
        <v>23</v>
      </c>
      <c r="I11">
        <f t="shared" si="1"/>
        <v>176.25</v>
      </c>
    </row>
    <row r="12" spans="1:9" x14ac:dyDescent="0.25">
      <c r="A12" s="39">
        <v>1.64</v>
      </c>
      <c r="B12" s="39">
        <v>3.29</v>
      </c>
      <c r="C12">
        <f t="shared" si="0"/>
        <v>11</v>
      </c>
      <c r="D12">
        <f t="shared" si="2"/>
        <v>7</v>
      </c>
      <c r="I12">
        <f t="shared" si="1"/>
        <v>646.25</v>
      </c>
    </row>
    <row r="13" spans="1:9" x14ac:dyDescent="0.25">
      <c r="A13" s="39">
        <v>-0.56000000000000005</v>
      </c>
      <c r="B13" s="39">
        <v>3.38</v>
      </c>
      <c r="C13">
        <f t="shared" si="0"/>
        <v>12</v>
      </c>
      <c r="D13">
        <f t="shared" si="2"/>
        <v>3</v>
      </c>
      <c r="I13">
        <f t="shared" si="1"/>
        <v>536.25</v>
      </c>
    </row>
    <row r="14" spans="1:9" x14ac:dyDescent="0.25">
      <c r="A14" s="39">
        <v>3.29</v>
      </c>
      <c r="B14" s="39">
        <v>3.47</v>
      </c>
      <c r="C14">
        <f t="shared" si="0"/>
        <v>13</v>
      </c>
      <c r="D14">
        <f t="shared" si="2"/>
        <v>11</v>
      </c>
      <c r="I14">
        <f t="shared" si="1"/>
        <v>477.75</v>
      </c>
    </row>
    <row r="15" spans="1:9" x14ac:dyDescent="0.25">
      <c r="A15" s="39">
        <v>1.18</v>
      </c>
      <c r="B15" s="39">
        <v>3.72</v>
      </c>
      <c r="C15">
        <f t="shared" si="0"/>
        <v>14</v>
      </c>
      <c r="D15">
        <f t="shared" si="2"/>
        <v>6</v>
      </c>
      <c r="I15">
        <f t="shared" si="1"/>
        <v>-453.25</v>
      </c>
    </row>
    <row r="16" spans="1:9" x14ac:dyDescent="0.25">
      <c r="A16" s="39">
        <v>9.14</v>
      </c>
      <c r="B16" s="39">
        <v>3.8</v>
      </c>
      <c r="C16">
        <f t="shared" si="0"/>
        <v>15</v>
      </c>
      <c r="D16">
        <f t="shared" si="2"/>
        <v>49</v>
      </c>
      <c r="I16">
        <f t="shared" si="1"/>
        <v>-416.25</v>
      </c>
    </row>
    <row r="17" spans="1:9" x14ac:dyDescent="0.25">
      <c r="A17" s="39">
        <v>1.66</v>
      </c>
      <c r="B17" s="39">
        <v>3.82</v>
      </c>
      <c r="C17">
        <f t="shared" si="0"/>
        <v>16</v>
      </c>
      <c r="D17">
        <f t="shared" si="2"/>
        <v>8</v>
      </c>
      <c r="I17">
        <f t="shared" si="1"/>
        <v>-101.25</v>
      </c>
    </row>
    <row r="18" spans="1:9" x14ac:dyDescent="0.25">
      <c r="A18" s="39">
        <v>7.25</v>
      </c>
      <c r="B18" s="39">
        <v>3.84</v>
      </c>
      <c r="C18">
        <f t="shared" si="0"/>
        <v>17</v>
      </c>
      <c r="D18">
        <f t="shared" si="2"/>
        <v>35</v>
      </c>
      <c r="I18">
        <f t="shared" si="1"/>
        <v>-15.75</v>
      </c>
    </row>
    <row r="19" spans="1:9" x14ac:dyDescent="0.25">
      <c r="A19" s="39">
        <v>5.71</v>
      </c>
      <c r="B19" s="39">
        <v>3.96</v>
      </c>
      <c r="C19">
        <f t="shared" si="0"/>
        <v>18</v>
      </c>
      <c r="D19">
        <f t="shared" si="2"/>
        <v>27</v>
      </c>
      <c r="I19">
        <f t="shared" si="1"/>
        <v>103.25</v>
      </c>
    </row>
    <row r="20" spans="1:9" x14ac:dyDescent="0.25">
      <c r="A20" s="39">
        <v>-5.24</v>
      </c>
      <c r="B20" s="39">
        <v>4.04</v>
      </c>
      <c r="C20">
        <f t="shared" si="0"/>
        <v>19</v>
      </c>
      <c r="D20">
        <f t="shared" si="2"/>
        <v>1</v>
      </c>
      <c r="I20">
        <f t="shared" si="1"/>
        <v>-103.25</v>
      </c>
    </row>
    <row r="21" spans="1:9" x14ac:dyDescent="0.25">
      <c r="A21" s="39">
        <v>6.73</v>
      </c>
      <c r="B21" s="39">
        <v>4.75</v>
      </c>
      <c r="C21">
        <f t="shared" si="0"/>
        <v>20</v>
      </c>
      <c r="D21">
        <f t="shared" si="2"/>
        <v>34</v>
      </c>
      <c r="I21">
        <f t="shared" si="1"/>
        <v>-1.75</v>
      </c>
    </row>
    <row r="22" spans="1:9" x14ac:dyDescent="0.25">
      <c r="A22" s="39">
        <v>6.01</v>
      </c>
      <c r="B22" s="39">
        <v>4.7699999999999996</v>
      </c>
      <c r="C22">
        <f t="shared" si="0"/>
        <v>21</v>
      </c>
      <c r="D22">
        <f t="shared" si="2"/>
        <v>30</v>
      </c>
      <c r="F22" s="47" t="s">
        <v>64</v>
      </c>
      <c r="G22">
        <f>_xlfn.NORM.DIST(G9, 0, SQRT(G6), 1)</f>
        <v>0.50014915627280332</v>
      </c>
      <c r="I22">
        <f t="shared" si="1"/>
        <v>8.75</v>
      </c>
    </row>
    <row r="23" spans="1:9" x14ac:dyDescent="0.25">
      <c r="A23" s="39">
        <v>3.47</v>
      </c>
      <c r="B23" s="39">
        <v>4.82</v>
      </c>
      <c r="C23">
        <f t="shared" si="0"/>
        <v>22</v>
      </c>
      <c r="D23">
        <f t="shared" si="2"/>
        <v>13</v>
      </c>
      <c r="F23" s="47" t="s">
        <v>65</v>
      </c>
      <c r="G23">
        <v>0.9</v>
      </c>
      <c r="I23">
        <f t="shared" si="1"/>
        <v>-96.25</v>
      </c>
    </row>
    <row r="24" spans="1:9" x14ac:dyDescent="0.25">
      <c r="A24" s="39">
        <v>7.28</v>
      </c>
      <c r="B24" s="39">
        <v>5.15</v>
      </c>
      <c r="C24">
        <f t="shared" si="0"/>
        <v>23</v>
      </c>
      <c r="D24">
        <f t="shared" si="2"/>
        <v>36</v>
      </c>
      <c r="F24" s="47" t="s">
        <v>66</v>
      </c>
      <c r="G24">
        <f>_xlfn.NORM.S.INV(G23)</f>
        <v>1.2815515655446006</v>
      </c>
      <c r="I24">
        <f t="shared" si="1"/>
        <v>-79.75</v>
      </c>
    </row>
    <row r="25" spans="1:9" x14ac:dyDescent="0.25">
      <c r="A25" s="39">
        <v>3.82</v>
      </c>
      <c r="B25" s="39">
        <v>5.25</v>
      </c>
      <c r="C25">
        <f t="shared" si="0"/>
        <v>24</v>
      </c>
      <c r="D25">
        <f t="shared" si="2"/>
        <v>16</v>
      </c>
      <c r="I25">
        <f t="shared" si="1"/>
        <v>94.25</v>
      </c>
    </row>
    <row r="26" spans="1:9" x14ac:dyDescent="0.25">
      <c r="A26" s="39">
        <v>5.25</v>
      </c>
      <c r="B26" s="39">
        <v>5.48</v>
      </c>
      <c r="C26">
        <f t="shared" si="0"/>
        <v>25</v>
      </c>
      <c r="D26">
        <f t="shared" si="2"/>
        <v>24</v>
      </c>
      <c r="I26">
        <f t="shared" si="1"/>
        <v>61.75</v>
      </c>
    </row>
    <row r="27" spans="1:9" x14ac:dyDescent="0.25">
      <c r="A27" s="39">
        <v>4.7699999999999996</v>
      </c>
      <c r="B27" s="39">
        <v>5.53</v>
      </c>
      <c r="C27">
        <f t="shared" si="0"/>
        <v>26</v>
      </c>
      <c r="D27">
        <f t="shared" si="2"/>
        <v>21</v>
      </c>
      <c r="I27">
        <f t="shared" si="1"/>
        <v>118.75</v>
      </c>
    </row>
    <row r="28" spans="1:9" x14ac:dyDescent="0.25">
      <c r="A28" s="39">
        <v>3.96</v>
      </c>
      <c r="B28" s="39">
        <v>5.71</v>
      </c>
      <c r="C28">
        <f t="shared" si="0"/>
        <v>27</v>
      </c>
      <c r="D28">
        <f t="shared" si="2"/>
        <v>18</v>
      </c>
      <c r="I28">
        <f t="shared" si="1"/>
        <v>-243.75</v>
      </c>
    </row>
    <row r="29" spans="1:9" x14ac:dyDescent="0.25">
      <c r="A29" s="39">
        <v>9.6199999999999992</v>
      </c>
      <c r="B29" s="39">
        <v>5.94</v>
      </c>
      <c r="C29">
        <f t="shared" si="0"/>
        <v>28</v>
      </c>
      <c r="D29">
        <f t="shared" si="2"/>
        <v>50</v>
      </c>
      <c r="I29">
        <f t="shared" si="1"/>
        <v>-48.75</v>
      </c>
    </row>
    <row r="30" spans="1:9" x14ac:dyDescent="0.25">
      <c r="A30" s="39">
        <v>5.94</v>
      </c>
      <c r="B30" s="39">
        <v>5.99</v>
      </c>
      <c r="C30">
        <f t="shared" si="0"/>
        <v>29</v>
      </c>
      <c r="D30">
        <f t="shared" si="2"/>
        <v>28</v>
      </c>
      <c r="I30">
        <f t="shared" si="1"/>
        <v>11.25</v>
      </c>
    </row>
    <row r="31" spans="1:9" x14ac:dyDescent="0.25">
      <c r="A31" s="39">
        <v>5.53</v>
      </c>
      <c r="B31" s="39">
        <v>6.01</v>
      </c>
      <c r="C31">
        <f t="shared" si="0"/>
        <v>30</v>
      </c>
      <c r="D31">
        <f t="shared" si="2"/>
        <v>26</v>
      </c>
      <c r="I31">
        <f t="shared" si="1"/>
        <v>114.75</v>
      </c>
    </row>
    <row r="32" spans="1:9" x14ac:dyDescent="0.25">
      <c r="A32" s="39">
        <v>1.05</v>
      </c>
      <c r="B32" s="39">
        <v>6.18</v>
      </c>
      <c r="C32">
        <f t="shared" si="0"/>
        <v>31</v>
      </c>
      <c r="D32">
        <f t="shared" si="2"/>
        <v>5</v>
      </c>
      <c r="I32">
        <f t="shared" si="1"/>
        <v>140.25</v>
      </c>
    </row>
    <row r="33" spans="1:9" x14ac:dyDescent="0.25">
      <c r="A33" s="39">
        <v>5.48</v>
      </c>
      <c r="B33" s="39">
        <v>6.53</v>
      </c>
      <c r="C33">
        <f t="shared" si="0"/>
        <v>32</v>
      </c>
      <c r="D33">
        <f t="shared" si="2"/>
        <v>25</v>
      </c>
      <c r="I33">
        <f t="shared" si="1"/>
        <v>57.75</v>
      </c>
    </row>
    <row r="34" spans="1:9" x14ac:dyDescent="0.25">
      <c r="A34" s="39">
        <v>4.75</v>
      </c>
      <c r="B34" s="39">
        <v>6.65</v>
      </c>
      <c r="C34">
        <f t="shared" si="0"/>
        <v>33</v>
      </c>
      <c r="D34">
        <f t="shared" si="2"/>
        <v>20</v>
      </c>
      <c r="I34">
        <f t="shared" si="1"/>
        <v>-26.25</v>
      </c>
    </row>
    <row r="35" spans="1:9" x14ac:dyDescent="0.25">
      <c r="A35" s="39">
        <v>6.65</v>
      </c>
      <c r="B35" s="39">
        <v>6.73</v>
      </c>
      <c r="C35">
        <f t="shared" si="0"/>
        <v>34</v>
      </c>
      <c r="D35">
        <f t="shared" si="2"/>
        <v>33</v>
      </c>
      <c r="I35">
        <f t="shared" si="1"/>
        <v>21.25</v>
      </c>
    </row>
    <row r="36" spans="1:9" x14ac:dyDescent="0.25">
      <c r="A36" s="39">
        <v>7.57</v>
      </c>
      <c r="B36" s="39">
        <v>7.25</v>
      </c>
      <c r="C36">
        <f t="shared" si="0"/>
        <v>35</v>
      </c>
      <c r="D36">
        <f t="shared" si="2"/>
        <v>39</v>
      </c>
      <c r="I36">
        <f t="shared" si="1"/>
        <v>63.75</v>
      </c>
    </row>
    <row r="37" spans="1:9" x14ac:dyDescent="0.25">
      <c r="A37" s="39">
        <v>7.54</v>
      </c>
      <c r="B37" s="39">
        <v>7.28</v>
      </c>
      <c r="C37">
        <f t="shared" si="0"/>
        <v>36</v>
      </c>
      <c r="D37">
        <f t="shared" si="2"/>
        <v>38</v>
      </c>
      <c r="I37">
        <f t="shared" si="1"/>
        <v>-86.25</v>
      </c>
    </row>
    <row r="38" spans="1:9" x14ac:dyDescent="0.25">
      <c r="A38" s="39">
        <v>4.04</v>
      </c>
      <c r="B38" s="39">
        <v>7.45</v>
      </c>
      <c r="C38">
        <f t="shared" si="0"/>
        <v>37</v>
      </c>
      <c r="D38">
        <f t="shared" si="2"/>
        <v>19</v>
      </c>
      <c r="I38">
        <f t="shared" si="1"/>
        <v>-5.75</v>
      </c>
    </row>
    <row r="39" spans="1:9" x14ac:dyDescent="0.25">
      <c r="A39" s="39">
        <v>6.18</v>
      </c>
      <c r="B39" s="39">
        <v>7.54</v>
      </c>
      <c r="C39">
        <f t="shared" si="0"/>
        <v>38</v>
      </c>
      <c r="D39">
        <f t="shared" si="2"/>
        <v>31</v>
      </c>
      <c r="I39">
        <f t="shared" si="1"/>
        <v>8.75</v>
      </c>
    </row>
    <row r="40" spans="1:9" x14ac:dyDescent="0.25">
      <c r="A40" s="39">
        <v>8.84</v>
      </c>
      <c r="B40" s="39">
        <v>7.57</v>
      </c>
      <c r="C40">
        <f t="shared" si="0"/>
        <v>39</v>
      </c>
      <c r="D40">
        <f t="shared" si="2"/>
        <v>48</v>
      </c>
      <c r="I40">
        <f t="shared" si="1"/>
        <v>-236.25</v>
      </c>
    </row>
    <row r="41" spans="1:9" x14ac:dyDescent="0.25">
      <c r="A41" s="39">
        <v>3.84</v>
      </c>
      <c r="B41" s="39">
        <v>7.66</v>
      </c>
      <c r="C41">
        <f t="shared" si="0"/>
        <v>40</v>
      </c>
      <c r="D41">
        <f t="shared" si="2"/>
        <v>17</v>
      </c>
      <c r="I41">
        <f t="shared" si="1"/>
        <v>114.75</v>
      </c>
    </row>
    <row r="42" spans="1:9" x14ac:dyDescent="0.25">
      <c r="A42" s="39">
        <v>4.82</v>
      </c>
      <c r="B42" s="39">
        <v>7.82</v>
      </c>
      <c r="C42">
        <f t="shared" si="0"/>
        <v>41</v>
      </c>
      <c r="D42">
        <f t="shared" si="2"/>
        <v>22</v>
      </c>
      <c r="I42">
        <f t="shared" si="1"/>
        <v>131.75</v>
      </c>
    </row>
    <row r="43" spans="1:9" x14ac:dyDescent="0.25">
      <c r="A43" s="39">
        <v>3.8</v>
      </c>
      <c r="B43" s="39">
        <v>7.86</v>
      </c>
      <c r="C43">
        <f t="shared" si="0"/>
        <v>42</v>
      </c>
      <c r="D43">
        <f t="shared" si="2"/>
        <v>15</v>
      </c>
      <c r="I43">
        <f t="shared" si="1"/>
        <v>-193.75</v>
      </c>
    </row>
    <row r="44" spans="1:9" x14ac:dyDescent="0.25">
      <c r="A44" s="39">
        <v>7.86</v>
      </c>
      <c r="B44" s="39">
        <v>7.86</v>
      </c>
      <c r="C44">
        <f t="shared" si="0"/>
        <v>43</v>
      </c>
      <c r="D44">
        <f t="shared" si="2"/>
        <v>43</v>
      </c>
      <c r="I44">
        <f t="shared" si="1"/>
        <v>181.25</v>
      </c>
    </row>
    <row r="45" spans="1:9" x14ac:dyDescent="0.25">
      <c r="A45" s="39">
        <v>7.92</v>
      </c>
      <c r="B45" s="39">
        <v>7.92</v>
      </c>
      <c r="C45">
        <f t="shared" si="0"/>
        <v>44</v>
      </c>
      <c r="D45">
        <f t="shared" si="2"/>
        <v>45</v>
      </c>
      <c r="I45">
        <f t="shared" si="1"/>
        <v>210.25</v>
      </c>
    </row>
    <row r="46" spans="1:9" x14ac:dyDescent="0.25">
      <c r="A46" s="39">
        <v>7.92</v>
      </c>
      <c r="B46" s="39">
        <v>7.92</v>
      </c>
      <c r="C46">
        <f t="shared" si="0"/>
        <v>45</v>
      </c>
      <c r="D46">
        <f t="shared" si="2"/>
        <v>45</v>
      </c>
      <c r="I46">
        <f t="shared" si="1"/>
        <v>224.75</v>
      </c>
    </row>
    <row r="47" spans="1:9" x14ac:dyDescent="0.25">
      <c r="A47" s="39">
        <v>8.06</v>
      </c>
      <c r="B47" s="39">
        <v>8.06</v>
      </c>
      <c r="C47">
        <f t="shared" si="0"/>
        <v>46</v>
      </c>
      <c r="D47">
        <f t="shared" si="2"/>
        <v>46</v>
      </c>
      <c r="I47">
        <f t="shared" si="1"/>
        <v>147.25</v>
      </c>
    </row>
    <row r="48" spans="1:9" x14ac:dyDescent="0.25">
      <c r="A48" s="39">
        <v>7.66</v>
      </c>
      <c r="B48" s="39">
        <v>8.49</v>
      </c>
      <c r="C48">
        <f t="shared" si="0"/>
        <v>47</v>
      </c>
      <c r="D48">
        <f t="shared" si="2"/>
        <v>40</v>
      </c>
      <c r="I48">
        <f t="shared" si="1"/>
        <v>-194.75</v>
      </c>
    </row>
    <row r="49" spans="1:9" x14ac:dyDescent="0.25">
      <c r="A49" s="39">
        <v>3.08</v>
      </c>
      <c r="B49" s="39">
        <v>8.84</v>
      </c>
      <c r="C49">
        <f t="shared" si="0"/>
        <v>48</v>
      </c>
      <c r="D49">
        <f t="shared" si="2"/>
        <v>10</v>
      </c>
      <c r="I49">
        <f t="shared" si="1"/>
        <v>-256.25</v>
      </c>
    </row>
    <row r="50" spans="1:9" x14ac:dyDescent="0.25">
      <c r="A50" s="39">
        <v>7.86</v>
      </c>
      <c r="B50" s="39">
        <v>9.14</v>
      </c>
      <c r="C50">
        <f t="shared" si="0"/>
        <v>49</v>
      </c>
      <c r="D50">
        <f t="shared" si="2"/>
        <v>43</v>
      </c>
      <c r="I50">
        <f t="shared" si="1"/>
        <v>206.25</v>
      </c>
    </row>
    <row r="51" spans="1:9" x14ac:dyDescent="0.25">
      <c r="A51" s="39">
        <v>8.49</v>
      </c>
      <c r="B51" s="39">
        <v>9.6199999999999992</v>
      </c>
      <c r="C51">
        <f t="shared" si="0"/>
        <v>50</v>
      </c>
      <c r="D51">
        <f t="shared" si="2"/>
        <v>47</v>
      </c>
    </row>
    <row r="52" spans="1:9" x14ac:dyDescent="0.25">
      <c r="A52" s="39"/>
      <c r="B52" s="27"/>
    </row>
    <row r="53" spans="1:9" x14ac:dyDescent="0.25">
      <c r="A53" s="39"/>
      <c r="B53" s="27"/>
    </row>
    <row r="54" spans="1:9" x14ac:dyDescent="0.25">
      <c r="A54" s="39"/>
      <c r="B54" s="27"/>
    </row>
    <row r="55" spans="1:9" x14ac:dyDescent="0.25">
      <c r="A55" s="39"/>
      <c r="B55" s="27"/>
    </row>
    <row r="56" spans="1:9" x14ac:dyDescent="0.25">
      <c r="A56" s="39"/>
      <c r="B56" s="27"/>
    </row>
    <row r="57" spans="1:9" x14ac:dyDescent="0.25">
      <c r="A57" s="39"/>
      <c r="B57" s="27"/>
    </row>
    <row r="58" spans="1:9" x14ac:dyDescent="0.25">
      <c r="A58" s="39"/>
      <c r="B58" s="27"/>
    </row>
    <row r="59" spans="1:9" x14ac:dyDescent="0.25">
      <c r="A59" s="39"/>
      <c r="B59" s="27"/>
    </row>
    <row r="60" spans="1:9" x14ac:dyDescent="0.25">
      <c r="A60" s="39"/>
      <c r="B60" s="27"/>
    </row>
    <row r="61" spans="1:9" ht="15.75" thickBot="1" x14ac:dyDescent="0.3">
      <c r="A61" s="40"/>
      <c r="B61" s="28"/>
    </row>
  </sheetData>
  <sortState ref="B2:B51">
    <sortCondition ref="B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2 - Колмогоров</vt:lpstr>
      <vt:lpstr>5 - Корр. анализ</vt:lpstr>
      <vt:lpstr>8 - Тренд в матожидании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2022-12-11T14:37:53Z</dcterms:modified>
</cp:coreProperties>
</file>