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PROJ\Jain Irrigation\2015 Phase\Integrated RF PCB Firmware\"/>
    </mc:Choice>
  </mc:AlternateContent>
  <bookViews>
    <workbookView xWindow="0" yWindow="0" windowWidth="24000" windowHeight="11205"/>
  </bookViews>
  <sheets>
    <sheet name="message ids" sheetId="2" r:id="rId1"/>
    <sheet name="Re Valve algorithms" sheetId="16" r:id="rId2"/>
    <sheet name="IDEAS PUT ON HOLD-charge status" sheetId="15" r:id="rId3"/>
  </sheets>
  <calcPr calcId="152511"/>
</workbook>
</file>

<file path=xl/calcChain.xml><?xml version="1.0" encoding="utf-8"?>
<calcChain xmlns="http://schemas.openxmlformats.org/spreadsheetml/2006/main">
  <c r="E100" i="16" l="1"/>
  <c r="E99" i="16"/>
  <c r="C80" i="16"/>
  <c r="E80" i="16"/>
  <c r="B80" i="16"/>
  <c r="H89" i="16"/>
  <c r="C79" i="16"/>
  <c r="E79" i="16"/>
  <c r="H75" i="16"/>
  <c r="B63" i="16"/>
  <c r="C66" i="16"/>
  <c r="E66" i="16"/>
  <c r="C65" i="16"/>
  <c r="E65" i="16"/>
  <c r="E69" i="16"/>
  <c r="E74" i="16"/>
  <c r="F74" i="16"/>
  <c r="B52" i="16"/>
  <c r="C54" i="16"/>
  <c r="E54" i="16"/>
  <c r="C55" i="16"/>
  <c r="L49" i="16"/>
  <c r="K53" i="16"/>
  <c r="K49" i="16"/>
  <c r="L43" i="16"/>
  <c r="J46" i="16"/>
  <c r="K46" i="16"/>
  <c r="J43" i="16"/>
  <c r="K43" i="16"/>
  <c r="T22" i="16"/>
  <c r="R22" i="16"/>
  <c r="P22" i="16"/>
  <c r="N22" i="16"/>
  <c r="L22" i="16"/>
  <c r="J22" i="16"/>
  <c r="T20" i="16"/>
  <c r="T21" i="16"/>
  <c r="R20" i="16"/>
  <c r="R21" i="16"/>
  <c r="P20" i="16"/>
  <c r="N20" i="16"/>
  <c r="L20" i="16"/>
  <c r="J20" i="16"/>
  <c r="G130" i="15"/>
  <c r="G140" i="15"/>
  <c r="H140" i="15"/>
  <c r="D138" i="15"/>
  <c r="E138" i="15"/>
  <c r="F138" i="15"/>
  <c r="Q80" i="15"/>
  <c r="M128" i="15"/>
  <c r="M130" i="15"/>
  <c r="K128" i="15"/>
  <c r="I128" i="15"/>
  <c r="I130" i="15"/>
  <c r="G128" i="15"/>
  <c r="E128" i="15"/>
  <c r="E130" i="15"/>
  <c r="C128" i="15"/>
  <c r="C130" i="15"/>
  <c r="A128" i="15"/>
  <c r="A130" i="15"/>
  <c r="F123" i="15"/>
  <c r="AJ56" i="15"/>
  <c r="AJ55" i="15"/>
  <c r="AJ54" i="15"/>
  <c r="AJ53" i="15"/>
  <c r="AJ52" i="15"/>
  <c r="AJ51" i="15"/>
  <c r="AJ50" i="15"/>
  <c r="AJ49" i="15"/>
  <c r="AJ48" i="15"/>
  <c r="AJ47" i="15"/>
  <c r="AJ46" i="15"/>
  <c r="AJ45" i="15"/>
  <c r="AJ43" i="15"/>
  <c r="AJ42" i="15"/>
  <c r="AJ41" i="15"/>
  <c r="AJ40" i="15"/>
  <c r="AJ39" i="15"/>
  <c r="AJ38" i="15"/>
  <c r="AJ37" i="15"/>
  <c r="AJ36" i="15"/>
  <c r="AD51" i="15"/>
  <c r="AG51" i="15"/>
  <c r="AD50" i="15"/>
  <c r="AG50" i="15"/>
  <c r="AD47" i="15"/>
  <c r="AG47" i="15"/>
  <c r="AD46" i="15"/>
  <c r="AG46" i="15"/>
  <c r="AD45" i="15"/>
  <c r="AG45" i="15"/>
  <c r="AD43" i="15"/>
  <c r="AG43" i="15"/>
  <c r="AD42" i="15"/>
  <c r="AG42" i="15"/>
  <c r="AD41" i="15"/>
  <c r="AG41" i="15"/>
  <c r="AD40" i="15"/>
  <c r="AG40" i="15"/>
  <c r="AD39" i="15"/>
  <c r="AG39" i="15"/>
  <c r="AD38" i="15"/>
  <c r="AG38" i="15"/>
  <c r="AD37" i="15"/>
  <c r="AG37" i="15"/>
  <c r="AG36" i="15"/>
  <c r="AD36" i="15"/>
  <c r="X56" i="15"/>
  <c r="X55" i="15"/>
  <c r="Z55" i="15"/>
  <c r="AD55" i="15"/>
  <c r="AG55" i="15"/>
  <c r="X54" i="15"/>
  <c r="X53" i="15"/>
  <c r="X52" i="15"/>
  <c r="X51" i="15"/>
  <c r="Z51" i="15"/>
  <c r="X50" i="15"/>
  <c r="Z50" i="15"/>
  <c r="X49" i="15"/>
  <c r="Z49" i="15"/>
  <c r="AD49" i="15"/>
  <c r="AG49" i="15"/>
  <c r="X48" i="15"/>
  <c r="Z48" i="15"/>
  <c r="AD48" i="15"/>
  <c r="AG48" i="15"/>
  <c r="X47" i="15"/>
  <c r="X46" i="15"/>
  <c r="X45" i="15"/>
  <c r="X43" i="15"/>
  <c r="Z43" i="15"/>
  <c r="X42" i="15"/>
  <c r="X41" i="15"/>
  <c r="Z41" i="15"/>
  <c r="X40" i="15"/>
  <c r="X39" i="15"/>
  <c r="Z39" i="15"/>
  <c r="X38" i="15"/>
  <c r="X37" i="15"/>
  <c r="Z37" i="15"/>
  <c r="X36" i="15"/>
  <c r="Z36" i="15"/>
  <c r="Z54" i="15"/>
  <c r="AD54" i="15"/>
  <c r="AG54" i="15"/>
  <c r="Z40" i="15"/>
  <c r="Z56" i="15"/>
  <c r="AD56" i="15"/>
  <c r="AG56" i="15"/>
  <c r="Z53" i="15"/>
  <c r="AD53" i="15"/>
  <c r="AG53" i="15"/>
  <c r="Z52" i="15"/>
  <c r="AD52" i="15"/>
  <c r="AG52" i="15"/>
  <c r="Z47" i="15"/>
  <c r="Z46" i="15"/>
  <c r="Z45" i="15"/>
  <c r="Z42" i="15"/>
  <c r="Z38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3" i="15"/>
  <c r="R42" i="15"/>
  <c r="R41" i="15"/>
  <c r="R40" i="15"/>
  <c r="R39" i="15"/>
  <c r="R38" i="15"/>
  <c r="R37" i="15"/>
  <c r="R36" i="15"/>
  <c r="S56" i="15"/>
  <c r="S55" i="15"/>
  <c r="S54" i="15"/>
  <c r="S53" i="15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I116" i="15"/>
  <c r="T80" i="15"/>
  <c r="P107" i="15"/>
  <c r="L83" i="15"/>
  <c r="L82" i="15"/>
  <c r="L81" i="15"/>
  <c r="L78" i="15"/>
  <c r="I110" i="15"/>
  <c r="P106" i="15"/>
  <c r="P108" i="15"/>
  <c r="J100" i="15"/>
  <c r="J83" i="15"/>
  <c r="J82" i="15"/>
  <c r="J81" i="15"/>
  <c r="F98" i="15"/>
  <c r="F101" i="15"/>
  <c r="J103" i="15"/>
  <c r="X44" i="15"/>
  <c r="Z44" i="15"/>
  <c r="AD44" i="15"/>
  <c r="AG44" i="15"/>
  <c r="AJ44" i="15"/>
  <c r="K130" i="15"/>
  <c r="B77" i="16"/>
  <c r="E83" i="16"/>
  <c r="E73" i="16"/>
  <c r="E68" i="16"/>
  <c r="F70" i="16"/>
  <c r="F71" i="16"/>
  <c r="F69" i="16"/>
  <c r="E55" i="16"/>
  <c r="E58" i="16"/>
  <c r="J49" i="16"/>
  <c r="L21" i="16"/>
  <c r="J21" i="16"/>
  <c r="N21" i="16"/>
  <c r="P21" i="16"/>
  <c r="E87" i="16"/>
  <c r="F84" i="16"/>
  <c r="F85" i="16"/>
  <c r="F83" i="16"/>
  <c r="E82" i="16"/>
  <c r="E88" i="16"/>
  <c r="F88" i="16"/>
  <c r="E59" i="16"/>
  <c r="E60" i="16"/>
  <c r="E57" i="16"/>
  <c r="F58" i="16"/>
</calcChain>
</file>

<file path=xl/sharedStrings.xml><?xml version="1.0" encoding="utf-8"?>
<sst xmlns="http://schemas.openxmlformats.org/spreadsheetml/2006/main" count="884" uniqueCount="480">
  <si>
    <t>0x00</t>
  </si>
  <si>
    <t>0x02</t>
  </si>
  <si>
    <t>0x01</t>
  </si>
  <si>
    <t>Message Description</t>
  </si>
  <si>
    <t>Message Source</t>
  </si>
  <si>
    <t>Manager</t>
  </si>
  <si>
    <t>0x80</t>
  </si>
  <si>
    <t>0x03</t>
  </si>
  <si>
    <t>0x04</t>
  </si>
  <si>
    <t>0x05</t>
  </si>
  <si>
    <t>0x81</t>
  </si>
  <si>
    <t>0x82</t>
  </si>
  <si>
    <t>Ack</t>
  </si>
  <si>
    <t>Nack</t>
  </si>
  <si>
    <t>0x83</t>
  </si>
  <si>
    <t>0x06</t>
  </si>
  <si>
    <t>0x08</t>
  </si>
  <si>
    <t>0x09</t>
  </si>
  <si>
    <t>0x0E</t>
  </si>
  <si>
    <t>0x0F</t>
  </si>
  <si>
    <t>0x11</t>
  </si>
  <si>
    <t>0x12</t>
  </si>
  <si>
    <t>0x13</t>
  </si>
  <si>
    <t>Error Message</t>
  </si>
  <si>
    <t>Sprinkler</t>
  </si>
  <si>
    <t>N/A</t>
  </si>
  <si>
    <t>Force Fixed RPM Operation</t>
  </si>
  <si>
    <t>RPM</t>
  </si>
  <si>
    <t>Braking Force (Low Byte)</t>
  </si>
  <si>
    <t>Re ERROR MESSAGES:</t>
  </si>
  <si>
    <t>defined thus far</t>
  </si>
  <si>
    <t>Error Code</t>
  </si>
  <si>
    <t>The following Error Codes for reporting to manager have been</t>
  </si>
  <si>
    <t>No spin, yet manager thinks water is flowing</t>
  </si>
  <si>
    <t>0x84</t>
  </si>
  <si>
    <t>0x30</t>
  </si>
  <si>
    <t>0x31</t>
  </si>
  <si>
    <t>0x21</t>
  </si>
  <si>
    <t>0x22</t>
  </si>
  <si>
    <t>0x23</t>
  </si>
  <si>
    <t>0x24</t>
  </si>
  <si>
    <t>Firmware revision read (2 bytes)</t>
  </si>
  <si>
    <t>Power supply hardware failure-</t>
  </si>
  <si>
    <t>regulator output &gt;&gt;3V and/or Vbatt&lt;Vdd (!)</t>
  </si>
  <si>
    <t>0x29</t>
  </si>
  <si>
    <t>0x2B</t>
  </si>
  <si>
    <t>Force Cold Restart (reset Dust)</t>
  </si>
  <si>
    <t>Force Warm Restart (leave Dust connected)</t>
  </si>
  <si>
    <t>Mote requests it be disconnected from network</t>
  </si>
  <si>
    <t>Speed lo error</t>
  </si>
  <si>
    <t>Speed hi error</t>
  </si>
  <si>
    <t>Speed unstable (regulation error)</t>
  </si>
  <si>
    <t>Yes spin (clear no spin error)</t>
  </si>
  <si>
    <t>RPM ctrl OK (clr unstable/too fast/too slow errs</t>
  </si>
  <si>
    <t>(Soon battery TOO low for Dust.  HELP!</t>
  </si>
  <si>
    <t>LOW BATTERY SHOUTOUT (&lt;3V) (weak)</t>
  </si>
  <si>
    <t>battery OK errocde</t>
  </si>
  <si>
    <t>NO ERROR CODE</t>
  </si>
  <si>
    <t>0x2F</t>
  </si>
  <si>
    <t>Update sprinkler #</t>
  </si>
  <si>
    <t>0x44</t>
  </si>
  <si>
    <t>0x50</t>
  </si>
  <si>
    <t>Time to start (Byte 1)</t>
  </si>
  <si>
    <t>Time to start (Byte 2)</t>
  </si>
  <si>
    <t>Time to start (Byte 3)</t>
  </si>
  <si>
    <t>0x52</t>
  </si>
  <si>
    <t>question sprinkler# (location)</t>
  </si>
  <si>
    <t>question netID association (CP)</t>
  </si>
  <si>
    <t>question both sprinkler# and netID</t>
  </si>
  <si>
    <t>DEAD BATTERY SHOUTOUT (&lt;2.5V)</t>
  </si>
  <si>
    <t>0x5F</t>
  </si>
  <si>
    <t>Force Fixed Braking Force</t>
  </si>
  <si>
    <t>Set Valve</t>
  </si>
  <si>
    <t>0x58</t>
  </si>
  <si>
    <t>Force Fixed Braking Force (no charge)</t>
  </si>
  <si>
    <t>Shutdown Delay Read</t>
  </si>
  <si>
    <t>Shutdown Delay Write</t>
  </si>
  <si>
    <t>Full Report</t>
  </si>
  <si>
    <t xml:space="preserve">Manager </t>
  </si>
  <si>
    <t>0x5C</t>
  </si>
  <si>
    <t>0x5D</t>
  </si>
  <si>
    <t>0x5E</t>
  </si>
  <si>
    <t>Force Rejoin (decommission first)</t>
  </si>
  <si>
    <t>Shutdown, closed valve (decommission first)</t>
  </si>
  <si>
    <t>0x2E</t>
  </si>
  <si>
    <t>no response from mote expected</t>
  </si>
  <si>
    <t>Force Rejoin</t>
  </si>
  <si>
    <t>Shutdown, closed valve</t>
  </si>
  <si>
    <t>Shutdown, open valve</t>
  </si>
  <si>
    <t xml:space="preserve">Shutdown, open valve (decommission first) </t>
  </si>
  <si>
    <t>READY only; no response from mote expected</t>
  </si>
  <si>
    <t>READY only</t>
  </si>
  <si>
    <t>Force READY</t>
  </si>
  <si>
    <t>allowed during these states</t>
  </si>
  <si>
    <t>notes</t>
  </si>
  <si>
    <t>RPM (Low Byte)</t>
  </si>
  <si>
    <t>RPM (High Byte)</t>
  </si>
  <si>
    <t>forces TEST_STATE; open valve if closed, otherwise no impact on valve; LV may limit range</t>
  </si>
  <si>
    <t>forces TEST_STATE; LV limits 0-400</t>
  </si>
  <si>
    <t>Braking Force (High Byte)</t>
  </si>
  <si>
    <t>sprinkler_num (lo)</t>
  </si>
  <si>
    <t>sprinkler_num (hi)</t>
  </si>
  <si>
    <t>location (lo)</t>
  </si>
  <si>
    <t>location (hi)</t>
  </si>
  <si>
    <t>0xFC</t>
  </si>
  <si>
    <t>sprinkler type</t>
  </si>
  <si>
    <t>:0</t>
  </si>
  <si>
    <t>hi if sprinkler has FLOW SENSOR</t>
  </si>
  <si>
    <t>:1</t>
  </si>
  <si>
    <t>hi if sprinkler has GPS module</t>
  </si>
  <si>
    <t>undefined.</t>
  </si>
  <si>
    <t>current period (lo)</t>
  </si>
  <si>
    <t>current period (hi)</t>
  </si>
  <si>
    <t>Message Byte 7</t>
  </si>
  <si>
    <t>Message Byte 8</t>
  </si>
  <si>
    <t>Message Byte 10</t>
  </si>
  <si>
    <t>Message Byte 11</t>
  </si>
  <si>
    <t>Message Byte 12</t>
  </si>
  <si>
    <t>Message Byte 13</t>
  </si>
  <si>
    <t>Message Byte 14</t>
  </si>
  <si>
    <t>Message Byte 15</t>
  </si>
  <si>
    <t>Message Byte 16</t>
  </si>
  <si>
    <t>Message Byte 17</t>
  </si>
  <si>
    <t>Message Byte 18</t>
  </si>
  <si>
    <t>Message Byte 19</t>
  </si>
  <si>
    <t>Message Byte 20</t>
  </si>
  <si>
    <t>Message Byte 21</t>
  </si>
  <si>
    <t>Message Byte 22</t>
  </si>
  <si>
    <t>Message Byte 23</t>
  </si>
  <si>
    <t>Message Byte 24</t>
  </si>
  <si>
    <t>Message Byte 25</t>
  </si>
  <si>
    <t>Message Byte 26</t>
  </si>
  <si>
    <t>Message Byte 27</t>
  </si>
  <si>
    <t>Message Byte 28</t>
  </si>
  <si>
    <t>current charging PWM (hi)</t>
  </si>
  <si>
    <t>current charging PWM (lo)</t>
  </si>
  <si>
    <t>current MPPC</t>
  </si>
  <si>
    <t>current valve position (hi)</t>
  </si>
  <si>
    <t>current valve position (lo)</t>
  </si>
  <si>
    <t>0x51</t>
  </si>
  <si>
    <t>Target RPM (hi)</t>
  </si>
  <si>
    <t>Time to start (lo)</t>
  </si>
  <si>
    <t>Target RPM (lo)</t>
  </si>
  <si>
    <t>last measured freespin period (lo)</t>
  </si>
  <si>
    <t>last measured freespin period (hi)</t>
  </si>
  <si>
    <t>current flow rate (hi) [0 if no xdcr]</t>
  </si>
  <si>
    <t>current flow rate (lo) [0 if no xdcr]</t>
  </si>
  <si>
    <t>next valve/venturi (lo) [based on next state valve/venturi bit]</t>
  </si>
  <si>
    <t>next valve/venturi (hi) [based on next state valve/venturi bit]</t>
  </si>
  <si>
    <t>next state (includes bit for valve/venturi)</t>
  </si>
  <si>
    <t>current state (includes bit for valve/venturi)</t>
  </si>
  <si>
    <t>:2-3</t>
  </si>
  <si>
    <t>:4-7</t>
  </si>
  <si>
    <t>codes venturi/press meas factors</t>
  </si>
  <si>
    <t>INIT</t>
  </si>
  <si>
    <t>READY</t>
  </si>
  <si>
    <t>TEST</t>
  </si>
  <si>
    <t>RUN / Venturi</t>
  </si>
  <si>
    <t>RUN / Valve%</t>
  </si>
  <si>
    <t>PAUSED</t>
  </si>
  <si>
    <t>UNAVAILABLE</t>
  </si>
  <si>
    <t>SPRINKLER TYPE DESC</t>
  </si>
  <si>
    <t>SPRINKLER STATE DESC</t>
  </si>
  <si>
    <t>current rpm</t>
  </si>
  <si>
    <t>current brk force</t>
  </si>
  <si>
    <t>current charge aggressive</t>
  </si>
  <si>
    <t>Can we determine, roughly, a charging status?</t>
  </si>
  <si>
    <t>We can determine, roughly, how much current is flowing in the motor windings:</t>
  </si>
  <si>
    <t>ideal vgen (no load) = (K)(1.2*32768)/period</t>
  </si>
  <si>
    <t>empirical K</t>
  </si>
  <si>
    <t>K is in units of volts/RPM</t>
  </si>
  <si>
    <t>rpm</t>
  </si>
  <si>
    <t xml:space="preserve">Given </t>
  </si>
  <si>
    <t>current stepper voltage</t>
  </si>
  <si>
    <t>calculated unloaded stepper voltage</t>
  </si>
  <si>
    <t>actual stepper voltage will be less than the ideal calc'd unloaded stepper voltage due to voltage drop caused by current through the motor winding itself</t>
  </si>
  <si>
    <t xml:space="preserve">cleanest determination of charging level would be </t>
  </si>
  <si>
    <t>1) when stepper voltage is less than 5V because the D9 5V zener would be off</t>
  </si>
  <si>
    <t>2) brakes are NOT on as that adds to loading of the motor</t>
  </si>
  <si>
    <t>CASE I</t>
  </si>
  <si>
    <t>brakes off, stepper voltage &lt; 5V</t>
  </si>
  <si>
    <t>Determine unloaded stepper voltage (theoretical)</t>
  </si>
  <si>
    <t>Determine difference between unloaded stepper voltage and actual measured stepper voltage</t>
  </si>
  <si>
    <t>bench test Mar 7 2016:</t>
  </si>
  <si>
    <t>DELTA:</t>
  </si>
  <si>
    <t>ohms</t>
  </si>
  <si>
    <t>measured unloaded stepper voltage (entire winding)</t>
  </si>
  <si>
    <t>loaded actual RMS stepper voltage (R across full winding)</t>
  </si>
  <si>
    <t>current through resistor</t>
  </si>
  <si>
    <t>= current through motor winding</t>
  </si>
  <si>
    <t xml:space="preserve">=theoretical voltage across the winding </t>
  </si>
  <si>
    <t>theoretical dynamic motor winding R</t>
  </si>
  <si>
    <t>actual measured DC resistance of motor winding: 3.5 ohms</t>
  </si>
  <si>
    <t>actual measured inductance</t>
  </si>
  <si>
    <t>henries</t>
  </si>
  <si>
    <t>freq</t>
  </si>
  <si>
    <t>ohm</t>
  </si>
  <si>
    <t xml:space="preserve">Zmotor </t>
  </si>
  <si>
    <t>chrg current</t>
  </si>
  <si>
    <t>voltage at C34</t>
  </si>
  <si>
    <t>RMS across full winding</t>
  </si>
  <si>
    <t>calc'd rms full</t>
  </si>
  <si>
    <t>calc'd at C34</t>
  </si>
  <si>
    <t>RMS</t>
  </si>
  <si>
    <t>K</t>
  </si>
  <si>
    <t>Kprime</t>
  </si>
  <si>
    <t>*Kprime</t>
  </si>
  <si>
    <t>meas</t>
  </si>
  <si>
    <t>error</t>
  </si>
  <si>
    <t>~10%</t>
  </si>
  <si>
    <t>theoret at C34 noload</t>
  </si>
  <si>
    <t>actually measured charging current:</t>
  </si>
  <si>
    <t>mA!</t>
  </si>
  <si>
    <t>Idea for estimating charging current:</t>
  </si>
  <si>
    <t>Conditions where this may work:</t>
  </si>
  <si>
    <t>1) No braking taking place</t>
  </si>
  <si>
    <t>2) Battery charger is enabled</t>
  </si>
  <si>
    <t>3) Speed is greater than, say 30 RPM (lower limit of sensitivity TBD</t>
  </si>
  <si>
    <t>4) Voltage across C34 &lt; 5V</t>
  </si>
  <si>
    <t>Method:</t>
  </si>
  <si>
    <t>Note current RPM</t>
  </si>
  <si>
    <t>Assumptions:</t>
  </si>
  <si>
    <t>1) When there is no braking and no current shunting due to conduction of D9 or D16/D17 or D18/D19, and NO CHARGING there exists a linear relationship between RPM and Vgen</t>
  </si>
  <si>
    <t>2) Thus there is a "K" such that Vgen = K * RPM when there is NO LOAD on the stepper and VgenNOLOAD can be computed as K*RPM</t>
  </si>
  <si>
    <t>3) Simple circuit model is as follows</t>
  </si>
  <si>
    <t>4) The motor DC resistance is a value A, the motor inductance is a value B</t>
  </si>
  <si>
    <t>Zmotor = SQRT((A^2) + (2*PI*(RPM/1.2)*B)^2)</t>
  </si>
  <si>
    <t>above relationship determines impedance from DC Resistance part A and Inductive Reactance Part, 2*PI*freq*L, where freq = RPM/1.2</t>
  </si>
  <si>
    <t>volts/RPM</t>
  </si>
  <si>
    <t>Note that CCP5-determined period is proportional to 1/RPM and is in units of t</t>
  </si>
  <si>
    <t>and K is in units of volts*sec</t>
  </si>
  <si>
    <t>DC motor R</t>
  </si>
  <si>
    <t>motor L</t>
  </si>
  <si>
    <t>loaded Vgen</t>
  </si>
  <si>
    <t>calc</t>
  </si>
  <si>
    <t>Z motor</t>
  </si>
  <si>
    <t>use least significant byte of RPM,  if RPM &gt; 255</t>
  </si>
  <si>
    <t>watts into 3105</t>
  </si>
  <si>
    <t>assume 80% eff, 3.3V</t>
  </si>
  <si>
    <t>charging current</t>
  </si>
  <si>
    <t>limit charging current to</t>
  </si>
  <si>
    <t>e.g. 150mA</t>
  </si>
  <si>
    <t>use lookup table</t>
  </si>
  <si>
    <t>for Z motor</t>
  </si>
  <si>
    <t>examples</t>
  </si>
  <si>
    <t>32-bit div</t>
  </si>
  <si>
    <t>mult</t>
  </si>
  <si>
    <t>mult+limit</t>
  </si>
  <si>
    <t>flags0</t>
  </si>
  <si>
    <t>flags1</t>
  </si>
  <si>
    <t>errors0</t>
  </si>
  <si>
    <t>errors1</t>
  </si>
  <si>
    <t>first msgID</t>
  </si>
  <si>
    <t>next time (lo)</t>
  </si>
  <si>
    <t>next time byte 2</t>
  </si>
  <si>
    <t>next time byte 3</t>
  </si>
  <si>
    <t>next time byte 1</t>
  </si>
  <si>
    <t>bat voltage (lo)</t>
  </si>
  <si>
    <t>bat voltage (hi)</t>
  </si>
  <si>
    <t>Vgen (lo)</t>
  </si>
  <si>
    <t>Vgen (hi)</t>
  </si>
  <si>
    <t>current in motor windings as per model</t>
  </si>
  <si>
    <t>(mult)</t>
  </si>
  <si>
    <t>NOTE that Vgen is measured wrt the battery voltage by the circuitry and that Vgen is 1/3 of the actual "VC34 voltage" as measured from ground to one side of the one of the two center-tapped windings.</t>
  </si>
  <si>
    <t>unloaded VC34</t>
  </si>
  <si>
    <t>Measure voltage across C34 (call it VC34)</t>
  </si>
  <si>
    <t>(K*RPM - VC34) / (SQRT((A^2)+(2*PI*(RPM/1.2)*B)^2)</t>
  </si>
  <si>
    <t>current braking PWM (hi)</t>
  </si>
  <si>
    <t>current braking PWM (lo)</t>
  </si>
  <si>
    <t>TBD how to use this</t>
  </si>
  <si>
    <t>Water pressure stable</t>
  </si>
  <si>
    <t>Water pressure not stable</t>
  </si>
  <si>
    <t>Venturi Target Pressure (lo)</t>
  </si>
  <si>
    <t>Venture Target Pressure (hi)</t>
  </si>
  <si>
    <t>Valve Setting % (lo)</t>
  </si>
  <si>
    <t>Valve Setting % (hi)</t>
  </si>
  <si>
    <t>shutdown delay, mins (lo)</t>
  </si>
  <si>
    <t>shutdown delay, mins (hi)</t>
  </si>
  <si>
    <t>firmware rev (lo)</t>
  </si>
  <si>
    <t>firmware rev (hi)</t>
  </si>
  <si>
    <t xml:space="preserve"> Do bat/charge status in ISR??</t>
  </si>
  <si>
    <t>Full Report Response</t>
  </si>
  <si>
    <t>Shutdown Delay Read Response</t>
  </si>
  <si>
    <t>Firmware revision read Response</t>
  </si>
  <si>
    <t>First Message</t>
  </si>
  <si>
    <t>Message Byte 0 (Header 0)</t>
  </si>
  <si>
    <t>Message Byte 1 (Header 1)</t>
  </si>
  <si>
    <t>Message Byte 2 (Header 2)</t>
  </si>
  <si>
    <t>Message Byte 3 (Header 3)</t>
  </si>
  <si>
    <t>Message Byte 4 (msgSEQ 0)</t>
  </si>
  <si>
    <t>Message Byte 5 (msgSEQ 1)</t>
  </si>
  <si>
    <t>Message Byte 9</t>
  </si>
  <si>
    <t>Manager responds to an unsolicited  msgs from the mote with ACK</t>
  </si>
  <si>
    <t>Manager responds to an unsolicited msgs from the mote with NACK</t>
  </si>
  <si>
    <t>shutdown delay, secs (lo)</t>
  </si>
  <si>
    <t>shutdown delay, secs (hi)</t>
  </si>
  <si>
    <t>value in seconds that mote waits to ensure that all motes have received a broadcasted shutdown message</t>
  </si>
  <si>
    <t>Command broadcast to all motes; motes shutdown after a settable delay to ensure message gets through to all motes</t>
  </si>
  <si>
    <t>Manager will cause mote to become a leaf and then sends this msg to tell mote to disconnect and sleep; valve OPENS; brakes OFF; manual spin or SW1 causes wakeup interrupt</t>
  </si>
  <si>
    <t>Manager will cause mote to become a leaf and then sends this msg to tell mote to disconnect and sleep; valve CLOSES; brakes OFF; SW1 (or manual spin) causes wakeup interrupt</t>
  </si>
  <si>
    <t>mgr_msgSEQ (lo)</t>
  </si>
  <si>
    <t>mgr_msgSEQ (hi)</t>
  </si>
  <si>
    <t>mote_msgSEQ (lo)</t>
  </si>
  <si>
    <t>mote_msgSEQ (hi)</t>
  </si>
  <si>
    <t>mote speaks up spontaneously</t>
  </si>
  <si>
    <t>Health Report Response</t>
  </si>
  <si>
    <t>Valve Report Response</t>
  </si>
  <si>
    <t>Health Report</t>
  </si>
  <si>
    <t>Valve Report</t>
  </si>
  <si>
    <t>0x60</t>
  </si>
  <si>
    <t>0x59</t>
  </si>
  <si>
    <t>startup msg info byte</t>
  </si>
  <si>
    <t>Simply causes the mote to check the network time and update its understanding thereof</t>
  </si>
  <si>
    <t>Force TEST</t>
  </si>
  <si>
    <t>0x53</t>
  </si>
  <si>
    <t>Refresh sprinkler time</t>
  </si>
  <si>
    <t>Order Response</t>
  </si>
  <si>
    <t>always sent in response to a Marching Order of any kind</t>
  </si>
  <si>
    <t>Force DEMO</t>
  </si>
  <si>
    <t>open loop testing</t>
  </si>
  <si>
    <t>for demo only</t>
  </si>
  <si>
    <t>READY TEST RUN DEMO</t>
  </si>
  <si>
    <t>0x54</t>
  </si>
  <si>
    <t>0x49</t>
  </si>
  <si>
    <t>MARCH1 (w/o flow sensor)</t>
  </si>
  <si>
    <t>MARCH2 (w flow sensor)</t>
  </si>
  <si>
    <t>braking PWM (hi)</t>
  </si>
  <si>
    <t>braking PWM (lo)</t>
  </si>
  <si>
    <t>charging PWM (hi)</t>
  </si>
  <si>
    <t>charging PWM (lo)</t>
  </si>
  <si>
    <t>MPPC</t>
  </si>
  <si>
    <t>Define TEST</t>
  </si>
  <si>
    <t>always closed loop; mote replies with order response</t>
  </si>
  <si>
    <t>always open loop; mote replies with order response</t>
  </si>
  <si>
    <t>Message Byte 06 (Command ID)</t>
  </si>
  <si>
    <t>Manager's Command ID</t>
  </si>
  <si>
    <t>Update sprinkler # response</t>
  </si>
  <si>
    <t>108c</t>
  </si>
  <si>
    <t>0bf2</t>
  </si>
  <si>
    <t>00d1</t>
  </si>
  <si>
    <t>00ab</t>
  </si>
  <si>
    <t>0bf6</t>
  </si>
  <si>
    <t>05ab</t>
  </si>
  <si>
    <t>test_PER</t>
  </si>
  <si>
    <t>test_Vgen</t>
  </si>
  <si>
    <t>Vcal Message</t>
  </si>
  <si>
    <t>0x85</t>
  </si>
  <si>
    <t>time to open (lo)</t>
  </si>
  <si>
    <t>time to open (hi)</t>
  </si>
  <si>
    <t>time to close (lo)</t>
  </si>
  <si>
    <t>time to close (hi)</t>
  </si>
  <si>
    <t>freespin RPM(hi)</t>
  </si>
  <si>
    <t>freespin RPM(lo)</t>
  </si>
  <si>
    <t>free_Vgen(hi)</t>
  </si>
  <si>
    <t>free_Vgen(lo)</t>
  </si>
  <si>
    <t>test_PER(0)</t>
  </si>
  <si>
    <t>test_PER(1)</t>
  </si>
  <si>
    <t>test_Vgen(lo)</t>
  </si>
  <si>
    <t>test_Vgen(hi)</t>
  </si>
  <si>
    <t>test_Vbat(lo)</t>
  </si>
  <si>
    <t>test_Vbat(hi)</t>
  </si>
  <si>
    <t>ROBERT for now, when you get this 0x85 message, JUST DISPLAY THE CONTENTS in HEX format!</t>
  </si>
  <si>
    <t>Lab test 3/17/2016</t>
  </si>
  <si>
    <t>vtime_2open</t>
  </si>
  <si>
    <t>vtime_2close</t>
  </si>
  <si>
    <t>freespin_RPM</t>
  </si>
  <si>
    <t>free_Vgen</t>
  </si>
  <si>
    <t>test_Vbat</t>
  </si>
  <si>
    <t>vtimes in 7.9 format</t>
  </si>
  <si>
    <t>sec</t>
  </si>
  <si>
    <t>voltage conversions: volts = K/(ADC counts)</t>
  </si>
  <si>
    <t>convert PER to RPM: RPM = K/PER</t>
  </si>
  <si>
    <t>Motor resistance</t>
  </si>
  <si>
    <t>Motor inductance</t>
  </si>
  <si>
    <t>Henries</t>
  </si>
  <si>
    <t>Motor speed factor</t>
  </si>
  <si>
    <t>XL</t>
  </si>
  <si>
    <t>MotorZ</t>
  </si>
  <si>
    <t>vgen</t>
  </si>
  <si>
    <t>no load</t>
  </si>
  <si>
    <t>af49b649b0006805e203a900cc05</t>
  </si>
  <si>
    <t>Given desired position relative to fully closed:</t>
  </si>
  <si>
    <t>meaning, e.g. 100% -&gt; fully open</t>
  </si>
  <si>
    <t>and 0 -&gt; fully closed</t>
  </si>
  <si>
    <t>And assuming knowledge of current position (in same units as desired position)</t>
  </si>
  <si>
    <t>"Voc"</t>
  </si>
  <si>
    <t>"Vco"</t>
  </si>
  <si>
    <t>"Vtarget"</t>
  </si>
  <si>
    <t>"Vcurrent"</t>
  </si>
  <si>
    <t>[Vcurrent in same units as Vtarget]</t>
  </si>
  <si>
    <t>1,</t>
  </si>
  <si>
    <t>knowledge of current position (in same units as desired position)</t>
  </si>
  <si>
    <t>2,</t>
  </si>
  <si>
    <t>knowledge of time to open from fully closed to fully open</t>
  </si>
  <si>
    <t>3,</t>
  </si>
  <si>
    <t>knowledge of time to close from fully open to fully closed</t>
  </si>
  <si>
    <t>seconds</t>
  </si>
  <si>
    <t>4,</t>
  </si>
  <si>
    <t>AND knowledge of reference position, either cl or op</t>
  </si>
  <si>
    <t>In this particular case, Vco is not relevant</t>
  </si>
  <si>
    <t>For example, we want to be at</t>
  </si>
  <si>
    <t>having moved there since referencing the open position</t>
  </si>
  <si>
    <t>op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</si>
  <si>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</si>
  <si>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</si>
  <si>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</si>
  <si>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</si>
  <si>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</si>
  <si>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</si>
  <si>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</si>
  <si>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</si>
  <si>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portion of total valve span we must cover to get from the current to target</t>
  </si>
  <si>
    <t>direction of travel</t>
  </si>
  <si>
    <t>time required to get from current to target</t>
  </si>
  <si>
    <t>We are presently at</t>
  </si>
  <si>
    <t>cl</t>
  </si>
  <si>
    <t>Units of Vco and Voc</t>
  </si>
  <si>
    <t>uint16_t</t>
  </si>
  <si>
    <t>res: 1/512 sec</t>
  </si>
  <si>
    <t>Units of Vtarget and Vcurrent</t>
  </si>
  <si>
    <t>max: 127.998 sec</t>
  </si>
  <si>
    <t>min: 0 (always expected greater than some value, e.g. 20s)</t>
  </si>
  <si>
    <t>max: 100% (0x8000)</t>
  </si>
  <si>
    <t>min: 0% (0x0000)</t>
  </si>
  <si>
    <t>res: 1/32768 of full span</t>
  </si>
  <si>
    <t>100% valve = 0x8000</t>
  </si>
  <si>
    <t>int part</t>
  </si>
  <si>
    <t>4bFF</t>
  </si>
  <si>
    <t>secs to open</t>
  </si>
  <si>
    <t>% span</t>
  </si>
  <si>
    <t>31bc</t>
  </si>
  <si>
    <t>frac part</t>
  </si>
  <si>
    <t>Test Response</t>
  </si>
  <si>
    <t>sent in response to a Test Instruction</t>
  </si>
  <si>
    <t>0x50, or 0x51</t>
  </si>
  <si>
    <t>current state</t>
  </si>
  <si>
    <t>braking duty cycle (hi)</t>
  </si>
  <si>
    <t>braking duty cycle (lo)</t>
  </si>
  <si>
    <t>charging duty cycle (hi)</t>
  </si>
  <si>
    <t>charging duty cycle (lo)</t>
  </si>
  <si>
    <t>target valve (hi)</t>
  </si>
  <si>
    <t>target valve (lo)</t>
  </si>
  <si>
    <t>current valve (hi)</t>
  </si>
  <si>
    <t>current valve (lo)</t>
  </si>
  <si>
    <t>valve time to target (hi)</t>
  </si>
  <si>
    <t>valve time to target (lo)</t>
  </si>
  <si>
    <t>battery voltage (hi)</t>
  </si>
  <si>
    <t>battery voltage (lo)</t>
  </si>
  <si>
    <t>Message Byte 29</t>
  </si>
  <si>
    <t>Message Byte 30</t>
  </si>
  <si>
    <t>Message Byte 31</t>
  </si>
  <si>
    <t>Message Byte 32</t>
  </si>
  <si>
    <t>Message Byte 33</t>
  </si>
  <si>
    <t>Message Byte 34</t>
  </si>
  <si>
    <t>Message Byte 35</t>
  </si>
  <si>
    <t>Message Byte 36</t>
  </si>
  <si>
    <t>Message Byte 37</t>
  </si>
  <si>
    <t>Message Byte 38</t>
  </si>
  <si>
    <t>Message Byte 39</t>
  </si>
  <si>
    <t>Message Byte 40</t>
  </si>
  <si>
    <t>Message Byte 41</t>
  </si>
  <si>
    <t>Message Byte 42</t>
  </si>
  <si>
    <t>Message Byte 43</t>
  </si>
  <si>
    <t>Message Byte 44</t>
  </si>
  <si>
    <t>Message Byte 45</t>
  </si>
  <si>
    <t>%</t>
  </si>
  <si>
    <t>time2open</t>
  </si>
  <si>
    <t>hex</t>
  </si>
  <si>
    <t>s</t>
  </si>
  <si>
    <t>int</t>
  </si>
  <si>
    <t>frac</t>
  </si>
  <si>
    <t>int(hex)</t>
  </si>
  <si>
    <t>frac(hex)</t>
  </si>
  <si>
    <t>this is frac part, proper 0.15 format</t>
  </si>
  <si>
    <t>FFFF00</t>
  </si>
  <si>
    <t>valve status (coasting=0/closing=1/opening=2/braking=3)</t>
  </si>
  <si>
    <t>current RPM (lo)</t>
  </si>
  <si>
    <t>current RPM (hi)</t>
  </si>
  <si>
    <t>next RPM (lo)</t>
  </si>
  <si>
    <t>next RPM (hi)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</si>
</sst>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6" fillId="2" borderId="2" applyNumberFormat="0" applyAlignment="0" applyProtection="0"/>
    <xf numFmtId="0" fontId="7" fillId="3" borderId="3" applyNumberFormat="0" applyAlignment="0" applyProtection="0"/>
    <xf numFmtId="0" fontId="8" fillId="4" borderId="2" applyNumberFormat="0" applyAlignment="0" applyProtection="0"/>
    <xf numFmtId="0" fontId="9" fillId="5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9" fillId="5" borderId="0" xfId="4"/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quotePrefix="1" applyFont="1"/>
    <xf numFmtId="0" fontId="7" fillId="3" borderId="1" xfId="2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0" fillId="0" borderId="0" xfId="0" applyFont="1"/>
    <xf numFmtId="0" fontId="3" fillId="0" borderId="0" xfId="0" applyFont="1"/>
    <xf numFmtId="0" fontId="0" fillId="6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5" fillId="0" borderId="0" xfId="0" applyFont="1"/>
    <xf numFmtId="0" fontId="0" fillId="6" borderId="0" xfId="0" applyFill="1"/>
    <xf numFmtId="0" fontId="2" fillId="6" borderId="0" xfId="0" applyFont="1" applyFill="1"/>
    <xf numFmtId="0" fontId="10" fillId="6" borderId="0" xfId="0" applyFont="1" applyFill="1"/>
    <xf numFmtId="0" fontId="5" fillId="6" borderId="0" xfId="0" applyFont="1" applyFill="1"/>
    <xf numFmtId="0" fontId="11" fillId="6" borderId="0" xfId="0" applyFont="1" applyFill="1"/>
    <xf numFmtId="0" fontId="6" fillId="2" borderId="2" xfId="1"/>
    <xf numFmtId="0" fontId="8" fillId="4" borderId="2" xfId="3"/>
    <xf numFmtId="0" fontId="9" fillId="5" borderId="2" xfId="4" applyBorder="1"/>
    <xf numFmtId="2" fontId="0" fillId="0" borderId="0" xfId="0" applyNumberFormat="1"/>
  </cellXfs>
  <cellStyles count="5">
    <cellStyle name="Calculation" xfId="1" builtinId="22"/>
    <cellStyle name="Check Cell" xfId="2" builtinId="23"/>
    <cellStyle name="Input" xfId="3" builtinId="20"/>
    <cellStyle name="Neutral" xfId="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0</xdr:rowOff>
    </xdr:from>
    <xdr:to>
      <xdr:col>9</xdr:col>
      <xdr:colOff>476250</xdr:colOff>
      <xdr:row>45</xdr:row>
      <xdr:rowOff>38100</xdr:rowOff>
    </xdr:to>
    <xdr:pic>
      <xdr:nvPicPr>
        <xdr:cNvPr id="10318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86200"/>
          <a:ext cx="4743450" cy="349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2"/>
  <sheetViews>
    <sheetView tabSelected="1" topLeftCell="O1" workbookViewId="0">
      <pane ySplit="1" topLeftCell="A38" activePane="bottomLeft" state="frozen"/>
      <selection pane="bottomLeft" activeCell="AA60" sqref="AA60"/>
    </sheetView>
  </sheetViews>
  <sheetFormatPr defaultRowHeight="12.75" x14ac:dyDescent="0.2"/>
  <cols>
    <col min="1" max="1" width="41.140625" style="5" bestFit="1" customWidth="1"/>
    <col min="2" max="2" width="16" style="5" bestFit="1" customWidth="1"/>
    <col min="3" max="4" width="18.85546875" style="5" customWidth="1"/>
    <col min="5" max="5" width="15.7109375" style="3" customWidth="1"/>
    <col min="6" max="6" width="14.42578125" style="3" customWidth="1"/>
    <col min="7" max="7" width="14.28515625" style="3" customWidth="1"/>
    <col min="8" max="8" width="14.85546875" style="3" customWidth="1"/>
    <col min="9" max="9" width="16.5703125" style="3" customWidth="1"/>
    <col min="10" max="10" width="17.140625" style="3" customWidth="1"/>
    <col min="11" max="11" width="23" style="5" customWidth="1"/>
    <col min="12" max="12" width="30.140625" style="5" customWidth="1"/>
    <col min="13" max="13" width="28.5703125" style="5" customWidth="1"/>
    <col min="14" max="14" width="28.7109375" style="5" customWidth="1"/>
    <col min="15" max="15" width="39.5703125" style="5" customWidth="1"/>
    <col min="16" max="16" width="40.140625" style="5" customWidth="1"/>
    <col min="17" max="17" width="36.7109375" style="5" customWidth="1"/>
    <col min="18" max="18" width="35.140625" style="5" bestFit="1" customWidth="1"/>
    <col min="19" max="39" width="35.140625" style="5" customWidth="1"/>
    <col min="40" max="50" width="29.28515625" style="5" customWidth="1"/>
    <col min="51" max="51" width="25.140625" style="5" bestFit="1" customWidth="1"/>
    <col min="52" max="52" width="32.5703125" style="5" customWidth="1"/>
    <col min="53" max="53" width="56.85546875" style="5" bestFit="1" customWidth="1"/>
    <col min="54" max="16384" width="9.140625" style="5"/>
  </cols>
  <sheetData>
    <row r="1" spans="1:53" s="13" customFormat="1" ht="30" x14ac:dyDescent="0.25">
      <c r="A1" s="12" t="s">
        <v>3</v>
      </c>
      <c r="B1" s="12" t="s">
        <v>4</v>
      </c>
      <c r="C1" s="12" t="s">
        <v>93</v>
      </c>
      <c r="D1" s="12" t="s">
        <v>94</v>
      </c>
      <c r="E1" s="12" t="s">
        <v>285</v>
      </c>
      <c r="F1" s="12" t="s">
        <v>286</v>
      </c>
      <c r="G1" s="12" t="s">
        <v>287</v>
      </c>
      <c r="H1" s="12" t="s">
        <v>288</v>
      </c>
      <c r="I1" s="12" t="s">
        <v>289</v>
      </c>
      <c r="J1" s="12" t="s">
        <v>290</v>
      </c>
      <c r="K1" s="12" t="s">
        <v>334</v>
      </c>
      <c r="L1" s="12" t="s">
        <v>113</v>
      </c>
      <c r="M1" s="12" t="s">
        <v>114</v>
      </c>
      <c r="N1" s="12" t="s">
        <v>291</v>
      </c>
      <c r="O1" s="12" t="s">
        <v>115</v>
      </c>
      <c r="P1" s="12" t="s">
        <v>116</v>
      </c>
      <c r="Q1" s="12" t="s">
        <v>117</v>
      </c>
      <c r="R1" s="12" t="s">
        <v>118</v>
      </c>
      <c r="S1" s="12" t="s">
        <v>119</v>
      </c>
      <c r="T1" s="12" t="s">
        <v>120</v>
      </c>
      <c r="U1" s="12" t="s">
        <v>121</v>
      </c>
      <c r="V1" s="12" t="s">
        <v>122</v>
      </c>
      <c r="W1" s="12" t="s">
        <v>123</v>
      </c>
      <c r="X1" s="12" t="s">
        <v>124</v>
      </c>
      <c r="Y1" s="12" t="s">
        <v>125</v>
      </c>
      <c r="Z1" s="12" t="s">
        <v>126</v>
      </c>
      <c r="AA1" s="12" t="s">
        <v>127</v>
      </c>
      <c r="AB1" s="12" t="s">
        <v>128</v>
      </c>
      <c r="AC1" s="12" t="s">
        <v>129</v>
      </c>
      <c r="AD1" s="12" t="s">
        <v>130</v>
      </c>
      <c r="AE1" s="12" t="s">
        <v>131</v>
      </c>
      <c r="AF1" s="12" t="s">
        <v>132</v>
      </c>
      <c r="AG1" s="12" t="s">
        <v>133</v>
      </c>
      <c r="AH1" s="12" t="s">
        <v>448</v>
      </c>
      <c r="AI1" s="12" t="s">
        <v>449</v>
      </c>
      <c r="AJ1" s="12" t="s">
        <v>450</v>
      </c>
      <c r="AK1" s="12" t="s">
        <v>451</v>
      </c>
      <c r="AL1" s="12" t="s">
        <v>452</v>
      </c>
      <c r="AM1" s="12" t="s">
        <v>453</v>
      </c>
      <c r="AN1" s="12" t="s">
        <v>454</v>
      </c>
      <c r="AO1" s="12" t="s">
        <v>455</v>
      </c>
      <c r="AP1" s="12" t="s">
        <v>456</v>
      </c>
      <c r="AQ1" s="12" t="s">
        <v>457</v>
      </c>
      <c r="AR1" s="12" t="s">
        <v>458</v>
      </c>
      <c r="AS1" s="12" t="s">
        <v>459</v>
      </c>
      <c r="AT1" s="12" t="s">
        <v>460</v>
      </c>
      <c r="AU1" s="12" t="s">
        <v>461</v>
      </c>
      <c r="AV1" s="12" t="s">
        <v>462</v>
      </c>
      <c r="AW1" s="12" t="s">
        <v>463</v>
      </c>
      <c r="AX1" s="12" t="s">
        <v>464</v>
      </c>
      <c r="AY1" s="12"/>
      <c r="AZ1" s="12"/>
      <c r="BA1" s="12"/>
    </row>
    <row r="2" spans="1:53" s="14" customFormat="1" x14ac:dyDescent="0.2">
      <c r="E2" s="6"/>
      <c r="F2" s="6"/>
      <c r="G2" s="6"/>
      <c r="H2" s="6"/>
      <c r="I2" s="6"/>
      <c r="J2" s="6"/>
    </row>
    <row r="3" spans="1:53" s="14" customFormat="1" x14ac:dyDescent="0.2">
      <c r="D3" s="5"/>
      <c r="E3" s="6"/>
      <c r="F3" s="6"/>
      <c r="G3" s="6"/>
      <c r="H3" s="6"/>
      <c r="I3" s="6"/>
      <c r="J3" s="6"/>
    </row>
    <row r="4" spans="1:53" ht="51" x14ac:dyDescent="0.2">
      <c r="A4" s="5" t="s">
        <v>12</v>
      </c>
      <c r="B4" s="5" t="s">
        <v>5</v>
      </c>
      <c r="D4" s="9" t="s">
        <v>292</v>
      </c>
      <c r="E4" s="4" t="s">
        <v>0</v>
      </c>
      <c r="F4" s="4" t="s">
        <v>0</v>
      </c>
      <c r="G4" s="4" t="s">
        <v>104</v>
      </c>
      <c r="H4" s="4" t="s">
        <v>21</v>
      </c>
      <c r="I4" s="18" t="s">
        <v>302</v>
      </c>
      <c r="J4" s="18" t="s">
        <v>303</v>
      </c>
      <c r="K4" s="5" t="s">
        <v>35</v>
      </c>
      <c r="O4" s="3"/>
    </row>
    <row r="5" spans="1:53" ht="51" x14ac:dyDescent="0.2">
      <c r="A5" s="5" t="s">
        <v>13</v>
      </c>
      <c r="B5" s="5" t="s">
        <v>5</v>
      </c>
      <c r="D5" s="9" t="s">
        <v>293</v>
      </c>
      <c r="E5" s="4" t="s">
        <v>0</v>
      </c>
      <c r="F5" s="4" t="s">
        <v>0</v>
      </c>
      <c r="G5" s="4" t="s">
        <v>104</v>
      </c>
      <c r="H5" s="4" t="s">
        <v>21</v>
      </c>
      <c r="I5" s="18" t="s">
        <v>302</v>
      </c>
      <c r="J5" s="18" t="s">
        <v>303</v>
      </c>
      <c r="K5" s="5" t="s">
        <v>36</v>
      </c>
      <c r="O5" s="3"/>
    </row>
    <row r="6" spans="1:53" x14ac:dyDescent="0.2">
      <c r="D6" s="9"/>
      <c r="E6" s="4"/>
      <c r="F6" s="4"/>
      <c r="G6" s="4"/>
      <c r="H6" s="4"/>
      <c r="I6" s="18"/>
      <c r="J6" s="18"/>
      <c r="O6" s="3"/>
    </row>
    <row r="7" spans="1:53" x14ac:dyDescent="0.2">
      <c r="A7" s="4" t="s">
        <v>270</v>
      </c>
      <c r="B7" s="14" t="s">
        <v>5</v>
      </c>
      <c r="C7" s="3"/>
      <c r="D7" s="3" t="s">
        <v>269</v>
      </c>
      <c r="E7" s="4" t="s">
        <v>0</v>
      </c>
      <c r="F7" s="4" t="s">
        <v>0</v>
      </c>
      <c r="G7" s="4" t="s">
        <v>104</v>
      </c>
      <c r="H7" s="4" t="s">
        <v>21</v>
      </c>
      <c r="I7" s="9" t="s">
        <v>300</v>
      </c>
      <c r="J7" s="9" t="s">
        <v>301</v>
      </c>
      <c r="K7" s="3" t="s">
        <v>1</v>
      </c>
      <c r="L7" s="9"/>
      <c r="M7" s="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">
      <c r="A8" s="4" t="s">
        <v>271</v>
      </c>
      <c r="B8" s="14" t="s">
        <v>5</v>
      </c>
      <c r="C8" s="3"/>
      <c r="D8" s="3" t="s">
        <v>269</v>
      </c>
      <c r="E8" s="4" t="s">
        <v>0</v>
      </c>
      <c r="F8" s="4" t="s">
        <v>0</v>
      </c>
      <c r="G8" s="4" t="s">
        <v>104</v>
      </c>
      <c r="H8" s="4" t="s">
        <v>21</v>
      </c>
      <c r="I8" s="9" t="s">
        <v>300</v>
      </c>
      <c r="J8" s="9" t="s">
        <v>301</v>
      </c>
      <c r="K8" s="3" t="s">
        <v>7</v>
      </c>
      <c r="L8" s="9"/>
      <c r="M8" s="9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">
      <c r="D9" s="9"/>
      <c r="E9" s="4"/>
      <c r="F9" s="4"/>
      <c r="G9" s="4"/>
      <c r="H9" s="4"/>
      <c r="I9" s="9"/>
      <c r="J9" s="9"/>
      <c r="M9" s="3"/>
      <c r="N9" s="3"/>
      <c r="O9" s="3"/>
    </row>
    <row r="10" spans="1:53" ht="89.25" x14ac:dyDescent="0.2">
      <c r="A10" s="9" t="s">
        <v>87</v>
      </c>
      <c r="B10" s="9" t="s">
        <v>5</v>
      </c>
      <c r="D10" s="5" t="s">
        <v>297</v>
      </c>
      <c r="K10" s="9" t="s">
        <v>79</v>
      </c>
      <c r="L10" s="3"/>
      <c r="M10" s="3"/>
      <c r="N10" s="3"/>
      <c r="O10" s="3"/>
    </row>
    <row r="11" spans="1:53" ht="127.5" x14ac:dyDescent="0.2">
      <c r="A11" s="9" t="s">
        <v>83</v>
      </c>
      <c r="B11" s="9" t="s">
        <v>5</v>
      </c>
      <c r="C11" s="9" t="s">
        <v>90</v>
      </c>
      <c r="D11" s="4" t="s">
        <v>299</v>
      </c>
      <c r="E11" s="4" t="s">
        <v>0</v>
      </c>
      <c r="F11" s="4" t="s">
        <v>0</v>
      </c>
      <c r="G11" s="4" t="s">
        <v>104</v>
      </c>
      <c r="H11" s="4" t="s">
        <v>21</v>
      </c>
      <c r="I11" s="9" t="s">
        <v>300</v>
      </c>
      <c r="J11" s="9" t="s">
        <v>301</v>
      </c>
      <c r="K11" s="9" t="s">
        <v>80</v>
      </c>
      <c r="L11" s="3"/>
      <c r="M11" s="3"/>
      <c r="N11" s="3"/>
      <c r="O11" s="3"/>
    </row>
    <row r="12" spans="1:53" ht="89.25" x14ac:dyDescent="0.2">
      <c r="A12" s="9" t="s">
        <v>88</v>
      </c>
      <c r="B12" s="9" t="s">
        <v>5</v>
      </c>
      <c r="C12" s="4" t="s">
        <v>91</v>
      </c>
      <c r="D12" s="5" t="s">
        <v>297</v>
      </c>
      <c r="E12" s="4" t="s">
        <v>0</v>
      </c>
      <c r="F12" s="4" t="s">
        <v>0</v>
      </c>
      <c r="G12" s="4" t="s">
        <v>104</v>
      </c>
      <c r="H12" s="4" t="s">
        <v>21</v>
      </c>
      <c r="I12" s="4"/>
      <c r="J12" s="4"/>
      <c r="K12" s="9" t="s">
        <v>81</v>
      </c>
      <c r="L12" s="3"/>
      <c r="M12" s="3"/>
      <c r="N12" s="3"/>
      <c r="O12" s="3"/>
    </row>
    <row r="13" spans="1:53" ht="114.75" x14ac:dyDescent="0.2">
      <c r="A13" s="9" t="s">
        <v>89</v>
      </c>
      <c r="B13" s="9" t="s">
        <v>5</v>
      </c>
      <c r="C13" s="9" t="s">
        <v>90</v>
      </c>
      <c r="D13" s="4" t="s">
        <v>298</v>
      </c>
      <c r="E13" s="4" t="s">
        <v>0</v>
      </c>
      <c r="F13" s="4" t="s">
        <v>0</v>
      </c>
      <c r="G13" s="4" t="s">
        <v>104</v>
      </c>
      <c r="H13" s="4" t="s">
        <v>21</v>
      </c>
      <c r="I13" s="9" t="s">
        <v>300</v>
      </c>
      <c r="J13" s="9" t="s">
        <v>301</v>
      </c>
      <c r="K13" s="9" t="s">
        <v>70</v>
      </c>
      <c r="L13" s="3"/>
      <c r="M13" s="3"/>
      <c r="N13" s="3"/>
      <c r="O13" s="3"/>
    </row>
    <row r="14" spans="1:53" x14ac:dyDescent="0.2">
      <c r="A14" s="10"/>
      <c r="B14" s="14"/>
      <c r="C14" s="3"/>
      <c r="D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53" x14ac:dyDescent="0.2">
      <c r="A15" s="14" t="s">
        <v>77</v>
      </c>
      <c r="B15" s="14" t="s">
        <v>5</v>
      </c>
      <c r="C15" s="3"/>
      <c r="D15" s="3"/>
      <c r="E15" s="4" t="s">
        <v>0</v>
      </c>
      <c r="F15" s="4" t="s">
        <v>0</v>
      </c>
      <c r="G15" s="4" t="s">
        <v>104</v>
      </c>
      <c r="H15" s="4" t="s">
        <v>21</v>
      </c>
      <c r="I15" s="9" t="s">
        <v>300</v>
      </c>
      <c r="J15" s="9" t="s">
        <v>301</v>
      </c>
      <c r="K15" s="3" t="s">
        <v>2</v>
      </c>
      <c r="L15" s="9"/>
      <c r="M15" s="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">
      <c r="A16" s="15" t="s">
        <v>307</v>
      </c>
      <c r="B16" s="15" t="s">
        <v>5</v>
      </c>
      <c r="C16" s="3"/>
      <c r="D16" s="3"/>
      <c r="E16" s="4" t="s">
        <v>0</v>
      </c>
      <c r="F16" s="4" t="s">
        <v>0</v>
      </c>
      <c r="G16" s="4" t="s">
        <v>104</v>
      </c>
      <c r="H16" s="4" t="s">
        <v>21</v>
      </c>
      <c r="I16" s="9" t="s">
        <v>300</v>
      </c>
      <c r="J16" s="9" t="s">
        <v>301</v>
      </c>
      <c r="K16" s="4" t="s">
        <v>309</v>
      </c>
      <c r="L16" s="9"/>
      <c r="M16" s="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">
      <c r="A17" s="9" t="s">
        <v>308</v>
      </c>
      <c r="B17" s="9" t="s">
        <v>5</v>
      </c>
      <c r="E17" s="4" t="s">
        <v>0</v>
      </c>
      <c r="F17" s="4" t="s">
        <v>0</v>
      </c>
      <c r="G17" s="4" t="s">
        <v>104</v>
      </c>
      <c r="H17" s="4" t="s">
        <v>21</v>
      </c>
      <c r="I17" s="9" t="s">
        <v>300</v>
      </c>
      <c r="J17" s="9" t="s">
        <v>301</v>
      </c>
      <c r="K17" s="9" t="s">
        <v>310</v>
      </c>
    </row>
    <row r="18" spans="1:53" s="14" customFormat="1" ht="63.75" x14ac:dyDescent="0.2">
      <c r="A18" s="14" t="s">
        <v>26</v>
      </c>
      <c r="B18" s="14" t="s">
        <v>5</v>
      </c>
      <c r="D18" s="15" t="s">
        <v>97</v>
      </c>
      <c r="E18" s="4" t="s">
        <v>0</v>
      </c>
      <c r="F18" s="4" t="s">
        <v>0</v>
      </c>
      <c r="G18" s="4" t="s">
        <v>104</v>
      </c>
      <c r="H18" s="4" t="s">
        <v>21</v>
      </c>
      <c r="I18" s="9" t="s">
        <v>300</v>
      </c>
      <c r="J18" s="9" t="s">
        <v>301</v>
      </c>
      <c r="K18" s="14" t="s">
        <v>9</v>
      </c>
      <c r="L18" s="16" t="s">
        <v>95</v>
      </c>
      <c r="M18" s="16" t="s">
        <v>96</v>
      </c>
      <c r="N18" s="9"/>
      <c r="O18" s="9"/>
    </row>
    <row r="19" spans="1:53" x14ac:dyDescent="0.2">
      <c r="A19" s="3" t="s">
        <v>47</v>
      </c>
      <c r="B19" s="16" t="s">
        <v>5</v>
      </c>
      <c r="C19" s="4" t="s">
        <v>91</v>
      </c>
      <c r="D19" s="3"/>
      <c r="E19" s="4" t="s">
        <v>0</v>
      </c>
      <c r="F19" s="4" t="s">
        <v>0</v>
      </c>
      <c r="G19" s="4" t="s">
        <v>104</v>
      </c>
      <c r="H19" s="4" t="s">
        <v>21</v>
      </c>
      <c r="I19" s="9" t="s">
        <v>300</v>
      </c>
      <c r="J19" s="9" t="s">
        <v>301</v>
      </c>
      <c r="K19" s="3" t="s">
        <v>15</v>
      </c>
      <c r="L19" s="3" t="s">
        <v>25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s="14" customFormat="1" x14ac:dyDescent="0.2">
      <c r="E20" s="4" t="s">
        <v>0</v>
      </c>
      <c r="F20" s="4" t="s">
        <v>0</v>
      </c>
      <c r="G20" s="4" t="s">
        <v>104</v>
      </c>
      <c r="H20" s="4" t="s">
        <v>21</v>
      </c>
      <c r="I20" s="9" t="s">
        <v>300</v>
      </c>
      <c r="J20" s="9" t="s">
        <v>301</v>
      </c>
    </row>
    <row r="21" spans="1:53" s="14" customFormat="1" ht="25.5" x14ac:dyDescent="0.2">
      <c r="A21" s="14" t="s">
        <v>74</v>
      </c>
      <c r="B21" s="14" t="s">
        <v>5</v>
      </c>
      <c r="D21" s="15" t="s">
        <v>98</v>
      </c>
      <c r="E21" s="4" t="s">
        <v>0</v>
      </c>
      <c r="F21" s="4" t="s">
        <v>0</v>
      </c>
      <c r="G21" s="4" t="s">
        <v>104</v>
      </c>
      <c r="H21" s="4" t="s">
        <v>21</v>
      </c>
      <c r="I21" s="9" t="s">
        <v>300</v>
      </c>
      <c r="J21" s="9" t="s">
        <v>301</v>
      </c>
      <c r="K21" s="14" t="s">
        <v>16</v>
      </c>
      <c r="L21" s="16" t="s">
        <v>28</v>
      </c>
      <c r="M21" s="21" t="s">
        <v>99</v>
      </c>
      <c r="N21" s="9"/>
      <c r="O21" s="9"/>
    </row>
    <row r="22" spans="1:53" s="14" customFormat="1" ht="25.5" x14ac:dyDescent="0.2">
      <c r="A22" s="14" t="s">
        <v>71</v>
      </c>
      <c r="B22" s="14" t="s">
        <v>5</v>
      </c>
      <c r="D22" s="15" t="s">
        <v>98</v>
      </c>
      <c r="E22" s="4" t="s">
        <v>0</v>
      </c>
      <c r="F22" s="4" t="s">
        <v>0</v>
      </c>
      <c r="G22" s="4" t="s">
        <v>104</v>
      </c>
      <c r="H22" s="4" t="s">
        <v>21</v>
      </c>
      <c r="I22" s="9" t="s">
        <v>300</v>
      </c>
      <c r="J22" s="9" t="s">
        <v>301</v>
      </c>
      <c r="K22" s="14" t="s">
        <v>17</v>
      </c>
      <c r="L22" s="16" t="s">
        <v>28</v>
      </c>
      <c r="M22" s="21" t="s">
        <v>99</v>
      </c>
      <c r="N22" s="9"/>
      <c r="O22" s="9"/>
    </row>
    <row r="23" spans="1:53" s="14" customFormat="1" x14ac:dyDescent="0.2">
      <c r="D23" s="15"/>
      <c r="E23" s="4"/>
      <c r="F23" s="4"/>
      <c r="G23" s="4"/>
      <c r="H23" s="4"/>
      <c r="I23" s="4"/>
      <c r="J23" s="4"/>
      <c r="L23" s="6"/>
      <c r="M23" s="7"/>
      <c r="N23" s="9"/>
      <c r="O23" s="9"/>
    </row>
    <row r="24" spans="1:53" s="14" customFormat="1" ht="76.5" x14ac:dyDescent="0.2">
      <c r="A24" s="7" t="s">
        <v>75</v>
      </c>
      <c r="B24" s="3" t="s">
        <v>5</v>
      </c>
      <c r="D24" s="14" t="s">
        <v>296</v>
      </c>
      <c r="E24" s="4" t="s">
        <v>0</v>
      </c>
      <c r="F24" s="4" t="s">
        <v>0</v>
      </c>
      <c r="G24" s="4" t="s">
        <v>104</v>
      </c>
      <c r="H24" s="4" t="s">
        <v>21</v>
      </c>
      <c r="I24" s="9" t="s">
        <v>300</v>
      </c>
      <c r="J24" s="9" t="s">
        <v>301</v>
      </c>
      <c r="K24" s="3" t="s">
        <v>18</v>
      </c>
      <c r="L24" s="9"/>
      <c r="M24" s="9"/>
    </row>
    <row r="25" spans="1:53" s="14" customFormat="1" x14ac:dyDescent="0.2">
      <c r="A25" s="7" t="s">
        <v>76</v>
      </c>
      <c r="B25" s="3" t="s">
        <v>5</v>
      </c>
      <c r="E25" s="4" t="s">
        <v>0</v>
      </c>
      <c r="F25" s="4" t="s">
        <v>0</v>
      </c>
      <c r="G25" s="4" t="s">
        <v>104</v>
      </c>
      <c r="H25" s="4" t="s">
        <v>21</v>
      </c>
      <c r="I25" s="9" t="s">
        <v>300</v>
      </c>
      <c r="J25" s="9" t="s">
        <v>301</v>
      </c>
      <c r="K25" s="3" t="s">
        <v>19</v>
      </c>
      <c r="L25" s="15" t="s">
        <v>294</v>
      </c>
      <c r="M25" s="15" t="s">
        <v>295</v>
      </c>
      <c r="N25" s="9"/>
      <c r="O25" s="9"/>
    </row>
    <row r="26" spans="1:53" s="14" customFormat="1" x14ac:dyDescent="0.2">
      <c r="E26" s="4"/>
      <c r="F26" s="4"/>
      <c r="G26" s="4"/>
      <c r="H26" s="4"/>
      <c r="I26" s="4"/>
      <c r="J26" s="4"/>
    </row>
    <row r="27" spans="1:53" s="14" customFormat="1" x14ac:dyDescent="0.2">
      <c r="E27" s="6"/>
      <c r="F27" s="6"/>
      <c r="G27" s="6"/>
      <c r="H27" s="6"/>
      <c r="I27" s="6"/>
      <c r="J27" s="6"/>
    </row>
    <row r="28" spans="1:53" x14ac:dyDescent="0.2">
      <c r="A28" s="5" t="s">
        <v>41</v>
      </c>
      <c r="B28" s="17" t="s">
        <v>5</v>
      </c>
      <c r="E28" s="4" t="s">
        <v>0</v>
      </c>
      <c r="F28" s="4" t="s">
        <v>0</v>
      </c>
      <c r="G28" s="4" t="s">
        <v>104</v>
      </c>
      <c r="H28" s="4" t="s">
        <v>21</v>
      </c>
      <c r="I28" s="9" t="s">
        <v>300</v>
      </c>
      <c r="J28" s="9" t="s">
        <v>301</v>
      </c>
      <c r="K28" s="5" t="s">
        <v>40</v>
      </c>
      <c r="L28" s="9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s="14" customFormat="1" x14ac:dyDescent="0.2">
      <c r="E29" s="6"/>
      <c r="F29" s="6"/>
      <c r="G29" s="6"/>
      <c r="H29" s="6"/>
      <c r="I29" s="6"/>
      <c r="J29" s="6"/>
    </row>
    <row r="30" spans="1:53" s="14" customFormat="1" x14ac:dyDescent="0.2">
      <c r="E30" s="6"/>
      <c r="F30" s="6"/>
      <c r="G30" s="6"/>
      <c r="H30" s="6"/>
      <c r="I30" s="6"/>
      <c r="J30" s="6"/>
    </row>
    <row r="31" spans="1:53" ht="76.5" x14ac:dyDescent="0.2">
      <c r="A31" s="7" t="s">
        <v>315</v>
      </c>
      <c r="B31" s="16" t="s">
        <v>5</v>
      </c>
      <c r="C31" s="9"/>
      <c r="D31" s="9" t="s">
        <v>312</v>
      </c>
      <c r="E31" s="4" t="s">
        <v>0</v>
      </c>
      <c r="F31" s="4" t="s">
        <v>0</v>
      </c>
      <c r="G31" s="4" t="s">
        <v>104</v>
      </c>
      <c r="H31" s="4" t="s">
        <v>21</v>
      </c>
      <c r="I31" s="9" t="s">
        <v>300</v>
      </c>
      <c r="J31" s="9" t="s">
        <v>301</v>
      </c>
      <c r="K31" s="9" t="s">
        <v>44</v>
      </c>
      <c r="L31" s="9"/>
      <c r="M31" s="9"/>
      <c r="N31" s="9"/>
      <c r="O31" s="9"/>
    </row>
    <row r="32" spans="1:53" x14ac:dyDescent="0.2">
      <c r="A32" s="9"/>
      <c r="B32" s="9"/>
      <c r="C32" s="9"/>
      <c r="D32" s="9"/>
      <c r="E32" s="4"/>
      <c r="F32" s="4"/>
      <c r="G32" s="4"/>
      <c r="H32" s="4"/>
      <c r="I32" s="4"/>
      <c r="J32" s="4"/>
      <c r="K32" s="9"/>
      <c r="L32" s="4"/>
      <c r="M32" s="4"/>
      <c r="N32" s="9"/>
      <c r="O32" s="9"/>
    </row>
    <row r="33" spans="1:53" x14ac:dyDescent="0.2">
      <c r="A33" s="5" t="s">
        <v>46</v>
      </c>
      <c r="B33" s="5" t="s">
        <v>5</v>
      </c>
      <c r="C33" s="4" t="s">
        <v>91</v>
      </c>
      <c r="E33" s="4" t="s">
        <v>0</v>
      </c>
      <c r="F33" s="4" t="s">
        <v>0</v>
      </c>
      <c r="G33" s="4" t="s">
        <v>104</v>
      </c>
      <c r="H33" s="4" t="s">
        <v>21</v>
      </c>
      <c r="I33" s="9" t="s">
        <v>300</v>
      </c>
      <c r="J33" s="9" t="s">
        <v>301</v>
      </c>
      <c r="K33" s="5" t="s">
        <v>45</v>
      </c>
      <c r="L33" s="9"/>
      <c r="M33" s="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s="14" customFormat="1" x14ac:dyDescent="0.2">
      <c r="E34" s="6"/>
      <c r="F34" s="6"/>
      <c r="G34" s="6"/>
      <c r="H34" s="6"/>
      <c r="I34" s="6"/>
      <c r="J34" s="6"/>
    </row>
    <row r="35" spans="1:53" s="14" customFormat="1" x14ac:dyDescent="0.2">
      <c r="A35" s="4" t="s">
        <v>86</v>
      </c>
      <c r="B35" s="4" t="s">
        <v>78</v>
      </c>
      <c r="E35" s="4" t="s">
        <v>0</v>
      </c>
      <c r="F35" s="4" t="s">
        <v>0</v>
      </c>
      <c r="G35" s="4" t="s">
        <v>104</v>
      </c>
      <c r="H35" s="4" t="s">
        <v>21</v>
      </c>
      <c r="I35" s="9" t="s">
        <v>300</v>
      </c>
      <c r="J35" s="9" t="s">
        <v>301</v>
      </c>
      <c r="K35" s="4" t="s">
        <v>84</v>
      </c>
      <c r="L35" s="9"/>
      <c r="M35" s="9"/>
    </row>
    <row r="36" spans="1:53" ht="25.5" x14ac:dyDescent="0.2">
      <c r="A36" s="9" t="s">
        <v>82</v>
      </c>
      <c r="B36" s="9" t="s">
        <v>5</v>
      </c>
      <c r="C36" s="9" t="s">
        <v>85</v>
      </c>
      <c r="D36" s="9"/>
      <c r="E36" s="4" t="s">
        <v>0</v>
      </c>
      <c r="F36" s="4" t="s">
        <v>0</v>
      </c>
      <c r="G36" s="4" t="s">
        <v>104</v>
      </c>
      <c r="H36" s="4" t="s">
        <v>21</v>
      </c>
      <c r="I36" s="9" t="s">
        <v>300</v>
      </c>
      <c r="J36" s="9" t="s">
        <v>301</v>
      </c>
      <c r="K36" s="9" t="s">
        <v>58</v>
      </c>
      <c r="L36" s="9"/>
      <c r="M36" s="9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"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40" spans="1:53" x14ac:dyDescent="0.2">
      <c r="E40" s="4" t="s">
        <v>0</v>
      </c>
      <c r="F40" s="4" t="s">
        <v>0</v>
      </c>
      <c r="G40" s="4" t="s">
        <v>104</v>
      </c>
      <c r="H40" s="4" t="s">
        <v>21</v>
      </c>
      <c r="I40" s="9" t="s">
        <v>300</v>
      </c>
      <c r="J40" s="9" t="s">
        <v>301</v>
      </c>
      <c r="O40" s="3"/>
    </row>
    <row r="41" spans="1:53" x14ac:dyDescent="0.2">
      <c r="A41" s="5" t="s">
        <v>59</v>
      </c>
      <c r="B41" s="26" t="s">
        <v>5</v>
      </c>
      <c r="E41" s="4" t="s">
        <v>0</v>
      </c>
      <c r="F41" s="4" t="s">
        <v>0</v>
      </c>
      <c r="G41" s="4" t="s">
        <v>104</v>
      </c>
      <c r="H41" s="4" t="s">
        <v>21</v>
      </c>
      <c r="I41" s="9" t="s">
        <v>300</v>
      </c>
      <c r="J41" s="9" t="s">
        <v>301</v>
      </c>
      <c r="K41" s="5" t="s">
        <v>60</v>
      </c>
      <c r="L41" s="9" t="s">
        <v>100</v>
      </c>
      <c r="M41" s="9" t="s">
        <v>101</v>
      </c>
      <c r="N41" s="9"/>
      <c r="O41" s="9"/>
    </row>
    <row r="43" spans="1:53" s="14" customFormat="1" x14ac:dyDescent="0.2">
      <c r="E43" s="6"/>
      <c r="F43" s="6"/>
      <c r="G43" s="6"/>
      <c r="H43" s="6"/>
      <c r="I43" s="6"/>
      <c r="J43" s="6"/>
    </row>
    <row r="44" spans="1:53" s="14" customFormat="1" ht="38.25" x14ac:dyDescent="0.2">
      <c r="A44" s="15" t="s">
        <v>324</v>
      </c>
      <c r="B44" s="27" t="s">
        <v>5</v>
      </c>
      <c r="C44" s="15" t="s">
        <v>321</v>
      </c>
      <c r="D44" s="15" t="s">
        <v>332</v>
      </c>
      <c r="E44" s="4" t="s">
        <v>0</v>
      </c>
      <c r="F44" s="4" t="s">
        <v>0</v>
      </c>
      <c r="G44" s="4" t="s">
        <v>104</v>
      </c>
      <c r="H44" s="4" t="s">
        <v>21</v>
      </c>
      <c r="I44" s="9" t="s">
        <v>300</v>
      </c>
      <c r="J44" s="9" t="s">
        <v>301</v>
      </c>
      <c r="K44" s="14" t="s">
        <v>61</v>
      </c>
      <c r="L44" s="15" t="s">
        <v>274</v>
      </c>
      <c r="M44" s="15" t="s">
        <v>275</v>
      </c>
      <c r="N44" s="14" t="s">
        <v>142</v>
      </c>
      <c r="O44" s="14" t="s">
        <v>140</v>
      </c>
      <c r="P44" s="14" t="s">
        <v>141</v>
      </c>
      <c r="Q44" s="14" t="s">
        <v>62</v>
      </c>
      <c r="R44" s="14" t="s">
        <v>63</v>
      </c>
      <c r="S44" s="14" t="s">
        <v>64</v>
      </c>
      <c r="T44" s="9"/>
      <c r="U44" s="9"/>
    </row>
    <row r="45" spans="1:53" s="14" customFormat="1" ht="38.25" x14ac:dyDescent="0.2">
      <c r="A45" s="15" t="s">
        <v>325</v>
      </c>
      <c r="B45" s="29" t="s">
        <v>5</v>
      </c>
      <c r="C45" s="15" t="s">
        <v>321</v>
      </c>
      <c r="D45" s="15" t="s">
        <v>332</v>
      </c>
      <c r="E45" s="4" t="s">
        <v>0</v>
      </c>
      <c r="F45" s="4" t="s">
        <v>0</v>
      </c>
      <c r="G45" s="4" t="s">
        <v>104</v>
      </c>
      <c r="H45" s="4" t="s">
        <v>21</v>
      </c>
      <c r="I45" s="9" t="s">
        <v>300</v>
      </c>
      <c r="J45" s="9" t="s">
        <v>301</v>
      </c>
      <c r="K45" s="14" t="s">
        <v>139</v>
      </c>
      <c r="L45" s="15" t="s">
        <v>272</v>
      </c>
      <c r="M45" s="15" t="s">
        <v>273</v>
      </c>
      <c r="N45" s="14" t="s">
        <v>142</v>
      </c>
      <c r="O45" s="14" t="s">
        <v>140</v>
      </c>
      <c r="P45" s="14" t="s">
        <v>141</v>
      </c>
      <c r="Q45" s="14" t="s">
        <v>62</v>
      </c>
      <c r="R45" s="14" t="s">
        <v>63</v>
      </c>
      <c r="S45" s="14" t="s">
        <v>64</v>
      </c>
      <c r="T45" s="9"/>
      <c r="U45" s="9"/>
    </row>
    <row r="46" spans="1:53" s="14" customFormat="1" ht="38.25" x14ac:dyDescent="0.2">
      <c r="A46" s="15" t="s">
        <v>331</v>
      </c>
      <c r="B46" s="29" t="s">
        <v>5</v>
      </c>
      <c r="C46" s="15" t="s">
        <v>321</v>
      </c>
      <c r="D46" s="15" t="s">
        <v>333</v>
      </c>
      <c r="E46" s="4" t="s">
        <v>0</v>
      </c>
      <c r="F46" s="4" t="s">
        <v>0</v>
      </c>
      <c r="G46" s="4" t="s">
        <v>104</v>
      </c>
      <c r="H46" s="4" t="s">
        <v>21</v>
      </c>
      <c r="I46" s="9" t="s">
        <v>300</v>
      </c>
      <c r="J46" s="9" t="s">
        <v>301</v>
      </c>
      <c r="K46" s="15" t="s">
        <v>323</v>
      </c>
      <c r="L46" s="15" t="s">
        <v>274</v>
      </c>
      <c r="M46" s="15" t="s">
        <v>275</v>
      </c>
      <c r="N46" s="9" t="s">
        <v>326</v>
      </c>
      <c r="O46" s="9" t="s">
        <v>327</v>
      </c>
      <c r="P46" s="9" t="s">
        <v>328</v>
      </c>
      <c r="Q46" s="9" t="s">
        <v>329</v>
      </c>
      <c r="R46" s="9" t="s">
        <v>330</v>
      </c>
      <c r="T46" s="9"/>
      <c r="U46" s="9"/>
    </row>
    <row r="47" spans="1:53" s="14" customFormat="1" x14ac:dyDescent="0.2">
      <c r="C47" s="15"/>
      <c r="D47" s="15"/>
      <c r="E47" s="7"/>
      <c r="F47" s="7"/>
      <c r="G47" s="7"/>
      <c r="H47" s="7"/>
      <c r="I47" s="7"/>
      <c r="J47" s="7"/>
    </row>
    <row r="48" spans="1:53" ht="25.5" x14ac:dyDescent="0.2">
      <c r="A48" s="9" t="s">
        <v>92</v>
      </c>
      <c r="B48" s="26" t="s">
        <v>5</v>
      </c>
      <c r="C48" s="15" t="s">
        <v>321</v>
      </c>
      <c r="E48" s="4" t="s">
        <v>0</v>
      </c>
      <c r="F48" s="4" t="s">
        <v>0</v>
      </c>
      <c r="G48" s="4" t="s">
        <v>104</v>
      </c>
      <c r="H48" s="4" t="s">
        <v>21</v>
      </c>
      <c r="I48" s="9" t="s">
        <v>300</v>
      </c>
      <c r="J48" s="9" t="s">
        <v>301</v>
      </c>
      <c r="K48" s="9" t="s">
        <v>65</v>
      </c>
    </row>
    <row r="49" spans="1:54" ht="25.5" x14ac:dyDescent="0.2">
      <c r="A49" s="9" t="s">
        <v>318</v>
      </c>
      <c r="B49" s="28" t="s">
        <v>5</v>
      </c>
      <c r="C49" s="15" t="s">
        <v>321</v>
      </c>
      <c r="D49" s="9" t="s">
        <v>320</v>
      </c>
      <c r="E49" s="4" t="s">
        <v>0</v>
      </c>
      <c r="F49" s="4" t="s">
        <v>0</v>
      </c>
      <c r="G49" s="4" t="s">
        <v>104</v>
      </c>
      <c r="H49" s="4" t="s">
        <v>21</v>
      </c>
      <c r="I49" s="9" t="s">
        <v>300</v>
      </c>
      <c r="J49" s="9" t="s">
        <v>301</v>
      </c>
      <c r="K49" s="9" t="s">
        <v>314</v>
      </c>
    </row>
    <row r="50" spans="1:54" ht="25.5" x14ac:dyDescent="0.2">
      <c r="A50" s="9" t="s">
        <v>313</v>
      </c>
      <c r="B50" s="28" t="s">
        <v>5</v>
      </c>
      <c r="C50" s="15" t="s">
        <v>321</v>
      </c>
      <c r="D50" s="9" t="s">
        <v>319</v>
      </c>
      <c r="E50" s="4" t="s">
        <v>0</v>
      </c>
      <c r="F50" s="4" t="s">
        <v>0</v>
      </c>
      <c r="G50" s="4" t="s">
        <v>104</v>
      </c>
      <c r="H50" s="4" t="s">
        <v>21</v>
      </c>
      <c r="I50" s="9" t="s">
        <v>300</v>
      </c>
      <c r="J50" s="9" t="s">
        <v>301</v>
      </c>
      <c r="K50" s="9" t="s">
        <v>322</v>
      </c>
    </row>
    <row r="51" spans="1:54" x14ac:dyDescent="0.2">
      <c r="A51" s="14"/>
      <c r="B51" s="14"/>
    </row>
    <row r="52" spans="1:54" ht="25.5" x14ac:dyDescent="0.2">
      <c r="A52" s="5" t="s">
        <v>72</v>
      </c>
      <c r="B52" s="5" t="s">
        <v>5</v>
      </c>
      <c r="C52" s="15" t="s">
        <v>321</v>
      </c>
      <c r="D52" s="9" t="s">
        <v>425</v>
      </c>
      <c r="E52" s="4" t="s">
        <v>0</v>
      </c>
      <c r="F52" s="4" t="s">
        <v>0</v>
      </c>
      <c r="G52" s="4" t="s">
        <v>104</v>
      </c>
      <c r="H52" s="4" t="s">
        <v>21</v>
      </c>
      <c r="I52" s="9" t="s">
        <v>300</v>
      </c>
      <c r="J52" s="9" t="s">
        <v>301</v>
      </c>
      <c r="K52" s="5" t="s">
        <v>73</v>
      </c>
      <c r="L52" s="15" t="s">
        <v>274</v>
      </c>
      <c r="M52" s="15" t="s">
        <v>275</v>
      </c>
    </row>
    <row r="54" spans="1:54" x14ac:dyDescent="0.2">
      <c r="A54" s="10"/>
      <c r="B54" s="14"/>
      <c r="C54" s="3"/>
      <c r="D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6" spans="1:54" x14ac:dyDescent="0.2">
      <c r="A56" s="5" t="s">
        <v>12</v>
      </c>
      <c r="B56" s="17" t="s">
        <v>24</v>
      </c>
      <c r="E56" s="4" t="s">
        <v>0</v>
      </c>
      <c r="F56" s="4" t="s">
        <v>0</v>
      </c>
      <c r="G56" s="4" t="s">
        <v>104</v>
      </c>
      <c r="H56" s="4" t="s">
        <v>21</v>
      </c>
      <c r="I56" s="9" t="s">
        <v>300</v>
      </c>
      <c r="J56" s="9" t="s">
        <v>301</v>
      </c>
      <c r="K56" s="9" t="s">
        <v>335</v>
      </c>
      <c r="L56" s="5" t="s">
        <v>6</v>
      </c>
      <c r="M56" s="9"/>
      <c r="N56" s="9"/>
      <c r="O56" s="3"/>
    </row>
    <row r="57" spans="1:54" x14ac:dyDescent="0.2">
      <c r="A57" s="5" t="s">
        <v>13</v>
      </c>
      <c r="B57" s="17" t="s">
        <v>24</v>
      </c>
      <c r="E57" s="4" t="s">
        <v>0</v>
      </c>
      <c r="F57" s="4" t="s">
        <v>0</v>
      </c>
      <c r="G57" s="4" t="s">
        <v>104</v>
      </c>
      <c r="H57" s="4" t="s">
        <v>21</v>
      </c>
      <c r="I57" s="9" t="s">
        <v>300</v>
      </c>
      <c r="J57" s="9" t="s">
        <v>301</v>
      </c>
      <c r="K57" s="9" t="s">
        <v>335</v>
      </c>
      <c r="L57" s="5" t="s">
        <v>10</v>
      </c>
      <c r="M57" s="9"/>
      <c r="N57" s="9"/>
      <c r="O57" s="3"/>
    </row>
    <row r="58" spans="1:54" ht="25.5" x14ac:dyDescent="0.2">
      <c r="A58" s="5" t="s">
        <v>23</v>
      </c>
      <c r="B58" s="5" t="s">
        <v>24</v>
      </c>
      <c r="D58" s="9" t="s">
        <v>304</v>
      </c>
      <c r="E58" s="4" t="s">
        <v>0</v>
      </c>
      <c r="F58" s="4" t="s">
        <v>0</v>
      </c>
      <c r="G58" s="4" t="s">
        <v>104</v>
      </c>
      <c r="H58" s="4" t="s">
        <v>21</v>
      </c>
      <c r="I58" s="18" t="s">
        <v>302</v>
      </c>
      <c r="J58" s="18" t="s">
        <v>303</v>
      </c>
      <c r="K58" s="9" t="s">
        <v>0</v>
      </c>
      <c r="L58" s="5" t="s">
        <v>11</v>
      </c>
      <c r="M58" s="5" t="s">
        <v>31</v>
      </c>
      <c r="N58" s="3"/>
      <c r="O58" s="3"/>
    </row>
    <row r="59" spans="1:54" x14ac:dyDescent="0.2">
      <c r="D59" s="9"/>
      <c r="E59" s="4"/>
      <c r="F59" s="4"/>
      <c r="G59" s="4"/>
      <c r="H59" s="4"/>
      <c r="I59" s="4"/>
      <c r="J59" s="4"/>
      <c r="M59" s="3"/>
      <c r="N59" s="3"/>
      <c r="O59" s="3"/>
    </row>
    <row r="60" spans="1:54" ht="38.25" x14ac:dyDescent="0.2">
      <c r="A60" s="14" t="s">
        <v>281</v>
      </c>
      <c r="B60" s="5" t="s">
        <v>24</v>
      </c>
      <c r="D60" s="9" t="s">
        <v>280</v>
      </c>
      <c r="E60" s="3" t="s">
        <v>0</v>
      </c>
      <c r="F60" s="3" t="s">
        <v>0</v>
      </c>
      <c r="G60" s="3" t="s">
        <v>104</v>
      </c>
      <c r="H60" s="3" t="s">
        <v>21</v>
      </c>
      <c r="I60" s="9" t="s">
        <v>300</v>
      </c>
      <c r="J60" s="9" t="s">
        <v>301</v>
      </c>
      <c r="K60" s="4" t="s">
        <v>2</v>
      </c>
      <c r="L60" s="9" t="s">
        <v>14</v>
      </c>
      <c r="M60" s="9" t="s">
        <v>102</v>
      </c>
      <c r="N60" s="9" t="s">
        <v>103</v>
      </c>
      <c r="O60" s="18" t="s">
        <v>105</v>
      </c>
      <c r="P60" s="5" t="s">
        <v>150</v>
      </c>
      <c r="Q60" s="5" t="s">
        <v>149</v>
      </c>
      <c r="R60" s="9" t="s">
        <v>257</v>
      </c>
      <c r="S60" s="9" t="s">
        <v>258</v>
      </c>
      <c r="T60" s="9" t="s">
        <v>259</v>
      </c>
      <c r="U60" s="9" t="s">
        <v>260</v>
      </c>
      <c r="V60" s="9" t="s">
        <v>111</v>
      </c>
      <c r="W60" s="5" t="s">
        <v>112</v>
      </c>
      <c r="X60" s="5" t="s">
        <v>476</v>
      </c>
      <c r="Y60" s="5" t="s">
        <v>477</v>
      </c>
      <c r="Z60" s="5" t="s">
        <v>478</v>
      </c>
      <c r="AA60" s="5" t="s">
        <v>479</v>
      </c>
      <c r="AB60" s="5" t="s">
        <v>143</v>
      </c>
      <c r="AC60" s="5" t="s">
        <v>144</v>
      </c>
      <c r="AD60" s="5" t="s">
        <v>268</v>
      </c>
      <c r="AE60" s="5" t="s">
        <v>267</v>
      </c>
      <c r="AF60" s="5" t="s">
        <v>135</v>
      </c>
      <c r="AG60" s="5" t="s">
        <v>134</v>
      </c>
      <c r="AH60" s="5" t="s">
        <v>136</v>
      </c>
      <c r="AI60" s="5" t="s">
        <v>475</v>
      </c>
      <c r="AJ60" s="5" t="s">
        <v>138</v>
      </c>
      <c r="AK60" s="5" t="s">
        <v>137</v>
      </c>
      <c r="AL60" s="5" t="s">
        <v>146</v>
      </c>
      <c r="AM60" s="5" t="s">
        <v>145</v>
      </c>
      <c r="AN60" s="5" t="s">
        <v>147</v>
      </c>
      <c r="AO60" s="5" t="s">
        <v>148</v>
      </c>
      <c r="AP60" s="9" t="s">
        <v>253</v>
      </c>
      <c r="AQ60" s="9" t="s">
        <v>256</v>
      </c>
      <c r="AR60" s="9" t="s">
        <v>254</v>
      </c>
      <c r="AS60" s="9" t="s">
        <v>255</v>
      </c>
      <c r="AT60" s="9" t="s">
        <v>252</v>
      </c>
      <c r="AU60" s="9" t="s">
        <v>248</v>
      </c>
      <c r="AV60" s="9" t="s">
        <v>249</v>
      </c>
      <c r="AW60" s="9" t="s">
        <v>250</v>
      </c>
      <c r="AX60" s="9" t="s">
        <v>251</v>
      </c>
      <c r="AY60" s="9"/>
      <c r="AZ60" s="9"/>
    </row>
    <row r="61" spans="1:54" x14ac:dyDescent="0.2">
      <c r="A61" s="15" t="s">
        <v>305</v>
      </c>
      <c r="B61" s="9" t="s">
        <v>24</v>
      </c>
      <c r="D61" s="9"/>
      <c r="E61" s="3" t="s">
        <v>0</v>
      </c>
      <c r="F61" s="3" t="s">
        <v>0</v>
      </c>
      <c r="G61" s="3" t="s">
        <v>104</v>
      </c>
      <c r="H61" s="3" t="s">
        <v>21</v>
      </c>
      <c r="I61" s="9" t="s">
        <v>300</v>
      </c>
      <c r="J61" s="9" t="s">
        <v>301</v>
      </c>
      <c r="K61" s="9" t="s">
        <v>309</v>
      </c>
      <c r="L61" s="9" t="s">
        <v>14</v>
      </c>
      <c r="M61" s="3"/>
      <c r="N61" s="9"/>
      <c r="O61" s="9"/>
      <c r="R61" s="9"/>
      <c r="S61" s="9"/>
      <c r="T61" s="9"/>
      <c r="U61" s="9"/>
      <c r="V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4" x14ac:dyDescent="0.2">
      <c r="A62" s="15" t="s">
        <v>306</v>
      </c>
      <c r="B62" s="9" t="s">
        <v>24</v>
      </c>
      <c r="D62" s="9"/>
      <c r="E62" s="3" t="s">
        <v>0</v>
      </c>
      <c r="F62" s="3" t="s">
        <v>0</v>
      </c>
      <c r="G62" s="3" t="s">
        <v>104</v>
      </c>
      <c r="H62" s="3" t="s">
        <v>21</v>
      </c>
      <c r="I62" s="9" t="s">
        <v>300</v>
      </c>
      <c r="J62" s="9" t="s">
        <v>301</v>
      </c>
      <c r="K62" s="9" t="s">
        <v>310</v>
      </c>
      <c r="L62" s="9" t="s">
        <v>14</v>
      </c>
      <c r="M62" s="3"/>
      <c r="N62" s="9"/>
      <c r="O62" s="9"/>
      <c r="R62" s="9"/>
      <c r="S62" s="9"/>
      <c r="T62" s="9"/>
      <c r="U62" s="9"/>
      <c r="V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4" ht="25.5" x14ac:dyDescent="0.2">
      <c r="A63" s="15" t="s">
        <v>432</v>
      </c>
      <c r="B63" s="9" t="s">
        <v>24</v>
      </c>
      <c r="D63" s="9" t="s">
        <v>433</v>
      </c>
      <c r="E63" s="3" t="s">
        <v>0</v>
      </c>
      <c r="F63" s="3" t="s">
        <v>0</v>
      </c>
      <c r="G63" s="3" t="s">
        <v>104</v>
      </c>
      <c r="H63" s="3" t="s">
        <v>21</v>
      </c>
      <c r="I63" s="9" t="s">
        <v>300</v>
      </c>
      <c r="J63" s="9" t="s">
        <v>301</v>
      </c>
      <c r="K63" s="9" t="s">
        <v>323</v>
      </c>
      <c r="L63" s="9" t="s">
        <v>14</v>
      </c>
      <c r="M63" s="9" t="s">
        <v>102</v>
      </c>
      <c r="N63" s="9" t="s">
        <v>103</v>
      </c>
      <c r="O63" s="18" t="s">
        <v>105</v>
      </c>
      <c r="P63" s="9" t="s">
        <v>435</v>
      </c>
      <c r="Q63" s="9" t="s">
        <v>447</v>
      </c>
      <c r="R63" s="9" t="s">
        <v>446</v>
      </c>
      <c r="S63" s="9" t="s">
        <v>441</v>
      </c>
      <c r="T63" s="9" t="s">
        <v>440</v>
      </c>
      <c r="U63" s="9" t="s">
        <v>443</v>
      </c>
      <c r="V63" s="9" t="s">
        <v>442</v>
      </c>
      <c r="W63" s="9" t="s">
        <v>445</v>
      </c>
      <c r="X63" s="9" t="s">
        <v>444</v>
      </c>
      <c r="Y63" s="9" t="s">
        <v>437</v>
      </c>
      <c r="Z63" s="9" t="s">
        <v>436</v>
      </c>
      <c r="AA63" s="9" t="s">
        <v>439</v>
      </c>
      <c r="AB63" s="9" t="s">
        <v>438</v>
      </c>
      <c r="AC63" s="9" t="s">
        <v>330</v>
      </c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</row>
    <row r="64" spans="1:54" ht="51" x14ac:dyDescent="0.2">
      <c r="A64" s="15" t="s">
        <v>316</v>
      </c>
      <c r="B64" s="9" t="s">
        <v>24</v>
      </c>
      <c r="D64" s="9" t="s">
        <v>317</v>
      </c>
      <c r="E64" s="3" t="s">
        <v>0</v>
      </c>
      <c r="F64" s="3" t="s">
        <v>0</v>
      </c>
      <c r="G64" s="3" t="s">
        <v>104</v>
      </c>
      <c r="H64" s="3" t="s">
        <v>21</v>
      </c>
      <c r="I64" s="9" t="s">
        <v>300</v>
      </c>
      <c r="J64" s="9" t="s">
        <v>301</v>
      </c>
      <c r="K64" s="4" t="s">
        <v>434</v>
      </c>
      <c r="L64" s="4" t="s">
        <v>14</v>
      </c>
      <c r="M64" s="9" t="s">
        <v>102</v>
      </c>
      <c r="N64" s="9" t="s">
        <v>103</v>
      </c>
      <c r="O64" s="18" t="s">
        <v>105</v>
      </c>
      <c r="R64" s="9"/>
      <c r="S64" s="9"/>
      <c r="T64" s="9"/>
      <c r="U64" s="9"/>
      <c r="V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26" x14ac:dyDescent="0.2">
      <c r="A65" s="7" t="s">
        <v>282</v>
      </c>
      <c r="B65" s="5" t="s">
        <v>24</v>
      </c>
      <c r="E65" s="3" t="s">
        <v>0</v>
      </c>
      <c r="F65" s="3" t="s">
        <v>0</v>
      </c>
      <c r="G65" s="3" t="s">
        <v>104</v>
      </c>
      <c r="H65" s="3" t="s">
        <v>21</v>
      </c>
      <c r="I65" s="9" t="s">
        <v>300</v>
      </c>
      <c r="J65" s="9" t="s">
        <v>301</v>
      </c>
      <c r="K65" s="4" t="s">
        <v>18</v>
      </c>
      <c r="L65" s="4" t="s">
        <v>14</v>
      </c>
      <c r="M65" s="15" t="s">
        <v>276</v>
      </c>
      <c r="N65" s="15" t="s">
        <v>277</v>
      </c>
      <c r="O65" s="9"/>
      <c r="P65" s="9"/>
    </row>
    <row r="66" spans="1:26" x14ac:dyDescent="0.2">
      <c r="A66" s="5" t="s">
        <v>283</v>
      </c>
      <c r="B66" s="5" t="s">
        <v>24</v>
      </c>
      <c r="E66" s="3" t="s">
        <v>0</v>
      </c>
      <c r="F66" s="3" t="s">
        <v>0</v>
      </c>
      <c r="G66" s="3" t="s">
        <v>104</v>
      </c>
      <c r="H66" s="3" t="s">
        <v>21</v>
      </c>
      <c r="I66" s="9" t="s">
        <v>300</v>
      </c>
      <c r="J66" s="9" t="s">
        <v>301</v>
      </c>
      <c r="K66" s="4" t="s">
        <v>40</v>
      </c>
      <c r="L66" s="4" t="s">
        <v>14</v>
      </c>
      <c r="M66" s="9" t="s">
        <v>278</v>
      </c>
      <c r="N66" s="9" t="s">
        <v>279</v>
      </c>
      <c r="O66" s="9"/>
      <c r="P66" s="9"/>
    </row>
    <row r="67" spans="1:26" x14ac:dyDescent="0.2">
      <c r="A67" s="9" t="s">
        <v>336</v>
      </c>
      <c r="B67" s="5" t="s">
        <v>24</v>
      </c>
      <c r="E67" s="3" t="s">
        <v>0</v>
      </c>
      <c r="F67" s="3" t="s">
        <v>0</v>
      </c>
      <c r="G67" s="3" t="s">
        <v>104</v>
      </c>
      <c r="H67" s="3" t="s">
        <v>21</v>
      </c>
      <c r="I67" s="9" t="s">
        <v>300</v>
      </c>
      <c r="J67" s="9" t="s">
        <v>301</v>
      </c>
      <c r="K67" s="4" t="s">
        <v>60</v>
      </c>
      <c r="L67" s="9" t="s">
        <v>14</v>
      </c>
      <c r="M67" s="9" t="s">
        <v>100</v>
      </c>
      <c r="N67" s="9" t="s">
        <v>101</v>
      </c>
      <c r="O67" s="9"/>
      <c r="P67" s="9"/>
    </row>
    <row r="68" spans="1:26" ht="25.5" x14ac:dyDescent="0.2">
      <c r="A68" s="9" t="s">
        <v>284</v>
      </c>
      <c r="B68" s="18" t="s">
        <v>24</v>
      </c>
      <c r="D68" s="9" t="s">
        <v>304</v>
      </c>
      <c r="E68" s="3" t="s">
        <v>0</v>
      </c>
      <c r="F68" s="3" t="s">
        <v>0</v>
      </c>
      <c r="G68" s="3" t="s">
        <v>104</v>
      </c>
      <c r="H68" s="3" t="s">
        <v>21</v>
      </c>
      <c r="I68" s="18" t="s">
        <v>302</v>
      </c>
      <c r="J68" s="18" t="s">
        <v>303</v>
      </c>
      <c r="K68" s="9" t="s">
        <v>0</v>
      </c>
      <c r="L68" s="9" t="s">
        <v>34</v>
      </c>
      <c r="M68" s="9" t="s">
        <v>102</v>
      </c>
      <c r="N68" s="9" t="s">
        <v>103</v>
      </c>
      <c r="O68" s="18" t="s">
        <v>105</v>
      </c>
      <c r="P68" s="4" t="s">
        <v>311</v>
      </c>
    </row>
    <row r="69" spans="1:26" ht="25.5" x14ac:dyDescent="0.2">
      <c r="A69" s="9" t="s">
        <v>345</v>
      </c>
      <c r="B69" s="18" t="s">
        <v>24</v>
      </c>
      <c r="D69" s="9" t="s">
        <v>304</v>
      </c>
      <c r="E69" s="3" t="s">
        <v>0</v>
      </c>
      <c r="F69" s="3" t="s">
        <v>0</v>
      </c>
      <c r="G69" s="3" t="s">
        <v>104</v>
      </c>
      <c r="H69" s="3" t="s">
        <v>21</v>
      </c>
      <c r="I69" s="18" t="s">
        <v>302</v>
      </c>
      <c r="J69" s="18" t="s">
        <v>303</v>
      </c>
      <c r="K69" s="9" t="s">
        <v>0</v>
      </c>
      <c r="L69" s="9" t="s">
        <v>346</v>
      </c>
      <c r="M69" s="9" t="s">
        <v>347</v>
      </c>
      <c r="N69" s="9" t="s">
        <v>348</v>
      </c>
      <c r="O69" s="9" t="s">
        <v>349</v>
      </c>
      <c r="P69" s="9" t="s">
        <v>350</v>
      </c>
      <c r="Q69" s="4" t="s">
        <v>352</v>
      </c>
      <c r="R69" s="4" t="s">
        <v>351</v>
      </c>
      <c r="S69" s="9" t="s">
        <v>354</v>
      </c>
      <c r="T69" s="9" t="s">
        <v>353</v>
      </c>
      <c r="U69" s="9" t="s">
        <v>355</v>
      </c>
      <c r="V69" s="9" t="s">
        <v>356</v>
      </c>
      <c r="W69" s="9" t="s">
        <v>357</v>
      </c>
      <c r="X69" s="9" t="s">
        <v>358</v>
      </c>
      <c r="Y69" s="9" t="s">
        <v>359</v>
      </c>
      <c r="Z69" s="9" t="s">
        <v>360</v>
      </c>
    </row>
    <row r="70" spans="1:26" ht="38.25" x14ac:dyDescent="0.2">
      <c r="A70" s="9" t="s">
        <v>361</v>
      </c>
      <c r="B70" s="9"/>
      <c r="C70" s="9"/>
      <c r="D70" s="9"/>
      <c r="E70" s="4"/>
      <c r="F70" s="4"/>
      <c r="G70" s="4"/>
      <c r="H70" s="4"/>
      <c r="I70" s="4"/>
      <c r="J70" s="4"/>
      <c r="K70" s="9"/>
      <c r="M70" s="9"/>
      <c r="N70" s="9"/>
      <c r="O70" s="9"/>
      <c r="P70" s="9"/>
    </row>
    <row r="73" spans="1:26" x14ac:dyDescent="0.2">
      <c r="A73" s="4"/>
      <c r="L73" s="4"/>
      <c r="N73" s="17" t="s">
        <v>29</v>
      </c>
    </row>
    <row r="74" spans="1:26" ht="25.5" x14ac:dyDescent="0.2">
      <c r="A74" s="4"/>
      <c r="L74" s="4"/>
      <c r="N74" s="17" t="s">
        <v>32</v>
      </c>
    </row>
    <row r="75" spans="1:26" x14ac:dyDescent="0.2">
      <c r="A75" s="4"/>
      <c r="L75" s="4"/>
      <c r="N75" s="17" t="s">
        <v>30</v>
      </c>
    </row>
    <row r="76" spans="1:26" x14ac:dyDescent="0.2">
      <c r="A76" s="4"/>
      <c r="L76" s="4"/>
      <c r="N76" s="18" t="s">
        <v>0</v>
      </c>
      <c r="O76" s="18" t="s">
        <v>57</v>
      </c>
    </row>
    <row r="77" spans="1:26" x14ac:dyDescent="0.2">
      <c r="A77" s="4"/>
      <c r="L77" s="4"/>
      <c r="N77" s="18" t="s">
        <v>2</v>
      </c>
      <c r="O77" s="18" t="s">
        <v>52</v>
      </c>
    </row>
    <row r="78" spans="1:26" ht="25.5" x14ac:dyDescent="0.2">
      <c r="A78" s="4"/>
      <c r="L78" s="4"/>
      <c r="N78" s="18" t="s">
        <v>1</v>
      </c>
      <c r="O78" s="18" t="s">
        <v>53</v>
      </c>
    </row>
    <row r="79" spans="1:26" x14ac:dyDescent="0.2">
      <c r="A79" s="4"/>
      <c r="L79" s="4"/>
      <c r="N79" s="18" t="s">
        <v>7</v>
      </c>
      <c r="O79" s="18" t="s">
        <v>56</v>
      </c>
    </row>
    <row r="80" spans="1:26" x14ac:dyDescent="0.2">
      <c r="A80" s="4"/>
      <c r="L80" s="4"/>
      <c r="N80" s="18" t="s">
        <v>8</v>
      </c>
      <c r="O80" s="18" t="s">
        <v>33</v>
      </c>
    </row>
    <row r="81" spans="1:15" ht="25.5" x14ac:dyDescent="0.2">
      <c r="A81" s="4"/>
      <c r="L81" s="3"/>
      <c r="N81" s="18" t="s">
        <v>9</v>
      </c>
      <c r="O81" s="18" t="s">
        <v>48</v>
      </c>
    </row>
    <row r="82" spans="1:15" x14ac:dyDescent="0.2">
      <c r="N82" s="18" t="s">
        <v>20</v>
      </c>
      <c r="O82" s="18" t="s">
        <v>49</v>
      </c>
    </row>
    <row r="83" spans="1:15" x14ac:dyDescent="0.2">
      <c r="N83" s="18" t="s">
        <v>21</v>
      </c>
      <c r="O83" s="18" t="s">
        <v>50</v>
      </c>
    </row>
    <row r="84" spans="1:15" x14ac:dyDescent="0.2">
      <c r="N84" s="18" t="s">
        <v>22</v>
      </c>
      <c r="O84" s="18" t="s">
        <v>51</v>
      </c>
    </row>
    <row r="85" spans="1:15" x14ac:dyDescent="0.2">
      <c r="N85" s="18"/>
      <c r="O85" s="18"/>
    </row>
    <row r="86" spans="1:15" x14ac:dyDescent="0.2">
      <c r="N86" s="18" t="s">
        <v>37</v>
      </c>
      <c r="O86" s="18" t="s">
        <v>66</v>
      </c>
    </row>
    <row r="87" spans="1:15" x14ac:dyDescent="0.2">
      <c r="N87" s="18" t="s">
        <v>38</v>
      </c>
      <c r="O87" s="18" t="s">
        <v>67</v>
      </c>
    </row>
    <row r="88" spans="1:15" x14ac:dyDescent="0.2">
      <c r="N88" s="18" t="s">
        <v>39</v>
      </c>
      <c r="O88" s="18" t="s">
        <v>68</v>
      </c>
    </row>
    <row r="89" spans="1:15" x14ac:dyDescent="0.2">
      <c r="N89" s="17"/>
      <c r="O89" s="17"/>
    </row>
    <row r="90" spans="1:15" x14ac:dyDescent="0.2">
      <c r="N90" s="18" t="s">
        <v>6</v>
      </c>
      <c r="O90" s="18" t="s">
        <v>55</v>
      </c>
    </row>
    <row r="91" spans="1:15" x14ac:dyDescent="0.2">
      <c r="N91" s="18" t="s">
        <v>10</v>
      </c>
      <c r="O91" s="18" t="s">
        <v>42</v>
      </c>
    </row>
    <row r="92" spans="1:15" x14ac:dyDescent="0.2">
      <c r="N92" s="19"/>
      <c r="O92" s="18" t="s">
        <v>43</v>
      </c>
    </row>
    <row r="93" spans="1:15" x14ac:dyDescent="0.2">
      <c r="N93" s="18" t="s">
        <v>11</v>
      </c>
      <c r="O93" s="18" t="s">
        <v>69</v>
      </c>
    </row>
    <row r="94" spans="1:15" x14ac:dyDescent="0.2">
      <c r="N94" s="18"/>
      <c r="O94" s="18" t="s">
        <v>54</v>
      </c>
    </row>
    <row r="97" spans="1:15" x14ac:dyDescent="0.2">
      <c r="A97" s="20"/>
    </row>
    <row r="99" spans="1:15" s="3" customFormat="1" x14ac:dyDescent="0.2">
      <c r="A99" s="4"/>
      <c r="K99" s="4"/>
      <c r="L99" s="4"/>
      <c r="N99" s="4"/>
      <c r="O99" s="4"/>
    </row>
    <row r="100" spans="1:15" s="3" customFormat="1" x14ac:dyDescent="0.2">
      <c r="A100" s="4"/>
      <c r="K100" s="4"/>
      <c r="N100" s="4"/>
      <c r="O100" s="4"/>
    </row>
    <row r="108" spans="1:15" x14ac:dyDescent="0.2">
      <c r="M108" s="22" t="s">
        <v>161</v>
      </c>
      <c r="N108" s="17"/>
    </row>
    <row r="109" spans="1:15" ht="25.5" x14ac:dyDescent="0.2">
      <c r="M109" s="17" t="s">
        <v>106</v>
      </c>
      <c r="N109" s="17" t="s">
        <v>107</v>
      </c>
    </row>
    <row r="110" spans="1:15" x14ac:dyDescent="0.2">
      <c r="M110" s="17" t="s">
        <v>108</v>
      </c>
      <c r="N110" s="17" t="s">
        <v>109</v>
      </c>
    </row>
    <row r="111" spans="1:15" x14ac:dyDescent="0.2">
      <c r="M111" s="17" t="s">
        <v>151</v>
      </c>
      <c r="N111" s="17" t="s">
        <v>110</v>
      </c>
    </row>
    <row r="112" spans="1:15" ht="25.5" x14ac:dyDescent="0.2">
      <c r="M112" s="17" t="s">
        <v>152</v>
      </c>
      <c r="N112" s="17" t="s">
        <v>153</v>
      </c>
    </row>
    <row r="115" spans="13:13" x14ac:dyDescent="0.2">
      <c r="M115" s="23" t="s">
        <v>162</v>
      </c>
    </row>
    <row r="116" spans="13:13" x14ac:dyDescent="0.2">
      <c r="M116" s="5" t="s">
        <v>154</v>
      </c>
    </row>
    <row r="117" spans="13:13" x14ac:dyDescent="0.2">
      <c r="M117" s="5" t="s">
        <v>155</v>
      </c>
    </row>
    <row r="118" spans="13:13" x14ac:dyDescent="0.2">
      <c r="M118" s="5" t="s">
        <v>156</v>
      </c>
    </row>
    <row r="119" spans="13:13" x14ac:dyDescent="0.2">
      <c r="M119" s="5" t="s">
        <v>159</v>
      </c>
    </row>
    <row r="120" spans="13:13" x14ac:dyDescent="0.2">
      <c r="M120" s="5" t="s">
        <v>157</v>
      </c>
    </row>
    <row r="121" spans="13:13" x14ac:dyDescent="0.2">
      <c r="M121" s="5" t="s">
        <v>158</v>
      </c>
    </row>
    <row r="122" spans="13:13" x14ac:dyDescent="0.2">
      <c r="M122" s="5" t="s">
        <v>160</v>
      </c>
    </row>
  </sheetData>
  <phoneticPr fontId="0" type="noConversion"/>
  <pageMargins left="0.75" right="0.75" top="1" bottom="1" header="0.5" footer="0.5"/>
  <pageSetup paperSize="4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0"/>
  <sheetViews>
    <sheetView topLeftCell="A97" workbookViewId="0">
      <selection activeCell="E97" sqref="E97"/>
    </sheetView>
  </sheetViews>
  <sheetFormatPr defaultRowHeight="12.75" x14ac:dyDescent="0.2"/>
  <cols>
    <col min="3" max="5" width="10" bestFit="1" customWidth="1"/>
    <col min="6" max="6" width="29.28515625" customWidth="1"/>
    <col min="10" max="11" width="10" bestFit="1" customWidth="1"/>
    <col min="12" max="12" width="10.5703125" bestFit="1" customWidth="1"/>
  </cols>
  <sheetData>
    <row r="2" spans="3:24" x14ac:dyDescent="0.2">
      <c r="C2" t="s">
        <v>381</v>
      </c>
      <c r="J2" t="s">
        <v>387</v>
      </c>
    </row>
    <row r="3" spans="3:24" x14ac:dyDescent="0.2">
      <c r="D3" t="s">
        <v>382</v>
      </c>
    </row>
    <row r="4" spans="3:24" x14ac:dyDescent="0.2">
      <c r="D4" t="s">
        <v>383</v>
      </c>
    </row>
    <row r="6" spans="3:24" x14ac:dyDescent="0.2">
      <c r="C6" t="s">
        <v>384</v>
      </c>
      <c r="J6" t="s">
        <v>388</v>
      </c>
    </row>
    <row r="7" spans="3:24" x14ac:dyDescent="0.2">
      <c r="C7" t="s">
        <v>390</v>
      </c>
      <c r="D7" t="s">
        <v>391</v>
      </c>
    </row>
    <row r="8" spans="3:24" x14ac:dyDescent="0.2">
      <c r="D8" t="s">
        <v>389</v>
      </c>
    </row>
    <row r="9" spans="3:24" x14ac:dyDescent="0.2">
      <c r="C9" t="s">
        <v>392</v>
      </c>
      <c r="D9" t="s">
        <v>393</v>
      </c>
      <c r="J9" t="s">
        <v>386</v>
      </c>
      <c r="K9" t="s">
        <v>396</v>
      </c>
      <c r="M9">
        <v>35.5</v>
      </c>
    </row>
    <row r="10" spans="3:24" x14ac:dyDescent="0.2">
      <c r="C10" t="s">
        <v>394</v>
      </c>
      <c r="D10" t="s">
        <v>395</v>
      </c>
      <c r="J10" t="s">
        <v>385</v>
      </c>
      <c r="K10" t="s">
        <v>396</v>
      </c>
      <c r="M10">
        <v>36.200000000000003</v>
      </c>
    </row>
    <row r="11" spans="3:24" x14ac:dyDescent="0.2">
      <c r="C11" t="s">
        <v>397</v>
      </c>
      <c r="D11" t="s">
        <v>398</v>
      </c>
    </row>
    <row r="14" spans="3:24" x14ac:dyDescent="0.2">
      <c r="J14" t="s">
        <v>403</v>
      </c>
      <c r="L14" t="s">
        <v>404</v>
      </c>
      <c r="N14" t="s">
        <v>405</v>
      </c>
      <c r="P14" t="s">
        <v>406</v>
      </c>
      <c r="R14" t="s">
        <v>407</v>
      </c>
      <c r="T14" t="s">
        <v>408</v>
      </c>
      <c r="V14" t="s">
        <v>409</v>
      </c>
      <c r="X14" t="s">
        <v>410</v>
      </c>
    </row>
    <row r="15" spans="3:24" ht="15" x14ac:dyDescent="0.25">
      <c r="C15" t="s">
        <v>414</v>
      </c>
      <c r="J15" s="37">
        <v>0.85</v>
      </c>
      <c r="L15" s="37">
        <v>0.35</v>
      </c>
      <c r="N15" s="37">
        <v>0.85</v>
      </c>
      <c r="P15" s="37">
        <v>0.35</v>
      </c>
      <c r="R15">
        <v>0.85</v>
      </c>
      <c r="T15">
        <v>0.35</v>
      </c>
    </row>
    <row r="16" spans="3:24" ht="15" x14ac:dyDescent="0.25">
      <c r="D16" t="s">
        <v>401</v>
      </c>
      <c r="J16" s="37" t="s">
        <v>402</v>
      </c>
      <c r="L16" s="37" t="s">
        <v>402</v>
      </c>
      <c r="N16" s="37" t="s">
        <v>415</v>
      </c>
      <c r="P16" s="37" t="s">
        <v>415</v>
      </c>
      <c r="R16" t="s">
        <v>402</v>
      </c>
      <c r="T16" t="s">
        <v>415</v>
      </c>
    </row>
    <row r="17" spans="3:20" ht="15" x14ac:dyDescent="0.25">
      <c r="C17" t="s">
        <v>400</v>
      </c>
      <c r="J17" s="37">
        <v>0.33</v>
      </c>
      <c r="L17" s="37">
        <v>0.83</v>
      </c>
      <c r="N17" s="37">
        <v>0.33</v>
      </c>
      <c r="P17" s="37">
        <v>0.83</v>
      </c>
      <c r="R17">
        <v>0.85</v>
      </c>
      <c r="T17">
        <v>0.35</v>
      </c>
    </row>
    <row r="18" spans="3:20" x14ac:dyDescent="0.2">
      <c r="C18" t="s">
        <v>399</v>
      </c>
    </row>
    <row r="20" spans="3:20" ht="15" x14ac:dyDescent="0.25">
      <c r="C20" t="s">
        <v>411</v>
      </c>
      <c r="J20" s="38">
        <f>IF(EXACT(J16,"op"),J15-J17, J17-J15)</f>
        <v>0.52</v>
      </c>
      <c r="L20" s="38">
        <f>IF(EXACT(L16,"op"),L15-L17, L17-L15)</f>
        <v>-0.48</v>
      </c>
      <c r="N20" s="38">
        <f>IF(EXACT(N16,"op"),N15-N17, N17-N15)</f>
        <v>-0.52</v>
      </c>
      <c r="P20" s="38">
        <f>IF(EXACT(P16,"op"),P15-P17, P17-P15)</f>
        <v>0.48</v>
      </c>
      <c r="R20" s="38">
        <f>IF(EXACT(R16,"op"),R15-R17, R17-R15)</f>
        <v>0</v>
      </c>
      <c r="T20" s="38">
        <f>IF(EXACT(T16,"op"),T15-T17, T17-T15)</f>
        <v>0</v>
      </c>
    </row>
    <row r="21" spans="3:20" ht="15" x14ac:dyDescent="0.25">
      <c r="C21" t="s">
        <v>413</v>
      </c>
      <c r="J21" s="36">
        <f>ABS(J20*IF(EXACT(J16,"op"),$M$10, $M$9))</f>
        <v>18.824000000000002</v>
      </c>
      <c r="K21" s="36"/>
      <c r="L21" s="36">
        <f>ABS(L20*IF(EXACT(L16,"op"),$M$10, $M$9))</f>
        <v>17.376000000000001</v>
      </c>
      <c r="N21" s="36">
        <f>ABS(N20*IF(EXACT(N16,"op"),$M$10, $M$9))</f>
        <v>18.46</v>
      </c>
      <c r="O21" s="36"/>
      <c r="P21" s="36">
        <f>ABS(P20*IF(EXACT(P16,"op"),$M$10, $M$9))</f>
        <v>17.04</v>
      </c>
      <c r="R21" s="36">
        <f>ABS(R20*IF(EXACT(R16,"op"),$M$10, $M$9))</f>
        <v>0</v>
      </c>
      <c r="T21" s="36">
        <f>ABS(T20*IF(EXACT(T16,"op"),$M$10, $M$9))</f>
        <v>0</v>
      </c>
    </row>
    <row r="22" spans="3:20" ht="15" x14ac:dyDescent="0.25">
      <c r="C22" t="s">
        <v>412</v>
      </c>
      <c r="J22" s="36" t="str">
        <f>IF(J15=J17,"N/A",IF(J15&gt;J17,"CLOSING","OPENING"))</f>
        <v>CLOSING</v>
      </c>
      <c r="K22" s="36"/>
      <c r="L22" s="36" t="str">
        <f>IF(L15=L17,"N/A",IF(L15&gt;L17,"CLOSING","OPENING"))</f>
        <v>OPENING</v>
      </c>
      <c r="M22" s="36"/>
      <c r="N22" s="36" t="str">
        <f>IF(N15=N17,"N/A",IF(N15&gt;N17,"CLOSING","OPENING"))</f>
        <v>CLOSING</v>
      </c>
      <c r="O22" s="36"/>
      <c r="P22" s="36" t="str">
        <f>IF(P15=P17,"N/A",IF(P15&gt;P17,"CLOSING","OPENING"))</f>
        <v>OPENING</v>
      </c>
      <c r="R22" s="36" t="str">
        <f>IF(R15=R17,"N/A",IF(R15&gt;R17,"CLOSING","OPENING"))</f>
        <v>N/A</v>
      </c>
      <c r="T22" s="36" t="str">
        <f>IF(T15=T17,"N/A",IF(T15&gt;T17,"CLOSING","OPENING"))</f>
        <v>N/A</v>
      </c>
    </row>
    <row r="25" spans="3:20" x14ac:dyDescent="0.2">
      <c r="C25" t="s">
        <v>416</v>
      </c>
      <c r="F25" t="s">
        <v>417</v>
      </c>
      <c r="G25">
        <v>7.9</v>
      </c>
    </row>
    <row r="26" spans="3:20" x14ac:dyDescent="0.2">
      <c r="G26" t="s">
        <v>420</v>
      </c>
    </row>
    <row r="27" spans="3:20" x14ac:dyDescent="0.2">
      <c r="G27" t="s">
        <v>421</v>
      </c>
    </row>
    <row r="28" spans="3:20" x14ac:dyDescent="0.2">
      <c r="G28" t="s">
        <v>418</v>
      </c>
    </row>
    <row r="30" spans="3:20" x14ac:dyDescent="0.2">
      <c r="C30" t="s">
        <v>419</v>
      </c>
      <c r="F30" t="s">
        <v>417</v>
      </c>
      <c r="G30">
        <v>1.1499999999999999</v>
      </c>
    </row>
    <row r="31" spans="3:20" x14ac:dyDescent="0.2">
      <c r="G31" t="s">
        <v>422</v>
      </c>
    </row>
    <row r="32" spans="3:20" x14ac:dyDescent="0.2">
      <c r="G32" t="s">
        <v>423</v>
      </c>
    </row>
    <row r="33" spans="7:13" x14ac:dyDescent="0.2">
      <c r="G33" t="s">
        <v>424</v>
      </c>
    </row>
    <row r="42" spans="7:13" x14ac:dyDescent="0.2">
      <c r="K42" s="2" t="s">
        <v>426</v>
      </c>
      <c r="L42" s="2" t="s">
        <v>431</v>
      </c>
    </row>
    <row r="43" spans="7:13" x14ac:dyDescent="0.2">
      <c r="I43" s="11" t="s">
        <v>427</v>
      </c>
      <c r="J43">
        <f>HEX2DEC(I43)</f>
        <v>19455</v>
      </c>
      <c r="K43">
        <f>INT(J43/512)</f>
        <v>37</v>
      </c>
      <c r="L43">
        <f>(J43-K43*512)/512</f>
        <v>0.998046875</v>
      </c>
      <c r="M43" s="2" t="s">
        <v>428</v>
      </c>
    </row>
    <row r="46" spans="7:13" x14ac:dyDescent="0.2">
      <c r="I46" s="11" t="s">
        <v>430</v>
      </c>
      <c r="J46">
        <f>HEX2DEC(I46)</f>
        <v>12732</v>
      </c>
      <c r="K46">
        <f>J46/32768</f>
        <v>0.3885498046875</v>
      </c>
      <c r="L46" s="2" t="s">
        <v>429</v>
      </c>
    </row>
    <row r="49" spans="1:12" x14ac:dyDescent="0.2">
      <c r="J49">
        <f>J43*J46</f>
        <v>247701060</v>
      </c>
      <c r="K49">
        <f>INT(J49*2^-15*2^-9)</f>
        <v>14</v>
      </c>
      <c r="L49">
        <f>(J49-K49*2^24)/2^24</f>
        <v>0.76413369178771973</v>
      </c>
    </row>
    <row r="50" spans="1:12" x14ac:dyDescent="0.2">
      <c r="K50" s="2" t="s">
        <v>426</v>
      </c>
      <c r="L50" s="2" t="s">
        <v>431</v>
      </c>
    </row>
    <row r="52" spans="1:12" x14ac:dyDescent="0.2">
      <c r="B52">
        <f>B55*B54/100</f>
        <v>16.8</v>
      </c>
      <c r="C52" s="2" t="s">
        <v>468</v>
      </c>
    </row>
    <row r="53" spans="1:12" x14ac:dyDescent="0.2">
      <c r="E53" s="2" t="s">
        <v>467</v>
      </c>
      <c r="K53">
        <f>K46*(K43+L43)</f>
        <v>14.76413369178772</v>
      </c>
    </row>
    <row r="54" spans="1:12" x14ac:dyDescent="0.2">
      <c r="A54" s="2" t="s">
        <v>465</v>
      </c>
      <c r="B54" s="39">
        <v>42</v>
      </c>
      <c r="C54">
        <f>32768*B54/100</f>
        <v>13762.56</v>
      </c>
      <c r="E54" t="str">
        <f>DEC2HEX(ROUND(C54,0))</f>
        <v>35C3</v>
      </c>
    </row>
    <row r="55" spans="1:12" x14ac:dyDescent="0.2">
      <c r="A55" s="2" t="s">
        <v>466</v>
      </c>
      <c r="B55" s="2">
        <v>40</v>
      </c>
      <c r="C55">
        <f>B55*512</f>
        <v>20480</v>
      </c>
      <c r="E55" t="str">
        <f>DEC2HEX(C55)</f>
        <v>5000</v>
      </c>
    </row>
    <row r="56" spans="1:12" x14ac:dyDescent="0.2">
      <c r="A56" s="2"/>
      <c r="B56" s="2"/>
    </row>
    <row r="57" spans="1:12" x14ac:dyDescent="0.2">
      <c r="E57" t="str">
        <f>DEC2HEX(E58)</f>
        <v>10CCF000</v>
      </c>
    </row>
    <row r="58" spans="1:12" x14ac:dyDescent="0.2">
      <c r="E58">
        <f>HEX2DEC(E54)*HEX2DEC(E55)</f>
        <v>281866240</v>
      </c>
      <c r="F58">
        <f>E58/2^24</f>
        <v>16.800537109375</v>
      </c>
    </row>
    <row r="59" spans="1:12" x14ac:dyDescent="0.2">
      <c r="D59" s="2" t="s">
        <v>469</v>
      </c>
      <c r="E59">
        <f>INT(E58/2^24)</f>
        <v>16</v>
      </c>
    </row>
    <row r="60" spans="1:12" x14ac:dyDescent="0.2">
      <c r="D60" s="2" t="s">
        <v>470</v>
      </c>
      <c r="E60">
        <f>(E58-E59*2^24)/2^24</f>
        <v>0.800537109375</v>
      </c>
    </row>
    <row r="61" spans="1:12" x14ac:dyDescent="0.2">
      <c r="D61" s="2"/>
    </row>
    <row r="63" spans="1:12" x14ac:dyDescent="0.2">
      <c r="B63">
        <f>B66*B65/100</f>
        <v>19</v>
      </c>
      <c r="C63" s="2" t="s">
        <v>468</v>
      </c>
    </row>
    <row r="64" spans="1:12" x14ac:dyDescent="0.2">
      <c r="C64" s="2"/>
      <c r="E64" s="2" t="s">
        <v>467</v>
      </c>
    </row>
    <row r="65" spans="1:8" x14ac:dyDescent="0.2">
      <c r="A65" s="2" t="s">
        <v>465</v>
      </c>
      <c r="B65" s="39">
        <v>47.5</v>
      </c>
      <c r="C65">
        <f>32768*B65/100</f>
        <v>15564.8</v>
      </c>
      <c r="E65" t="str">
        <f>DEC2HEX(ROUND(C65,0))</f>
        <v>3CCD</v>
      </c>
    </row>
    <row r="66" spans="1:8" x14ac:dyDescent="0.2">
      <c r="A66" s="2" t="s">
        <v>466</v>
      </c>
      <c r="B66" s="2">
        <v>40</v>
      </c>
      <c r="C66">
        <f>B66*512</f>
        <v>20480</v>
      </c>
      <c r="E66" t="str">
        <f>DEC2HEX(C66)</f>
        <v>5000</v>
      </c>
    </row>
    <row r="67" spans="1:8" x14ac:dyDescent="0.2">
      <c r="A67" s="2"/>
      <c r="B67" s="2"/>
    </row>
    <row r="68" spans="1:8" x14ac:dyDescent="0.2">
      <c r="E68" t="str">
        <f>DEC2HEX(E69)</f>
        <v>13001000</v>
      </c>
    </row>
    <row r="69" spans="1:8" x14ac:dyDescent="0.2">
      <c r="E69">
        <f>HEX2DEC(E65)*HEX2DEC(E66)</f>
        <v>318771200</v>
      </c>
      <c r="F69">
        <f>E69/2^24</f>
        <v>19.000244140625</v>
      </c>
    </row>
    <row r="70" spans="1:8" x14ac:dyDescent="0.2">
      <c r="D70" s="2" t="s">
        <v>469</v>
      </c>
      <c r="F70">
        <f>INT(E69/2^24)</f>
        <v>19</v>
      </c>
    </row>
    <row r="71" spans="1:8" x14ac:dyDescent="0.2">
      <c r="D71" s="2" t="s">
        <v>470</v>
      </c>
      <c r="F71">
        <f>(E69-F70*2^24)/2^24</f>
        <v>2.44140625E-4</v>
      </c>
    </row>
    <row r="73" spans="1:8" x14ac:dyDescent="0.2">
      <c r="D73" s="2" t="s">
        <v>471</v>
      </c>
      <c r="E73" t="str">
        <f>MID(DEC2HEX(E69+2^32),2,2)</f>
        <v>13</v>
      </c>
    </row>
    <row r="74" spans="1:8" x14ac:dyDescent="0.2">
      <c r="D74" s="2" t="s">
        <v>472</v>
      </c>
      <c r="E74" t="str">
        <f>RIGHT(DEC2HEX(E69+2^32),6)</f>
        <v>001000</v>
      </c>
      <c r="F74">
        <f>HEX2DEC(E74)/512</f>
        <v>8</v>
      </c>
      <c r="G74" s="2" t="s">
        <v>473</v>
      </c>
    </row>
    <row r="75" spans="1:8" x14ac:dyDescent="0.2">
      <c r="E75" s="2" t="s">
        <v>474</v>
      </c>
      <c r="H75">
        <f>HEX2DEC(E75)/512</f>
        <v>32767.5</v>
      </c>
    </row>
    <row r="77" spans="1:8" x14ac:dyDescent="0.2">
      <c r="B77" t="e">
        <f>#REF!*B79/100</f>
        <v>#REF!</v>
      </c>
      <c r="C77" s="2" t="s">
        <v>468</v>
      </c>
    </row>
    <row r="78" spans="1:8" x14ac:dyDescent="0.2">
      <c r="C78" s="2"/>
      <c r="E78" s="2" t="s">
        <v>467</v>
      </c>
    </row>
    <row r="79" spans="1:8" x14ac:dyDescent="0.2">
      <c r="A79" s="2" t="s">
        <v>465</v>
      </c>
      <c r="B79" s="39">
        <v>50</v>
      </c>
      <c r="C79">
        <f>32768*B79/100</f>
        <v>16384</v>
      </c>
      <c r="E79" t="str">
        <f>DEC2HEX(ROUND(C79,0))</f>
        <v>4000</v>
      </c>
    </row>
    <row r="80" spans="1:8" x14ac:dyDescent="0.2">
      <c r="A80" s="2" t="s">
        <v>466</v>
      </c>
      <c r="B80" s="2">
        <f>HEX2DEC(A81)/512</f>
        <v>41.162109375</v>
      </c>
      <c r="C80">
        <f>B80*512</f>
        <v>21075</v>
      </c>
      <c r="E80" t="str">
        <f>DEC2HEX(C80)</f>
        <v>5253</v>
      </c>
    </row>
    <row r="81" spans="1:8" x14ac:dyDescent="0.2">
      <c r="A81" s="2">
        <v>5253</v>
      </c>
    </row>
    <row r="82" spans="1:8" x14ac:dyDescent="0.2">
      <c r="E82" t="str">
        <f>DEC2HEX(E83)</f>
        <v>1494C000</v>
      </c>
    </row>
    <row r="83" spans="1:8" x14ac:dyDescent="0.2">
      <c r="E83">
        <f>HEX2DEC(E79)*HEX2DEC(E80)</f>
        <v>345292800</v>
      </c>
      <c r="F83">
        <f>E83/2^24</f>
        <v>20.5810546875</v>
      </c>
    </row>
    <row r="84" spans="1:8" x14ac:dyDescent="0.2">
      <c r="D84" s="2" t="s">
        <v>469</v>
      </c>
      <c r="F84">
        <f>INT(E83/2^24)</f>
        <v>20</v>
      </c>
    </row>
    <row r="85" spans="1:8" x14ac:dyDescent="0.2">
      <c r="D85" s="2" t="s">
        <v>470</v>
      </c>
      <c r="F85">
        <f>(E83-F84*2^24)/2^24</f>
        <v>0.5810546875</v>
      </c>
    </row>
    <row r="87" spans="1:8" x14ac:dyDescent="0.2">
      <c r="D87" s="2" t="s">
        <v>471</v>
      </c>
      <c r="E87" t="str">
        <f>MID(DEC2HEX(E83+2^32),2,2)</f>
        <v>14</v>
      </c>
    </row>
    <row r="88" spans="1:8" x14ac:dyDescent="0.2">
      <c r="D88" s="2" t="s">
        <v>472</v>
      </c>
      <c r="E88" t="str">
        <f>RIGHT(DEC2HEX(E83+2^32),6)</f>
        <v>94C000</v>
      </c>
      <c r="F88">
        <f>HEX2DEC(E88)/512</f>
        <v>19040</v>
      </c>
      <c r="G88" s="2" t="s">
        <v>473</v>
      </c>
    </row>
    <row r="89" spans="1:8" x14ac:dyDescent="0.2">
      <c r="E89" s="2" t="s">
        <v>474</v>
      </c>
      <c r="H89">
        <f>HEX2DEC(E89)/512</f>
        <v>32767.5</v>
      </c>
    </row>
    <row r="95" spans="1:8" x14ac:dyDescent="0.2">
      <c r="E95" s="2" t="s">
        <v>467</v>
      </c>
    </row>
    <row r="96" spans="1:8" x14ac:dyDescent="0.2">
      <c r="E96">
        <v>1</v>
      </c>
    </row>
    <row r="97" spans="5:5" x14ac:dyDescent="0.2">
      <c r="E97">
        <v>5253</v>
      </c>
    </row>
    <row r="99" spans="5:5" x14ac:dyDescent="0.2">
      <c r="E99" t="str">
        <f>DEC2HEX(E100)</f>
        <v>5253</v>
      </c>
    </row>
    <row r="100" spans="5:5" x14ac:dyDescent="0.2">
      <c r="E100">
        <f>HEX2DEC(E96)*HEX2DEC(E97)</f>
        <v>21075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45"/>
  <sheetViews>
    <sheetView topLeftCell="A25" workbookViewId="0">
      <selection activeCell="G130" sqref="G130"/>
    </sheetView>
  </sheetViews>
  <sheetFormatPr defaultRowHeight="12.75" x14ac:dyDescent="0.2"/>
  <cols>
    <col min="21" max="21" width="11" customWidth="1"/>
  </cols>
  <sheetData>
    <row r="2" spans="2:3" x14ac:dyDescent="0.2">
      <c r="B2" s="2" t="s">
        <v>213</v>
      </c>
    </row>
    <row r="4" spans="2:3" x14ac:dyDescent="0.2">
      <c r="B4" s="2" t="s">
        <v>214</v>
      </c>
    </row>
    <row r="5" spans="2:3" x14ac:dyDescent="0.2">
      <c r="C5" s="2" t="s">
        <v>215</v>
      </c>
    </row>
    <row r="6" spans="2:3" x14ac:dyDescent="0.2">
      <c r="C6" s="2" t="s">
        <v>216</v>
      </c>
    </row>
    <row r="7" spans="2:3" x14ac:dyDescent="0.2">
      <c r="C7" s="2" t="s">
        <v>217</v>
      </c>
    </row>
    <row r="8" spans="2:3" x14ac:dyDescent="0.2">
      <c r="C8" s="2" t="s">
        <v>218</v>
      </c>
    </row>
    <row r="11" spans="2:3" x14ac:dyDescent="0.2">
      <c r="B11" s="2" t="s">
        <v>219</v>
      </c>
    </row>
    <row r="12" spans="2:3" x14ac:dyDescent="0.2">
      <c r="C12" s="2" t="s">
        <v>220</v>
      </c>
    </row>
    <row r="13" spans="2:3" x14ac:dyDescent="0.2">
      <c r="C13" s="2" t="s">
        <v>265</v>
      </c>
    </row>
    <row r="15" spans="2:3" x14ac:dyDescent="0.2">
      <c r="B15" s="2" t="s">
        <v>221</v>
      </c>
    </row>
    <row r="16" spans="2:3" x14ac:dyDescent="0.2">
      <c r="C16" s="2" t="s">
        <v>222</v>
      </c>
    </row>
    <row r="17" spans="3:22" x14ac:dyDescent="0.2">
      <c r="C17" s="2" t="s">
        <v>223</v>
      </c>
    </row>
    <row r="18" spans="3:22" x14ac:dyDescent="0.2">
      <c r="C18" s="2" t="s">
        <v>224</v>
      </c>
    </row>
    <row r="19" spans="3:22" x14ac:dyDescent="0.2">
      <c r="C19" s="2" t="s">
        <v>225</v>
      </c>
    </row>
    <row r="21" spans="3:22" x14ac:dyDescent="0.2">
      <c r="C21" s="2" t="s">
        <v>226</v>
      </c>
    </row>
    <row r="23" spans="3:22" x14ac:dyDescent="0.2">
      <c r="C23" s="2" t="s">
        <v>227</v>
      </c>
    </row>
    <row r="25" spans="3:22" x14ac:dyDescent="0.2">
      <c r="L25" s="2" t="s">
        <v>229</v>
      </c>
    </row>
    <row r="26" spans="3:22" x14ac:dyDescent="0.2">
      <c r="L26" s="2" t="s">
        <v>230</v>
      </c>
    </row>
    <row r="29" spans="3:22" x14ac:dyDescent="0.2">
      <c r="L29" s="2" t="s">
        <v>266</v>
      </c>
    </row>
    <row r="31" spans="3:22" x14ac:dyDescent="0.2">
      <c r="L31" s="2"/>
      <c r="U31" s="25" t="s">
        <v>242</v>
      </c>
      <c r="V31" s="25"/>
    </row>
    <row r="32" spans="3:22" x14ac:dyDescent="0.2">
      <c r="L32" s="2"/>
      <c r="U32" s="25" t="s">
        <v>243</v>
      </c>
      <c r="V32" s="25"/>
    </row>
    <row r="33" spans="12:36" ht="15" x14ac:dyDescent="0.25">
      <c r="S33" s="8" t="s">
        <v>246</v>
      </c>
      <c r="X33" s="2" t="s">
        <v>244</v>
      </c>
      <c r="Z33" s="8" t="s">
        <v>245</v>
      </c>
      <c r="AD33" s="2" t="s">
        <v>246</v>
      </c>
      <c r="AG33" s="2" t="s">
        <v>246</v>
      </c>
      <c r="AJ33" s="8" t="s">
        <v>247</v>
      </c>
    </row>
    <row r="34" spans="12:36" x14ac:dyDescent="0.2">
      <c r="S34" s="2" t="s">
        <v>234</v>
      </c>
      <c r="U34" s="2" t="s">
        <v>234</v>
      </c>
      <c r="AG34" s="2" t="s">
        <v>239</v>
      </c>
      <c r="AJ34" s="2" t="s">
        <v>240</v>
      </c>
    </row>
    <row r="35" spans="12:36" x14ac:dyDescent="0.2">
      <c r="L35" s="2" t="s">
        <v>204</v>
      </c>
      <c r="M35" s="2" t="s">
        <v>231</v>
      </c>
      <c r="O35" s="2" t="s">
        <v>232</v>
      </c>
      <c r="Q35" s="2" t="s">
        <v>27</v>
      </c>
      <c r="R35" s="2" t="s">
        <v>195</v>
      </c>
      <c r="S35" s="2" t="s">
        <v>264</v>
      </c>
      <c r="U35" s="2" t="s">
        <v>235</v>
      </c>
      <c r="W35" t="s">
        <v>262</v>
      </c>
      <c r="X35" s="2" t="s">
        <v>233</v>
      </c>
      <c r="Z35" s="2" t="s">
        <v>261</v>
      </c>
      <c r="AD35" s="2" t="s">
        <v>237</v>
      </c>
      <c r="AG35" s="2" t="s">
        <v>238</v>
      </c>
      <c r="AJ35" s="2" t="s">
        <v>241</v>
      </c>
    </row>
    <row r="36" spans="12:36" x14ac:dyDescent="0.2">
      <c r="L36" s="1">
        <v>3.7999999999999999E-2</v>
      </c>
      <c r="M36" s="1">
        <v>3.5</v>
      </c>
      <c r="O36" s="1">
        <v>9.4000000000000004E-3</v>
      </c>
      <c r="Q36">
        <v>40</v>
      </c>
      <c r="R36">
        <f>Q36/1.2</f>
        <v>33.333333333333336</v>
      </c>
      <c r="S36">
        <f t="shared" ref="S36:S56" si="0">$L$36*Q36</f>
        <v>1.52</v>
      </c>
      <c r="U36">
        <f>SQRT($M$36^2+(2*PI()*R36*$O$36)^2)</f>
        <v>4.0157070747975281</v>
      </c>
      <c r="V36" s="2"/>
      <c r="W36">
        <v>0.95</v>
      </c>
      <c r="X36">
        <f>S36*W36</f>
        <v>1.444</v>
      </c>
      <c r="Z36">
        <f>(S36-X36)/U36</f>
        <v>1.892568321951919E-2</v>
      </c>
      <c r="AD36">
        <f>Z36*X36</f>
        <v>2.7328686568985711E-2</v>
      </c>
      <c r="AG36">
        <f t="shared" ref="AG36:AG56" si="1">0.8*AD36/3.3</f>
        <v>6.6251361379359311E-3</v>
      </c>
      <c r="AJ36">
        <f>IF(AG36&gt;0.2,0.2,AG36)</f>
        <v>6.6251361379359311E-3</v>
      </c>
    </row>
    <row r="37" spans="12:36" x14ac:dyDescent="0.2">
      <c r="L37" s="2" t="s">
        <v>228</v>
      </c>
      <c r="M37" s="2" t="s">
        <v>185</v>
      </c>
      <c r="O37" s="2" t="s">
        <v>194</v>
      </c>
      <c r="Q37">
        <v>40</v>
      </c>
      <c r="R37">
        <f t="shared" ref="R37:R56" si="2">Q37/1.2</f>
        <v>33.333333333333336</v>
      </c>
      <c r="S37">
        <f t="shared" si="0"/>
        <v>1.52</v>
      </c>
      <c r="U37">
        <f t="shared" ref="U37:U56" si="3">SQRT($M$36^2+(2*PI()*R37*$O$36)^2)</f>
        <v>4.0157070747975281</v>
      </c>
      <c r="W37">
        <v>0.85</v>
      </c>
      <c r="X37">
        <f t="shared" ref="X37:X56" si="4">S37*W37</f>
        <v>1.292</v>
      </c>
      <c r="Z37">
        <f t="shared" ref="Z37:Z56" si="5">(S37-X37)/U37</f>
        <v>5.677704965855751E-2</v>
      </c>
      <c r="AD37">
        <f t="shared" ref="AD37:AD56" si="6">Z37*X37</f>
        <v>7.3355948158856307E-2</v>
      </c>
      <c r="AG37">
        <f t="shared" si="1"/>
        <v>1.7783260159722741E-2</v>
      </c>
      <c r="AJ37">
        <f t="shared" ref="AJ37:AJ56" si="7">IF(AG37&gt;0.2,0.2,AG37)</f>
        <v>1.7783260159722741E-2</v>
      </c>
    </row>
    <row r="38" spans="12:36" x14ac:dyDescent="0.2">
      <c r="Q38">
        <v>40</v>
      </c>
      <c r="R38">
        <f t="shared" si="2"/>
        <v>33.333333333333336</v>
      </c>
      <c r="S38">
        <f t="shared" si="0"/>
        <v>1.52</v>
      </c>
      <c r="U38">
        <f t="shared" si="3"/>
        <v>4.0157070747975281</v>
      </c>
      <c r="W38">
        <v>0.75</v>
      </c>
      <c r="X38">
        <f t="shared" si="4"/>
        <v>1.1400000000000001</v>
      </c>
      <c r="Z38">
        <f t="shared" si="5"/>
        <v>9.4628416097595841E-2</v>
      </c>
      <c r="AD38">
        <f t="shared" si="6"/>
        <v>0.10787639435125927</v>
      </c>
      <c r="AG38">
        <f t="shared" si="1"/>
        <v>2.6151853176062858E-2</v>
      </c>
      <c r="AJ38">
        <f t="shared" si="7"/>
        <v>2.6151853176062858E-2</v>
      </c>
    </row>
    <row r="39" spans="12:36" x14ac:dyDescent="0.2">
      <c r="Q39">
        <v>60</v>
      </c>
      <c r="R39">
        <f t="shared" si="2"/>
        <v>50</v>
      </c>
      <c r="S39">
        <f t="shared" si="0"/>
        <v>2.2799999999999998</v>
      </c>
      <c r="U39">
        <f t="shared" si="3"/>
        <v>4.5793866891541883</v>
      </c>
      <c r="W39">
        <v>0.95</v>
      </c>
      <c r="X39">
        <f t="shared" si="4"/>
        <v>2.1659999999999999</v>
      </c>
      <c r="Z39">
        <f t="shared" si="5"/>
        <v>2.4894163288284279E-2</v>
      </c>
      <c r="AD39">
        <f t="shared" si="6"/>
        <v>5.3920757682423749E-2</v>
      </c>
      <c r="AG39">
        <f t="shared" si="1"/>
        <v>1.307169883210273E-2</v>
      </c>
      <c r="AJ39">
        <f t="shared" si="7"/>
        <v>1.307169883210273E-2</v>
      </c>
    </row>
    <row r="40" spans="12:36" x14ac:dyDescent="0.2">
      <c r="Q40">
        <v>60</v>
      </c>
      <c r="R40">
        <f t="shared" si="2"/>
        <v>50</v>
      </c>
      <c r="S40">
        <f t="shared" si="0"/>
        <v>2.2799999999999998</v>
      </c>
      <c r="U40">
        <f t="shared" si="3"/>
        <v>4.5793866891541883</v>
      </c>
      <c r="W40">
        <v>0.85</v>
      </c>
      <c r="X40">
        <f t="shared" si="4"/>
        <v>1.9379999999999997</v>
      </c>
      <c r="Z40">
        <f t="shared" si="5"/>
        <v>7.468248986485293E-2</v>
      </c>
      <c r="AD40">
        <f t="shared" si="6"/>
        <v>0.14473466535808496</v>
      </c>
      <c r="AG40">
        <f t="shared" si="1"/>
        <v>3.5087191601959992E-2</v>
      </c>
      <c r="AJ40">
        <f t="shared" si="7"/>
        <v>3.5087191601959992E-2</v>
      </c>
    </row>
    <row r="41" spans="12:36" x14ac:dyDescent="0.2">
      <c r="Q41">
        <v>60</v>
      </c>
      <c r="R41">
        <f t="shared" si="2"/>
        <v>50</v>
      </c>
      <c r="S41">
        <f t="shared" si="0"/>
        <v>2.2799999999999998</v>
      </c>
      <c r="U41">
        <f t="shared" si="3"/>
        <v>4.5793866891541883</v>
      </c>
      <c r="W41">
        <v>0.75</v>
      </c>
      <c r="X41">
        <f t="shared" si="4"/>
        <v>1.71</v>
      </c>
      <c r="Z41">
        <f t="shared" si="5"/>
        <v>0.12447081644142148</v>
      </c>
      <c r="AD41">
        <f t="shared" si="6"/>
        <v>0.21284509611483074</v>
      </c>
      <c r="AG41">
        <f t="shared" si="1"/>
        <v>5.1598811179352916E-2</v>
      </c>
      <c r="AJ41">
        <f t="shared" si="7"/>
        <v>5.1598811179352916E-2</v>
      </c>
    </row>
    <row r="42" spans="12:36" x14ac:dyDescent="0.2">
      <c r="Q42">
        <v>80</v>
      </c>
      <c r="R42">
        <f t="shared" si="2"/>
        <v>66.666666666666671</v>
      </c>
      <c r="S42">
        <f t="shared" si="0"/>
        <v>3.04</v>
      </c>
      <c r="U42">
        <f t="shared" si="3"/>
        <v>5.2681698190468067</v>
      </c>
      <c r="W42">
        <v>0.95</v>
      </c>
      <c r="X42">
        <f t="shared" si="4"/>
        <v>2.8879999999999999</v>
      </c>
      <c r="Z42">
        <f t="shared" si="5"/>
        <v>2.8852524732678828E-2</v>
      </c>
      <c r="AD42">
        <f t="shared" si="6"/>
        <v>8.3326091427976451E-2</v>
      </c>
      <c r="AG42">
        <f t="shared" si="1"/>
        <v>2.0200264588600352E-2</v>
      </c>
      <c r="AJ42">
        <f t="shared" si="7"/>
        <v>2.0200264588600352E-2</v>
      </c>
    </row>
    <row r="43" spans="12:36" x14ac:dyDescent="0.2">
      <c r="Q43">
        <v>80</v>
      </c>
      <c r="R43">
        <f t="shared" si="2"/>
        <v>66.666666666666671</v>
      </c>
      <c r="S43">
        <f t="shared" si="0"/>
        <v>3.04</v>
      </c>
      <c r="U43">
        <f t="shared" si="3"/>
        <v>5.2681698190468067</v>
      </c>
      <c r="W43">
        <v>0.85</v>
      </c>
      <c r="X43">
        <f t="shared" si="4"/>
        <v>2.5840000000000001</v>
      </c>
      <c r="Z43">
        <f t="shared" si="5"/>
        <v>8.6557574198036405E-2</v>
      </c>
      <c r="AD43">
        <f t="shared" si="6"/>
        <v>0.22366477172772609</v>
      </c>
      <c r="AG43">
        <f t="shared" si="1"/>
        <v>5.4221762843085122E-2</v>
      </c>
      <c r="AJ43">
        <f t="shared" si="7"/>
        <v>5.4221762843085122E-2</v>
      </c>
    </row>
    <row r="44" spans="12:36" ht="15" x14ac:dyDescent="0.25">
      <c r="M44" s="30" t="s">
        <v>337</v>
      </c>
      <c r="N44" s="30" t="s">
        <v>338</v>
      </c>
      <c r="O44" s="30" t="s">
        <v>339</v>
      </c>
      <c r="P44" s="30" t="s">
        <v>340</v>
      </c>
      <c r="Q44" s="30" t="s">
        <v>341</v>
      </c>
      <c r="R44" s="30" t="s">
        <v>342</v>
      </c>
      <c r="S44" t="e">
        <f t="shared" si="0"/>
        <v>#VALUE!</v>
      </c>
      <c r="U44" t="e">
        <f t="shared" si="3"/>
        <v>#VALUE!</v>
      </c>
      <c r="W44">
        <v>0.75</v>
      </c>
      <c r="X44" t="e">
        <f t="shared" si="4"/>
        <v>#VALUE!</v>
      </c>
      <c r="Z44" t="e">
        <f t="shared" si="5"/>
        <v>#VALUE!</v>
      </c>
      <c r="AD44" t="e">
        <f t="shared" si="6"/>
        <v>#VALUE!</v>
      </c>
      <c r="AG44" t="e">
        <f t="shared" si="1"/>
        <v>#VALUE!</v>
      </c>
      <c r="AJ44" t="e">
        <f t="shared" si="7"/>
        <v>#VALUE!</v>
      </c>
    </row>
    <row r="45" spans="12:36" x14ac:dyDescent="0.2">
      <c r="Q45">
        <v>100</v>
      </c>
      <c r="R45">
        <f t="shared" si="2"/>
        <v>83.333333333333343</v>
      </c>
      <c r="S45">
        <f t="shared" si="0"/>
        <v>3.8</v>
      </c>
      <c r="U45">
        <f t="shared" si="3"/>
        <v>6.0394035873683931</v>
      </c>
      <c r="W45">
        <v>0.95</v>
      </c>
      <c r="X45">
        <f t="shared" si="4"/>
        <v>3.61</v>
      </c>
      <c r="Z45">
        <f t="shared" si="5"/>
        <v>3.1460060128684075E-2</v>
      </c>
      <c r="AD45">
        <f t="shared" si="6"/>
        <v>0.11357081706454951</v>
      </c>
      <c r="AG45">
        <f t="shared" si="1"/>
        <v>2.7532319288375642E-2</v>
      </c>
      <c r="AJ45">
        <f t="shared" si="7"/>
        <v>2.7532319288375642E-2</v>
      </c>
    </row>
    <row r="46" spans="12:36" x14ac:dyDescent="0.2">
      <c r="Q46">
        <v>100</v>
      </c>
      <c r="R46">
        <f t="shared" si="2"/>
        <v>83.333333333333343</v>
      </c>
      <c r="S46">
        <f t="shared" si="0"/>
        <v>3.8</v>
      </c>
      <c r="U46">
        <f t="shared" si="3"/>
        <v>6.0394035873683931</v>
      </c>
      <c r="W46">
        <v>0.85</v>
      </c>
      <c r="X46">
        <f t="shared" si="4"/>
        <v>3.23</v>
      </c>
      <c r="Z46">
        <f t="shared" si="5"/>
        <v>9.4380180386052226E-2</v>
      </c>
      <c r="AD46">
        <f t="shared" si="6"/>
        <v>0.30484798264694868</v>
      </c>
      <c r="AG46">
        <f t="shared" si="1"/>
        <v>7.3902541247745146E-2</v>
      </c>
      <c r="AJ46">
        <f t="shared" si="7"/>
        <v>7.3902541247745146E-2</v>
      </c>
    </row>
    <row r="47" spans="12:36" x14ac:dyDescent="0.2">
      <c r="Q47">
        <v>100</v>
      </c>
      <c r="R47">
        <f t="shared" si="2"/>
        <v>83.333333333333343</v>
      </c>
      <c r="S47">
        <f t="shared" si="0"/>
        <v>3.8</v>
      </c>
      <c r="U47">
        <f t="shared" si="3"/>
        <v>6.0394035873683931</v>
      </c>
      <c r="W47">
        <v>0.75</v>
      </c>
      <c r="X47">
        <f t="shared" si="4"/>
        <v>2.8499999999999996</v>
      </c>
      <c r="Z47">
        <f t="shared" si="5"/>
        <v>0.15730030064342043</v>
      </c>
      <c r="AD47">
        <f t="shared" si="6"/>
        <v>0.44830585683374818</v>
      </c>
      <c r="AG47">
        <f t="shared" si="1"/>
        <v>0.1086802077172723</v>
      </c>
      <c r="AJ47">
        <f t="shared" si="7"/>
        <v>0.1086802077172723</v>
      </c>
    </row>
    <row r="48" spans="12:36" x14ac:dyDescent="0.2">
      <c r="Q48">
        <v>150</v>
      </c>
      <c r="R48">
        <f t="shared" si="2"/>
        <v>125</v>
      </c>
      <c r="S48">
        <f t="shared" si="0"/>
        <v>5.7</v>
      </c>
      <c r="U48">
        <f t="shared" si="3"/>
        <v>8.1703665955094067</v>
      </c>
      <c r="W48">
        <v>0.85</v>
      </c>
      <c r="X48">
        <f t="shared" si="4"/>
        <v>4.8449999999999998</v>
      </c>
      <c r="Z48">
        <f t="shared" si="5"/>
        <v>0.10464646720624815</v>
      </c>
      <c r="AD48">
        <f t="shared" si="6"/>
        <v>0.50701213361427222</v>
      </c>
      <c r="AG48">
        <f t="shared" si="1"/>
        <v>0.12291203239133873</v>
      </c>
      <c r="AJ48">
        <f t="shared" si="7"/>
        <v>0.12291203239133873</v>
      </c>
    </row>
    <row r="49" spans="4:36" x14ac:dyDescent="0.2">
      <c r="Q49">
        <v>150</v>
      </c>
      <c r="R49">
        <f t="shared" si="2"/>
        <v>125</v>
      </c>
      <c r="S49">
        <f t="shared" si="0"/>
        <v>5.7</v>
      </c>
      <c r="U49">
        <f t="shared" si="3"/>
        <v>8.1703665955094067</v>
      </c>
      <c r="W49" s="2">
        <v>0.8</v>
      </c>
      <c r="X49">
        <f t="shared" si="4"/>
        <v>4.5600000000000005</v>
      </c>
      <c r="Z49">
        <f t="shared" si="5"/>
        <v>0.13952862294166407</v>
      </c>
      <c r="AD49">
        <f t="shared" si="6"/>
        <v>0.63625052061398824</v>
      </c>
      <c r="AG49">
        <f t="shared" si="1"/>
        <v>0.15424255045187596</v>
      </c>
      <c r="AJ49">
        <f t="shared" si="7"/>
        <v>0.15424255045187596</v>
      </c>
    </row>
    <row r="50" spans="4:36" x14ac:dyDescent="0.2">
      <c r="D50" s="2" t="s">
        <v>236</v>
      </c>
      <c r="Q50">
        <v>150</v>
      </c>
      <c r="R50">
        <f t="shared" si="2"/>
        <v>125</v>
      </c>
      <c r="S50">
        <f t="shared" si="0"/>
        <v>5.7</v>
      </c>
      <c r="U50">
        <f t="shared" si="3"/>
        <v>8.1703665955094067</v>
      </c>
      <c r="W50">
        <v>0.75</v>
      </c>
      <c r="X50">
        <f t="shared" si="4"/>
        <v>4.2750000000000004</v>
      </c>
      <c r="Z50">
        <f t="shared" si="5"/>
        <v>0.17441077867708013</v>
      </c>
      <c r="AD50">
        <f t="shared" si="6"/>
        <v>0.74560607884451757</v>
      </c>
      <c r="AG50">
        <f t="shared" si="1"/>
        <v>0.18075298881079216</v>
      </c>
      <c r="AJ50">
        <f t="shared" si="7"/>
        <v>0.18075298881079216</v>
      </c>
    </row>
    <row r="51" spans="4:36" x14ac:dyDescent="0.2">
      <c r="Q51">
        <v>200</v>
      </c>
      <c r="R51">
        <f t="shared" si="2"/>
        <v>166.66666666666669</v>
      </c>
      <c r="S51">
        <f t="shared" si="0"/>
        <v>7.6</v>
      </c>
      <c r="U51">
        <f t="shared" si="3"/>
        <v>10.447372050638997</v>
      </c>
      <c r="W51">
        <v>0.65</v>
      </c>
      <c r="X51">
        <f t="shared" si="4"/>
        <v>4.9399999999999995</v>
      </c>
      <c r="Z51">
        <f t="shared" si="5"/>
        <v>0.25460948333292155</v>
      </c>
      <c r="AD51">
        <f t="shared" si="6"/>
        <v>1.2577708476646323</v>
      </c>
      <c r="AG51">
        <f t="shared" si="1"/>
        <v>0.30491414488839574</v>
      </c>
      <c r="AJ51" s="24">
        <f t="shared" si="7"/>
        <v>0.2</v>
      </c>
    </row>
    <row r="52" spans="4:36" x14ac:dyDescent="0.2">
      <c r="Q52">
        <v>200</v>
      </c>
      <c r="R52">
        <f t="shared" si="2"/>
        <v>166.66666666666669</v>
      </c>
      <c r="S52">
        <f t="shared" si="0"/>
        <v>7.6</v>
      </c>
      <c r="U52">
        <f t="shared" si="3"/>
        <v>10.447372050638997</v>
      </c>
      <c r="W52">
        <v>0.62</v>
      </c>
      <c r="X52">
        <f t="shared" si="4"/>
        <v>4.7119999999999997</v>
      </c>
      <c r="Z52">
        <f t="shared" si="5"/>
        <v>0.27643315333288626</v>
      </c>
      <c r="AD52">
        <f t="shared" si="6"/>
        <v>1.30255301850456</v>
      </c>
      <c r="AG52">
        <f t="shared" si="1"/>
        <v>0.31577042872837818</v>
      </c>
      <c r="AJ52" s="24">
        <f t="shared" si="7"/>
        <v>0.2</v>
      </c>
    </row>
    <row r="53" spans="4:36" x14ac:dyDescent="0.2">
      <c r="Q53">
        <v>200</v>
      </c>
      <c r="R53">
        <f t="shared" si="2"/>
        <v>166.66666666666669</v>
      </c>
      <c r="S53">
        <f t="shared" si="0"/>
        <v>7.6</v>
      </c>
      <c r="U53">
        <f t="shared" si="3"/>
        <v>10.447372050638997</v>
      </c>
      <c r="W53">
        <v>0.5</v>
      </c>
      <c r="X53">
        <f t="shared" si="4"/>
        <v>3.8</v>
      </c>
      <c r="Z53">
        <f t="shared" si="5"/>
        <v>0.36372783333274505</v>
      </c>
      <c r="AD53">
        <f t="shared" si="6"/>
        <v>1.3821657666644311</v>
      </c>
      <c r="AG53">
        <f t="shared" si="1"/>
        <v>0.33507048888834701</v>
      </c>
      <c r="AJ53" s="24">
        <f t="shared" si="7"/>
        <v>0.2</v>
      </c>
    </row>
    <row r="54" spans="4:36" x14ac:dyDescent="0.2">
      <c r="Q54">
        <v>250</v>
      </c>
      <c r="R54">
        <f t="shared" si="2"/>
        <v>208.33333333333334</v>
      </c>
      <c r="S54">
        <f t="shared" si="0"/>
        <v>9.5</v>
      </c>
      <c r="U54">
        <f t="shared" si="3"/>
        <v>12.792672631998713</v>
      </c>
      <c r="W54">
        <v>0.5</v>
      </c>
      <c r="X54">
        <f t="shared" si="4"/>
        <v>4.75</v>
      </c>
      <c r="Z54">
        <f t="shared" si="5"/>
        <v>0.37130630452612978</v>
      </c>
      <c r="AD54">
        <f t="shared" si="6"/>
        <v>1.7637049464991166</v>
      </c>
      <c r="AG54">
        <f t="shared" si="1"/>
        <v>0.4275648355149374</v>
      </c>
      <c r="AJ54" s="24">
        <f t="shared" si="7"/>
        <v>0.2</v>
      </c>
    </row>
    <row r="55" spans="4:36" x14ac:dyDescent="0.2">
      <c r="Q55">
        <v>250</v>
      </c>
      <c r="R55">
        <f t="shared" si="2"/>
        <v>208.33333333333334</v>
      </c>
      <c r="S55">
        <f t="shared" si="0"/>
        <v>9.5</v>
      </c>
      <c r="U55">
        <f t="shared" si="3"/>
        <v>12.792672631998713</v>
      </c>
      <c r="W55">
        <v>0.4</v>
      </c>
      <c r="X55">
        <f t="shared" si="4"/>
        <v>3.8000000000000003</v>
      </c>
      <c r="Z55">
        <f t="shared" si="5"/>
        <v>0.44556756543135567</v>
      </c>
      <c r="AD55">
        <f t="shared" si="6"/>
        <v>1.6931567486391517</v>
      </c>
      <c r="AG55">
        <f t="shared" si="1"/>
        <v>0.41046224209433985</v>
      </c>
      <c r="AJ55" s="24">
        <f t="shared" si="7"/>
        <v>0.2</v>
      </c>
    </row>
    <row r="56" spans="4:36" x14ac:dyDescent="0.2">
      <c r="Q56">
        <v>250</v>
      </c>
      <c r="R56">
        <f t="shared" si="2"/>
        <v>208.33333333333334</v>
      </c>
      <c r="S56">
        <f t="shared" si="0"/>
        <v>9.5</v>
      </c>
      <c r="U56">
        <f t="shared" si="3"/>
        <v>12.792672631998713</v>
      </c>
      <c r="W56">
        <v>0.3</v>
      </c>
      <c r="X56">
        <f t="shared" si="4"/>
        <v>2.85</v>
      </c>
      <c r="Z56">
        <f t="shared" si="5"/>
        <v>0.51982882633658167</v>
      </c>
      <c r="AD56">
        <f t="shared" si="6"/>
        <v>1.4815121550592578</v>
      </c>
      <c r="AG56">
        <f t="shared" si="1"/>
        <v>0.35915446183254734</v>
      </c>
      <c r="AJ56" s="24">
        <f t="shared" si="7"/>
        <v>0.2</v>
      </c>
    </row>
    <row r="68" spans="1:20" x14ac:dyDescent="0.2">
      <c r="A68" s="2" t="s">
        <v>263</v>
      </c>
    </row>
    <row r="69" spans="1:20" x14ac:dyDescent="0.2">
      <c r="A69" s="2"/>
    </row>
    <row r="70" spans="1:20" x14ac:dyDescent="0.2">
      <c r="A70" s="2"/>
    </row>
    <row r="71" spans="1:20" x14ac:dyDescent="0.2">
      <c r="B71" s="2" t="s">
        <v>172</v>
      </c>
      <c r="C71" s="2" t="s">
        <v>163</v>
      </c>
      <c r="E71" s="2" t="s">
        <v>173</v>
      </c>
      <c r="H71" s="2" t="s">
        <v>164</v>
      </c>
      <c r="J71" s="2" t="s">
        <v>165</v>
      </c>
    </row>
    <row r="72" spans="1:20" x14ac:dyDescent="0.2">
      <c r="B72" s="2" t="s">
        <v>166</v>
      </c>
    </row>
    <row r="74" spans="1:20" x14ac:dyDescent="0.2">
      <c r="B74" s="2" t="s">
        <v>167</v>
      </c>
    </row>
    <row r="75" spans="1:20" x14ac:dyDescent="0.2">
      <c r="B75" s="2" t="s">
        <v>168</v>
      </c>
      <c r="G75" s="2" t="s">
        <v>170</v>
      </c>
    </row>
    <row r="77" spans="1:20" x14ac:dyDescent="0.2">
      <c r="C77" s="2" t="s">
        <v>169</v>
      </c>
      <c r="J77" s="2" t="s">
        <v>204</v>
      </c>
      <c r="L77" s="2" t="s">
        <v>205</v>
      </c>
    </row>
    <row r="78" spans="1:20" x14ac:dyDescent="0.2">
      <c r="J78">
        <v>5.5E-2</v>
      </c>
      <c r="L78">
        <f>J78*0.707</f>
        <v>3.8884999999999996E-2</v>
      </c>
    </row>
    <row r="79" spans="1:20" x14ac:dyDescent="0.2">
      <c r="E79" s="2" t="s">
        <v>186</v>
      </c>
      <c r="P79" s="2" t="s">
        <v>171</v>
      </c>
      <c r="Q79" s="2" t="s">
        <v>206</v>
      </c>
      <c r="R79" s="2" t="s">
        <v>207</v>
      </c>
    </row>
    <row r="80" spans="1:20" x14ac:dyDescent="0.2">
      <c r="D80" s="2" t="s">
        <v>171</v>
      </c>
      <c r="F80" s="2" t="s">
        <v>203</v>
      </c>
      <c r="H80" s="2"/>
      <c r="J80" s="2" t="s">
        <v>201</v>
      </c>
      <c r="L80" s="2" t="s">
        <v>202</v>
      </c>
      <c r="P80">
        <v>112</v>
      </c>
      <c r="Q80">
        <f>P80*L78</f>
        <v>4.3551199999999994</v>
      </c>
      <c r="R80">
        <v>3.9</v>
      </c>
      <c r="S80" s="2" t="s">
        <v>208</v>
      </c>
      <c r="T80">
        <f>Q80/R80</f>
        <v>1.1166974358974358</v>
      </c>
    </row>
    <row r="81" spans="3:20" x14ac:dyDescent="0.2">
      <c r="D81" s="2">
        <v>48</v>
      </c>
      <c r="E81" s="2"/>
      <c r="F81">
        <v>2.6539999999999999</v>
      </c>
      <c r="J81">
        <f>D81*$J$78</f>
        <v>2.64</v>
      </c>
      <c r="L81">
        <f>D81*$L$78</f>
        <v>1.8664799999999997</v>
      </c>
      <c r="T81" s="2" t="s">
        <v>209</v>
      </c>
    </row>
    <row r="82" spans="3:20" x14ac:dyDescent="0.2">
      <c r="C82" s="2"/>
      <c r="D82">
        <v>72</v>
      </c>
      <c r="F82">
        <v>3.92</v>
      </c>
      <c r="J82">
        <f>D82*$J$78</f>
        <v>3.96</v>
      </c>
      <c r="L82">
        <f>D82*$L$78</f>
        <v>2.7997199999999998</v>
      </c>
    </row>
    <row r="83" spans="3:20" x14ac:dyDescent="0.2">
      <c r="D83">
        <v>120</v>
      </c>
      <c r="F83">
        <v>6.36</v>
      </c>
      <c r="J83">
        <f>D83*$J$78</f>
        <v>6.6</v>
      </c>
      <c r="L83">
        <f>D83*$L$78</f>
        <v>4.6661999999999999</v>
      </c>
    </row>
    <row r="85" spans="3:20" x14ac:dyDescent="0.2">
      <c r="D85" s="2" t="s">
        <v>175</v>
      </c>
    </row>
    <row r="87" spans="3:20" x14ac:dyDescent="0.2">
      <c r="D87" s="2" t="s">
        <v>176</v>
      </c>
    </row>
    <row r="88" spans="3:20" x14ac:dyDescent="0.2">
      <c r="E88" s="2" t="s">
        <v>177</v>
      </c>
    </row>
    <row r="89" spans="3:20" x14ac:dyDescent="0.2">
      <c r="E89" s="2" t="s">
        <v>178</v>
      </c>
    </row>
    <row r="91" spans="3:20" x14ac:dyDescent="0.2">
      <c r="D91" s="2" t="s">
        <v>179</v>
      </c>
      <c r="E91" s="2" t="s">
        <v>180</v>
      </c>
    </row>
    <row r="92" spans="3:20" x14ac:dyDescent="0.2">
      <c r="E92" s="2" t="s">
        <v>181</v>
      </c>
    </row>
    <row r="93" spans="3:20" x14ac:dyDescent="0.2">
      <c r="E93" s="2" t="s">
        <v>182</v>
      </c>
    </row>
    <row r="94" spans="3:20" x14ac:dyDescent="0.2">
      <c r="E94" s="2"/>
    </row>
    <row r="95" spans="3:20" x14ac:dyDescent="0.2">
      <c r="F95" s="2" t="s">
        <v>183</v>
      </c>
    </row>
    <row r="97" spans="4:19" x14ac:dyDescent="0.2">
      <c r="D97" s="2" t="s">
        <v>171</v>
      </c>
      <c r="E97" s="2" t="s">
        <v>174</v>
      </c>
      <c r="I97" s="2" t="s">
        <v>187</v>
      </c>
    </row>
    <row r="98" spans="4:19" x14ac:dyDescent="0.2">
      <c r="D98">
        <v>48</v>
      </c>
      <c r="F98">
        <f>$J$78*D98</f>
        <v>2.64</v>
      </c>
      <c r="I98" s="2">
        <v>1.532</v>
      </c>
      <c r="K98">
        <v>6.8</v>
      </c>
      <c r="L98" s="2" t="s">
        <v>185</v>
      </c>
    </row>
    <row r="100" spans="4:19" x14ac:dyDescent="0.2">
      <c r="F100" s="2" t="s">
        <v>184</v>
      </c>
      <c r="J100">
        <f>I98/K98</f>
        <v>0.22529411764705884</v>
      </c>
      <c r="K100" s="2" t="s">
        <v>188</v>
      </c>
    </row>
    <row r="101" spans="4:19" x14ac:dyDescent="0.2">
      <c r="F101">
        <f>F98-I98</f>
        <v>1.1080000000000001</v>
      </c>
      <c r="H101" s="2"/>
      <c r="K101" s="11" t="s">
        <v>189</v>
      </c>
    </row>
    <row r="102" spans="4:19" x14ac:dyDescent="0.2">
      <c r="F102" s="11" t="s">
        <v>190</v>
      </c>
    </row>
    <row r="103" spans="4:19" x14ac:dyDescent="0.2">
      <c r="G103" s="2" t="s">
        <v>191</v>
      </c>
      <c r="J103">
        <f>F101/J100</f>
        <v>4.9180156657963447</v>
      </c>
    </row>
    <row r="105" spans="4:19" x14ac:dyDescent="0.2">
      <c r="G105" s="2" t="s">
        <v>192</v>
      </c>
    </row>
    <row r="106" spans="4:19" x14ac:dyDescent="0.2">
      <c r="K106">
        <v>3.5</v>
      </c>
      <c r="L106" s="2" t="s">
        <v>196</v>
      </c>
      <c r="N106" s="2" t="s">
        <v>197</v>
      </c>
      <c r="P106">
        <f>((2*PI()*I110*$K$107)^2 + K106^2)^0.5</f>
        <v>4.5793866891541883</v>
      </c>
    </row>
    <row r="107" spans="4:19" x14ac:dyDescent="0.2">
      <c r="G107" s="2" t="s">
        <v>193</v>
      </c>
      <c r="K107">
        <v>9.4000000000000004E-3</v>
      </c>
      <c r="L107" s="2" t="s">
        <v>194</v>
      </c>
      <c r="N107" s="2" t="s">
        <v>210</v>
      </c>
      <c r="P107">
        <f>I110*1.2*$L$78</f>
        <v>2.3331</v>
      </c>
    </row>
    <row r="108" spans="4:19" x14ac:dyDescent="0.2">
      <c r="N108" s="2" t="s">
        <v>198</v>
      </c>
      <c r="P108">
        <f>(I116-I114)/P106</f>
        <v>0.1484915003160818</v>
      </c>
      <c r="R108" s="2" t="s">
        <v>211</v>
      </c>
    </row>
    <row r="109" spans="4:19" x14ac:dyDescent="0.2">
      <c r="I109" s="2" t="s">
        <v>195</v>
      </c>
      <c r="J109" s="2"/>
      <c r="R109">
        <v>12</v>
      </c>
      <c r="S109" s="2" t="s">
        <v>212</v>
      </c>
    </row>
    <row r="110" spans="4:19" x14ac:dyDescent="0.2">
      <c r="I110">
        <f>I112/1.2</f>
        <v>50</v>
      </c>
    </row>
    <row r="111" spans="4:19" x14ac:dyDescent="0.2">
      <c r="I111" s="2" t="s">
        <v>171</v>
      </c>
    </row>
    <row r="112" spans="4:19" x14ac:dyDescent="0.2">
      <c r="I112">
        <v>60</v>
      </c>
    </row>
    <row r="113" spans="1:17" x14ac:dyDescent="0.2">
      <c r="I113" s="2" t="s">
        <v>199</v>
      </c>
    </row>
    <row r="114" spans="1:17" x14ac:dyDescent="0.2">
      <c r="I114">
        <v>1.7</v>
      </c>
    </row>
    <row r="115" spans="1:17" x14ac:dyDescent="0.2">
      <c r="I115" s="2" t="s">
        <v>200</v>
      </c>
    </row>
    <row r="116" spans="1:17" x14ac:dyDescent="0.2">
      <c r="I116">
        <f>I114*1.4</f>
        <v>2.38</v>
      </c>
    </row>
    <row r="120" spans="1:17" x14ac:dyDescent="0.2">
      <c r="A120" t="s">
        <v>362</v>
      </c>
    </row>
    <row r="122" spans="1:17" x14ac:dyDescent="0.2">
      <c r="A122" t="s">
        <v>368</v>
      </c>
      <c r="F122" s="31" t="s">
        <v>370</v>
      </c>
      <c r="G122" s="31"/>
      <c r="H122" s="31"/>
      <c r="I122" s="31"/>
      <c r="K122" s="2" t="s">
        <v>372</v>
      </c>
      <c r="M122">
        <v>3.5</v>
      </c>
      <c r="N122" s="2" t="s">
        <v>185</v>
      </c>
    </row>
    <row r="123" spans="1:17" x14ac:dyDescent="0.2">
      <c r="F123" s="31">
        <f>4.8*1023</f>
        <v>4910.3999999999996</v>
      </c>
      <c r="G123" s="31"/>
      <c r="H123" s="31"/>
      <c r="I123" s="31"/>
      <c r="K123" s="2" t="s">
        <v>373</v>
      </c>
      <c r="M123">
        <v>9.4000000000000004E-3</v>
      </c>
      <c r="N123" s="2" t="s">
        <v>374</v>
      </c>
    </row>
    <row r="124" spans="1:17" x14ac:dyDescent="0.2">
      <c r="F124" s="31" t="s">
        <v>371</v>
      </c>
      <c r="G124" s="31"/>
      <c r="H124" s="31"/>
      <c r="I124" s="31"/>
      <c r="K124" s="2" t="s">
        <v>375</v>
      </c>
      <c r="M124">
        <v>3.8884999999999996E-2</v>
      </c>
    </row>
    <row r="125" spans="1:17" x14ac:dyDescent="0.2">
      <c r="A125" s="32" t="s">
        <v>380</v>
      </c>
      <c r="B125" s="31"/>
      <c r="C125" s="31"/>
      <c r="D125" s="31"/>
      <c r="E125" s="31"/>
      <c r="F125" s="31">
        <v>39322</v>
      </c>
      <c r="G125" s="31"/>
      <c r="H125" s="31"/>
      <c r="I125" s="31"/>
      <c r="J125" s="31"/>
      <c r="K125" s="31"/>
      <c r="L125" s="31"/>
      <c r="M125" s="31"/>
    </row>
    <row r="126" spans="1:17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 spans="1:17" x14ac:dyDescent="0.2">
      <c r="A127" s="31" t="s">
        <v>363</v>
      </c>
      <c r="B127" s="31"/>
      <c r="C127" s="31" t="s">
        <v>364</v>
      </c>
      <c r="D127" s="31"/>
      <c r="E127" s="31" t="s">
        <v>365</v>
      </c>
      <c r="F127" s="31"/>
      <c r="G127" s="31" t="s">
        <v>366</v>
      </c>
      <c r="H127" s="31"/>
      <c r="I127" s="32" t="s">
        <v>343</v>
      </c>
      <c r="J127" s="31"/>
      <c r="K127" s="31" t="s">
        <v>344</v>
      </c>
      <c r="L127" s="31"/>
      <c r="M127" s="31" t="s">
        <v>367</v>
      </c>
      <c r="O127" s="2"/>
      <c r="P127" s="2"/>
      <c r="Q127" s="2"/>
    </row>
    <row r="128" spans="1:17" x14ac:dyDescent="0.2">
      <c r="A128" s="31" t="str">
        <f>CONCATENATE(MID($A$125,3,2),MID($A$125,1,2))</f>
        <v>49af</v>
      </c>
      <c r="B128" s="31"/>
      <c r="C128" s="31" t="str">
        <f>CONCATENATE(MID($A$125,7,2),MID($A$125,5,2))</f>
        <v>49b6</v>
      </c>
      <c r="D128" s="31"/>
      <c r="E128" s="31" t="str">
        <f>CONCATENATE(MID($A$125,11,2),MID($A$125,9,2))</f>
        <v>00b0</v>
      </c>
      <c r="F128" s="31"/>
      <c r="G128" s="31" t="str">
        <f>CONCATENATE(MID($A$125,15,2),MID($A$125,13,2))</f>
        <v>0568</v>
      </c>
      <c r="H128" s="31"/>
      <c r="I128" s="31" t="str">
        <f>CONCATENATE(MID($A$125,19,2),MID($A$125,17,2))</f>
        <v>03e2</v>
      </c>
      <c r="J128" s="31"/>
      <c r="K128" s="31" t="str">
        <f>CONCATENATE(MID($A$125,23,2),MID($A$125,21,2))</f>
        <v>00a9</v>
      </c>
      <c r="L128" s="31"/>
      <c r="M128" s="31" t="str">
        <f>CONCATENATE(MID($A$125,27,2),MID($A$125,25,2))</f>
        <v>05cc</v>
      </c>
    </row>
    <row r="129" spans="1:18" x14ac:dyDescent="0.2">
      <c r="A129" s="31"/>
      <c r="B129" s="31"/>
      <c r="C129" s="31"/>
      <c r="D129" s="32"/>
      <c r="E129" s="32"/>
      <c r="F129" s="32"/>
      <c r="G129" s="32"/>
      <c r="H129" s="33"/>
      <c r="I129" s="33"/>
      <c r="J129" s="32"/>
      <c r="K129" s="31"/>
      <c r="L129" s="31"/>
      <c r="M129" s="31"/>
      <c r="R129" s="2"/>
    </row>
    <row r="130" spans="1:18" ht="15" x14ac:dyDescent="0.25">
      <c r="A130" s="31">
        <f>HEX2DEC(A128)/512</f>
        <v>36.841796875</v>
      </c>
      <c r="B130" s="31" t="s">
        <v>369</v>
      </c>
      <c r="C130" s="31">
        <f>HEX2DEC(C128)/512</f>
        <v>36.85546875</v>
      </c>
      <c r="D130" s="31" t="s">
        <v>369</v>
      </c>
      <c r="E130" s="34">
        <f>HEX2DEC(E128)</f>
        <v>176</v>
      </c>
      <c r="F130" s="34"/>
      <c r="G130" s="34">
        <f>$M$130*HEX2DEC(G128)/1023</f>
        <v>4.47654986522911</v>
      </c>
      <c r="H130" s="35"/>
      <c r="I130" s="34">
        <f>$F$125/(HEX2DEC(I128))</f>
        <v>39.559356136820924</v>
      </c>
      <c r="J130" s="34"/>
      <c r="K130" s="34">
        <f>$M$130*HEX2DEC(K128)/1023</f>
        <v>0.54663072776280319</v>
      </c>
      <c r="L130" s="31"/>
      <c r="M130" s="34">
        <f>$F$123/HEX2DEC(M128)</f>
        <v>3.3088948787061994</v>
      </c>
    </row>
    <row r="131" spans="1:18" x14ac:dyDescent="0.2">
      <c r="A131" s="31"/>
      <c r="B131" s="31"/>
      <c r="C131" s="31"/>
      <c r="D131" s="31"/>
      <c r="E131" s="31"/>
      <c r="F131" s="31"/>
      <c r="G131" s="32"/>
      <c r="H131" s="33"/>
      <c r="I131" s="33" t="s">
        <v>171</v>
      </c>
      <c r="J131" s="32"/>
      <c r="K131" s="31"/>
      <c r="L131" s="31"/>
      <c r="M131" s="31"/>
    </row>
    <row r="132" spans="1:18" x14ac:dyDescent="0.2">
      <c r="H132" s="24"/>
      <c r="I132" s="24"/>
    </row>
    <row r="133" spans="1:18" x14ac:dyDescent="0.2">
      <c r="H133" s="24"/>
      <c r="I133" s="24"/>
    </row>
    <row r="134" spans="1:18" x14ac:dyDescent="0.2">
      <c r="C134" s="2"/>
      <c r="H134" s="24"/>
      <c r="I134" s="24"/>
    </row>
    <row r="135" spans="1:18" x14ac:dyDescent="0.2">
      <c r="C135" s="2"/>
      <c r="D135" s="2"/>
      <c r="E135" s="2"/>
      <c r="F135" s="2"/>
      <c r="H135" s="24"/>
      <c r="I135" s="24"/>
    </row>
    <row r="136" spans="1:18" x14ac:dyDescent="0.2">
      <c r="C136" s="2" t="s">
        <v>27</v>
      </c>
      <c r="D136" s="2" t="s">
        <v>195</v>
      </c>
      <c r="E136" s="2" t="s">
        <v>376</v>
      </c>
      <c r="F136" s="2" t="s">
        <v>377</v>
      </c>
      <c r="G136" s="2"/>
      <c r="H136" s="24"/>
      <c r="I136" s="24"/>
    </row>
    <row r="137" spans="1:18" x14ac:dyDescent="0.2">
      <c r="K137" s="2"/>
    </row>
    <row r="138" spans="1:18" x14ac:dyDescent="0.2">
      <c r="C138">
        <v>65.3</v>
      </c>
      <c r="D138">
        <f>C138/1.2</f>
        <v>54.416666666666664</v>
      </c>
      <c r="E138">
        <f>2*PI()*D138*$M$123</f>
        <v>3.2139540043774777</v>
      </c>
      <c r="F138">
        <f>($M$122^2+E138^2)^0.5</f>
        <v>4.7517891727489365</v>
      </c>
    </row>
    <row r="139" spans="1:18" x14ac:dyDescent="0.2">
      <c r="C139" s="2"/>
    </row>
    <row r="140" spans="1:18" x14ac:dyDescent="0.2">
      <c r="G140" s="2">
        <f>(3.5^2 + (0.0094*6.28*58.3)^2)^0.5</f>
        <v>4.9086020188138457</v>
      </c>
      <c r="H140">
        <f>2.8/G140</f>
        <v>0.57042717850582936</v>
      </c>
    </row>
    <row r="142" spans="1:18" x14ac:dyDescent="0.2">
      <c r="L142" s="2" t="s">
        <v>379</v>
      </c>
    </row>
    <row r="143" spans="1:18" x14ac:dyDescent="0.2">
      <c r="K143" s="2" t="s">
        <v>171</v>
      </c>
      <c r="L143" s="2" t="s">
        <v>378</v>
      </c>
    </row>
    <row r="144" spans="1:18" x14ac:dyDescent="0.2">
      <c r="K144">
        <v>46</v>
      </c>
      <c r="L144">
        <v>1.66</v>
      </c>
    </row>
    <row r="145" spans="11:12" x14ac:dyDescent="0.2">
      <c r="K145">
        <v>80</v>
      </c>
      <c r="L145">
        <v>2.9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message ids</vt:lpstr>
      <vt:lpstr>Re Valve algorithms</vt:lpstr>
      <vt:lpstr>IDEAS PUT ON HOLD-charge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Metrionix</cp:lastModifiedBy>
  <cp:lastPrinted>2015-01-07T18:16:53Z</cp:lastPrinted>
  <dcterms:created xsi:type="dcterms:W3CDTF">2011-01-04T19:23:17Z</dcterms:created>
  <dcterms:modified xsi:type="dcterms:W3CDTF">2016-03-28T07:33:03Z</dcterms:modified>
</cp:coreProperties>
</file>